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pivotTables/pivotTable2.xml" ContentType="application/vnd.openxmlformats-officedocument.spreadsheetml.pivot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pivotTables/pivotTable3.xml" ContentType="application/vnd.openxmlformats-officedocument.spreadsheetml.pivot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vgrange\OneDrive\AM2\"/>
    </mc:Choice>
  </mc:AlternateContent>
  <xr:revisionPtr revIDLastSave="0" documentId="13_ncr:1_{30872FB9-64E7-4FF0-A7EC-09A47171FA35}" xr6:coauthVersionLast="40" xr6:coauthVersionMax="40" xr10:uidLastSave="{00000000-0000-0000-0000-000000000000}"/>
  <bookViews>
    <workbookView xWindow="0" yWindow="360" windowWidth="20496" windowHeight="7392" tabRatio="921" firstSheet="15" activeTab="18" xr2:uid="{00000000-000D-0000-FFFF-FFFF00000000}"/>
  </bookViews>
  <sheets>
    <sheet name="LignePotentielParHub" sheetId="34" state="hidden" r:id="rId1"/>
    <sheet name="GestionLignesDemande" sheetId="32" state="hidden" r:id="rId2"/>
    <sheet name="Graphique" sheetId="18" state="hidden" r:id="rId3"/>
    <sheet name="Lignes_" sheetId="20" state="hidden" r:id="rId4"/>
    <sheet name="TS membres" sheetId="27" state="hidden" r:id="rId5"/>
    <sheet name="TS membres (2)" sheetId="28" state="hidden" r:id="rId6"/>
    <sheet name="Avions" sheetId="12" state="hidden" r:id="rId7"/>
    <sheet name="AvionsLoc" sheetId="30" state="hidden" r:id="rId8"/>
    <sheet name="Classement" sheetId="1" state="hidden" r:id="rId9"/>
    <sheet name="Chiffre d'affaires" sheetId="2" state="hidden" r:id="rId10"/>
    <sheet name="Coût" sheetId="8" state="hidden" r:id="rId11"/>
    <sheet name="Impôts" sheetId="9" state="hidden" r:id="rId12"/>
    <sheet name="Emprunts" sheetId="3" state="hidden" r:id="rId13"/>
    <sheet name="Lignes" sheetId="4" state="hidden" r:id="rId14"/>
    <sheet name="Investissement" sheetId="10" state="hidden" r:id="rId15"/>
    <sheet name="DataCoutRevenuAux" sheetId="26" r:id="rId16"/>
    <sheet name="DataHubs" sheetId="35" r:id="rId17"/>
    <sheet name="DataPrixBillets" sheetId="22" r:id="rId18"/>
    <sheet name="DataDemande" sheetId="25" r:id="rId19"/>
    <sheet name="Transco Heures" sheetId="41" state="hidden" r:id="rId20"/>
    <sheet name="ROI_Avions" sheetId="33" state="hidden" r:id="rId21"/>
    <sheet name="ROI_Avions V2" sheetId="36" state="hidden" r:id="rId22"/>
    <sheet name="DemandeAReprendre" sheetId="31" state="hidden" r:id="rId23"/>
    <sheet name="Appareils" sheetId="5" state="hidden" r:id="rId24"/>
    <sheet name="Prévisions restructurations" sheetId="29" state="hidden" r:id="rId25"/>
    <sheet name="Feuil2" sheetId="43" state="hidden" r:id="rId26"/>
    <sheet name="TCD" sheetId="45" state="hidden" r:id="rId27"/>
  </sheets>
  <definedNames>
    <definedName name="_?airport_0" localSheetId="18">DataDemande!$A$1:$H$229</definedName>
    <definedName name="_xlnm._FilterDatabase" localSheetId="6" hidden="1">Avions!$A$3:$O$90</definedName>
    <definedName name="_xlnm._FilterDatabase" localSheetId="7" hidden="1">AvionsLoc!$A$3:$U$4</definedName>
    <definedName name="_xlnm._FilterDatabase" localSheetId="18" hidden="1">DataDemande!$AA$36:$AE$874</definedName>
    <definedName name="_xlnm._FilterDatabase" localSheetId="12" hidden="1">Emprunts!$A$4:$M$41</definedName>
    <definedName name="_xlnm._FilterDatabase" localSheetId="1" hidden="1">GestionLignesDemande!$A$3:$G$184</definedName>
    <definedName name="_xlnm._FilterDatabase" localSheetId="0" hidden="1">LignePotentielParHub!$A$1:$K$31</definedName>
    <definedName name="_xlnm._FilterDatabase" localSheetId="20" hidden="1">ROI_Avions!$A$3:$AT$388</definedName>
    <definedName name="_xlnm._FilterDatabase" localSheetId="19" hidden="1">'Transco Heures'!$A$1:$D$173</definedName>
    <definedName name="_xlnm._FilterDatabase" localSheetId="4" hidden="1">'TS membres'!$A$1:$D$21</definedName>
    <definedName name="_xlnm._FilterDatabase" localSheetId="5" hidden="1">'TS membres (2)'!$A$1:$D$21</definedName>
    <definedName name="DataCoutRevenuAux" localSheetId="15">DataCoutRevenuAux!$A$1:$H$76</definedName>
    <definedName name="DataCoutRevenuAux" localSheetId="18">DataDemande!$A$1:$H$120</definedName>
    <definedName name="DataCoutRevenuAux" localSheetId="17">DataPrixBillets!$A$1:$H$129</definedName>
    <definedName name="DataCoutRevenuAux_1" localSheetId="15">DataCoutRevenuAux!$A$1:$H$76</definedName>
    <definedName name="DataCoutRevenuAux_1" localSheetId="18">DataDemande!$A$1:$H$120</definedName>
    <definedName name="DataCoutRevenuAux_1" localSheetId="17">DataPrixBillets!$A$1:$H$66</definedName>
    <definedName name="DataCoutRevenuAux_10" localSheetId="15">DataCoutRevenuAux!$A$1:$H$77</definedName>
    <definedName name="DataCoutRevenuAux_10" localSheetId="18">DataDemande!$A$1:$H$134</definedName>
    <definedName name="DataCoutRevenuAux_10" localSheetId="17">DataPrixBillets!$A$1:$H$143</definedName>
    <definedName name="DataCoutRevenuAux_11" localSheetId="15">DataCoutRevenuAux!$A$1:$H$77</definedName>
    <definedName name="DataCoutRevenuAux_11" localSheetId="18">DataDemande!$A$1:$H$134</definedName>
    <definedName name="DataCoutRevenuAux_11" localSheetId="17">DataPrixBillets!$A$1:$H$143</definedName>
    <definedName name="DataCoutRevenuAux_12" localSheetId="15">DataCoutRevenuAux!$A$1:$H$77</definedName>
    <definedName name="DataCoutRevenuAux_12" localSheetId="18">DataDemande!$A$1:$H$138</definedName>
    <definedName name="DataCoutRevenuAux_12" localSheetId="17">DataPrixBillets!$A$1:$H$143</definedName>
    <definedName name="DataCoutRevenuAux_13" localSheetId="15">DataCoutRevenuAux!$A$1:$H$77</definedName>
    <definedName name="DataCoutRevenuAux_13" localSheetId="18">DataDemande!$A$1:$H$138</definedName>
    <definedName name="DataCoutRevenuAux_13" localSheetId="17">DataPrixBillets!$A$1:$H$147</definedName>
    <definedName name="DataCoutRevenuAux_14" localSheetId="15">DataCoutRevenuAux!$A$1:$H$77</definedName>
    <definedName name="DataCoutRevenuAux_14" localSheetId="18">DataDemande!$A$1:$H$138</definedName>
    <definedName name="DataCoutRevenuAux_14" localSheetId="17">DataPrixBillets!$A$1:$H$147</definedName>
    <definedName name="DataCoutRevenuAux_15" localSheetId="15">DataCoutRevenuAux!$A$1:$H$77</definedName>
    <definedName name="DataCoutRevenuAux_15" localSheetId="18">DataDemande!$A$1:$H$138</definedName>
    <definedName name="DataCoutRevenuAux_15" localSheetId="17">DataPrixBillets!$A$1:$H$147</definedName>
    <definedName name="DataCoutRevenuAux_16" localSheetId="15">DataCoutRevenuAux!$A$1:$H$77</definedName>
    <definedName name="DataCoutRevenuAux_16" localSheetId="18">DataDemande!$A$1:$H$138</definedName>
    <definedName name="DataCoutRevenuAux_16" localSheetId="17">DataPrixBillets!$A$1:$H$173</definedName>
    <definedName name="DataCoutRevenuAux_17" localSheetId="15">DataCoutRevenuAux!$A$1:$H$77</definedName>
    <definedName name="DataCoutRevenuAux_17" localSheetId="17">DataPrixBillets!$A$1:$H$147</definedName>
    <definedName name="DataCoutRevenuAux_18" localSheetId="15">DataCoutRevenuAux!$A$1:$H$77</definedName>
    <definedName name="DataCoutRevenuAux_19" localSheetId="15">DataCoutRevenuAux!$A$1:$H$85</definedName>
    <definedName name="DataCoutRevenuAux_2" localSheetId="15">DataCoutRevenuAux!$A$1:$H$76</definedName>
    <definedName name="DataCoutRevenuAux_2" localSheetId="18">DataDemande!$A$1:$H$122</definedName>
    <definedName name="DataCoutRevenuAux_2" localSheetId="17">DataPrixBillets!$A$1:$H$129</definedName>
    <definedName name="DataCoutRevenuAux_20" localSheetId="15">DataCoutRevenuAux!$A$1:$H$85</definedName>
    <definedName name="DataCoutRevenuAux_21" localSheetId="15">DataCoutRevenuAux!$A$1:$H$85</definedName>
    <definedName name="DataCoutRevenuAux_3" localSheetId="15">DataCoutRevenuAux!$A$1:$H$76</definedName>
    <definedName name="DataCoutRevenuAux_3" localSheetId="18">DataDemande!$A$1:$H$122</definedName>
    <definedName name="DataCoutRevenuAux_3" localSheetId="17">DataPrixBillets!$A$1:$H$131</definedName>
    <definedName name="DataCoutRevenuAux_4" localSheetId="15">DataCoutRevenuAux!$A$1:$H$76</definedName>
    <definedName name="DataCoutRevenuAux_4" localSheetId="18">DataDemande!$A$1:$H$122</definedName>
    <definedName name="DataCoutRevenuAux_4" localSheetId="17">DataPrixBillets!$A$1:$H$131</definedName>
    <definedName name="DataCoutRevenuAux_5" localSheetId="15">DataCoutRevenuAux!$A$1:$H$76</definedName>
    <definedName name="DataCoutRevenuAux_5" localSheetId="18">DataDemande!$A$1:$H$124</definedName>
    <definedName name="DataCoutRevenuAux_5" localSheetId="17">DataPrixBillets!$A$1:$H$131</definedName>
    <definedName name="DataCoutRevenuAux_6" localSheetId="15">DataCoutRevenuAux!$A$1:$H$76</definedName>
    <definedName name="DataCoutRevenuAux_6" localSheetId="18">DataDemande!$A$1:$H$124</definedName>
    <definedName name="DataCoutRevenuAux_6" localSheetId="17">DataPrixBillets!$A$1:$H$133</definedName>
    <definedName name="DataCoutRevenuAux_7" localSheetId="15">DataCoutRevenuAux!$A$1:$H$76</definedName>
    <definedName name="DataCoutRevenuAux_7" localSheetId="18">DataDemande!$A$1:$H$126</definedName>
    <definedName name="DataCoutRevenuAux_7" localSheetId="17">DataPrixBillets!$A$1:$H$133</definedName>
    <definedName name="DataCoutRevenuAux_8" localSheetId="15">DataCoutRevenuAux!$A$1:$H$76</definedName>
    <definedName name="DataCoutRevenuAux_8" localSheetId="18">DataDemande!$A$1:$H$126</definedName>
    <definedName name="DataCoutRevenuAux_8" localSheetId="17">DataPrixBillets!$A$1:$H$135</definedName>
    <definedName name="DataCoutRevenuAux_9" localSheetId="15">DataCoutRevenuAux!$A$1:$H$77</definedName>
    <definedName name="DataCoutRevenuAux_9" localSheetId="18">DataDemande!$A$1:$H$134</definedName>
    <definedName name="DataCoutRevenuAux_9" localSheetId="17">DataPrixBillets!$A$1:$H$135</definedName>
    <definedName name="demande" localSheetId="18">DataDemande!$A$1:$H$129</definedName>
    <definedName name="DemandeLignes" localSheetId="18">DataDemande!$A$1:$H$129</definedName>
    <definedName name="line?date_2014_07_04" localSheetId="15">DataCoutRevenuAux!$A$1:$H$96</definedName>
    <definedName name="line?date_2014_07_22" localSheetId="15">DataCoutRevenuAux!$A$1:$H$119</definedName>
    <definedName name="line?date_2015_01_22" localSheetId="15">DataCoutRevenuAux!$A$1:$H$133</definedName>
    <definedName name="line?date_2015_02_09" localSheetId="15">DataCoutRevenuAux!$A$1:$H$137</definedName>
    <definedName name="line?date_2015_02_16" localSheetId="15">DataCoutRevenuAux!$A$1:$H$146</definedName>
    <definedName name="line?date_2015_03_04" localSheetId="15">DataCoutRevenuAux!$A$1:$H$142</definedName>
    <definedName name="line?date_2015_09_05" localSheetId="15">DataCoutRevenuAux!$A$1:$H$74</definedName>
    <definedName name="line?date_2015_10_26_page_2" localSheetId="15">DataCoutRevenuAux!$A$400:$H$526</definedName>
    <definedName name="line?date_2015_10_26_page_2" localSheetId="16">DataHubs!$A$400:$H$486</definedName>
    <definedName name="lineList" localSheetId="17">DataPrixBillets!$B$1:$J$174</definedName>
    <definedName name="lineList_1" localSheetId="17">DataPrixBillets!$B$1:$H$285</definedName>
    <definedName name="lineList_2" localSheetId="17">DataPrixBillets!$A$1:$A$295</definedName>
    <definedName name="lineList_3" localSheetId="17">DataPrixBillets!$A$1:$H$303</definedName>
    <definedName name="lineList_4" localSheetId="17">DataPrixBillets!$A$1:$H$314</definedName>
    <definedName name="lineList_5" localSheetId="17">DataPrixBillets!$A$1:$H$318</definedName>
    <definedName name="lineList_6" localSheetId="17">DataPrixBillets!$A$1:$H$129</definedName>
    <definedName name="ListeApp">AvionsLoc!$E$4:$E$17</definedName>
    <definedName name="network" localSheetId="16">DataHubs!$A$1:$H$158</definedName>
    <definedName name="Nom">AvionsLoc!$E$3:$E$17</definedName>
    <definedName name="Nom_Avion" localSheetId="7">AvionsLoc!#REF!</definedName>
    <definedName name="Nom_Avion">Avions!$E$4:$E$89</definedName>
    <definedName name="pricing" localSheetId="18">DataDemande!$A$1:$H$212</definedName>
    <definedName name="pricing_1" localSheetId="18">DataDemande!$A$1:$H$209</definedName>
    <definedName name="pricing_2" localSheetId="18">DataDemande!$A$1:$H$217</definedName>
    <definedName name="pricing_3" localSheetId="18">DataDemande!$A$1:$H$228</definedName>
    <definedName name="pricing_4" localSheetId="18">DataDemande!$A$1:$H$120</definedName>
    <definedName name="PrixBillets" localSheetId="17">DataPrixBillets!$B$1:$H$174</definedName>
    <definedName name="RevenusAux_Cout" localSheetId="15">DataCoutRevenuAux!$A$1:$H$96</definedName>
    <definedName name="Segment_HUB_D">#N/A</definedName>
  </definedNames>
  <calcPr calcId="191029" calcMode="manual"/>
  <pivotCaches>
    <pivotCache cacheId="13" r:id="rId28"/>
    <pivotCache cacheId="15" r:id="rId29"/>
    <pivotCache cacheId="16" r:id="rId30"/>
    <pivotCache cacheId="17" r:id="rId31"/>
    <pivotCache cacheId="18" r:id="rId32"/>
  </pivotCaches>
  <extLst>
    <ext xmlns:x14="http://schemas.microsoft.com/office/spreadsheetml/2009/9/main" uri="{BBE1A952-AA13-448e-AADC-164F8A28A991}">
      <x14:slicerCaches>
        <x14:slicerCache r:id="rId33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61" i="22" l="1"/>
  <c r="AE61" i="22"/>
  <c r="AF61" i="22"/>
  <c r="AG61" i="22"/>
  <c r="AD62" i="22"/>
  <c r="AE62" i="22"/>
  <c r="AF62" i="22"/>
  <c r="AG62" i="22"/>
  <c r="AD63" i="22"/>
  <c r="AE63" i="22"/>
  <c r="AF63" i="22"/>
  <c r="AG63" i="22"/>
  <c r="AD64" i="22"/>
  <c r="AE64" i="22"/>
  <c r="AF64" i="22"/>
  <c r="AG64" i="22"/>
  <c r="AD65" i="22"/>
  <c r="AE65" i="22"/>
  <c r="AF65" i="22"/>
  <c r="AG65" i="22"/>
  <c r="AD66" i="22"/>
  <c r="AE66" i="22"/>
  <c r="AF66" i="22"/>
  <c r="AG66" i="22"/>
  <c r="AD67" i="22"/>
  <c r="AE67" i="22"/>
  <c r="AF67" i="22"/>
  <c r="AG67" i="22"/>
  <c r="AD68" i="22"/>
  <c r="AE68" i="22"/>
  <c r="AF68" i="22"/>
  <c r="AG68" i="22"/>
  <c r="AD69" i="22"/>
  <c r="AE69" i="22"/>
  <c r="AF69" i="22"/>
  <c r="AG69" i="22"/>
  <c r="AD70" i="22"/>
  <c r="AE70" i="22"/>
  <c r="AF70" i="22"/>
  <c r="AG70" i="22"/>
  <c r="AD71" i="22"/>
  <c r="AE71" i="22"/>
  <c r="AF71" i="22"/>
  <c r="AG71" i="22"/>
  <c r="AD72" i="22"/>
  <c r="AE72" i="22"/>
  <c r="AF72" i="22"/>
  <c r="AG72" i="22"/>
  <c r="AD73" i="22"/>
  <c r="AE73" i="22"/>
  <c r="AF73" i="22"/>
  <c r="AG73" i="22"/>
  <c r="B386" i="9" l="1"/>
  <c r="C386" i="9"/>
  <c r="AX9" i="33" l="1"/>
  <c r="AB103" i="25" l="1"/>
  <c r="F253" i="33"/>
  <c r="F254" i="33"/>
  <c r="F255" i="33"/>
  <c r="F256" i="33"/>
  <c r="F257" i="33"/>
  <c r="F258" i="33"/>
  <c r="F259" i="33"/>
  <c r="F260" i="33"/>
  <c r="F261" i="33"/>
  <c r="F262" i="33"/>
  <c r="F263" i="33"/>
  <c r="F264" i="33"/>
  <c r="F265" i="33"/>
  <c r="F266" i="33"/>
  <c r="F267" i="33"/>
  <c r="F268" i="33"/>
  <c r="F269" i="33"/>
  <c r="F270" i="33"/>
  <c r="F271" i="33"/>
  <c r="D251" i="33"/>
  <c r="D252" i="33"/>
  <c r="D253" i="33"/>
  <c r="D254" i="33"/>
  <c r="D255" i="33"/>
  <c r="D256" i="33"/>
  <c r="D257" i="33"/>
  <c r="D258" i="33"/>
  <c r="D259" i="33"/>
  <c r="D260" i="33"/>
  <c r="D261" i="33"/>
  <c r="D262" i="33"/>
  <c r="D263" i="33"/>
  <c r="D264" i="33"/>
  <c r="D265" i="33"/>
  <c r="D266" i="33"/>
  <c r="D267" i="33"/>
  <c r="D268" i="33"/>
  <c r="D269" i="33"/>
  <c r="D270" i="33"/>
  <c r="D271" i="33"/>
  <c r="D272" i="33"/>
  <c r="D273" i="33"/>
  <c r="D274" i="33"/>
  <c r="D287" i="33"/>
  <c r="D288" i="33"/>
  <c r="D289" i="33"/>
  <c r="D290" i="33"/>
  <c r="D291" i="33"/>
  <c r="D292" i="33"/>
  <c r="D293" i="33"/>
  <c r="D294" i="33"/>
  <c r="D295" i="33"/>
  <c r="D296" i="33"/>
  <c r="D297" i="33"/>
  <c r="D298" i="33"/>
  <c r="D299" i="33"/>
  <c r="D300" i="33"/>
  <c r="D301" i="33"/>
  <c r="D302" i="33"/>
  <c r="D303" i="33"/>
  <c r="D304" i="33"/>
  <c r="D305" i="33"/>
  <c r="D306" i="33"/>
  <c r="D307" i="33"/>
  <c r="D308" i="33"/>
  <c r="D309" i="33"/>
  <c r="D310" i="33"/>
  <c r="D311" i="33"/>
  <c r="D312" i="33"/>
  <c r="D313" i="33"/>
  <c r="D314" i="33"/>
  <c r="D315" i="33"/>
  <c r="D316" i="33"/>
  <c r="D317" i="33"/>
  <c r="D318" i="33"/>
  <c r="D319" i="33"/>
  <c r="D320" i="33"/>
  <c r="D321" i="33"/>
  <c r="D322" i="33"/>
  <c r="D323" i="33"/>
  <c r="D324" i="33"/>
  <c r="D325" i="33"/>
  <c r="D326" i="33"/>
  <c r="D327" i="33"/>
  <c r="D328" i="33"/>
  <c r="D329" i="33"/>
  <c r="D330" i="33"/>
  <c r="D331" i="33"/>
  <c r="D332" i="33"/>
  <c r="D333" i="33"/>
  <c r="D334" i="33"/>
  <c r="D335" i="33"/>
  <c r="D336" i="33"/>
  <c r="D337" i="33"/>
  <c r="D338" i="33"/>
  <c r="D339" i="33"/>
  <c r="D340" i="33"/>
  <c r="D341" i="33"/>
  <c r="D342" i="33"/>
  <c r="D343" i="33"/>
  <c r="D344" i="33"/>
  <c r="D345" i="33"/>
  <c r="D346" i="33"/>
  <c r="D347" i="33"/>
  <c r="D348" i="33"/>
  <c r="D349" i="33"/>
  <c r="D350" i="33"/>
  <c r="D351" i="33"/>
  <c r="D352" i="33"/>
  <c r="D353" i="33"/>
  <c r="D354" i="33"/>
  <c r="D355" i="33"/>
  <c r="D356" i="33"/>
  <c r="D357" i="33"/>
  <c r="D358" i="33"/>
  <c r="D359" i="33"/>
  <c r="D360" i="33"/>
  <c r="D361" i="33"/>
  <c r="D362" i="33"/>
  <c r="D363" i="33"/>
  <c r="D364" i="33"/>
  <c r="D365" i="33"/>
  <c r="D366" i="33"/>
  <c r="D367" i="33"/>
  <c r="D368" i="33"/>
  <c r="D369" i="33"/>
  <c r="D370" i="33"/>
  <c r="D371" i="33"/>
  <c r="B160" i="8" l="1"/>
  <c r="B128" i="8"/>
  <c r="B97" i="8"/>
  <c r="B191" i="2"/>
  <c r="B160" i="2"/>
  <c r="B128" i="2"/>
  <c r="B97" i="2"/>
  <c r="B97" i="1"/>
  <c r="AD75" i="22" l="1"/>
  <c r="AE75" i="22"/>
  <c r="AF75" i="22"/>
  <c r="AG75" i="22"/>
  <c r="AD76" i="22"/>
  <c r="AE76" i="22"/>
  <c r="AF76" i="22"/>
  <c r="AG76" i="22"/>
  <c r="AD77" i="22"/>
  <c r="AE77" i="22"/>
  <c r="AF77" i="22"/>
  <c r="AG77" i="22"/>
  <c r="AD78" i="22"/>
  <c r="AE78" i="22"/>
  <c r="AF78" i="22"/>
  <c r="AG78" i="22"/>
  <c r="AD79" i="22"/>
  <c r="AE79" i="22"/>
  <c r="AF79" i="22"/>
  <c r="AG79" i="22"/>
  <c r="AD80" i="22"/>
  <c r="AE80" i="22"/>
  <c r="AF80" i="22"/>
  <c r="AG80" i="22"/>
  <c r="AD81" i="22"/>
  <c r="AE81" i="22"/>
  <c r="AF81" i="22"/>
  <c r="AG81" i="22"/>
  <c r="AD82" i="22"/>
  <c r="AE82" i="22"/>
  <c r="AF82" i="22"/>
  <c r="AG82" i="22"/>
  <c r="AD83" i="22"/>
  <c r="AE83" i="22"/>
  <c r="AF83" i="22"/>
  <c r="AG83" i="22"/>
  <c r="AD84" i="22"/>
  <c r="AE84" i="22"/>
  <c r="AF84" i="22"/>
  <c r="AG84" i="22"/>
  <c r="AD85" i="22"/>
  <c r="AE85" i="22"/>
  <c r="AF85" i="22"/>
  <c r="AG85" i="22"/>
  <c r="AD86" i="22"/>
  <c r="AE86" i="22"/>
  <c r="AF86" i="22"/>
  <c r="AG86" i="22"/>
  <c r="AD87" i="22"/>
  <c r="AE87" i="22"/>
  <c r="AF87" i="22"/>
  <c r="AG87" i="22"/>
  <c r="AD88" i="22"/>
  <c r="AE88" i="22"/>
  <c r="AF88" i="22"/>
  <c r="AG88" i="22"/>
  <c r="AD89" i="22"/>
  <c r="AE89" i="22"/>
  <c r="AF89" i="22"/>
  <c r="AG89" i="22"/>
  <c r="AD90" i="22"/>
  <c r="AE90" i="22"/>
  <c r="AF90" i="22"/>
  <c r="AG90" i="22"/>
  <c r="AD91" i="22"/>
  <c r="AE91" i="22"/>
  <c r="AF91" i="22"/>
  <c r="AG91" i="22"/>
  <c r="AD92" i="22"/>
  <c r="AE92" i="22"/>
  <c r="AF92" i="22"/>
  <c r="AG92" i="22"/>
  <c r="AD93" i="22"/>
  <c r="AE93" i="22"/>
  <c r="AF93" i="22"/>
  <c r="AG93" i="22"/>
  <c r="AD94" i="22"/>
  <c r="AE94" i="22"/>
  <c r="AF94" i="22"/>
  <c r="AG94" i="22"/>
  <c r="AD95" i="22"/>
  <c r="AE95" i="22"/>
  <c r="AF95" i="22"/>
  <c r="AG95" i="22"/>
  <c r="AD96" i="22"/>
  <c r="AE96" i="22"/>
  <c r="AF96" i="22"/>
  <c r="AG96" i="22"/>
  <c r="AD97" i="22"/>
  <c r="AE97" i="22"/>
  <c r="AF97" i="22"/>
  <c r="AG97" i="22"/>
  <c r="AD98" i="22"/>
  <c r="AE98" i="22"/>
  <c r="AF98" i="22"/>
  <c r="AG98" i="22"/>
  <c r="AD99" i="22"/>
  <c r="AE99" i="22"/>
  <c r="AF99" i="22"/>
  <c r="AG99" i="22"/>
  <c r="AD100" i="22"/>
  <c r="AE100" i="22"/>
  <c r="AF100" i="22"/>
  <c r="AG100" i="22"/>
  <c r="AD101" i="22"/>
  <c r="AE101" i="22"/>
  <c r="AF101" i="22"/>
  <c r="AG101" i="22"/>
  <c r="AD102" i="22"/>
  <c r="AE102" i="22"/>
  <c r="AF102" i="22"/>
  <c r="AG102" i="22"/>
  <c r="AD103" i="22"/>
  <c r="AE103" i="22"/>
  <c r="AF103" i="22"/>
  <c r="AG103" i="22"/>
  <c r="AD104" i="22"/>
  <c r="AE104" i="22"/>
  <c r="AF104" i="22"/>
  <c r="AG104" i="22"/>
  <c r="AD105" i="22"/>
  <c r="AE105" i="22"/>
  <c r="AF105" i="22"/>
  <c r="AG105" i="22"/>
  <c r="AD106" i="22"/>
  <c r="AE106" i="22"/>
  <c r="AF106" i="22"/>
  <c r="AG106" i="22"/>
  <c r="AD107" i="22"/>
  <c r="AE107" i="22"/>
  <c r="AF107" i="22"/>
  <c r="AG107" i="22"/>
  <c r="AD108" i="22"/>
  <c r="AE108" i="22"/>
  <c r="AF108" i="22"/>
  <c r="AG108" i="22"/>
  <c r="AD109" i="22"/>
  <c r="AE109" i="22"/>
  <c r="AF109" i="22"/>
  <c r="AG109" i="22"/>
  <c r="AD110" i="22"/>
  <c r="AE110" i="22"/>
  <c r="AF110" i="22"/>
  <c r="AG110" i="22"/>
  <c r="AD111" i="22"/>
  <c r="AE111" i="22"/>
  <c r="AF111" i="22"/>
  <c r="AG111" i="22"/>
  <c r="AD112" i="22"/>
  <c r="AE112" i="22"/>
  <c r="AF112" i="22"/>
  <c r="AG112" i="22"/>
  <c r="AD113" i="22"/>
  <c r="AE113" i="22"/>
  <c r="AF113" i="22"/>
  <c r="AG113" i="22"/>
  <c r="AD114" i="22"/>
  <c r="AE114" i="22"/>
  <c r="AF114" i="22"/>
  <c r="AG114" i="22"/>
  <c r="AD115" i="22"/>
  <c r="AE115" i="22"/>
  <c r="AF115" i="22"/>
  <c r="AG115" i="22"/>
  <c r="AD116" i="22"/>
  <c r="AE116" i="22"/>
  <c r="AF116" i="22"/>
  <c r="AG116" i="22"/>
  <c r="AD117" i="22"/>
  <c r="AE117" i="22"/>
  <c r="AF117" i="22"/>
  <c r="AG117" i="22"/>
  <c r="AD118" i="22"/>
  <c r="AE118" i="22"/>
  <c r="AF118" i="22"/>
  <c r="AG118" i="22"/>
  <c r="AD119" i="22"/>
  <c r="AE119" i="22"/>
  <c r="AF119" i="22"/>
  <c r="AG119" i="22"/>
  <c r="AD120" i="22"/>
  <c r="AE120" i="22"/>
  <c r="AF120" i="22"/>
  <c r="AG120" i="22"/>
  <c r="AD121" i="22"/>
  <c r="AE121" i="22"/>
  <c r="AF121" i="22"/>
  <c r="AG121" i="22"/>
  <c r="AD122" i="22"/>
  <c r="AE122" i="22"/>
  <c r="AF122" i="22"/>
  <c r="AG122" i="22"/>
  <c r="AD123" i="22"/>
  <c r="AE123" i="22"/>
  <c r="AF123" i="22"/>
  <c r="AG123" i="22"/>
  <c r="AD124" i="22"/>
  <c r="AE124" i="22"/>
  <c r="AF124" i="22"/>
  <c r="AG124" i="22"/>
  <c r="AD125" i="22"/>
  <c r="AE125" i="22"/>
  <c r="AF125" i="22"/>
  <c r="AG125" i="22"/>
  <c r="AD126" i="22"/>
  <c r="AE126" i="22"/>
  <c r="AF126" i="22"/>
  <c r="AG126" i="22"/>
  <c r="AD127" i="22"/>
  <c r="AE127" i="22"/>
  <c r="AF127" i="22"/>
  <c r="AG127" i="22"/>
  <c r="AD128" i="22"/>
  <c r="AE128" i="22"/>
  <c r="AF128" i="22"/>
  <c r="AG128" i="22"/>
  <c r="AD129" i="22"/>
  <c r="AE129" i="22"/>
  <c r="AF129" i="22"/>
  <c r="AG129" i="22"/>
  <c r="AD130" i="22"/>
  <c r="AE130" i="22"/>
  <c r="AF130" i="22"/>
  <c r="AG130" i="22"/>
  <c r="AD131" i="22"/>
  <c r="AE131" i="22"/>
  <c r="AF131" i="22"/>
  <c r="AG131" i="22"/>
  <c r="AD132" i="22"/>
  <c r="AE132" i="22"/>
  <c r="AF132" i="22"/>
  <c r="AG132" i="22"/>
  <c r="AD133" i="22"/>
  <c r="AE133" i="22"/>
  <c r="AF133" i="22"/>
  <c r="AG133" i="22"/>
  <c r="AD134" i="22"/>
  <c r="AE134" i="22"/>
  <c r="AF134" i="22"/>
  <c r="AG134" i="22"/>
  <c r="AD135" i="22"/>
  <c r="AE135" i="22"/>
  <c r="AF135" i="22"/>
  <c r="AG135" i="22"/>
  <c r="AD136" i="22"/>
  <c r="AE136" i="22"/>
  <c r="AF136" i="22"/>
  <c r="AG136" i="22"/>
  <c r="AD137" i="22"/>
  <c r="AE137" i="22"/>
  <c r="AF137" i="22"/>
  <c r="AG137" i="22"/>
  <c r="AD138" i="22"/>
  <c r="AE138" i="22"/>
  <c r="AF138" i="22"/>
  <c r="AG138" i="22"/>
  <c r="AD139" i="22"/>
  <c r="AE139" i="22"/>
  <c r="AF139" i="22"/>
  <c r="AG139" i="22"/>
  <c r="AD140" i="22"/>
  <c r="AE140" i="22"/>
  <c r="AF140" i="22"/>
  <c r="AG140" i="22"/>
  <c r="AD141" i="22"/>
  <c r="AE141" i="22"/>
  <c r="AF141" i="22"/>
  <c r="AG141" i="22"/>
  <c r="AD142" i="22"/>
  <c r="AE142" i="22"/>
  <c r="AF142" i="22"/>
  <c r="AG142" i="22"/>
  <c r="AD143" i="22"/>
  <c r="AE143" i="22"/>
  <c r="AF143" i="22"/>
  <c r="AG143" i="22"/>
  <c r="AD144" i="22"/>
  <c r="AE144" i="22"/>
  <c r="AF144" i="22"/>
  <c r="AG144" i="22"/>
  <c r="AD145" i="22"/>
  <c r="AE145" i="22"/>
  <c r="AF145" i="22"/>
  <c r="AG145" i="22"/>
  <c r="AD146" i="22"/>
  <c r="AE146" i="22"/>
  <c r="AF146" i="22"/>
  <c r="AG146" i="22"/>
  <c r="AD147" i="22"/>
  <c r="AE147" i="22"/>
  <c r="AF147" i="22"/>
  <c r="AG147" i="22"/>
  <c r="AD148" i="22"/>
  <c r="AE148" i="22"/>
  <c r="AF148" i="22"/>
  <c r="AG148" i="22"/>
  <c r="AD149" i="22"/>
  <c r="AE149" i="22"/>
  <c r="AF149" i="22"/>
  <c r="AG149" i="22"/>
  <c r="AD150" i="22"/>
  <c r="AE150" i="22"/>
  <c r="AF150" i="22"/>
  <c r="AG150" i="22"/>
  <c r="AD151" i="22"/>
  <c r="AE151" i="22"/>
  <c r="AF151" i="22"/>
  <c r="AG151" i="22"/>
  <c r="AD152" i="22"/>
  <c r="AE152" i="22"/>
  <c r="AF152" i="22"/>
  <c r="AG152" i="22"/>
  <c r="AD153" i="22"/>
  <c r="AE153" i="22"/>
  <c r="AF153" i="22"/>
  <c r="AG153" i="22"/>
  <c r="AD154" i="22"/>
  <c r="AE154" i="22"/>
  <c r="AF154" i="22"/>
  <c r="AG154" i="22"/>
  <c r="AD155" i="22"/>
  <c r="AE155" i="22"/>
  <c r="AF155" i="22"/>
  <c r="AG155" i="22"/>
  <c r="AD156" i="22"/>
  <c r="AE156" i="22"/>
  <c r="AF156" i="22"/>
  <c r="AG156" i="22"/>
  <c r="AD157" i="22"/>
  <c r="AE157" i="22"/>
  <c r="AF157" i="22"/>
  <c r="AG157" i="22"/>
  <c r="AD158" i="22"/>
  <c r="AE158" i="22"/>
  <c r="AF158" i="22"/>
  <c r="AG158" i="22"/>
  <c r="AD159" i="22"/>
  <c r="AE159" i="22"/>
  <c r="AF159" i="22"/>
  <c r="AG159" i="22"/>
  <c r="AD160" i="22"/>
  <c r="AE160" i="22"/>
  <c r="AF160" i="22"/>
  <c r="AG160" i="22"/>
  <c r="AD161" i="22"/>
  <c r="AE161" i="22"/>
  <c r="AF161" i="22"/>
  <c r="AG161" i="22"/>
  <c r="AD162" i="22"/>
  <c r="AE162" i="22"/>
  <c r="AF162" i="22"/>
  <c r="AG162" i="22"/>
  <c r="AD163" i="22"/>
  <c r="AE163" i="22"/>
  <c r="AF163" i="22"/>
  <c r="AG163" i="22"/>
  <c r="AD164" i="22"/>
  <c r="AE164" i="22"/>
  <c r="AF164" i="22"/>
  <c r="AG164" i="22"/>
  <c r="AD165" i="22"/>
  <c r="AE165" i="22"/>
  <c r="AF165" i="22"/>
  <c r="AG165" i="22"/>
  <c r="AD166" i="22"/>
  <c r="AE166" i="22"/>
  <c r="AF166" i="22"/>
  <c r="AG166" i="22"/>
  <c r="AD167" i="22"/>
  <c r="AE167" i="22"/>
  <c r="AF167" i="22"/>
  <c r="AG167" i="22"/>
  <c r="AD168" i="22"/>
  <c r="AE168" i="22"/>
  <c r="AF168" i="22"/>
  <c r="AG168" i="22"/>
  <c r="AD169" i="22"/>
  <c r="AE169" i="22"/>
  <c r="AF169" i="22"/>
  <c r="AG169" i="22"/>
  <c r="AD170" i="22"/>
  <c r="AE170" i="22"/>
  <c r="AF170" i="22"/>
  <c r="AG170" i="22"/>
  <c r="AD171" i="22"/>
  <c r="AE171" i="22"/>
  <c r="AF171" i="22"/>
  <c r="AG171" i="22"/>
  <c r="AD172" i="22"/>
  <c r="AE172" i="22"/>
  <c r="AF172" i="22"/>
  <c r="AG172" i="22"/>
  <c r="AD173" i="22"/>
  <c r="AE173" i="22"/>
  <c r="AF173" i="22"/>
  <c r="AG173" i="22"/>
  <c r="AD174" i="22"/>
  <c r="AE174" i="22"/>
  <c r="AF174" i="22"/>
  <c r="AG174" i="22"/>
  <c r="AD175" i="22"/>
  <c r="AE175" i="22"/>
  <c r="AF175" i="22"/>
  <c r="AG175" i="22"/>
  <c r="AD176" i="22"/>
  <c r="AE176" i="22"/>
  <c r="AF176" i="22"/>
  <c r="AG176" i="22"/>
  <c r="AD177" i="22"/>
  <c r="AE177" i="22"/>
  <c r="AF177" i="22"/>
  <c r="AG177" i="22"/>
  <c r="AD178" i="22"/>
  <c r="AE178" i="22"/>
  <c r="AF178" i="22"/>
  <c r="AG178" i="22"/>
  <c r="AD179" i="22"/>
  <c r="AE179" i="22"/>
  <c r="AF179" i="22"/>
  <c r="AG179" i="22"/>
  <c r="AD180" i="22"/>
  <c r="AE180" i="22"/>
  <c r="AF180" i="22"/>
  <c r="AG180" i="22"/>
  <c r="AD181" i="22"/>
  <c r="AE181" i="22"/>
  <c r="AF181" i="22"/>
  <c r="AG181" i="22"/>
  <c r="AD182" i="22"/>
  <c r="AE182" i="22"/>
  <c r="AF182" i="22"/>
  <c r="AG182" i="22"/>
  <c r="AD183" i="22"/>
  <c r="AE183" i="22"/>
  <c r="AF183" i="22"/>
  <c r="AG183" i="22"/>
  <c r="AD184" i="22"/>
  <c r="AE184" i="22"/>
  <c r="AF184" i="22"/>
  <c r="AG184" i="22"/>
  <c r="AD185" i="22"/>
  <c r="AE185" i="22"/>
  <c r="AF185" i="22"/>
  <c r="AG185" i="22"/>
  <c r="AD186" i="22"/>
  <c r="AE186" i="22"/>
  <c r="AF186" i="22"/>
  <c r="AG186" i="22"/>
  <c r="AD187" i="22"/>
  <c r="AE187" i="22"/>
  <c r="AF187" i="22"/>
  <c r="AG187" i="22"/>
  <c r="AD188" i="22"/>
  <c r="AE188" i="22"/>
  <c r="AF188" i="22"/>
  <c r="AG188" i="22"/>
  <c r="AD189" i="22"/>
  <c r="AE189" i="22"/>
  <c r="AF189" i="22"/>
  <c r="AG189" i="22"/>
  <c r="AD190" i="22"/>
  <c r="AE190" i="22"/>
  <c r="AF190" i="22"/>
  <c r="AG190" i="22"/>
  <c r="AD191" i="22"/>
  <c r="AE191" i="22"/>
  <c r="AF191" i="22"/>
  <c r="AG191" i="22"/>
  <c r="AD192" i="22"/>
  <c r="AE192" i="22"/>
  <c r="AF192" i="22"/>
  <c r="AG192" i="22"/>
  <c r="AD193" i="22"/>
  <c r="AE193" i="22"/>
  <c r="AF193" i="22"/>
  <c r="AG193" i="22"/>
  <c r="AD194" i="22"/>
  <c r="AE194" i="22"/>
  <c r="AF194" i="22"/>
  <c r="AG194" i="22"/>
  <c r="AD195" i="22"/>
  <c r="AE195" i="22"/>
  <c r="AF195" i="22"/>
  <c r="AG195" i="22"/>
  <c r="AD196" i="22"/>
  <c r="AE196" i="22"/>
  <c r="AF196" i="22"/>
  <c r="AG196" i="22"/>
  <c r="AD197" i="22"/>
  <c r="AE197" i="22"/>
  <c r="AF197" i="22"/>
  <c r="AG197" i="22"/>
  <c r="AD198" i="22"/>
  <c r="AE198" i="22"/>
  <c r="AF198" i="22"/>
  <c r="AG198" i="22"/>
  <c r="AD199" i="22"/>
  <c r="AE199" i="22"/>
  <c r="AF199" i="22"/>
  <c r="AG199" i="22"/>
  <c r="AD200" i="22"/>
  <c r="AE200" i="22"/>
  <c r="AF200" i="22"/>
  <c r="AG200" i="22"/>
  <c r="AD201" i="22"/>
  <c r="AE201" i="22"/>
  <c r="AF201" i="22"/>
  <c r="AG201" i="22"/>
  <c r="AD202" i="22"/>
  <c r="AE202" i="22"/>
  <c r="AF202" i="22"/>
  <c r="AG202" i="22"/>
  <c r="AD203" i="22"/>
  <c r="AE203" i="22"/>
  <c r="AF203" i="22"/>
  <c r="AG203" i="22"/>
  <c r="AD204" i="22"/>
  <c r="AE204" i="22"/>
  <c r="AF204" i="22"/>
  <c r="AG204" i="22"/>
  <c r="AD205" i="22"/>
  <c r="AE205" i="22"/>
  <c r="AF205" i="22"/>
  <c r="AG205" i="22"/>
  <c r="AD206" i="22"/>
  <c r="AE206" i="22"/>
  <c r="AF206" i="22"/>
  <c r="AG206" i="22"/>
  <c r="AD207" i="22"/>
  <c r="AE207" i="22"/>
  <c r="AF207" i="22"/>
  <c r="AG207" i="22"/>
  <c r="AD208" i="22"/>
  <c r="AE208" i="22"/>
  <c r="AF208" i="22"/>
  <c r="AG208" i="22"/>
  <c r="AD209" i="22"/>
  <c r="AE209" i="22"/>
  <c r="AF209" i="22"/>
  <c r="AG209" i="22"/>
  <c r="AD210" i="22"/>
  <c r="AE210" i="22"/>
  <c r="AF210" i="22"/>
  <c r="AG210" i="22"/>
  <c r="AD211" i="22"/>
  <c r="AE211" i="22"/>
  <c r="AF211" i="22"/>
  <c r="AG211" i="22"/>
  <c r="AD212" i="22"/>
  <c r="AE212" i="22"/>
  <c r="AF212" i="22"/>
  <c r="AG212" i="22"/>
  <c r="AD213" i="22"/>
  <c r="AE213" i="22"/>
  <c r="AF213" i="22"/>
  <c r="AG213" i="22"/>
  <c r="AD214" i="22"/>
  <c r="AE214" i="22"/>
  <c r="AF214" i="22"/>
  <c r="AG214" i="22"/>
  <c r="AD215" i="22"/>
  <c r="AE215" i="22"/>
  <c r="AF215" i="22"/>
  <c r="AG215" i="22"/>
  <c r="AD216" i="22"/>
  <c r="AE216" i="22"/>
  <c r="AF216" i="22"/>
  <c r="AG216" i="22"/>
  <c r="AD217" i="22"/>
  <c r="AE217" i="22"/>
  <c r="AF217" i="22"/>
  <c r="AG217" i="22"/>
  <c r="AD218" i="22"/>
  <c r="AE218" i="22"/>
  <c r="AF218" i="22"/>
  <c r="AG218" i="22"/>
  <c r="AD219" i="22"/>
  <c r="AE219" i="22"/>
  <c r="AF219" i="22"/>
  <c r="AG219" i="22"/>
  <c r="AD220" i="22"/>
  <c r="AE220" i="22"/>
  <c r="AF220" i="22"/>
  <c r="AG220" i="22"/>
  <c r="AD221" i="22"/>
  <c r="AE221" i="22"/>
  <c r="AF221" i="22"/>
  <c r="AG221" i="22"/>
  <c r="AD222" i="22"/>
  <c r="AE222" i="22"/>
  <c r="AF222" i="22"/>
  <c r="AG222" i="22"/>
  <c r="AD223" i="22"/>
  <c r="AE223" i="22"/>
  <c r="AF223" i="22"/>
  <c r="AG223" i="22"/>
  <c r="AD224" i="22"/>
  <c r="AE224" i="22"/>
  <c r="AF224" i="22"/>
  <c r="AG224" i="22"/>
  <c r="AD225" i="22"/>
  <c r="AE225" i="22"/>
  <c r="AF225" i="22"/>
  <c r="AG225" i="22"/>
  <c r="AD226" i="22"/>
  <c r="AE226" i="22"/>
  <c r="AF226" i="22"/>
  <c r="AG226" i="22"/>
  <c r="AD227" i="22"/>
  <c r="AE227" i="22"/>
  <c r="AF227" i="22"/>
  <c r="AG227" i="22"/>
  <c r="AD228" i="22"/>
  <c r="AE228" i="22"/>
  <c r="AF228" i="22"/>
  <c r="AG228" i="22"/>
  <c r="AD229" i="22"/>
  <c r="AE229" i="22"/>
  <c r="AF229" i="22"/>
  <c r="AG229" i="22"/>
  <c r="AD230" i="22"/>
  <c r="AE230" i="22"/>
  <c r="AF230" i="22"/>
  <c r="AG230" i="22"/>
  <c r="AD231" i="22"/>
  <c r="AE231" i="22"/>
  <c r="AF231" i="22"/>
  <c r="AG231" i="22"/>
  <c r="AD232" i="22"/>
  <c r="AE232" i="22"/>
  <c r="AF232" i="22"/>
  <c r="AG232" i="22"/>
  <c r="AD233" i="22"/>
  <c r="AE233" i="22"/>
  <c r="AF233" i="22"/>
  <c r="AG233" i="22"/>
  <c r="AD234" i="22"/>
  <c r="AE234" i="22"/>
  <c r="AF234" i="22"/>
  <c r="AG234" i="22"/>
  <c r="AD235" i="22"/>
  <c r="AE235" i="22"/>
  <c r="AF235" i="22"/>
  <c r="AG235" i="22"/>
  <c r="AD236" i="22"/>
  <c r="AE236" i="22"/>
  <c r="AF236" i="22"/>
  <c r="AG236" i="22"/>
  <c r="AD237" i="22"/>
  <c r="AE237" i="22"/>
  <c r="AF237" i="22"/>
  <c r="AG237" i="22"/>
  <c r="AD238" i="22"/>
  <c r="AE238" i="22"/>
  <c r="AF238" i="22"/>
  <c r="AG238" i="22"/>
  <c r="AD239" i="22"/>
  <c r="AE239" i="22"/>
  <c r="AF239" i="22"/>
  <c r="AG239" i="22"/>
  <c r="AD240" i="22"/>
  <c r="AE240" i="22"/>
  <c r="AF240" i="22"/>
  <c r="AG240" i="22"/>
  <c r="AD241" i="22"/>
  <c r="AE241" i="22"/>
  <c r="AF241" i="22"/>
  <c r="AG241" i="22"/>
  <c r="AD242" i="22"/>
  <c r="AE242" i="22"/>
  <c r="AF242" i="22"/>
  <c r="AG242" i="22"/>
  <c r="AD243" i="22"/>
  <c r="AE243" i="22"/>
  <c r="AF243" i="22"/>
  <c r="AG243" i="22"/>
  <c r="AD244" i="22"/>
  <c r="AE244" i="22"/>
  <c r="AF244" i="22"/>
  <c r="AG244" i="22"/>
  <c r="AD245" i="22"/>
  <c r="AE245" i="22"/>
  <c r="AF245" i="22"/>
  <c r="AG245" i="22"/>
  <c r="AD246" i="22"/>
  <c r="AE246" i="22"/>
  <c r="AF246" i="22"/>
  <c r="AG246" i="22"/>
  <c r="AD247" i="22"/>
  <c r="AE247" i="22"/>
  <c r="AF247" i="22"/>
  <c r="AG247" i="22"/>
  <c r="AD248" i="22"/>
  <c r="AE248" i="22"/>
  <c r="AF248" i="22"/>
  <c r="AG248" i="22"/>
  <c r="AD249" i="22"/>
  <c r="AE249" i="22"/>
  <c r="AF249" i="22"/>
  <c r="AG249" i="22"/>
  <c r="AD250" i="22"/>
  <c r="AE250" i="22"/>
  <c r="AF250" i="22"/>
  <c r="AG250" i="22"/>
  <c r="AD251" i="22"/>
  <c r="AE251" i="22"/>
  <c r="AF251" i="22"/>
  <c r="AG251" i="22"/>
  <c r="AD252" i="22"/>
  <c r="AE252" i="22"/>
  <c r="AF252" i="22"/>
  <c r="AG252" i="22"/>
  <c r="AD253" i="22"/>
  <c r="AE253" i="22"/>
  <c r="AF253" i="22"/>
  <c r="AG253" i="22"/>
  <c r="AD254" i="22"/>
  <c r="AE254" i="22"/>
  <c r="AF254" i="22"/>
  <c r="AG254" i="22"/>
  <c r="AD255" i="22"/>
  <c r="AE255" i="22"/>
  <c r="AF255" i="22"/>
  <c r="AG255" i="22"/>
  <c r="AD256" i="22"/>
  <c r="AE256" i="22"/>
  <c r="AF256" i="22"/>
  <c r="AG256" i="22"/>
  <c r="AD257" i="22"/>
  <c r="AE257" i="22"/>
  <c r="AF257" i="22"/>
  <c r="AG257" i="22"/>
  <c r="AD258" i="22"/>
  <c r="AE258" i="22"/>
  <c r="AF258" i="22"/>
  <c r="AG258" i="22"/>
  <c r="AD259" i="22"/>
  <c r="AE259" i="22"/>
  <c r="AF259" i="22"/>
  <c r="AG259" i="22"/>
  <c r="AD260" i="22"/>
  <c r="AE260" i="22"/>
  <c r="AF260" i="22"/>
  <c r="AG260" i="22"/>
  <c r="AD261" i="22"/>
  <c r="AE261" i="22"/>
  <c r="AF261" i="22"/>
  <c r="AG261" i="22"/>
  <c r="AD262" i="22"/>
  <c r="AE262" i="22"/>
  <c r="AF262" i="22"/>
  <c r="AG262" i="22"/>
  <c r="AD263" i="22"/>
  <c r="AE263" i="22"/>
  <c r="AF263" i="22"/>
  <c r="AG263" i="22"/>
  <c r="AD264" i="22"/>
  <c r="AE264" i="22"/>
  <c r="AF264" i="22"/>
  <c r="AG264" i="22"/>
  <c r="AD265" i="22"/>
  <c r="AE265" i="22"/>
  <c r="AF265" i="22"/>
  <c r="AG265" i="22"/>
  <c r="AD266" i="22"/>
  <c r="AE266" i="22"/>
  <c r="AF266" i="22"/>
  <c r="AG266" i="22"/>
  <c r="AD267" i="22"/>
  <c r="AE267" i="22"/>
  <c r="AF267" i="22"/>
  <c r="AG267" i="22"/>
  <c r="AD268" i="22"/>
  <c r="AE268" i="22"/>
  <c r="AF268" i="22"/>
  <c r="AG268" i="22"/>
  <c r="AD269" i="22"/>
  <c r="AE269" i="22"/>
  <c r="AF269" i="22"/>
  <c r="AG269" i="22"/>
  <c r="AD270" i="22"/>
  <c r="AE270" i="22"/>
  <c r="AF270" i="22"/>
  <c r="AG270" i="22"/>
  <c r="AD271" i="22"/>
  <c r="AE271" i="22"/>
  <c r="AF271" i="22"/>
  <c r="AG271" i="22"/>
  <c r="AD272" i="22"/>
  <c r="AE272" i="22"/>
  <c r="AF272" i="22"/>
  <c r="AG272" i="22"/>
  <c r="AD273" i="22"/>
  <c r="AE273" i="22"/>
  <c r="AF273" i="22"/>
  <c r="AG273" i="22"/>
  <c r="AD274" i="22"/>
  <c r="AE274" i="22"/>
  <c r="AF274" i="22"/>
  <c r="AG274" i="22"/>
  <c r="AD275" i="22"/>
  <c r="AE275" i="22"/>
  <c r="AF275" i="22"/>
  <c r="AG275" i="22"/>
  <c r="AD276" i="22"/>
  <c r="AE276" i="22"/>
  <c r="AF276" i="22"/>
  <c r="AG276" i="22"/>
  <c r="AD277" i="22"/>
  <c r="AE277" i="22"/>
  <c r="AF277" i="22"/>
  <c r="AG277" i="22"/>
  <c r="AD278" i="22"/>
  <c r="AE278" i="22"/>
  <c r="AF278" i="22"/>
  <c r="AG278" i="22"/>
  <c r="AD279" i="22"/>
  <c r="AE279" i="22"/>
  <c r="AF279" i="22"/>
  <c r="AG279" i="22"/>
  <c r="AD280" i="22"/>
  <c r="AE280" i="22"/>
  <c r="AF280" i="22"/>
  <c r="AG280" i="22"/>
  <c r="AD281" i="22"/>
  <c r="AE281" i="22"/>
  <c r="AF281" i="22"/>
  <c r="AG281" i="22"/>
  <c r="AD282" i="22"/>
  <c r="AE282" i="22"/>
  <c r="AF282" i="22"/>
  <c r="AG282" i="22"/>
  <c r="AD283" i="22"/>
  <c r="AE283" i="22"/>
  <c r="AF283" i="22"/>
  <c r="AG283" i="22"/>
  <c r="AD284" i="22"/>
  <c r="AE284" i="22"/>
  <c r="AF284" i="22"/>
  <c r="AG284" i="22"/>
  <c r="AD285" i="22"/>
  <c r="AE285" i="22"/>
  <c r="AF285" i="22"/>
  <c r="AG285" i="22"/>
  <c r="AD286" i="22"/>
  <c r="AE286" i="22"/>
  <c r="AF286" i="22"/>
  <c r="AG286" i="22"/>
  <c r="AD287" i="22"/>
  <c r="AE287" i="22"/>
  <c r="AF287" i="22"/>
  <c r="AG287" i="22"/>
  <c r="AD288" i="22"/>
  <c r="AE288" i="22"/>
  <c r="AF288" i="22"/>
  <c r="AG288" i="22"/>
  <c r="AD289" i="22"/>
  <c r="AE289" i="22"/>
  <c r="AF289" i="22"/>
  <c r="AG289" i="22"/>
  <c r="AD290" i="22"/>
  <c r="AE290" i="22"/>
  <c r="AF290" i="22"/>
  <c r="AG290" i="22"/>
  <c r="AD291" i="22"/>
  <c r="AE291" i="22"/>
  <c r="AF291" i="22"/>
  <c r="AG291" i="22"/>
  <c r="AD292" i="22"/>
  <c r="AE292" i="22"/>
  <c r="AF292" i="22"/>
  <c r="AG292" i="22"/>
  <c r="AD293" i="22"/>
  <c r="AE293" i="22"/>
  <c r="AF293" i="22"/>
  <c r="AG293" i="22"/>
  <c r="AD294" i="22"/>
  <c r="AE294" i="22"/>
  <c r="AF294" i="22"/>
  <c r="AG294" i="22"/>
  <c r="AD295" i="22"/>
  <c r="AE295" i="22"/>
  <c r="AF295" i="22"/>
  <c r="AG295" i="22"/>
  <c r="AD296" i="22"/>
  <c r="AE296" i="22"/>
  <c r="AF296" i="22"/>
  <c r="AG296" i="22"/>
  <c r="AD297" i="22"/>
  <c r="AE297" i="22"/>
  <c r="AF297" i="22"/>
  <c r="AG297" i="22"/>
  <c r="AD298" i="22"/>
  <c r="AE298" i="22"/>
  <c r="AF298" i="22"/>
  <c r="AG298" i="22"/>
  <c r="AD299" i="22"/>
  <c r="AE299" i="22"/>
  <c r="AF299" i="22"/>
  <c r="AG299" i="22"/>
  <c r="AD300" i="22"/>
  <c r="AE300" i="22"/>
  <c r="AF300" i="22"/>
  <c r="AG300" i="22"/>
  <c r="AD301" i="22"/>
  <c r="AE301" i="22"/>
  <c r="AF301" i="22"/>
  <c r="AG301" i="22"/>
  <c r="AD302" i="22"/>
  <c r="AE302" i="22"/>
  <c r="AF302" i="22"/>
  <c r="AG302" i="22"/>
  <c r="AD303" i="22"/>
  <c r="AE303" i="22"/>
  <c r="AF303" i="22"/>
  <c r="AG303" i="22"/>
  <c r="AD304" i="22"/>
  <c r="AE304" i="22"/>
  <c r="AF304" i="22"/>
  <c r="AG304" i="22"/>
  <c r="AD305" i="22"/>
  <c r="AE305" i="22"/>
  <c r="AF305" i="22"/>
  <c r="AG305" i="22"/>
  <c r="AD306" i="22"/>
  <c r="AE306" i="22"/>
  <c r="AF306" i="22"/>
  <c r="AG306" i="22"/>
  <c r="AD307" i="22"/>
  <c r="AE307" i="22"/>
  <c r="AF307" i="22"/>
  <c r="AG307" i="22"/>
  <c r="AD308" i="22"/>
  <c r="AE308" i="22"/>
  <c r="AF308" i="22"/>
  <c r="AG308" i="22"/>
  <c r="AD309" i="22"/>
  <c r="AE309" i="22"/>
  <c r="AF309" i="22"/>
  <c r="AG309" i="22"/>
  <c r="AD310" i="22"/>
  <c r="AE310" i="22"/>
  <c r="AF310" i="22"/>
  <c r="AG310" i="22"/>
  <c r="AD311" i="22"/>
  <c r="AE311" i="22"/>
  <c r="AF311" i="22"/>
  <c r="AG311" i="22"/>
  <c r="AD312" i="22"/>
  <c r="AE312" i="22"/>
  <c r="AF312" i="22"/>
  <c r="AG312" i="22"/>
  <c r="AD313" i="22"/>
  <c r="AE313" i="22"/>
  <c r="AF313" i="22"/>
  <c r="AG313" i="22"/>
  <c r="AD314" i="22"/>
  <c r="AE314" i="22"/>
  <c r="AF314" i="22"/>
  <c r="AG314" i="22"/>
  <c r="AD315" i="22"/>
  <c r="AE315" i="22"/>
  <c r="AF315" i="22"/>
  <c r="AG315" i="22"/>
  <c r="AD316" i="22"/>
  <c r="AE316" i="22"/>
  <c r="AF316" i="22"/>
  <c r="AG316" i="22"/>
  <c r="AD317" i="22"/>
  <c r="AE317" i="22"/>
  <c r="AF317" i="22"/>
  <c r="AG317" i="22"/>
  <c r="AD318" i="22"/>
  <c r="AE318" i="22"/>
  <c r="AF318" i="22"/>
  <c r="AG318" i="22"/>
  <c r="AD319" i="22"/>
  <c r="AE319" i="22"/>
  <c r="AF319" i="22"/>
  <c r="AG319" i="22"/>
  <c r="AD320" i="22"/>
  <c r="AE320" i="22"/>
  <c r="AF320" i="22"/>
  <c r="AG320" i="22"/>
  <c r="AD321" i="22"/>
  <c r="AE321" i="22"/>
  <c r="AF321" i="22"/>
  <c r="AG321" i="22"/>
  <c r="AD322" i="22"/>
  <c r="AE322" i="22"/>
  <c r="AF322" i="22"/>
  <c r="AG322" i="22"/>
  <c r="AD323" i="22"/>
  <c r="AE323" i="22"/>
  <c r="AF323" i="22"/>
  <c r="AG323" i="22"/>
  <c r="AD324" i="22"/>
  <c r="AE324" i="22"/>
  <c r="AF324" i="22"/>
  <c r="AG324" i="22"/>
  <c r="AD325" i="22"/>
  <c r="AE325" i="22"/>
  <c r="AF325" i="22"/>
  <c r="AG325" i="22"/>
  <c r="AD326" i="22"/>
  <c r="AE326" i="22"/>
  <c r="AF326" i="22"/>
  <c r="AG326" i="22"/>
  <c r="AD327" i="22"/>
  <c r="AE327" i="22"/>
  <c r="AF327" i="22"/>
  <c r="AG327" i="22"/>
  <c r="AD328" i="22"/>
  <c r="AE328" i="22"/>
  <c r="AF328" i="22"/>
  <c r="AG328" i="22"/>
  <c r="AD329" i="22"/>
  <c r="AE329" i="22"/>
  <c r="AF329" i="22"/>
  <c r="AG329" i="22"/>
  <c r="AD330" i="22"/>
  <c r="AE330" i="22"/>
  <c r="AF330" i="22"/>
  <c r="AG330" i="22"/>
  <c r="AD331" i="22"/>
  <c r="AE331" i="22"/>
  <c r="AF331" i="22"/>
  <c r="AG331" i="22"/>
  <c r="AD332" i="22"/>
  <c r="AE332" i="22"/>
  <c r="AF332" i="22"/>
  <c r="AG332" i="22"/>
  <c r="AD333" i="22"/>
  <c r="AE333" i="22"/>
  <c r="AF333" i="22"/>
  <c r="AG333" i="22"/>
  <c r="AD334" i="22"/>
  <c r="AE334" i="22"/>
  <c r="AF334" i="22"/>
  <c r="AG334" i="22"/>
  <c r="AD335" i="22"/>
  <c r="AE335" i="22"/>
  <c r="AF335" i="22"/>
  <c r="AG335" i="22"/>
  <c r="AD336" i="22"/>
  <c r="AE336" i="22"/>
  <c r="AF336" i="22"/>
  <c r="AG336" i="22"/>
  <c r="AD337" i="22"/>
  <c r="AE337" i="22"/>
  <c r="AF337" i="22"/>
  <c r="AG337" i="22"/>
  <c r="AD338" i="22"/>
  <c r="AE338" i="22"/>
  <c r="AF338" i="22"/>
  <c r="AG338" i="22"/>
  <c r="AD339" i="22"/>
  <c r="AE339" i="22"/>
  <c r="AF339" i="22"/>
  <c r="AG339" i="22"/>
  <c r="AD340" i="22"/>
  <c r="AE340" i="22"/>
  <c r="AF340" i="22"/>
  <c r="AG340" i="22"/>
  <c r="AD341" i="22"/>
  <c r="AE341" i="22"/>
  <c r="AF341" i="22"/>
  <c r="AG341" i="22"/>
  <c r="AD342" i="22"/>
  <c r="AE342" i="22"/>
  <c r="AF342" i="22"/>
  <c r="AG342" i="22"/>
  <c r="AD343" i="22"/>
  <c r="AE343" i="22"/>
  <c r="AF343" i="22"/>
  <c r="AG343" i="22"/>
  <c r="AD344" i="22"/>
  <c r="AE344" i="22"/>
  <c r="AF344" i="22"/>
  <c r="AG344" i="22"/>
  <c r="AD345" i="22"/>
  <c r="AE345" i="22"/>
  <c r="AF345" i="22"/>
  <c r="AG345" i="22"/>
  <c r="AD346" i="22"/>
  <c r="AE346" i="22"/>
  <c r="AF346" i="22"/>
  <c r="AG346" i="22"/>
  <c r="AD347" i="22"/>
  <c r="AE347" i="22"/>
  <c r="AF347" i="22"/>
  <c r="AG347" i="22"/>
  <c r="AD348" i="22"/>
  <c r="AE348" i="22"/>
  <c r="AF348" i="22"/>
  <c r="AG348" i="22"/>
  <c r="AD349" i="22"/>
  <c r="AE349" i="22"/>
  <c r="AF349" i="22"/>
  <c r="AG349" i="22"/>
  <c r="AD350" i="22"/>
  <c r="AE350" i="22"/>
  <c r="AF350" i="22"/>
  <c r="AG350" i="22"/>
  <c r="AD351" i="22"/>
  <c r="AE351" i="22"/>
  <c r="AF351" i="22"/>
  <c r="AG351" i="22"/>
  <c r="AD352" i="22"/>
  <c r="AE352" i="22"/>
  <c r="AF352" i="22"/>
  <c r="AG352" i="22"/>
  <c r="AD353" i="22"/>
  <c r="AE353" i="22"/>
  <c r="AF353" i="22"/>
  <c r="AG353" i="22"/>
  <c r="AD354" i="22"/>
  <c r="AE354" i="22"/>
  <c r="AF354" i="22"/>
  <c r="AG354" i="22"/>
  <c r="AD355" i="22"/>
  <c r="AE355" i="22"/>
  <c r="AF355" i="22"/>
  <c r="AG355" i="22"/>
  <c r="AD356" i="22"/>
  <c r="AE356" i="22"/>
  <c r="AF356" i="22"/>
  <c r="AG356" i="22"/>
  <c r="AD357" i="22"/>
  <c r="AE357" i="22"/>
  <c r="AF357" i="22"/>
  <c r="AG357" i="22"/>
  <c r="AD358" i="22"/>
  <c r="AE358" i="22"/>
  <c r="AF358" i="22"/>
  <c r="AG358" i="22"/>
  <c r="AD359" i="22"/>
  <c r="AE359" i="22"/>
  <c r="AF359" i="22"/>
  <c r="AG359" i="22"/>
  <c r="AD360" i="22"/>
  <c r="AE360" i="22"/>
  <c r="AF360" i="22"/>
  <c r="AG360" i="22"/>
  <c r="AD361" i="22"/>
  <c r="AE361" i="22"/>
  <c r="AF361" i="22"/>
  <c r="AG361" i="22"/>
  <c r="AD362" i="22"/>
  <c r="AE362" i="22"/>
  <c r="AF362" i="22"/>
  <c r="AG362" i="22"/>
  <c r="AD363" i="22"/>
  <c r="AE363" i="22"/>
  <c r="AF363" i="22"/>
  <c r="AG363" i="22"/>
  <c r="AD364" i="22"/>
  <c r="AE364" i="22"/>
  <c r="AF364" i="22"/>
  <c r="AG364" i="22"/>
  <c r="AD365" i="22"/>
  <c r="AE365" i="22"/>
  <c r="AF365" i="22"/>
  <c r="AG365" i="22"/>
  <c r="AD366" i="22"/>
  <c r="AE366" i="22"/>
  <c r="AF366" i="22"/>
  <c r="AG366" i="22"/>
  <c r="AD367" i="22"/>
  <c r="AE367" i="22"/>
  <c r="AF367" i="22"/>
  <c r="AG367" i="22"/>
  <c r="AD368" i="22"/>
  <c r="AE368" i="22"/>
  <c r="AF368" i="22"/>
  <c r="AG368" i="22"/>
  <c r="AD369" i="22"/>
  <c r="AE369" i="22"/>
  <c r="AF369" i="22"/>
  <c r="AG369" i="22"/>
  <c r="AD370" i="22"/>
  <c r="AE370" i="22"/>
  <c r="AF370" i="22"/>
  <c r="AG370" i="22"/>
  <c r="AD371" i="22"/>
  <c r="AE371" i="22"/>
  <c r="AF371" i="22"/>
  <c r="AG371" i="22"/>
  <c r="AD372" i="22"/>
  <c r="AE372" i="22"/>
  <c r="AF372" i="22"/>
  <c r="AG372" i="22"/>
  <c r="AD373" i="22"/>
  <c r="AE373" i="22"/>
  <c r="AF373" i="22"/>
  <c r="AG373" i="22"/>
  <c r="AD374" i="22"/>
  <c r="AE374" i="22"/>
  <c r="AF374" i="22"/>
  <c r="AG374" i="22"/>
  <c r="AD375" i="22"/>
  <c r="AE375" i="22"/>
  <c r="AF375" i="22"/>
  <c r="AG375" i="22"/>
  <c r="AD376" i="22"/>
  <c r="AE376" i="22"/>
  <c r="AF376" i="22"/>
  <c r="AG376" i="22"/>
  <c r="AD377" i="22"/>
  <c r="AE377" i="22"/>
  <c r="AF377" i="22"/>
  <c r="AG377" i="22"/>
  <c r="AD378" i="22"/>
  <c r="AE378" i="22"/>
  <c r="AF378" i="22"/>
  <c r="AG378" i="22"/>
  <c r="AD379" i="22"/>
  <c r="AE379" i="22"/>
  <c r="AF379" i="22"/>
  <c r="AG379" i="22"/>
  <c r="AD380" i="22"/>
  <c r="AE380" i="22"/>
  <c r="AF380" i="22"/>
  <c r="AG380" i="22"/>
  <c r="AD381" i="22"/>
  <c r="AE381" i="22"/>
  <c r="AF381" i="22"/>
  <c r="AG381" i="22"/>
  <c r="AD382" i="22"/>
  <c r="AE382" i="22"/>
  <c r="AF382" i="22"/>
  <c r="AG382" i="22"/>
  <c r="AD383" i="22"/>
  <c r="AE383" i="22"/>
  <c r="AF383" i="22"/>
  <c r="AG383" i="22"/>
  <c r="AD384" i="22"/>
  <c r="AE384" i="22"/>
  <c r="AF384" i="22"/>
  <c r="AG384" i="22"/>
  <c r="AD385" i="22"/>
  <c r="AE385" i="22"/>
  <c r="AF385" i="22"/>
  <c r="AG385" i="22"/>
  <c r="AD386" i="22"/>
  <c r="AE386" i="22"/>
  <c r="AF386" i="22"/>
  <c r="AG386" i="22"/>
  <c r="AD387" i="22"/>
  <c r="AE387" i="22"/>
  <c r="AF387" i="22"/>
  <c r="AG387" i="22"/>
  <c r="AD388" i="22"/>
  <c r="AE388" i="22"/>
  <c r="AF388" i="22"/>
  <c r="AG388" i="22"/>
  <c r="AD389" i="22"/>
  <c r="AE389" i="22"/>
  <c r="AF389" i="22"/>
  <c r="AG389" i="22"/>
  <c r="AD390" i="22"/>
  <c r="AE390" i="22"/>
  <c r="AF390" i="22"/>
  <c r="AG390" i="22"/>
  <c r="AD391" i="22"/>
  <c r="AE391" i="22"/>
  <c r="AF391" i="22"/>
  <c r="AG391" i="22"/>
  <c r="AD392" i="22"/>
  <c r="AE392" i="22"/>
  <c r="AF392" i="22"/>
  <c r="AG392" i="22"/>
  <c r="AD393" i="22"/>
  <c r="AE393" i="22"/>
  <c r="AF393" i="22"/>
  <c r="AG393" i="22"/>
  <c r="AD394" i="22"/>
  <c r="AE394" i="22"/>
  <c r="AF394" i="22"/>
  <c r="AG394" i="22"/>
  <c r="AD395" i="22"/>
  <c r="AE395" i="22"/>
  <c r="AF395" i="22"/>
  <c r="AG395" i="22"/>
  <c r="AD396" i="22"/>
  <c r="AE396" i="22"/>
  <c r="AF396" i="22"/>
  <c r="AG396" i="22"/>
  <c r="AD397" i="22"/>
  <c r="AE397" i="22"/>
  <c r="AF397" i="22"/>
  <c r="AG397" i="22"/>
  <c r="AD398" i="22"/>
  <c r="AE398" i="22"/>
  <c r="AF398" i="22"/>
  <c r="AG398" i="22"/>
  <c r="AD399" i="22"/>
  <c r="AE399" i="22"/>
  <c r="AF399" i="22"/>
  <c r="AG399" i="22"/>
  <c r="AD400" i="22"/>
  <c r="AE400" i="22"/>
  <c r="AF400" i="22"/>
  <c r="AG400" i="22"/>
  <c r="AD401" i="22"/>
  <c r="AE401" i="22"/>
  <c r="AF401" i="22"/>
  <c r="AG401" i="22"/>
  <c r="AD402" i="22"/>
  <c r="AE402" i="22"/>
  <c r="AF402" i="22"/>
  <c r="AG402" i="22"/>
  <c r="AD403" i="22"/>
  <c r="AE403" i="22"/>
  <c r="AF403" i="22"/>
  <c r="AG403" i="22"/>
  <c r="AD404" i="22"/>
  <c r="AE404" i="22"/>
  <c r="AF404" i="22"/>
  <c r="AG404" i="22"/>
  <c r="AD405" i="22"/>
  <c r="AE405" i="22"/>
  <c r="AF405" i="22"/>
  <c r="AG405" i="22"/>
  <c r="AD406" i="22"/>
  <c r="AE406" i="22"/>
  <c r="AF406" i="22"/>
  <c r="AG406" i="22"/>
  <c r="AD407" i="22"/>
  <c r="AE407" i="22"/>
  <c r="AF407" i="22"/>
  <c r="AG407" i="22"/>
  <c r="AD408" i="22"/>
  <c r="AE408" i="22"/>
  <c r="AF408" i="22"/>
  <c r="AG408" i="22"/>
  <c r="AD409" i="22"/>
  <c r="AE409" i="22"/>
  <c r="AF409" i="22"/>
  <c r="AG409" i="22"/>
  <c r="AD410" i="22"/>
  <c r="AE410" i="22"/>
  <c r="AF410" i="22"/>
  <c r="AG410" i="22"/>
  <c r="AD411" i="22"/>
  <c r="AE411" i="22"/>
  <c r="AF411" i="22"/>
  <c r="AG411" i="22"/>
  <c r="AD412" i="22"/>
  <c r="AE412" i="22"/>
  <c r="AF412" i="22"/>
  <c r="AG412" i="22"/>
  <c r="AD413" i="22"/>
  <c r="AE413" i="22"/>
  <c r="AF413" i="22"/>
  <c r="AG413" i="22"/>
  <c r="AD414" i="22"/>
  <c r="AE414" i="22"/>
  <c r="AF414" i="22"/>
  <c r="AG414" i="22"/>
  <c r="AD415" i="22"/>
  <c r="AE415" i="22"/>
  <c r="AF415" i="22"/>
  <c r="AG415" i="22"/>
  <c r="AD416" i="22"/>
  <c r="AE416" i="22"/>
  <c r="AF416" i="22"/>
  <c r="AG416" i="22"/>
  <c r="AD417" i="22"/>
  <c r="AE417" i="22"/>
  <c r="AF417" i="22"/>
  <c r="AG417" i="22"/>
  <c r="AD418" i="22"/>
  <c r="AE418" i="22"/>
  <c r="AF418" i="22"/>
  <c r="AG418" i="22"/>
  <c r="AD419" i="22"/>
  <c r="AE419" i="22"/>
  <c r="AF419" i="22"/>
  <c r="AG419" i="22"/>
  <c r="AD420" i="22"/>
  <c r="AE420" i="22"/>
  <c r="AF420" i="22"/>
  <c r="AG420" i="22"/>
  <c r="AD421" i="22"/>
  <c r="AE421" i="22"/>
  <c r="AF421" i="22"/>
  <c r="AG421" i="22"/>
  <c r="AD422" i="22"/>
  <c r="AE422" i="22"/>
  <c r="AF422" i="22"/>
  <c r="AG422" i="22"/>
  <c r="AD423" i="22"/>
  <c r="AE423" i="22"/>
  <c r="AF423" i="22"/>
  <c r="AG423" i="22"/>
  <c r="AD424" i="22"/>
  <c r="AE424" i="22"/>
  <c r="AF424" i="22"/>
  <c r="AG424" i="22"/>
  <c r="AD425" i="22"/>
  <c r="AE425" i="22"/>
  <c r="AF425" i="22"/>
  <c r="AG425" i="22"/>
  <c r="AD426" i="22"/>
  <c r="AE426" i="22"/>
  <c r="AF426" i="22"/>
  <c r="AG426" i="22"/>
  <c r="AD427" i="22"/>
  <c r="AE427" i="22"/>
  <c r="AF427" i="22"/>
  <c r="AG427" i="22"/>
  <c r="AD428" i="22"/>
  <c r="AE428" i="22"/>
  <c r="AF428" i="22"/>
  <c r="AG428" i="22"/>
  <c r="AD429" i="22"/>
  <c r="AE429" i="22"/>
  <c r="AF429" i="22"/>
  <c r="AG429" i="22"/>
  <c r="AD430" i="22"/>
  <c r="AE430" i="22"/>
  <c r="AF430" i="22"/>
  <c r="AG430" i="22"/>
  <c r="AD431" i="22"/>
  <c r="AE431" i="22"/>
  <c r="AF431" i="22"/>
  <c r="AG431" i="22"/>
  <c r="AD432" i="22"/>
  <c r="AE432" i="22"/>
  <c r="AF432" i="22"/>
  <c r="AG432" i="22"/>
  <c r="AD433" i="22"/>
  <c r="AE433" i="22"/>
  <c r="AF433" i="22"/>
  <c r="AG433" i="22"/>
  <c r="AD434" i="22"/>
  <c r="AE434" i="22"/>
  <c r="AF434" i="22"/>
  <c r="AG434" i="22"/>
  <c r="AD435" i="22"/>
  <c r="AE435" i="22"/>
  <c r="AF435" i="22"/>
  <c r="AG435" i="22"/>
  <c r="AD436" i="22"/>
  <c r="AE436" i="22"/>
  <c r="AF436" i="22"/>
  <c r="AG436" i="22"/>
  <c r="AD437" i="22"/>
  <c r="AE437" i="22"/>
  <c r="AF437" i="22"/>
  <c r="AG437" i="22"/>
  <c r="AD438" i="22"/>
  <c r="AE438" i="22"/>
  <c r="AF438" i="22"/>
  <c r="AG438" i="22"/>
  <c r="AD439" i="22"/>
  <c r="AE439" i="22"/>
  <c r="AF439" i="22"/>
  <c r="AG439" i="22"/>
  <c r="AD440" i="22"/>
  <c r="AE440" i="22"/>
  <c r="AF440" i="22"/>
  <c r="AG440" i="22"/>
  <c r="AD441" i="22"/>
  <c r="AE441" i="22"/>
  <c r="AF441" i="22"/>
  <c r="AG441" i="22"/>
  <c r="AD442" i="22"/>
  <c r="AE442" i="22"/>
  <c r="AF442" i="22"/>
  <c r="AG442" i="22"/>
  <c r="AD443" i="22"/>
  <c r="AE443" i="22"/>
  <c r="AF443" i="22"/>
  <c r="AG443" i="22"/>
  <c r="AD444" i="22"/>
  <c r="AE444" i="22"/>
  <c r="AF444" i="22"/>
  <c r="AG444" i="22"/>
  <c r="AD445" i="22"/>
  <c r="AE445" i="22"/>
  <c r="AF445" i="22"/>
  <c r="AG445" i="22"/>
  <c r="AD446" i="22"/>
  <c r="AE446" i="22"/>
  <c r="AF446" i="22"/>
  <c r="AG446" i="22"/>
  <c r="AD447" i="22"/>
  <c r="AE447" i="22"/>
  <c r="AF447" i="22"/>
  <c r="AG447" i="22"/>
  <c r="AD448" i="22"/>
  <c r="AE448" i="22"/>
  <c r="AF448" i="22"/>
  <c r="AG448" i="22"/>
  <c r="AD449" i="22"/>
  <c r="AE449" i="22"/>
  <c r="AF449" i="22"/>
  <c r="AG449" i="22"/>
  <c r="AD450" i="22"/>
  <c r="AE450" i="22"/>
  <c r="AF450" i="22"/>
  <c r="AG450" i="22"/>
  <c r="AD451" i="22"/>
  <c r="AE451" i="22"/>
  <c r="AF451" i="22"/>
  <c r="AG451" i="22"/>
  <c r="AD452" i="22"/>
  <c r="AE452" i="22"/>
  <c r="AF452" i="22"/>
  <c r="AG452" i="22"/>
  <c r="AD453" i="22"/>
  <c r="AE453" i="22"/>
  <c r="AF453" i="22"/>
  <c r="AG453" i="22"/>
  <c r="AD454" i="22"/>
  <c r="AE454" i="22"/>
  <c r="AF454" i="22"/>
  <c r="AG454" i="22"/>
  <c r="AD455" i="22"/>
  <c r="AE455" i="22"/>
  <c r="AF455" i="22"/>
  <c r="AG455" i="22"/>
  <c r="AD456" i="22"/>
  <c r="AE456" i="22"/>
  <c r="AF456" i="22"/>
  <c r="AG456" i="22"/>
  <c r="AD457" i="22"/>
  <c r="AE457" i="22"/>
  <c r="AF457" i="22"/>
  <c r="AG457" i="22"/>
  <c r="AD458" i="22"/>
  <c r="AE458" i="22"/>
  <c r="AF458" i="22"/>
  <c r="AG458" i="22"/>
  <c r="AD459" i="22"/>
  <c r="AE459" i="22"/>
  <c r="AF459" i="22"/>
  <c r="AG459" i="22"/>
  <c r="AD460" i="22"/>
  <c r="AE460" i="22"/>
  <c r="AF460" i="22"/>
  <c r="AG460" i="22"/>
  <c r="AD461" i="22"/>
  <c r="AE461" i="22"/>
  <c r="AF461" i="22"/>
  <c r="AG461" i="22"/>
  <c r="AD462" i="22"/>
  <c r="AE462" i="22"/>
  <c r="AF462" i="22"/>
  <c r="AG462" i="22"/>
  <c r="AD463" i="22"/>
  <c r="AE463" i="22"/>
  <c r="AF463" i="22"/>
  <c r="AG463" i="22"/>
  <c r="AD464" i="22"/>
  <c r="AE464" i="22"/>
  <c r="AF464" i="22"/>
  <c r="AG464" i="22"/>
  <c r="AD465" i="22"/>
  <c r="AE465" i="22"/>
  <c r="AF465" i="22"/>
  <c r="AG465" i="22"/>
  <c r="AD466" i="22"/>
  <c r="AE466" i="22"/>
  <c r="AF466" i="22"/>
  <c r="AG466" i="22"/>
  <c r="AD467" i="22"/>
  <c r="AE467" i="22"/>
  <c r="AF467" i="22"/>
  <c r="AG467" i="22"/>
  <c r="AD468" i="22"/>
  <c r="AE468" i="22"/>
  <c r="AF468" i="22"/>
  <c r="AG468" i="22"/>
  <c r="AD469" i="22"/>
  <c r="AE469" i="22"/>
  <c r="AF469" i="22"/>
  <c r="AG469" i="22"/>
  <c r="AD470" i="22"/>
  <c r="AE470" i="22"/>
  <c r="AF470" i="22"/>
  <c r="AG470" i="22"/>
  <c r="AD471" i="22"/>
  <c r="AE471" i="22"/>
  <c r="AF471" i="22"/>
  <c r="AG471" i="22"/>
  <c r="AD472" i="22"/>
  <c r="AE472" i="22"/>
  <c r="AF472" i="22"/>
  <c r="AG472" i="22"/>
  <c r="AD473" i="22"/>
  <c r="AE473" i="22"/>
  <c r="AF473" i="22"/>
  <c r="AG473" i="22"/>
  <c r="AD474" i="22"/>
  <c r="AE474" i="22"/>
  <c r="AF474" i="22"/>
  <c r="AG474" i="22"/>
  <c r="AD475" i="22"/>
  <c r="AE475" i="22"/>
  <c r="AF475" i="22"/>
  <c r="AG475" i="22"/>
  <c r="AD476" i="22"/>
  <c r="AE476" i="22"/>
  <c r="AF476" i="22"/>
  <c r="AG476" i="22"/>
  <c r="AD477" i="22"/>
  <c r="AE477" i="22"/>
  <c r="AF477" i="22"/>
  <c r="AG477" i="22"/>
  <c r="AD478" i="22"/>
  <c r="AE478" i="22"/>
  <c r="AF478" i="22"/>
  <c r="AG478" i="22"/>
  <c r="AD479" i="22"/>
  <c r="AE479" i="22"/>
  <c r="AF479" i="22"/>
  <c r="AG479" i="22"/>
  <c r="AD480" i="22"/>
  <c r="AE480" i="22"/>
  <c r="AF480" i="22"/>
  <c r="AG480" i="22"/>
  <c r="AD481" i="22"/>
  <c r="AE481" i="22"/>
  <c r="AF481" i="22"/>
  <c r="AG481" i="22"/>
  <c r="AD482" i="22"/>
  <c r="AE482" i="22"/>
  <c r="AF482" i="22"/>
  <c r="AG482" i="22"/>
  <c r="AD483" i="22"/>
  <c r="AE483" i="22"/>
  <c r="AF483" i="22"/>
  <c r="AG483" i="22"/>
  <c r="AD484" i="22"/>
  <c r="AE484" i="22"/>
  <c r="AF484" i="22"/>
  <c r="AG484" i="22"/>
  <c r="AD485" i="22"/>
  <c r="AE485" i="22"/>
  <c r="AF485" i="22"/>
  <c r="AG485" i="22"/>
  <c r="AD486" i="22"/>
  <c r="AE486" i="22"/>
  <c r="AF486" i="22"/>
  <c r="AG486" i="22"/>
  <c r="AD487" i="22"/>
  <c r="AE487" i="22"/>
  <c r="AF487" i="22"/>
  <c r="AG487" i="22"/>
  <c r="AD488" i="22"/>
  <c r="AE488" i="22"/>
  <c r="AF488" i="22"/>
  <c r="AG488" i="22"/>
  <c r="AD489" i="22"/>
  <c r="AE489" i="22"/>
  <c r="AF489" i="22"/>
  <c r="AG489" i="22"/>
  <c r="AD490" i="22"/>
  <c r="AE490" i="22"/>
  <c r="AF490" i="22"/>
  <c r="AG490" i="22"/>
  <c r="AD491" i="22"/>
  <c r="AE491" i="22"/>
  <c r="AF491" i="22"/>
  <c r="AG491" i="22"/>
  <c r="AD492" i="22"/>
  <c r="AE492" i="22"/>
  <c r="AF492" i="22"/>
  <c r="AG492" i="22"/>
  <c r="AD493" i="22"/>
  <c r="AE493" i="22"/>
  <c r="AF493" i="22"/>
  <c r="AG493" i="22"/>
  <c r="AD494" i="22"/>
  <c r="AE494" i="22"/>
  <c r="AF494" i="22"/>
  <c r="AG494" i="22"/>
  <c r="AD495" i="22"/>
  <c r="AE495" i="22"/>
  <c r="AF495" i="22"/>
  <c r="AG495" i="22"/>
  <c r="AD496" i="22"/>
  <c r="AE496" i="22"/>
  <c r="AF496" i="22"/>
  <c r="AG496" i="22"/>
  <c r="AD497" i="22"/>
  <c r="AE497" i="22"/>
  <c r="AF497" i="22"/>
  <c r="AG497" i="22"/>
  <c r="AD498" i="22"/>
  <c r="AE498" i="22"/>
  <c r="AF498" i="22"/>
  <c r="AG498" i="22"/>
  <c r="AD499" i="22"/>
  <c r="AE499" i="22"/>
  <c r="AF499" i="22"/>
  <c r="AG499" i="22"/>
  <c r="AD500" i="22"/>
  <c r="AE500" i="22"/>
  <c r="AF500" i="22"/>
  <c r="AG500" i="22"/>
  <c r="AD501" i="22"/>
  <c r="AE501" i="22"/>
  <c r="AF501" i="22"/>
  <c r="AG501" i="22"/>
  <c r="AD502" i="22"/>
  <c r="AE502" i="22"/>
  <c r="AF502" i="22"/>
  <c r="AG502" i="22"/>
  <c r="AD503" i="22"/>
  <c r="AE503" i="22"/>
  <c r="AF503" i="22"/>
  <c r="AG503" i="22"/>
  <c r="AD504" i="22"/>
  <c r="AE504" i="22"/>
  <c r="AF504" i="22"/>
  <c r="AG504" i="22"/>
  <c r="AD505" i="22"/>
  <c r="AE505" i="22"/>
  <c r="AF505" i="22"/>
  <c r="AG505" i="22"/>
  <c r="AD506" i="22"/>
  <c r="AE506" i="22"/>
  <c r="AF506" i="22"/>
  <c r="AG506" i="22"/>
  <c r="AD507" i="22"/>
  <c r="AE507" i="22"/>
  <c r="AF507" i="22"/>
  <c r="AG507" i="22"/>
  <c r="AD508" i="22"/>
  <c r="AE508" i="22"/>
  <c r="AF508" i="22"/>
  <c r="AG508" i="22"/>
  <c r="AD509" i="22"/>
  <c r="AE509" i="22"/>
  <c r="AF509" i="22"/>
  <c r="AG509" i="22"/>
  <c r="AD510" i="22"/>
  <c r="AE510" i="22"/>
  <c r="AF510" i="22"/>
  <c r="AG510" i="22"/>
  <c r="AD511" i="22"/>
  <c r="AE511" i="22"/>
  <c r="AF511" i="22"/>
  <c r="AG511" i="22"/>
  <c r="AD512" i="22"/>
  <c r="AE512" i="22"/>
  <c r="AF512" i="22"/>
  <c r="AG512" i="22"/>
  <c r="AD513" i="22"/>
  <c r="AE513" i="22"/>
  <c r="AF513" i="22"/>
  <c r="AG513" i="22"/>
  <c r="AD514" i="22"/>
  <c r="AE514" i="22"/>
  <c r="AF514" i="22"/>
  <c r="AG514" i="22"/>
  <c r="AD515" i="22"/>
  <c r="AE515" i="22"/>
  <c r="AF515" i="22"/>
  <c r="AG515" i="22"/>
  <c r="AD516" i="22"/>
  <c r="AE516" i="22"/>
  <c r="AF516" i="22"/>
  <c r="AG516" i="22"/>
  <c r="AD517" i="22"/>
  <c r="AE517" i="22"/>
  <c r="AF517" i="22"/>
  <c r="AG517" i="22"/>
  <c r="AD518" i="22"/>
  <c r="AE518" i="22"/>
  <c r="AF518" i="22"/>
  <c r="AG518" i="22"/>
  <c r="AD519" i="22"/>
  <c r="AE519" i="22"/>
  <c r="AF519" i="22"/>
  <c r="AG519" i="22"/>
  <c r="AD520" i="22"/>
  <c r="AE520" i="22"/>
  <c r="AF520" i="22"/>
  <c r="AG520" i="22"/>
  <c r="AD521" i="22"/>
  <c r="AE521" i="22"/>
  <c r="AF521" i="22"/>
  <c r="AG521" i="22"/>
  <c r="AD522" i="22"/>
  <c r="AE522" i="22"/>
  <c r="AF522" i="22"/>
  <c r="AG522" i="22"/>
  <c r="AD523" i="22"/>
  <c r="AE523" i="22"/>
  <c r="AF523" i="22"/>
  <c r="AG523" i="22"/>
  <c r="AD524" i="22"/>
  <c r="AE524" i="22"/>
  <c r="AF524" i="22"/>
  <c r="AG524" i="22"/>
  <c r="AD525" i="22"/>
  <c r="AE525" i="22"/>
  <c r="AF525" i="22"/>
  <c r="AG525" i="22"/>
  <c r="AD526" i="22"/>
  <c r="AE526" i="22"/>
  <c r="AF526" i="22"/>
  <c r="AG526" i="22"/>
  <c r="AD527" i="22"/>
  <c r="AE527" i="22"/>
  <c r="AF527" i="22"/>
  <c r="AG527" i="22"/>
  <c r="AD528" i="22"/>
  <c r="AE528" i="22"/>
  <c r="AF528" i="22"/>
  <c r="AG528" i="22"/>
  <c r="AD529" i="22"/>
  <c r="AE529" i="22"/>
  <c r="AF529" i="22"/>
  <c r="AG529" i="22"/>
  <c r="AD530" i="22"/>
  <c r="AE530" i="22"/>
  <c r="AF530" i="22"/>
  <c r="AG530" i="22"/>
  <c r="AD531" i="22"/>
  <c r="AE531" i="22"/>
  <c r="AF531" i="22"/>
  <c r="AG531" i="22"/>
  <c r="AD532" i="22"/>
  <c r="AE532" i="22"/>
  <c r="AF532" i="22"/>
  <c r="AG532" i="22"/>
  <c r="AD533" i="22"/>
  <c r="AE533" i="22"/>
  <c r="AF533" i="22"/>
  <c r="AG533" i="22"/>
  <c r="AD534" i="22"/>
  <c r="AE534" i="22"/>
  <c r="AF534" i="22"/>
  <c r="AG534" i="22"/>
  <c r="AD535" i="22"/>
  <c r="AE535" i="22"/>
  <c r="AF535" i="22"/>
  <c r="AG535" i="22"/>
  <c r="AD536" i="22"/>
  <c r="AE536" i="22"/>
  <c r="AF536" i="22"/>
  <c r="AG536" i="22"/>
  <c r="AD537" i="22"/>
  <c r="AE537" i="22"/>
  <c r="AF537" i="22"/>
  <c r="AG537" i="22"/>
  <c r="AD538" i="22"/>
  <c r="AE538" i="22"/>
  <c r="AF538" i="22"/>
  <c r="AG538" i="22"/>
  <c r="AD539" i="22"/>
  <c r="AE539" i="22"/>
  <c r="AF539" i="22"/>
  <c r="AG539" i="22"/>
  <c r="AD540" i="22"/>
  <c r="AE540" i="22"/>
  <c r="AF540" i="22"/>
  <c r="AG540" i="22"/>
  <c r="AG74" i="22"/>
  <c r="AF74" i="22"/>
  <c r="AE74" i="22"/>
  <c r="AD74" i="22"/>
  <c r="D189" i="33" l="1"/>
  <c r="D190" i="33"/>
  <c r="D191" i="33"/>
  <c r="D192" i="33"/>
  <c r="D193" i="33"/>
  <c r="D194" i="33"/>
  <c r="D195" i="33"/>
  <c r="D2" i="41" l="1"/>
  <c r="B2" i="41"/>
  <c r="A6" i="41"/>
  <c r="A10" i="41" s="1"/>
  <c r="A3" i="41"/>
  <c r="C3" i="41"/>
  <c r="C4" i="41" s="1"/>
  <c r="C5" i="41" s="1"/>
  <c r="F17" i="30"/>
  <c r="F16" i="30"/>
  <c r="F15" i="30"/>
  <c r="F14" i="30"/>
  <c r="F13" i="30"/>
  <c r="P57" i="35"/>
  <c r="G376" i="33"/>
  <c r="Q62" i="35"/>
  <c r="P62" i="35"/>
  <c r="U78" i="35"/>
  <c r="U79" i="35"/>
  <c r="U80" i="35"/>
  <c r="U65" i="35"/>
  <c r="U66" i="35"/>
  <c r="U67" i="35"/>
  <c r="U68" i="35"/>
  <c r="U69" i="35"/>
  <c r="U70" i="35"/>
  <c r="U71" i="35"/>
  <c r="U72" i="35"/>
  <c r="U73" i="35"/>
  <c r="U74" i="35"/>
  <c r="U75" i="35"/>
  <c r="U76" i="35"/>
  <c r="U77" i="35"/>
  <c r="P58" i="35" l="1"/>
  <c r="B6" i="41"/>
  <c r="C6" i="41"/>
  <c r="C7" i="41" s="1"/>
  <c r="C8" i="41" s="1"/>
  <c r="C9" i="41" s="1"/>
  <c r="A4" i="41"/>
  <c r="B3" i="41"/>
  <c r="D3" i="41"/>
  <c r="D6" i="41"/>
  <c r="A14" i="41"/>
  <c r="D10" i="41"/>
  <c r="B10" i="41"/>
  <c r="A7" i="41"/>
  <c r="U64" i="35"/>
  <c r="U62" i="35" s="1"/>
  <c r="P56" i="35" s="1"/>
  <c r="P55" i="35" s="1"/>
  <c r="D6" i="33"/>
  <c r="D7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38" i="33"/>
  <c r="D39" i="33"/>
  <c r="D40" i="33"/>
  <c r="D41" i="33"/>
  <c r="D42" i="33"/>
  <c r="D43" i="33"/>
  <c r="D44" i="33"/>
  <c r="D45" i="33"/>
  <c r="D46" i="33"/>
  <c r="D47" i="33"/>
  <c r="D48" i="33"/>
  <c r="D49" i="33"/>
  <c r="D50" i="33"/>
  <c r="D51" i="33"/>
  <c r="D52" i="33"/>
  <c r="D53" i="33"/>
  <c r="D54" i="33"/>
  <c r="D55" i="33"/>
  <c r="D56" i="33"/>
  <c r="D57" i="33"/>
  <c r="D58" i="33"/>
  <c r="D59" i="33"/>
  <c r="D60" i="33"/>
  <c r="D61" i="33"/>
  <c r="D62" i="33"/>
  <c r="D63" i="33"/>
  <c r="D64" i="33"/>
  <c r="D65" i="33"/>
  <c r="D66" i="33"/>
  <c r="D67" i="33"/>
  <c r="D68" i="33"/>
  <c r="D69" i="33"/>
  <c r="D70" i="33"/>
  <c r="D71" i="33"/>
  <c r="D72" i="33"/>
  <c r="D73" i="33"/>
  <c r="D74" i="33"/>
  <c r="D75" i="33"/>
  <c r="D76" i="33"/>
  <c r="D77" i="33"/>
  <c r="D78" i="33"/>
  <c r="D79" i="33"/>
  <c r="D80" i="33"/>
  <c r="D81" i="33"/>
  <c r="D82" i="33"/>
  <c r="D83" i="33"/>
  <c r="D84" i="33"/>
  <c r="D85" i="33"/>
  <c r="D86" i="33"/>
  <c r="D87" i="33"/>
  <c r="D88" i="33"/>
  <c r="D89" i="33"/>
  <c r="D90" i="33"/>
  <c r="D91" i="33"/>
  <c r="D92" i="33"/>
  <c r="D93" i="33"/>
  <c r="D94" i="33"/>
  <c r="D95" i="33"/>
  <c r="D96" i="33"/>
  <c r="D97" i="33"/>
  <c r="D98" i="33"/>
  <c r="D99" i="33"/>
  <c r="D100" i="33"/>
  <c r="D101" i="33"/>
  <c r="D102" i="33"/>
  <c r="D103" i="33"/>
  <c r="D104" i="33"/>
  <c r="D105" i="33"/>
  <c r="D106" i="33"/>
  <c r="D107" i="33"/>
  <c r="D108" i="33"/>
  <c r="D109" i="33"/>
  <c r="D110" i="33"/>
  <c r="D111" i="33"/>
  <c r="D112" i="33"/>
  <c r="D113" i="33"/>
  <c r="D114" i="33"/>
  <c r="D115" i="33"/>
  <c r="D116" i="33"/>
  <c r="D117" i="33"/>
  <c r="D118" i="33"/>
  <c r="D119" i="33"/>
  <c r="D120" i="33"/>
  <c r="D121" i="33"/>
  <c r="D122" i="33"/>
  <c r="D123" i="33"/>
  <c r="D124" i="33"/>
  <c r="D125" i="33"/>
  <c r="D126" i="33"/>
  <c r="D127" i="33"/>
  <c r="D128" i="33"/>
  <c r="D129" i="33"/>
  <c r="D130" i="33"/>
  <c r="D131" i="33"/>
  <c r="D132" i="33"/>
  <c r="D133" i="33"/>
  <c r="D134" i="33"/>
  <c r="D135" i="33"/>
  <c r="D136" i="33"/>
  <c r="D137" i="33"/>
  <c r="D138" i="33"/>
  <c r="D139" i="33"/>
  <c r="D140" i="33"/>
  <c r="D141" i="33"/>
  <c r="D142" i="33"/>
  <c r="D143" i="33"/>
  <c r="D144" i="33"/>
  <c r="D145" i="33"/>
  <c r="D146" i="33"/>
  <c r="D147" i="33"/>
  <c r="D148" i="33"/>
  <c r="D149" i="33"/>
  <c r="D150" i="33"/>
  <c r="D151" i="33"/>
  <c r="D152" i="33"/>
  <c r="D153" i="33"/>
  <c r="D154" i="33"/>
  <c r="D155" i="33"/>
  <c r="D156" i="33"/>
  <c r="D157" i="33"/>
  <c r="D158" i="33"/>
  <c r="D159" i="33"/>
  <c r="D160" i="33"/>
  <c r="D161" i="33"/>
  <c r="D162" i="33"/>
  <c r="D163" i="33"/>
  <c r="D164" i="33"/>
  <c r="D165" i="33"/>
  <c r="D166" i="33"/>
  <c r="D167" i="33"/>
  <c r="D168" i="33"/>
  <c r="D169" i="33"/>
  <c r="D170" i="33"/>
  <c r="D171" i="33"/>
  <c r="D172" i="33"/>
  <c r="D173" i="33"/>
  <c r="D174" i="33"/>
  <c r="D175" i="33"/>
  <c r="D176" i="33"/>
  <c r="D177" i="33"/>
  <c r="D178" i="33"/>
  <c r="D179" i="33"/>
  <c r="D180" i="33"/>
  <c r="D181" i="33"/>
  <c r="D182" i="33"/>
  <c r="D183" i="33"/>
  <c r="D184" i="33"/>
  <c r="D185" i="33"/>
  <c r="D186" i="33"/>
  <c r="D187" i="33"/>
  <c r="D188" i="33"/>
  <c r="D196" i="33"/>
  <c r="D197" i="33"/>
  <c r="D198" i="33"/>
  <c r="D199" i="33"/>
  <c r="D200" i="33"/>
  <c r="D201" i="33"/>
  <c r="D202" i="33"/>
  <c r="D203" i="33"/>
  <c r="D204" i="33"/>
  <c r="D205" i="33"/>
  <c r="D206" i="33"/>
  <c r="D207" i="33"/>
  <c r="D208" i="33"/>
  <c r="D209" i="33"/>
  <c r="D210" i="33"/>
  <c r="D211" i="33"/>
  <c r="D212" i="33"/>
  <c r="D213" i="33"/>
  <c r="D214" i="33"/>
  <c r="D215" i="33"/>
  <c r="D216" i="33"/>
  <c r="D217" i="33"/>
  <c r="D218" i="33"/>
  <c r="D219" i="33"/>
  <c r="D220" i="33"/>
  <c r="D221" i="33"/>
  <c r="D222" i="33"/>
  <c r="D223" i="33"/>
  <c r="D224" i="33"/>
  <c r="D225" i="33"/>
  <c r="D226" i="33"/>
  <c r="D227" i="33"/>
  <c r="D228" i="33"/>
  <c r="D229" i="33"/>
  <c r="D230" i="33"/>
  <c r="D231" i="33"/>
  <c r="D232" i="33"/>
  <c r="D233" i="33"/>
  <c r="D234" i="33"/>
  <c r="D235" i="33"/>
  <c r="D236" i="33"/>
  <c r="D237" i="33"/>
  <c r="D238" i="33"/>
  <c r="D239" i="33"/>
  <c r="D240" i="33"/>
  <c r="D241" i="33"/>
  <c r="D242" i="33"/>
  <c r="D243" i="33"/>
  <c r="D244" i="33"/>
  <c r="D245" i="33"/>
  <c r="D246" i="33"/>
  <c r="D247" i="33"/>
  <c r="D248" i="33"/>
  <c r="D249" i="33"/>
  <c r="D250" i="33"/>
  <c r="D375" i="33"/>
  <c r="D376" i="33"/>
  <c r="D377" i="33"/>
  <c r="D378" i="33"/>
  <c r="D379" i="33"/>
  <c r="D380" i="33"/>
  <c r="D381" i="33"/>
  <c r="D382" i="33"/>
  <c r="D383" i="33"/>
  <c r="D384" i="33"/>
  <c r="D385" i="33"/>
  <c r="D386" i="33"/>
  <c r="D387" i="33"/>
  <c r="D388" i="33"/>
  <c r="D5" i="33"/>
  <c r="A18" i="41" l="1"/>
  <c r="D14" i="41"/>
  <c r="B14" i="41"/>
  <c r="A5" i="41"/>
  <c r="D5" i="41" s="1"/>
  <c r="D4" i="41"/>
  <c r="B4" i="41"/>
  <c r="A8" i="41"/>
  <c r="D7" i="41"/>
  <c r="B7" i="41"/>
  <c r="C10" i="41"/>
  <c r="C11" i="41" s="1"/>
  <c r="C12" i="41" s="1"/>
  <c r="C13" i="41" s="1"/>
  <c r="A11" i="41"/>
  <c r="K2" i="36"/>
  <c r="G2" i="36" s="1"/>
  <c r="K3" i="36"/>
  <c r="G3" i="36" s="1"/>
  <c r="J3" i="36" s="1"/>
  <c r="K4" i="36"/>
  <c r="G4" i="36" s="1"/>
  <c r="J4" i="36" s="1"/>
  <c r="L4" i="36"/>
  <c r="M4" i="36"/>
  <c r="K5" i="36"/>
  <c r="G5" i="36" s="1"/>
  <c r="J5" i="36" s="1"/>
  <c r="L5" i="36"/>
  <c r="M5" i="36"/>
  <c r="K6" i="36"/>
  <c r="G6" i="36" s="1"/>
  <c r="J6" i="36" s="1"/>
  <c r="L6" i="36"/>
  <c r="M6" i="36"/>
  <c r="K7" i="36"/>
  <c r="G7" i="36" s="1"/>
  <c r="J7" i="36" s="1"/>
  <c r="L7" i="36"/>
  <c r="M7" i="36"/>
  <c r="K8" i="36"/>
  <c r="G8" i="36" s="1"/>
  <c r="J8" i="36" s="1"/>
  <c r="L8" i="36"/>
  <c r="M8" i="36"/>
  <c r="K9" i="36"/>
  <c r="G9" i="36" s="1"/>
  <c r="J9" i="36" s="1"/>
  <c r="L9" i="36"/>
  <c r="M9" i="36"/>
  <c r="K10" i="36"/>
  <c r="G10" i="36" s="1"/>
  <c r="J10" i="36" s="1"/>
  <c r="L10" i="36"/>
  <c r="M10" i="36"/>
  <c r="K11" i="36"/>
  <c r="G11" i="36" s="1"/>
  <c r="J11" i="36" s="1"/>
  <c r="L11" i="36"/>
  <c r="M11" i="36"/>
  <c r="K12" i="36"/>
  <c r="G12" i="36" s="1"/>
  <c r="J12" i="36" s="1"/>
  <c r="L12" i="36"/>
  <c r="M12" i="36"/>
  <c r="K13" i="36"/>
  <c r="G13" i="36" s="1"/>
  <c r="J13" i="36" s="1"/>
  <c r="L13" i="36"/>
  <c r="M13" i="36"/>
  <c r="K14" i="36"/>
  <c r="G14" i="36" s="1"/>
  <c r="J14" i="36" s="1"/>
  <c r="L14" i="36"/>
  <c r="M14" i="36"/>
  <c r="K15" i="36"/>
  <c r="G15" i="36" s="1"/>
  <c r="J15" i="36" s="1"/>
  <c r="L15" i="36"/>
  <c r="M15" i="36"/>
  <c r="K16" i="36"/>
  <c r="G16" i="36" s="1"/>
  <c r="J16" i="36" s="1"/>
  <c r="L16" i="36"/>
  <c r="M16" i="36"/>
  <c r="K17" i="36"/>
  <c r="G17" i="36" s="1"/>
  <c r="J17" i="36" s="1"/>
  <c r="L17" i="36"/>
  <c r="M17" i="36"/>
  <c r="K18" i="36"/>
  <c r="G18" i="36" s="1"/>
  <c r="J18" i="36" s="1"/>
  <c r="L18" i="36"/>
  <c r="M18" i="36"/>
  <c r="K19" i="36"/>
  <c r="G19" i="36" s="1"/>
  <c r="J19" i="36" s="1"/>
  <c r="L19" i="36"/>
  <c r="M19" i="36"/>
  <c r="K20" i="36"/>
  <c r="G20" i="36" s="1"/>
  <c r="J20" i="36" s="1"/>
  <c r="L20" i="36"/>
  <c r="M20" i="36"/>
  <c r="K21" i="36"/>
  <c r="G21" i="36" s="1"/>
  <c r="J21" i="36" s="1"/>
  <c r="L21" i="36"/>
  <c r="M21" i="36"/>
  <c r="K22" i="36"/>
  <c r="G22" i="36" s="1"/>
  <c r="J22" i="36" s="1"/>
  <c r="L22" i="36"/>
  <c r="M22" i="36"/>
  <c r="K23" i="36"/>
  <c r="G23" i="36" s="1"/>
  <c r="J23" i="36" s="1"/>
  <c r="L23" i="36"/>
  <c r="M23" i="36"/>
  <c r="K24" i="36"/>
  <c r="G24" i="36" s="1"/>
  <c r="J24" i="36" s="1"/>
  <c r="L24" i="36"/>
  <c r="M24" i="36"/>
  <c r="K25" i="36"/>
  <c r="G25" i="36" s="1"/>
  <c r="J25" i="36" s="1"/>
  <c r="L25" i="36"/>
  <c r="M25" i="36"/>
  <c r="K26" i="36"/>
  <c r="G26" i="36" s="1"/>
  <c r="J26" i="36" s="1"/>
  <c r="L26" i="36"/>
  <c r="M26" i="36"/>
  <c r="K27" i="36"/>
  <c r="G27" i="36" s="1"/>
  <c r="J27" i="36" s="1"/>
  <c r="L27" i="36"/>
  <c r="M27" i="36"/>
  <c r="K28" i="36"/>
  <c r="G28" i="36" s="1"/>
  <c r="J28" i="36" s="1"/>
  <c r="L28" i="36"/>
  <c r="M28" i="36"/>
  <c r="K29" i="36"/>
  <c r="G29" i="36" s="1"/>
  <c r="J29" i="36" s="1"/>
  <c r="L29" i="36"/>
  <c r="M29" i="36"/>
  <c r="K30" i="36"/>
  <c r="G30" i="36" s="1"/>
  <c r="J30" i="36" s="1"/>
  <c r="L30" i="36"/>
  <c r="M30" i="36"/>
  <c r="K31" i="36"/>
  <c r="G31" i="36" s="1"/>
  <c r="J31" i="36" s="1"/>
  <c r="L31" i="36"/>
  <c r="M31" i="36"/>
  <c r="K32" i="36"/>
  <c r="G32" i="36" s="1"/>
  <c r="J32" i="36" s="1"/>
  <c r="L32" i="36"/>
  <c r="M32" i="36"/>
  <c r="K33" i="36"/>
  <c r="G33" i="36" s="1"/>
  <c r="J33" i="36" s="1"/>
  <c r="L33" i="36"/>
  <c r="M33" i="36"/>
  <c r="K34" i="36"/>
  <c r="G34" i="36" s="1"/>
  <c r="J34" i="36" s="1"/>
  <c r="L34" i="36"/>
  <c r="M34" i="36"/>
  <c r="K35" i="36"/>
  <c r="G35" i="36" s="1"/>
  <c r="J35" i="36" s="1"/>
  <c r="L35" i="36"/>
  <c r="M35" i="36"/>
  <c r="B5" i="41" l="1"/>
  <c r="A9" i="41"/>
  <c r="D9" i="41" s="1"/>
  <c r="A12" i="41"/>
  <c r="D8" i="41"/>
  <c r="B8" i="41"/>
  <c r="B11" i="41"/>
  <c r="D11" i="41"/>
  <c r="A22" i="41"/>
  <c r="D18" i="41"/>
  <c r="B18" i="41"/>
  <c r="C14" i="41"/>
  <c r="C15" i="41" s="1"/>
  <c r="C16" i="41" s="1"/>
  <c r="C17" i="41" s="1"/>
  <c r="A15" i="41"/>
  <c r="V65" i="35"/>
  <c r="V78" i="35"/>
  <c r="V77" i="35"/>
  <c r="V73" i="35"/>
  <c r="V69" i="35"/>
  <c r="V76" i="35"/>
  <c r="V72" i="35"/>
  <c r="V68" i="35"/>
  <c r="V80" i="35"/>
  <c r="V75" i="35"/>
  <c r="V71" i="35"/>
  <c r="V67" i="35"/>
  <c r="V79" i="35"/>
  <c r="V74" i="35"/>
  <c r="V70" i="35"/>
  <c r="V66" i="35"/>
  <c r="L3" i="36"/>
  <c r="V64" i="35"/>
  <c r="J2" i="36"/>
  <c r="Q2" i="36"/>
  <c r="R2" i="36" s="1"/>
  <c r="Q6" i="36"/>
  <c r="M3" i="36"/>
  <c r="L2" i="36"/>
  <c r="M2" i="36"/>
  <c r="I69" i="22"/>
  <c r="J69" i="22" s="1"/>
  <c r="N69" i="22"/>
  <c r="O69" i="22"/>
  <c r="P69" i="22"/>
  <c r="Q69" i="22"/>
  <c r="I70" i="22"/>
  <c r="J70" i="22" s="1"/>
  <c r="N70" i="22"/>
  <c r="O70" i="22"/>
  <c r="P70" i="22"/>
  <c r="Q70" i="22"/>
  <c r="I71" i="22"/>
  <c r="J71" i="22" s="1"/>
  <c r="N71" i="22"/>
  <c r="O71" i="22"/>
  <c r="P71" i="22"/>
  <c r="Q71" i="22"/>
  <c r="I72" i="22"/>
  <c r="J72" i="22" s="1"/>
  <c r="K72" i="22" s="1"/>
  <c r="N72" i="22"/>
  <c r="O72" i="22"/>
  <c r="P72" i="22"/>
  <c r="Q72" i="22"/>
  <c r="I73" i="22"/>
  <c r="J73" i="22" s="1"/>
  <c r="N73" i="22"/>
  <c r="O73" i="22"/>
  <c r="P73" i="22"/>
  <c r="Q73" i="22"/>
  <c r="I74" i="22"/>
  <c r="J74" i="22" s="1"/>
  <c r="N74" i="22"/>
  <c r="O74" i="22"/>
  <c r="P74" i="22"/>
  <c r="Q74" i="22"/>
  <c r="I75" i="22"/>
  <c r="J75" i="22" s="1"/>
  <c r="N75" i="22"/>
  <c r="O75" i="22"/>
  <c r="P75" i="22"/>
  <c r="Q75" i="22"/>
  <c r="I76" i="22"/>
  <c r="J76" i="22" s="1"/>
  <c r="K76" i="22" s="1"/>
  <c r="N76" i="22"/>
  <c r="O76" i="22"/>
  <c r="P76" i="22"/>
  <c r="Q76" i="22"/>
  <c r="I77" i="22"/>
  <c r="J77" i="22" s="1"/>
  <c r="N77" i="22"/>
  <c r="O77" i="22"/>
  <c r="P77" i="22"/>
  <c r="Q77" i="22"/>
  <c r="I78" i="22"/>
  <c r="J78" i="22" s="1"/>
  <c r="N78" i="22"/>
  <c r="O78" i="22"/>
  <c r="P78" i="22"/>
  <c r="Q78" i="22"/>
  <c r="I79" i="22"/>
  <c r="J79" i="22" s="1"/>
  <c r="N79" i="22"/>
  <c r="O79" i="22"/>
  <c r="P79" i="22"/>
  <c r="Q79" i="22"/>
  <c r="I80" i="22"/>
  <c r="J80" i="22" s="1"/>
  <c r="K80" i="22" s="1"/>
  <c r="N80" i="22"/>
  <c r="O80" i="22"/>
  <c r="P80" i="22"/>
  <c r="Q80" i="22"/>
  <c r="I81" i="22"/>
  <c r="J81" i="22" s="1"/>
  <c r="N81" i="22"/>
  <c r="O81" i="22"/>
  <c r="P81" i="22"/>
  <c r="Q81" i="22"/>
  <c r="I82" i="22"/>
  <c r="J82" i="22" s="1"/>
  <c r="N82" i="22"/>
  <c r="O82" i="22"/>
  <c r="P82" i="22"/>
  <c r="Q82" i="22"/>
  <c r="I83" i="22"/>
  <c r="J83" i="22" s="1"/>
  <c r="N83" i="22"/>
  <c r="O83" i="22"/>
  <c r="P83" i="22"/>
  <c r="Q83" i="22"/>
  <c r="I84" i="22"/>
  <c r="J84" i="22" s="1"/>
  <c r="K84" i="22" s="1"/>
  <c r="N84" i="22"/>
  <c r="O84" i="22"/>
  <c r="P84" i="22"/>
  <c r="Q84" i="22"/>
  <c r="I85" i="22"/>
  <c r="J85" i="22" s="1"/>
  <c r="N85" i="22"/>
  <c r="O85" i="22"/>
  <c r="P85" i="22"/>
  <c r="Q85" i="22"/>
  <c r="I86" i="22"/>
  <c r="J86" i="22" s="1"/>
  <c r="N86" i="22"/>
  <c r="O86" i="22"/>
  <c r="P86" i="22"/>
  <c r="Q86" i="22"/>
  <c r="I87" i="22"/>
  <c r="J87" i="22" s="1"/>
  <c r="L87" i="22" s="1"/>
  <c r="N87" i="22"/>
  <c r="O87" i="22"/>
  <c r="P87" i="22"/>
  <c r="Q87" i="22"/>
  <c r="I88" i="22"/>
  <c r="J88" i="22" s="1"/>
  <c r="K88" i="22" s="1"/>
  <c r="N88" i="22"/>
  <c r="O88" i="22"/>
  <c r="P88" i="22"/>
  <c r="Q88" i="22"/>
  <c r="I89" i="22"/>
  <c r="J89" i="22" s="1"/>
  <c r="N89" i="22"/>
  <c r="O89" i="22"/>
  <c r="P89" i="22"/>
  <c r="Q89" i="22"/>
  <c r="I90" i="22"/>
  <c r="J90" i="22" s="1"/>
  <c r="N90" i="22"/>
  <c r="O90" i="22"/>
  <c r="P90" i="22"/>
  <c r="Q90" i="22"/>
  <c r="I91" i="22"/>
  <c r="J91" i="22" s="1"/>
  <c r="L91" i="22" s="1"/>
  <c r="N91" i="22"/>
  <c r="O91" i="22"/>
  <c r="P91" i="22"/>
  <c r="Q91" i="22"/>
  <c r="I92" i="22"/>
  <c r="J92" i="22" s="1"/>
  <c r="K92" i="22" s="1"/>
  <c r="N92" i="22"/>
  <c r="O92" i="22"/>
  <c r="P92" i="22"/>
  <c r="Q92" i="22"/>
  <c r="I93" i="22"/>
  <c r="J93" i="22" s="1"/>
  <c r="N93" i="22"/>
  <c r="O93" i="22"/>
  <c r="P93" i="22"/>
  <c r="Q93" i="22"/>
  <c r="I94" i="22"/>
  <c r="J94" i="22" s="1"/>
  <c r="N94" i="22"/>
  <c r="O94" i="22"/>
  <c r="P94" i="22"/>
  <c r="Q94" i="22"/>
  <c r="I95" i="22"/>
  <c r="J95" i="22" s="1"/>
  <c r="N95" i="22"/>
  <c r="O95" i="22"/>
  <c r="P95" i="22"/>
  <c r="Q95" i="22"/>
  <c r="I96" i="22"/>
  <c r="J96" i="22" s="1"/>
  <c r="K96" i="22" s="1"/>
  <c r="N96" i="22"/>
  <c r="O96" i="22"/>
  <c r="P96" i="22"/>
  <c r="Q96" i="22"/>
  <c r="I97" i="22"/>
  <c r="J97" i="22" s="1"/>
  <c r="N97" i="22"/>
  <c r="O97" i="22"/>
  <c r="P97" i="22"/>
  <c r="Q97" i="22"/>
  <c r="I98" i="22"/>
  <c r="J98" i="22" s="1"/>
  <c r="N98" i="22"/>
  <c r="O98" i="22"/>
  <c r="P98" i="22"/>
  <c r="Q98" i="22"/>
  <c r="I99" i="22"/>
  <c r="J99" i="22" s="1"/>
  <c r="N99" i="22"/>
  <c r="O99" i="22"/>
  <c r="P99" i="22"/>
  <c r="Q99" i="22"/>
  <c r="I100" i="22"/>
  <c r="J100" i="22" s="1"/>
  <c r="K100" i="22" s="1"/>
  <c r="N100" i="22"/>
  <c r="O100" i="22"/>
  <c r="P100" i="22"/>
  <c r="Q100" i="22"/>
  <c r="I101" i="22"/>
  <c r="J101" i="22" s="1"/>
  <c r="N101" i="22"/>
  <c r="O101" i="22"/>
  <c r="P101" i="22"/>
  <c r="Q101" i="22"/>
  <c r="I102" i="22"/>
  <c r="J102" i="22" s="1"/>
  <c r="N102" i="22"/>
  <c r="O102" i="22"/>
  <c r="P102" i="22"/>
  <c r="Q102" i="22"/>
  <c r="I103" i="22"/>
  <c r="J103" i="22" s="1"/>
  <c r="N103" i="22"/>
  <c r="O103" i="22"/>
  <c r="P103" i="22"/>
  <c r="Q103" i="22"/>
  <c r="I104" i="22"/>
  <c r="J104" i="22" s="1"/>
  <c r="K104" i="22" s="1"/>
  <c r="N104" i="22"/>
  <c r="O104" i="22"/>
  <c r="P104" i="22"/>
  <c r="Q104" i="22"/>
  <c r="I105" i="22"/>
  <c r="J105" i="22" s="1"/>
  <c r="N105" i="22"/>
  <c r="O105" i="22"/>
  <c r="P105" i="22"/>
  <c r="Q105" i="22"/>
  <c r="I106" i="22"/>
  <c r="J106" i="22" s="1"/>
  <c r="N106" i="22"/>
  <c r="O106" i="22"/>
  <c r="P106" i="22"/>
  <c r="Q106" i="22"/>
  <c r="I107" i="22"/>
  <c r="J107" i="22" s="1"/>
  <c r="N107" i="22"/>
  <c r="O107" i="22"/>
  <c r="P107" i="22"/>
  <c r="Q107" i="22"/>
  <c r="I108" i="22"/>
  <c r="J108" i="22" s="1"/>
  <c r="K108" i="22" s="1"/>
  <c r="N108" i="22"/>
  <c r="O108" i="22"/>
  <c r="P108" i="22"/>
  <c r="Q108" i="22"/>
  <c r="I109" i="22"/>
  <c r="J109" i="22" s="1"/>
  <c r="N109" i="22"/>
  <c r="O109" i="22"/>
  <c r="P109" i="22"/>
  <c r="Q109" i="22"/>
  <c r="I110" i="22"/>
  <c r="J110" i="22" s="1"/>
  <c r="N110" i="22"/>
  <c r="O110" i="22"/>
  <c r="P110" i="22"/>
  <c r="Q110" i="22"/>
  <c r="I111" i="22"/>
  <c r="J111" i="22" s="1"/>
  <c r="N111" i="22"/>
  <c r="O111" i="22"/>
  <c r="P111" i="22"/>
  <c r="Q111" i="22"/>
  <c r="I112" i="22"/>
  <c r="J112" i="22" s="1"/>
  <c r="K112" i="22" s="1"/>
  <c r="N112" i="22"/>
  <c r="O112" i="22"/>
  <c r="P112" i="22"/>
  <c r="Q112" i="22"/>
  <c r="I113" i="22"/>
  <c r="J113" i="22" s="1"/>
  <c r="N113" i="22"/>
  <c r="O113" i="22"/>
  <c r="P113" i="22"/>
  <c r="Q113" i="22"/>
  <c r="I114" i="22"/>
  <c r="J114" i="22" s="1"/>
  <c r="N114" i="22"/>
  <c r="O114" i="22"/>
  <c r="P114" i="22"/>
  <c r="Q114" i="22"/>
  <c r="I115" i="22"/>
  <c r="J115" i="22" s="1"/>
  <c r="N115" i="22"/>
  <c r="O115" i="22"/>
  <c r="P115" i="22"/>
  <c r="Q115" i="22"/>
  <c r="I116" i="22"/>
  <c r="J116" i="22" s="1"/>
  <c r="K116" i="22" s="1"/>
  <c r="N116" i="22"/>
  <c r="O116" i="22"/>
  <c r="P116" i="22"/>
  <c r="Q116" i="22"/>
  <c r="I117" i="22"/>
  <c r="J117" i="22" s="1"/>
  <c r="N117" i="22"/>
  <c r="O117" i="22"/>
  <c r="P117" i="22"/>
  <c r="Q117" i="22"/>
  <c r="I118" i="22"/>
  <c r="J118" i="22" s="1"/>
  <c r="N118" i="22"/>
  <c r="O118" i="22"/>
  <c r="P118" i="22"/>
  <c r="Q118" i="22"/>
  <c r="I119" i="22"/>
  <c r="J119" i="22" s="1"/>
  <c r="L119" i="22" s="1"/>
  <c r="N119" i="22"/>
  <c r="O119" i="22"/>
  <c r="P119" i="22"/>
  <c r="Q119" i="22"/>
  <c r="I120" i="22"/>
  <c r="J120" i="22" s="1"/>
  <c r="K120" i="22" s="1"/>
  <c r="N120" i="22"/>
  <c r="O120" i="22"/>
  <c r="P120" i="22"/>
  <c r="Q120" i="22"/>
  <c r="I121" i="22"/>
  <c r="J121" i="22" s="1"/>
  <c r="N121" i="22"/>
  <c r="O121" i="22"/>
  <c r="P121" i="22"/>
  <c r="Q121" i="22"/>
  <c r="I122" i="22"/>
  <c r="J122" i="22" s="1"/>
  <c r="N122" i="22"/>
  <c r="O122" i="22"/>
  <c r="P122" i="22"/>
  <c r="Q122" i="22"/>
  <c r="I123" i="22"/>
  <c r="J123" i="22" s="1"/>
  <c r="L123" i="22" s="1"/>
  <c r="N123" i="22"/>
  <c r="O123" i="22"/>
  <c r="P123" i="22"/>
  <c r="Q123" i="22"/>
  <c r="I124" i="22"/>
  <c r="J124" i="22" s="1"/>
  <c r="K124" i="22" s="1"/>
  <c r="N124" i="22"/>
  <c r="O124" i="22"/>
  <c r="P124" i="22"/>
  <c r="Q124" i="22"/>
  <c r="I125" i="22"/>
  <c r="J125" i="22" s="1"/>
  <c r="N125" i="22"/>
  <c r="O125" i="22"/>
  <c r="P125" i="22"/>
  <c r="Q125" i="22"/>
  <c r="I126" i="22"/>
  <c r="J126" i="22" s="1"/>
  <c r="N126" i="22"/>
  <c r="O126" i="22"/>
  <c r="P126" i="22"/>
  <c r="Q126" i="22"/>
  <c r="I127" i="22"/>
  <c r="J127" i="22" s="1"/>
  <c r="N127" i="22"/>
  <c r="O127" i="22"/>
  <c r="P127" i="22"/>
  <c r="Q127" i="22"/>
  <c r="I128" i="22"/>
  <c r="J128" i="22" s="1"/>
  <c r="K128" i="22" s="1"/>
  <c r="N128" i="22"/>
  <c r="O128" i="22"/>
  <c r="P128" i="22"/>
  <c r="Q128" i="22"/>
  <c r="I129" i="22"/>
  <c r="J129" i="22" s="1"/>
  <c r="N129" i="22"/>
  <c r="O129" i="22"/>
  <c r="P129" i="22"/>
  <c r="Q129" i="22"/>
  <c r="I130" i="22"/>
  <c r="J130" i="22" s="1"/>
  <c r="N130" i="22"/>
  <c r="O130" i="22"/>
  <c r="P130" i="22"/>
  <c r="Q130" i="22"/>
  <c r="I131" i="22"/>
  <c r="J131" i="22" s="1"/>
  <c r="N131" i="22"/>
  <c r="O131" i="22"/>
  <c r="P131" i="22"/>
  <c r="Q131" i="22"/>
  <c r="I132" i="22"/>
  <c r="J132" i="22" s="1"/>
  <c r="K132" i="22" s="1"/>
  <c r="N132" i="22"/>
  <c r="O132" i="22"/>
  <c r="P132" i="22"/>
  <c r="Q132" i="22"/>
  <c r="I133" i="22"/>
  <c r="J133" i="22" s="1"/>
  <c r="N133" i="22"/>
  <c r="O133" i="22"/>
  <c r="P133" i="22"/>
  <c r="Q133" i="22"/>
  <c r="I134" i="22"/>
  <c r="J134" i="22" s="1"/>
  <c r="N134" i="22"/>
  <c r="O134" i="22"/>
  <c r="P134" i="22"/>
  <c r="Q134" i="22"/>
  <c r="I135" i="22"/>
  <c r="J135" i="22" s="1"/>
  <c r="N135" i="22"/>
  <c r="O135" i="22"/>
  <c r="P135" i="22"/>
  <c r="Q135" i="22"/>
  <c r="I136" i="22"/>
  <c r="J136" i="22" s="1"/>
  <c r="N136" i="22"/>
  <c r="O136" i="22"/>
  <c r="P136" i="22"/>
  <c r="Q136" i="22"/>
  <c r="I137" i="22"/>
  <c r="J137" i="22" s="1"/>
  <c r="N137" i="22"/>
  <c r="O137" i="22"/>
  <c r="P137" i="22"/>
  <c r="Q137" i="22"/>
  <c r="I138" i="22"/>
  <c r="J138" i="22" s="1"/>
  <c r="L138" i="22" s="1"/>
  <c r="N138" i="22"/>
  <c r="O138" i="22"/>
  <c r="P138" i="22"/>
  <c r="Q138" i="22"/>
  <c r="I139" i="22"/>
  <c r="J139" i="22" s="1"/>
  <c r="N139" i="22"/>
  <c r="O139" i="22"/>
  <c r="P139" i="22"/>
  <c r="Q139" i="22"/>
  <c r="I140" i="22"/>
  <c r="J140" i="22" s="1"/>
  <c r="N140" i="22"/>
  <c r="O140" i="22"/>
  <c r="P140" i="22"/>
  <c r="Q140" i="22"/>
  <c r="I141" i="22"/>
  <c r="J141" i="22" s="1"/>
  <c r="M141" i="22" s="1"/>
  <c r="N141" i="22"/>
  <c r="O141" i="22"/>
  <c r="P141" i="22"/>
  <c r="Q141" i="22"/>
  <c r="I142" i="22"/>
  <c r="J142" i="22" s="1"/>
  <c r="L142" i="22" s="1"/>
  <c r="N142" i="22"/>
  <c r="O142" i="22"/>
  <c r="P142" i="22"/>
  <c r="Q142" i="22"/>
  <c r="I143" i="22"/>
  <c r="J143" i="22" s="1"/>
  <c r="L143" i="22" s="1"/>
  <c r="N143" i="22"/>
  <c r="O143" i="22"/>
  <c r="P143" i="22"/>
  <c r="Q143" i="22"/>
  <c r="I144" i="22"/>
  <c r="J144" i="22" s="1"/>
  <c r="N144" i="22"/>
  <c r="O144" i="22"/>
  <c r="P144" i="22"/>
  <c r="Q144" i="22"/>
  <c r="I145" i="22"/>
  <c r="J145" i="22" s="1"/>
  <c r="M145" i="22" s="1"/>
  <c r="N145" i="22"/>
  <c r="O145" i="22"/>
  <c r="P145" i="22"/>
  <c r="Q145" i="22"/>
  <c r="I146" i="22"/>
  <c r="J146" i="22" s="1"/>
  <c r="N146" i="22"/>
  <c r="O146" i="22"/>
  <c r="P146" i="22"/>
  <c r="Q146" i="22"/>
  <c r="I147" i="22"/>
  <c r="J147" i="22" s="1"/>
  <c r="N147" i="22"/>
  <c r="O147" i="22"/>
  <c r="P147" i="22"/>
  <c r="Q147" i="22"/>
  <c r="I148" i="22"/>
  <c r="J148" i="22" s="1"/>
  <c r="N148" i="22"/>
  <c r="O148" i="22"/>
  <c r="P148" i="22"/>
  <c r="Q148" i="22"/>
  <c r="I149" i="22"/>
  <c r="J149" i="22" s="1"/>
  <c r="N149" i="22"/>
  <c r="O149" i="22"/>
  <c r="P149" i="22"/>
  <c r="Q149" i="22"/>
  <c r="I150" i="22"/>
  <c r="J150" i="22" s="1"/>
  <c r="K150" i="22" s="1"/>
  <c r="N150" i="22"/>
  <c r="O150" i="22"/>
  <c r="P150" i="22"/>
  <c r="Q150" i="22"/>
  <c r="I151" i="22"/>
  <c r="J151" i="22" s="1"/>
  <c r="K151" i="22" s="1"/>
  <c r="N151" i="22"/>
  <c r="O151" i="22"/>
  <c r="P151" i="22"/>
  <c r="Q151" i="22"/>
  <c r="I152" i="22"/>
  <c r="J152" i="22" s="1"/>
  <c r="N152" i="22"/>
  <c r="O152" i="22"/>
  <c r="P152" i="22"/>
  <c r="Q152" i="22"/>
  <c r="I153" i="22"/>
  <c r="J153" i="22" s="1"/>
  <c r="N153" i="22"/>
  <c r="O153" i="22"/>
  <c r="P153" i="22"/>
  <c r="Q153" i="22"/>
  <c r="I154" i="22"/>
  <c r="J154" i="22" s="1"/>
  <c r="N154" i="22"/>
  <c r="O154" i="22"/>
  <c r="P154" i="22"/>
  <c r="Q154" i="22"/>
  <c r="I155" i="22"/>
  <c r="J155" i="22" s="1"/>
  <c r="L155" i="22" s="1"/>
  <c r="N155" i="22"/>
  <c r="O155" i="22"/>
  <c r="P155" i="22"/>
  <c r="Q155" i="22"/>
  <c r="I156" i="22"/>
  <c r="J156" i="22" s="1"/>
  <c r="K156" i="22" s="1"/>
  <c r="N156" i="22"/>
  <c r="O156" i="22"/>
  <c r="P156" i="22"/>
  <c r="Q156" i="22"/>
  <c r="I157" i="22"/>
  <c r="J157" i="22" s="1"/>
  <c r="N157" i="22"/>
  <c r="O157" i="22"/>
  <c r="P157" i="22"/>
  <c r="Q157" i="22"/>
  <c r="I158" i="22"/>
  <c r="J158" i="22" s="1"/>
  <c r="N158" i="22"/>
  <c r="O158" i="22"/>
  <c r="P158" i="22"/>
  <c r="Q158" i="22"/>
  <c r="I159" i="22"/>
  <c r="J159" i="22" s="1"/>
  <c r="L159" i="22" s="1"/>
  <c r="N159" i="22"/>
  <c r="O159" i="22"/>
  <c r="P159" i="22"/>
  <c r="Q159" i="22"/>
  <c r="I160" i="22"/>
  <c r="J160" i="22" s="1"/>
  <c r="K160" i="22" s="1"/>
  <c r="N160" i="22"/>
  <c r="O160" i="22"/>
  <c r="P160" i="22"/>
  <c r="Q160" i="22"/>
  <c r="I161" i="22"/>
  <c r="J161" i="22" s="1"/>
  <c r="N161" i="22"/>
  <c r="O161" i="22"/>
  <c r="P161" i="22"/>
  <c r="Q161" i="22"/>
  <c r="I162" i="22"/>
  <c r="J162" i="22" s="1"/>
  <c r="N162" i="22"/>
  <c r="O162" i="22"/>
  <c r="P162" i="22"/>
  <c r="Q162" i="22"/>
  <c r="I163" i="22"/>
  <c r="J163" i="22" s="1"/>
  <c r="L163" i="22" s="1"/>
  <c r="N163" i="22"/>
  <c r="O163" i="22"/>
  <c r="P163" i="22"/>
  <c r="Q163" i="22"/>
  <c r="I164" i="22"/>
  <c r="J164" i="22" s="1"/>
  <c r="K164" i="22" s="1"/>
  <c r="N164" i="22"/>
  <c r="O164" i="22"/>
  <c r="P164" i="22"/>
  <c r="Q164" i="22"/>
  <c r="I165" i="22"/>
  <c r="J165" i="22" s="1"/>
  <c r="N165" i="22"/>
  <c r="O165" i="22"/>
  <c r="P165" i="22"/>
  <c r="Q165" i="22"/>
  <c r="I166" i="22"/>
  <c r="J166" i="22" s="1"/>
  <c r="N166" i="22"/>
  <c r="O166" i="22"/>
  <c r="P166" i="22"/>
  <c r="Q166" i="22"/>
  <c r="I167" i="22"/>
  <c r="J167" i="22" s="1"/>
  <c r="L167" i="22" s="1"/>
  <c r="N167" i="22"/>
  <c r="O167" i="22"/>
  <c r="P167" i="22"/>
  <c r="Q167" i="22"/>
  <c r="I168" i="22"/>
  <c r="J168" i="22" s="1"/>
  <c r="K168" i="22" s="1"/>
  <c r="N168" i="22"/>
  <c r="O168" i="22"/>
  <c r="P168" i="22"/>
  <c r="Q168" i="22"/>
  <c r="I169" i="22"/>
  <c r="J169" i="22" s="1"/>
  <c r="N169" i="22"/>
  <c r="O169" i="22"/>
  <c r="P169" i="22"/>
  <c r="Q169" i="22"/>
  <c r="I170" i="22"/>
  <c r="J170" i="22" s="1"/>
  <c r="N170" i="22"/>
  <c r="O170" i="22"/>
  <c r="P170" i="22"/>
  <c r="Q170" i="22"/>
  <c r="I171" i="22"/>
  <c r="J171" i="22" s="1"/>
  <c r="L171" i="22" s="1"/>
  <c r="N171" i="22"/>
  <c r="O171" i="22"/>
  <c r="P171" i="22"/>
  <c r="Q171" i="22"/>
  <c r="I172" i="22"/>
  <c r="J172" i="22" s="1"/>
  <c r="K172" i="22" s="1"/>
  <c r="N172" i="22"/>
  <c r="O172" i="22"/>
  <c r="P172" i="22"/>
  <c r="Q172" i="22"/>
  <c r="I173" i="22"/>
  <c r="J173" i="22" s="1"/>
  <c r="N173" i="22"/>
  <c r="O173" i="22"/>
  <c r="P173" i="22"/>
  <c r="Q173" i="22"/>
  <c r="I174" i="22"/>
  <c r="J174" i="22" s="1"/>
  <c r="N174" i="22"/>
  <c r="O174" i="22"/>
  <c r="P174" i="22"/>
  <c r="Q174" i="22"/>
  <c r="I175" i="22"/>
  <c r="J175" i="22" s="1"/>
  <c r="L175" i="22" s="1"/>
  <c r="N175" i="22"/>
  <c r="O175" i="22"/>
  <c r="P175" i="22"/>
  <c r="Q175" i="22"/>
  <c r="I176" i="22"/>
  <c r="J176" i="22" s="1"/>
  <c r="K176" i="22" s="1"/>
  <c r="N176" i="22"/>
  <c r="O176" i="22"/>
  <c r="P176" i="22"/>
  <c r="Q176" i="22"/>
  <c r="I177" i="22"/>
  <c r="J177" i="22" s="1"/>
  <c r="N177" i="22"/>
  <c r="O177" i="22"/>
  <c r="P177" i="22"/>
  <c r="Q177" i="22"/>
  <c r="I178" i="22"/>
  <c r="J178" i="22" s="1"/>
  <c r="N178" i="22"/>
  <c r="O178" i="22"/>
  <c r="P178" i="22"/>
  <c r="Q178" i="22"/>
  <c r="I179" i="22"/>
  <c r="J179" i="22" s="1"/>
  <c r="L179" i="22" s="1"/>
  <c r="N179" i="22"/>
  <c r="O179" i="22"/>
  <c r="P179" i="22"/>
  <c r="Q179" i="22"/>
  <c r="I180" i="22"/>
  <c r="J180" i="22" s="1"/>
  <c r="K180" i="22" s="1"/>
  <c r="N180" i="22"/>
  <c r="O180" i="22"/>
  <c r="P180" i="22"/>
  <c r="Q180" i="22"/>
  <c r="I181" i="22"/>
  <c r="J181" i="22" s="1"/>
  <c r="N181" i="22"/>
  <c r="O181" i="22"/>
  <c r="P181" i="22"/>
  <c r="Q181" i="22"/>
  <c r="I182" i="22"/>
  <c r="J182" i="22" s="1"/>
  <c r="N182" i="22"/>
  <c r="O182" i="22"/>
  <c r="P182" i="22"/>
  <c r="Q182" i="22"/>
  <c r="I183" i="22"/>
  <c r="J183" i="22" s="1"/>
  <c r="L183" i="22" s="1"/>
  <c r="N183" i="22"/>
  <c r="O183" i="22"/>
  <c r="P183" i="22"/>
  <c r="Q183" i="22"/>
  <c r="I184" i="22"/>
  <c r="J184" i="22" s="1"/>
  <c r="K184" i="22" s="1"/>
  <c r="N184" i="22"/>
  <c r="O184" i="22"/>
  <c r="P184" i="22"/>
  <c r="Q184" i="22"/>
  <c r="I185" i="22"/>
  <c r="J185" i="22" s="1"/>
  <c r="N185" i="22"/>
  <c r="O185" i="22"/>
  <c r="P185" i="22"/>
  <c r="Q185" i="22"/>
  <c r="I186" i="22"/>
  <c r="J186" i="22" s="1"/>
  <c r="N186" i="22"/>
  <c r="O186" i="22"/>
  <c r="P186" i="22"/>
  <c r="Q186" i="22"/>
  <c r="I187" i="22"/>
  <c r="J187" i="22" s="1"/>
  <c r="L187" i="22" s="1"/>
  <c r="N187" i="22"/>
  <c r="O187" i="22"/>
  <c r="P187" i="22"/>
  <c r="Q187" i="22"/>
  <c r="I188" i="22"/>
  <c r="J188" i="22" s="1"/>
  <c r="K188" i="22" s="1"/>
  <c r="N188" i="22"/>
  <c r="O188" i="22"/>
  <c r="P188" i="22"/>
  <c r="Q188" i="22"/>
  <c r="I189" i="22"/>
  <c r="J189" i="22" s="1"/>
  <c r="N189" i="22"/>
  <c r="O189" i="22"/>
  <c r="P189" i="22"/>
  <c r="Q189" i="22"/>
  <c r="I190" i="22"/>
  <c r="J190" i="22" s="1"/>
  <c r="N190" i="22"/>
  <c r="O190" i="22"/>
  <c r="P190" i="22"/>
  <c r="Q190" i="22"/>
  <c r="I191" i="22"/>
  <c r="J191" i="22" s="1"/>
  <c r="L191" i="22" s="1"/>
  <c r="N191" i="22"/>
  <c r="O191" i="22"/>
  <c r="P191" i="22"/>
  <c r="Q191" i="22"/>
  <c r="I192" i="22"/>
  <c r="J192" i="22" s="1"/>
  <c r="K192" i="22" s="1"/>
  <c r="N192" i="22"/>
  <c r="O192" i="22"/>
  <c r="P192" i="22"/>
  <c r="Q192" i="22"/>
  <c r="I193" i="22"/>
  <c r="J193" i="22" s="1"/>
  <c r="N193" i="22"/>
  <c r="O193" i="22"/>
  <c r="P193" i="22"/>
  <c r="Q193" i="22"/>
  <c r="I194" i="22"/>
  <c r="J194" i="22" s="1"/>
  <c r="N194" i="22"/>
  <c r="O194" i="22"/>
  <c r="P194" i="22"/>
  <c r="Q194" i="22"/>
  <c r="I195" i="22"/>
  <c r="J195" i="22" s="1"/>
  <c r="L195" i="22" s="1"/>
  <c r="N195" i="22"/>
  <c r="O195" i="22"/>
  <c r="P195" i="22"/>
  <c r="Q195" i="22"/>
  <c r="I196" i="22"/>
  <c r="J196" i="22" s="1"/>
  <c r="K196" i="22" s="1"/>
  <c r="N196" i="22"/>
  <c r="O196" i="22"/>
  <c r="P196" i="22"/>
  <c r="Q196" i="22"/>
  <c r="I197" i="22"/>
  <c r="J197" i="22" s="1"/>
  <c r="N197" i="22"/>
  <c r="O197" i="22"/>
  <c r="P197" i="22"/>
  <c r="Q197" i="22"/>
  <c r="I198" i="22"/>
  <c r="J198" i="22" s="1"/>
  <c r="N198" i="22"/>
  <c r="O198" i="22"/>
  <c r="P198" i="22"/>
  <c r="Q198" i="22"/>
  <c r="I199" i="22"/>
  <c r="J199" i="22" s="1"/>
  <c r="L199" i="22" s="1"/>
  <c r="N199" i="22"/>
  <c r="O199" i="22"/>
  <c r="P199" i="22"/>
  <c r="Q199" i="22"/>
  <c r="I200" i="22"/>
  <c r="J200" i="22" s="1"/>
  <c r="K200" i="22" s="1"/>
  <c r="N200" i="22"/>
  <c r="O200" i="22"/>
  <c r="P200" i="22"/>
  <c r="Q200" i="22"/>
  <c r="I201" i="22"/>
  <c r="J201" i="22" s="1"/>
  <c r="N201" i="22"/>
  <c r="O201" i="22"/>
  <c r="P201" i="22"/>
  <c r="Q201" i="22"/>
  <c r="I202" i="22"/>
  <c r="J202" i="22" s="1"/>
  <c r="N202" i="22"/>
  <c r="O202" i="22"/>
  <c r="P202" i="22"/>
  <c r="Q202" i="22"/>
  <c r="I203" i="22"/>
  <c r="J203" i="22" s="1"/>
  <c r="L203" i="22" s="1"/>
  <c r="N203" i="22"/>
  <c r="O203" i="22"/>
  <c r="P203" i="22"/>
  <c r="Q203" i="22"/>
  <c r="I204" i="22"/>
  <c r="J204" i="22" s="1"/>
  <c r="K204" i="22" s="1"/>
  <c r="N204" i="22"/>
  <c r="O204" i="22"/>
  <c r="P204" i="22"/>
  <c r="Q204" i="22"/>
  <c r="I205" i="22"/>
  <c r="J205" i="22" s="1"/>
  <c r="N205" i="22"/>
  <c r="O205" i="22"/>
  <c r="P205" i="22"/>
  <c r="Q205" i="22"/>
  <c r="I206" i="22"/>
  <c r="J206" i="22" s="1"/>
  <c r="N206" i="22"/>
  <c r="O206" i="22"/>
  <c r="P206" i="22"/>
  <c r="Q206" i="22"/>
  <c r="I207" i="22"/>
  <c r="J207" i="22" s="1"/>
  <c r="L207" i="22" s="1"/>
  <c r="N207" i="22"/>
  <c r="O207" i="22"/>
  <c r="P207" i="22"/>
  <c r="Q207" i="22"/>
  <c r="I208" i="22"/>
  <c r="J208" i="22" s="1"/>
  <c r="K208" i="22" s="1"/>
  <c r="N208" i="22"/>
  <c r="O208" i="22"/>
  <c r="P208" i="22"/>
  <c r="Q208" i="22"/>
  <c r="I209" i="22"/>
  <c r="J209" i="22" s="1"/>
  <c r="N209" i="22"/>
  <c r="O209" i="22"/>
  <c r="P209" i="22"/>
  <c r="Q209" i="22"/>
  <c r="I210" i="22"/>
  <c r="J210" i="22" s="1"/>
  <c r="N210" i="22"/>
  <c r="O210" i="22"/>
  <c r="P210" i="22"/>
  <c r="Q210" i="22"/>
  <c r="I211" i="22"/>
  <c r="J211" i="22" s="1"/>
  <c r="L211" i="22" s="1"/>
  <c r="N211" i="22"/>
  <c r="O211" i="22"/>
  <c r="P211" i="22"/>
  <c r="Q211" i="22"/>
  <c r="I212" i="22"/>
  <c r="J212" i="22" s="1"/>
  <c r="K212" i="22" s="1"/>
  <c r="N212" i="22"/>
  <c r="O212" i="22"/>
  <c r="P212" i="22"/>
  <c r="Q212" i="22"/>
  <c r="I213" i="22"/>
  <c r="J213" i="22" s="1"/>
  <c r="N213" i="22"/>
  <c r="O213" i="22"/>
  <c r="P213" i="22"/>
  <c r="Q213" i="22"/>
  <c r="I214" i="22"/>
  <c r="J214" i="22" s="1"/>
  <c r="N214" i="22"/>
  <c r="O214" i="22"/>
  <c r="P214" i="22"/>
  <c r="Q214" i="22"/>
  <c r="I215" i="22"/>
  <c r="J215" i="22" s="1"/>
  <c r="L215" i="22" s="1"/>
  <c r="N215" i="22"/>
  <c r="O215" i="22"/>
  <c r="P215" i="22"/>
  <c r="Q215" i="22"/>
  <c r="I216" i="22"/>
  <c r="J216" i="22" s="1"/>
  <c r="K216" i="22" s="1"/>
  <c r="N216" i="22"/>
  <c r="O216" i="22"/>
  <c r="P216" i="22"/>
  <c r="Q216" i="22"/>
  <c r="I217" i="22"/>
  <c r="J217" i="22" s="1"/>
  <c r="N217" i="22"/>
  <c r="O217" i="22"/>
  <c r="P217" i="22"/>
  <c r="Q217" i="22"/>
  <c r="I218" i="22"/>
  <c r="J218" i="22" s="1"/>
  <c r="N218" i="22"/>
  <c r="O218" i="22"/>
  <c r="P218" i="22"/>
  <c r="Q218" i="22"/>
  <c r="I219" i="22"/>
  <c r="J219" i="22" s="1"/>
  <c r="L219" i="22" s="1"/>
  <c r="N219" i="22"/>
  <c r="O219" i="22"/>
  <c r="P219" i="22"/>
  <c r="Q219" i="22"/>
  <c r="I220" i="22"/>
  <c r="J220" i="22" s="1"/>
  <c r="K220" i="22" s="1"/>
  <c r="N220" i="22"/>
  <c r="O220" i="22"/>
  <c r="P220" i="22"/>
  <c r="Q220" i="22"/>
  <c r="I221" i="22"/>
  <c r="J221" i="22" s="1"/>
  <c r="N221" i="22"/>
  <c r="O221" i="22"/>
  <c r="P221" i="22"/>
  <c r="Q221" i="22"/>
  <c r="I222" i="22"/>
  <c r="J222" i="22" s="1"/>
  <c r="N222" i="22"/>
  <c r="O222" i="22"/>
  <c r="P222" i="22"/>
  <c r="Q222" i="22"/>
  <c r="I223" i="22"/>
  <c r="J223" i="22" s="1"/>
  <c r="L223" i="22" s="1"/>
  <c r="N223" i="22"/>
  <c r="O223" i="22"/>
  <c r="P223" i="22"/>
  <c r="Q223" i="22"/>
  <c r="I224" i="22"/>
  <c r="J224" i="22" s="1"/>
  <c r="K224" i="22" s="1"/>
  <c r="N224" i="22"/>
  <c r="O224" i="22"/>
  <c r="P224" i="22"/>
  <c r="Q224" i="22"/>
  <c r="I225" i="22"/>
  <c r="J225" i="22" s="1"/>
  <c r="N225" i="22"/>
  <c r="O225" i="22"/>
  <c r="P225" i="22"/>
  <c r="Q225" i="22"/>
  <c r="I226" i="22"/>
  <c r="J226" i="22" s="1"/>
  <c r="N226" i="22"/>
  <c r="O226" i="22"/>
  <c r="P226" i="22"/>
  <c r="Q226" i="22"/>
  <c r="I227" i="22"/>
  <c r="J227" i="22" s="1"/>
  <c r="L227" i="22" s="1"/>
  <c r="N227" i="22"/>
  <c r="O227" i="22"/>
  <c r="P227" i="22"/>
  <c r="Q227" i="22"/>
  <c r="I228" i="22"/>
  <c r="J228" i="22" s="1"/>
  <c r="K228" i="22" s="1"/>
  <c r="N228" i="22"/>
  <c r="O228" i="22"/>
  <c r="P228" i="22"/>
  <c r="Q228" i="22"/>
  <c r="I229" i="22"/>
  <c r="J229" i="22" s="1"/>
  <c r="N229" i="22"/>
  <c r="O229" i="22"/>
  <c r="P229" i="22"/>
  <c r="Q229" i="22"/>
  <c r="I230" i="22"/>
  <c r="J230" i="22" s="1"/>
  <c r="N230" i="22"/>
  <c r="O230" i="22"/>
  <c r="P230" i="22"/>
  <c r="Q230" i="22"/>
  <c r="I231" i="22"/>
  <c r="J231" i="22" s="1"/>
  <c r="N231" i="22"/>
  <c r="O231" i="22"/>
  <c r="P231" i="22"/>
  <c r="Q231" i="22"/>
  <c r="I232" i="22"/>
  <c r="J232" i="22" s="1"/>
  <c r="K232" i="22" s="1"/>
  <c r="N232" i="22"/>
  <c r="O232" i="22"/>
  <c r="P232" i="22"/>
  <c r="Q232" i="22"/>
  <c r="I233" i="22"/>
  <c r="J233" i="22" s="1"/>
  <c r="K233" i="22" s="1"/>
  <c r="N233" i="22"/>
  <c r="O233" i="22"/>
  <c r="P233" i="22"/>
  <c r="Q233" i="22"/>
  <c r="I234" i="22"/>
  <c r="J234" i="22" s="1"/>
  <c r="L234" i="22" s="1"/>
  <c r="N234" i="22"/>
  <c r="O234" i="22"/>
  <c r="P234" i="22"/>
  <c r="Q234" i="22"/>
  <c r="I235" i="22"/>
  <c r="J235" i="22" s="1"/>
  <c r="M235" i="22" s="1"/>
  <c r="N235" i="22"/>
  <c r="O235" i="22"/>
  <c r="P235" i="22"/>
  <c r="Q235" i="22"/>
  <c r="I236" i="22"/>
  <c r="J236" i="22" s="1"/>
  <c r="K236" i="22" s="1"/>
  <c r="N236" i="22"/>
  <c r="O236" i="22"/>
  <c r="P236" i="22"/>
  <c r="Q236" i="22"/>
  <c r="I237" i="22"/>
  <c r="J237" i="22" s="1"/>
  <c r="L237" i="22" s="1"/>
  <c r="N237" i="22"/>
  <c r="O237" i="22"/>
  <c r="P237" i="22"/>
  <c r="Q237" i="22"/>
  <c r="I238" i="22"/>
  <c r="J238" i="22" s="1"/>
  <c r="L238" i="22" s="1"/>
  <c r="N238" i="22"/>
  <c r="O238" i="22"/>
  <c r="P238" i="22"/>
  <c r="Q238" i="22"/>
  <c r="I239" i="22"/>
  <c r="J239" i="22" s="1"/>
  <c r="N239" i="22"/>
  <c r="O239" i="22"/>
  <c r="P239" i="22"/>
  <c r="Q239" i="22"/>
  <c r="I240" i="22"/>
  <c r="J240" i="22" s="1"/>
  <c r="K240" i="22" s="1"/>
  <c r="N240" i="22"/>
  <c r="O240" i="22"/>
  <c r="P240" i="22"/>
  <c r="Q240" i="22"/>
  <c r="I241" i="22"/>
  <c r="J241" i="22" s="1"/>
  <c r="L241" i="22" s="1"/>
  <c r="N241" i="22"/>
  <c r="O241" i="22"/>
  <c r="P241" i="22"/>
  <c r="Q241" i="22"/>
  <c r="I242" i="22"/>
  <c r="J242" i="22" s="1"/>
  <c r="L242" i="22" s="1"/>
  <c r="N242" i="22"/>
  <c r="O242" i="22"/>
  <c r="P242" i="22"/>
  <c r="Q242" i="22"/>
  <c r="I243" i="22"/>
  <c r="J243" i="22" s="1"/>
  <c r="M243" i="22" s="1"/>
  <c r="N243" i="22"/>
  <c r="O243" i="22"/>
  <c r="P243" i="22"/>
  <c r="Q243" i="22"/>
  <c r="I244" i="22"/>
  <c r="J244" i="22" s="1"/>
  <c r="K244" i="22" s="1"/>
  <c r="N244" i="22"/>
  <c r="O244" i="22"/>
  <c r="P244" i="22"/>
  <c r="Q244" i="22"/>
  <c r="I245" i="22"/>
  <c r="J245" i="22" s="1"/>
  <c r="N245" i="22"/>
  <c r="O245" i="22"/>
  <c r="P245" i="22"/>
  <c r="Q245" i="22"/>
  <c r="I246" i="22"/>
  <c r="J246" i="22" s="1"/>
  <c r="L246" i="22" s="1"/>
  <c r="N246" i="22"/>
  <c r="O246" i="22"/>
  <c r="P246" i="22"/>
  <c r="Q246" i="22"/>
  <c r="I247" i="22"/>
  <c r="J247" i="22" s="1"/>
  <c r="N247" i="22"/>
  <c r="O247" i="22"/>
  <c r="P247" i="22"/>
  <c r="Q247" i="22"/>
  <c r="I248" i="22"/>
  <c r="J248" i="22" s="1"/>
  <c r="K248" i="22" s="1"/>
  <c r="N248" i="22"/>
  <c r="O248" i="22"/>
  <c r="P248" i="22"/>
  <c r="Q248" i="22"/>
  <c r="I249" i="22"/>
  <c r="J249" i="22" s="1"/>
  <c r="L249" i="22" s="1"/>
  <c r="N249" i="22"/>
  <c r="O249" i="22"/>
  <c r="P249" i="22"/>
  <c r="Q249" i="22"/>
  <c r="I250" i="22"/>
  <c r="J250" i="22" s="1"/>
  <c r="L250" i="22" s="1"/>
  <c r="N250" i="22"/>
  <c r="O250" i="22"/>
  <c r="P250" i="22"/>
  <c r="Q250" i="22"/>
  <c r="I251" i="22"/>
  <c r="J251" i="22" s="1"/>
  <c r="N251" i="22"/>
  <c r="O251" i="22"/>
  <c r="P251" i="22"/>
  <c r="Q251" i="22"/>
  <c r="I252" i="22"/>
  <c r="J252" i="22" s="1"/>
  <c r="N252" i="22"/>
  <c r="O252" i="22"/>
  <c r="P252" i="22"/>
  <c r="Q252" i="22"/>
  <c r="I253" i="22"/>
  <c r="J253" i="22" s="1"/>
  <c r="N253" i="22"/>
  <c r="O253" i="22"/>
  <c r="P253" i="22"/>
  <c r="Q253" i="22"/>
  <c r="I254" i="22"/>
  <c r="J254" i="22" s="1"/>
  <c r="L254" i="22" s="1"/>
  <c r="N254" i="22"/>
  <c r="O254" i="22"/>
  <c r="P254" i="22"/>
  <c r="Q254" i="22"/>
  <c r="I255" i="22"/>
  <c r="J255" i="22" s="1"/>
  <c r="K255" i="22" s="1"/>
  <c r="N255" i="22"/>
  <c r="O255" i="22"/>
  <c r="P255" i="22"/>
  <c r="Q255" i="22"/>
  <c r="I256" i="22"/>
  <c r="J256" i="22" s="1"/>
  <c r="N256" i="22"/>
  <c r="O256" i="22"/>
  <c r="P256" i="22"/>
  <c r="Q256" i="22"/>
  <c r="I257" i="22"/>
  <c r="J257" i="22" s="1"/>
  <c r="N257" i="22"/>
  <c r="O257" i="22"/>
  <c r="P257" i="22"/>
  <c r="Q257" i="22"/>
  <c r="I258" i="22"/>
  <c r="J258" i="22" s="1"/>
  <c r="N258" i="22"/>
  <c r="O258" i="22"/>
  <c r="P258" i="22"/>
  <c r="Q258" i="22"/>
  <c r="I259" i="22"/>
  <c r="J259" i="22" s="1"/>
  <c r="N259" i="22"/>
  <c r="O259" i="22"/>
  <c r="P259" i="22"/>
  <c r="Q259" i="22"/>
  <c r="I260" i="22"/>
  <c r="J260" i="22" s="1"/>
  <c r="K260" i="22" s="1"/>
  <c r="M260" i="22" s="1"/>
  <c r="N260" i="22"/>
  <c r="O260" i="22"/>
  <c r="P260" i="22"/>
  <c r="Q260" i="22"/>
  <c r="I261" i="22"/>
  <c r="J261" i="22" s="1"/>
  <c r="N261" i="22"/>
  <c r="O261" i="22"/>
  <c r="P261" i="22"/>
  <c r="Q261" i="22"/>
  <c r="I262" i="22"/>
  <c r="J262" i="22" s="1"/>
  <c r="N262" i="22"/>
  <c r="O262" i="22"/>
  <c r="P262" i="22"/>
  <c r="Q262" i="22"/>
  <c r="I263" i="22"/>
  <c r="J263" i="22" s="1"/>
  <c r="N263" i="22"/>
  <c r="O263" i="22"/>
  <c r="P263" i="22"/>
  <c r="Q263" i="22"/>
  <c r="I264" i="22"/>
  <c r="J264" i="22" s="1"/>
  <c r="K264" i="22" s="1"/>
  <c r="M264" i="22" s="1"/>
  <c r="N264" i="22"/>
  <c r="O264" i="22"/>
  <c r="P264" i="22"/>
  <c r="Q264" i="22"/>
  <c r="I265" i="22"/>
  <c r="J265" i="22" s="1"/>
  <c r="N265" i="22"/>
  <c r="O265" i="22"/>
  <c r="P265" i="22"/>
  <c r="Q265" i="22"/>
  <c r="I266" i="22"/>
  <c r="J266" i="22" s="1"/>
  <c r="K266" i="22" s="1"/>
  <c r="N266" i="22"/>
  <c r="O266" i="22"/>
  <c r="P266" i="22"/>
  <c r="Q266" i="22"/>
  <c r="I267" i="22"/>
  <c r="J267" i="22" s="1"/>
  <c r="N267" i="22"/>
  <c r="O267" i="22"/>
  <c r="P267" i="22"/>
  <c r="Q267" i="22"/>
  <c r="I268" i="22"/>
  <c r="J268" i="22" s="1"/>
  <c r="N268" i="22"/>
  <c r="O268" i="22"/>
  <c r="P268" i="22"/>
  <c r="Q268" i="22"/>
  <c r="I269" i="22"/>
  <c r="J269" i="22" s="1"/>
  <c r="L269" i="22" s="1"/>
  <c r="N269" i="22"/>
  <c r="O269" i="22"/>
  <c r="P269" i="22"/>
  <c r="Q269" i="22"/>
  <c r="I270" i="22"/>
  <c r="J270" i="22" s="1"/>
  <c r="K270" i="22" s="1"/>
  <c r="N270" i="22"/>
  <c r="O270" i="22"/>
  <c r="P270" i="22"/>
  <c r="Q270" i="22"/>
  <c r="I271" i="22"/>
  <c r="J271" i="22" s="1"/>
  <c r="N271" i="22"/>
  <c r="O271" i="22"/>
  <c r="P271" i="22"/>
  <c r="Q271" i="22"/>
  <c r="I272" i="22"/>
  <c r="J272" i="22" s="1"/>
  <c r="N272" i="22"/>
  <c r="O272" i="22"/>
  <c r="P272" i="22"/>
  <c r="Q272" i="22"/>
  <c r="I273" i="22"/>
  <c r="J273" i="22" s="1"/>
  <c r="N273" i="22"/>
  <c r="O273" i="22"/>
  <c r="P273" i="22"/>
  <c r="Q273" i="22"/>
  <c r="I274" i="22"/>
  <c r="J274" i="22" s="1"/>
  <c r="N274" i="22"/>
  <c r="O274" i="22"/>
  <c r="P274" i="22"/>
  <c r="Q274" i="22"/>
  <c r="I275" i="22"/>
  <c r="J275" i="22" s="1"/>
  <c r="N275" i="22"/>
  <c r="O275" i="22"/>
  <c r="P275" i="22"/>
  <c r="Q275" i="22"/>
  <c r="I276" i="22"/>
  <c r="J276" i="22" s="1"/>
  <c r="N276" i="22"/>
  <c r="O276" i="22"/>
  <c r="P276" i="22"/>
  <c r="Q276" i="22"/>
  <c r="I277" i="22"/>
  <c r="J277" i="22" s="1"/>
  <c r="N277" i="22"/>
  <c r="O277" i="22"/>
  <c r="P277" i="22"/>
  <c r="Q277" i="22"/>
  <c r="I278" i="22"/>
  <c r="J278" i="22" s="1"/>
  <c r="K278" i="22" s="1"/>
  <c r="N278" i="22"/>
  <c r="O278" i="22"/>
  <c r="P278" i="22"/>
  <c r="Q278" i="22"/>
  <c r="I279" i="22"/>
  <c r="J279" i="22" s="1"/>
  <c r="N279" i="22"/>
  <c r="O279" i="22"/>
  <c r="P279" i="22"/>
  <c r="Q279" i="22"/>
  <c r="I280" i="22"/>
  <c r="J280" i="22" s="1"/>
  <c r="N280" i="22"/>
  <c r="O280" i="22"/>
  <c r="P280" i="22"/>
  <c r="Q280" i="22"/>
  <c r="I281" i="22"/>
  <c r="J281" i="22" s="1"/>
  <c r="L281" i="22" s="1"/>
  <c r="N281" i="22"/>
  <c r="O281" i="22"/>
  <c r="P281" i="22"/>
  <c r="Q281" i="22"/>
  <c r="I282" i="22"/>
  <c r="J282" i="22" s="1"/>
  <c r="K282" i="22" s="1"/>
  <c r="N282" i="22"/>
  <c r="O282" i="22"/>
  <c r="P282" i="22"/>
  <c r="Q282" i="22"/>
  <c r="I283" i="22"/>
  <c r="J283" i="22" s="1"/>
  <c r="L283" i="22" s="1"/>
  <c r="N283" i="22"/>
  <c r="O283" i="22"/>
  <c r="P283" i="22"/>
  <c r="Q283" i="22"/>
  <c r="I284" i="22"/>
  <c r="J284" i="22" s="1"/>
  <c r="N284" i="22"/>
  <c r="O284" i="22"/>
  <c r="P284" i="22"/>
  <c r="Q284" i="22"/>
  <c r="I285" i="22"/>
  <c r="J285" i="22" s="1"/>
  <c r="L285" i="22" s="1"/>
  <c r="N285" i="22"/>
  <c r="O285" i="22"/>
  <c r="P285" i="22"/>
  <c r="Q285" i="22"/>
  <c r="I286" i="22"/>
  <c r="J286" i="22" s="1"/>
  <c r="L286" i="22" s="1"/>
  <c r="N286" i="22"/>
  <c r="O286" i="22"/>
  <c r="P286" i="22"/>
  <c r="Q286" i="22"/>
  <c r="I287" i="22"/>
  <c r="J287" i="22" s="1"/>
  <c r="L287" i="22" s="1"/>
  <c r="N287" i="22"/>
  <c r="O287" i="22"/>
  <c r="P287" i="22"/>
  <c r="Q287" i="22"/>
  <c r="I288" i="22"/>
  <c r="J288" i="22" s="1"/>
  <c r="L288" i="22" s="1"/>
  <c r="N288" i="22"/>
  <c r="O288" i="22"/>
  <c r="P288" i="22"/>
  <c r="Q288" i="22"/>
  <c r="I289" i="22"/>
  <c r="J289" i="22" s="1"/>
  <c r="L289" i="22" s="1"/>
  <c r="N289" i="22"/>
  <c r="O289" i="22"/>
  <c r="P289" i="22"/>
  <c r="Q289" i="22"/>
  <c r="I290" i="22"/>
  <c r="J290" i="22" s="1"/>
  <c r="L290" i="22" s="1"/>
  <c r="N290" i="22"/>
  <c r="O290" i="22"/>
  <c r="P290" i="22"/>
  <c r="Q290" i="22"/>
  <c r="I291" i="22"/>
  <c r="J291" i="22" s="1"/>
  <c r="L291" i="22" s="1"/>
  <c r="N291" i="22"/>
  <c r="O291" i="22"/>
  <c r="P291" i="22"/>
  <c r="Q291" i="22"/>
  <c r="I292" i="22"/>
  <c r="J292" i="22" s="1"/>
  <c r="L292" i="22" s="1"/>
  <c r="N292" i="22"/>
  <c r="O292" i="22"/>
  <c r="P292" i="22"/>
  <c r="Q292" i="22"/>
  <c r="I293" i="22"/>
  <c r="J293" i="22" s="1"/>
  <c r="L293" i="22" s="1"/>
  <c r="N293" i="22"/>
  <c r="O293" i="22"/>
  <c r="P293" i="22"/>
  <c r="Q293" i="22"/>
  <c r="I294" i="22"/>
  <c r="J294" i="22" s="1"/>
  <c r="L294" i="22" s="1"/>
  <c r="N294" i="22"/>
  <c r="O294" i="22"/>
  <c r="P294" i="22"/>
  <c r="Q294" i="22"/>
  <c r="I295" i="22"/>
  <c r="J295" i="22" s="1"/>
  <c r="L295" i="22" s="1"/>
  <c r="N295" i="22"/>
  <c r="O295" i="22"/>
  <c r="P295" i="22"/>
  <c r="Q295" i="22"/>
  <c r="I296" i="22"/>
  <c r="J296" i="22" s="1"/>
  <c r="N296" i="22"/>
  <c r="O296" i="22"/>
  <c r="P296" i="22"/>
  <c r="Q296" i="22"/>
  <c r="I297" i="22"/>
  <c r="J297" i="22" s="1"/>
  <c r="L297" i="22" s="1"/>
  <c r="N297" i="22"/>
  <c r="O297" i="22"/>
  <c r="P297" i="22"/>
  <c r="Q297" i="22"/>
  <c r="I298" i="22"/>
  <c r="J298" i="22" s="1"/>
  <c r="N298" i="22"/>
  <c r="O298" i="22"/>
  <c r="P298" i="22"/>
  <c r="Q298" i="22"/>
  <c r="I299" i="22"/>
  <c r="J299" i="22" s="1"/>
  <c r="L299" i="22" s="1"/>
  <c r="N299" i="22"/>
  <c r="O299" i="22"/>
  <c r="P299" i="22"/>
  <c r="Q299" i="22"/>
  <c r="I300" i="22"/>
  <c r="J300" i="22" s="1"/>
  <c r="N300" i="22"/>
  <c r="O300" i="22"/>
  <c r="P300" i="22"/>
  <c r="Q300" i="22"/>
  <c r="I301" i="22"/>
  <c r="J301" i="22" s="1"/>
  <c r="L301" i="22" s="1"/>
  <c r="N301" i="22"/>
  <c r="O301" i="22"/>
  <c r="P301" i="22"/>
  <c r="Q301" i="22"/>
  <c r="I302" i="22"/>
  <c r="J302" i="22" s="1"/>
  <c r="L302" i="22" s="1"/>
  <c r="N302" i="22"/>
  <c r="O302" i="22"/>
  <c r="P302" i="22"/>
  <c r="Q302" i="22"/>
  <c r="I303" i="22"/>
  <c r="J303" i="22" s="1"/>
  <c r="L303" i="22" s="1"/>
  <c r="N303" i="22"/>
  <c r="O303" i="22"/>
  <c r="P303" i="22"/>
  <c r="Q303" i="22"/>
  <c r="I304" i="22"/>
  <c r="J304" i="22" s="1"/>
  <c r="N304" i="22"/>
  <c r="O304" i="22"/>
  <c r="P304" i="22"/>
  <c r="Q304" i="22"/>
  <c r="I305" i="22"/>
  <c r="J305" i="22" s="1"/>
  <c r="L305" i="22" s="1"/>
  <c r="N305" i="22"/>
  <c r="O305" i="22"/>
  <c r="P305" i="22"/>
  <c r="Q305" i="22"/>
  <c r="I306" i="22"/>
  <c r="J306" i="22" s="1"/>
  <c r="L306" i="22" s="1"/>
  <c r="N306" i="22"/>
  <c r="O306" i="22"/>
  <c r="P306" i="22"/>
  <c r="Q306" i="22"/>
  <c r="I307" i="22"/>
  <c r="J307" i="22" s="1"/>
  <c r="L307" i="22" s="1"/>
  <c r="N307" i="22"/>
  <c r="O307" i="22"/>
  <c r="P307" i="22"/>
  <c r="Q307" i="22"/>
  <c r="I308" i="22"/>
  <c r="J308" i="22" s="1"/>
  <c r="L308" i="22" s="1"/>
  <c r="N308" i="22"/>
  <c r="O308" i="22"/>
  <c r="P308" i="22"/>
  <c r="Q308" i="22"/>
  <c r="I309" i="22"/>
  <c r="J309" i="22" s="1"/>
  <c r="L309" i="22" s="1"/>
  <c r="N309" i="22"/>
  <c r="O309" i="22"/>
  <c r="P309" i="22"/>
  <c r="Q309" i="22"/>
  <c r="I310" i="22"/>
  <c r="J310" i="22" s="1"/>
  <c r="L310" i="22" s="1"/>
  <c r="N310" i="22"/>
  <c r="O310" i="22"/>
  <c r="P310" i="22"/>
  <c r="Q310" i="22"/>
  <c r="I311" i="22"/>
  <c r="J311" i="22" s="1"/>
  <c r="L311" i="22" s="1"/>
  <c r="N311" i="22"/>
  <c r="O311" i="22"/>
  <c r="P311" i="22"/>
  <c r="Q311" i="22"/>
  <c r="I312" i="22"/>
  <c r="J312" i="22" s="1"/>
  <c r="L312" i="22" s="1"/>
  <c r="N312" i="22"/>
  <c r="O312" i="22"/>
  <c r="P312" i="22"/>
  <c r="Q312" i="22"/>
  <c r="I313" i="22"/>
  <c r="J313" i="22" s="1"/>
  <c r="N313" i="22"/>
  <c r="O313" i="22"/>
  <c r="P313" i="22"/>
  <c r="Q313" i="22"/>
  <c r="I314" i="22"/>
  <c r="J314" i="22" s="1"/>
  <c r="N314" i="22"/>
  <c r="O314" i="22"/>
  <c r="P314" i="22"/>
  <c r="Q314" i="22"/>
  <c r="I315" i="22"/>
  <c r="J315" i="22" s="1"/>
  <c r="N315" i="22"/>
  <c r="O315" i="22"/>
  <c r="P315" i="22"/>
  <c r="Q315" i="22"/>
  <c r="I316" i="22"/>
  <c r="J316" i="22" s="1"/>
  <c r="K316" i="22" s="1"/>
  <c r="N316" i="22"/>
  <c r="O316" i="22"/>
  <c r="P316" i="22"/>
  <c r="Q316" i="22"/>
  <c r="I317" i="22"/>
  <c r="J317" i="22" s="1"/>
  <c r="N317" i="22"/>
  <c r="O317" i="22"/>
  <c r="P317" i="22"/>
  <c r="Q317" i="22"/>
  <c r="I318" i="22"/>
  <c r="J318" i="22" s="1"/>
  <c r="N318" i="22"/>
  <c r="O318" i="22"/>
  <c r="P318" i="22"/>
  <c r="Q318" i="22"/>
  <c r="I319" i="22"/>
  <c r="J319" i="22" s="1"/>
  <c r="N319" i="22"/>
  <c r="O319" i="22"/>
  <c r="P319" i="22"/>
  <c r="Q319" i="22"/>
  <c r="I320" i="22"/>
  <c r="J320" i="22" s="1"/>
  <c r="K320" i="22" s="1"/>
  <c r="N320" i="22"/>
  <c r="O320" i="22"/>
  <c r="P320" i="22"/>
  <c r="Q320" i="22"/>
  <c r="I321" i="22"/>
  <c r="J321" i="22" s="1"/>
  <c r="N321" i="22"/>
  <c r="O321" i="22"/>
  <c r="P321" i="22"/>
  <c r="Q321" i="22"/>
  <c r="I322" i="22"/>
  <c r="J322" i="22" s="1"/>
  <c r="N322" i="22"/>
  <c r="O322" i="22"/>
  <c r="P322" i="22"/>
  <c r="Q322" i="22"/>
  <c r="I323" i="22"/>
  <c r="J323" i="22" s="1"/>
  <c r="N323" i="22"/>
  <c r="O323" i="22"/>
  <c r="P323" i="22"/>
  <c r="Q323" i="22"/>
  <c r="I324" i="22"/>
  <c r="J324" i="22" s="1"/>
  <c r="N324" i="22"/>
  <c r="O324" i="22"/>
  <c r="P324" i="22"/>
  <c r="Q324" i="22"/>
  <c r="I325" i="22"/>
  <c r="J325" i="22" s="1"/>
  <c r="N325" i="22"/>
  <c r="O325" i="22"/>
  <c r="P325" i="22"/>
  <c r="Q325" i="22"/>
  <c r="I326" i="22"/>
  <c r="J326" i="22" s="1"/>
  <c r="N326" i="22"/>
  <c r="O326" i="22"/>
  <c r="P326" i="22"/>
  <c r="Q326" i="22"/>
  <c r="I327" i="22"/>
  <c r="J327" i="22" s="1"/>
  <c r="N327" i="22"/>
  <c r="O327" i="22"/>
  <c r="P327" i="22"/>
  <c r="Q327" i="22"/>
  <c r="I328" i="22"/>
  <c r="J328" i="22" s="1"/>
  <c r="L328" i="22" s="1"/>
  <c r="N328" i="22"/>
  <c r="O328" i="22"/>
  <c r="P328" i="22"/>
  <c r="Q328" i="22"/>
  <c r="I329" i="22"/>
  <c r="J329" i="22" s="1"/>
  <c r="N329" i="22"/>
  <c r="O329" i="22"/>
  <c r="P329" i="22"/>
  <c r="Q329" i="22"/>
  <c r="I330" i="22"/>
  <c r="J330" i="22" s="1"/>
  <c r="N330" i="22"/>
  <c r="O330" i="22"/>
  <c r="P330" i="22"/>
  <c r="Q330" i="22"/>
  <c r="I331" i="22"/>
  <c r="J331" i="22" s="1"/>
  <c r="N331" i="22"/>
  <c r="O331" i="22"/>
  <c r="P331" i="22"/>
  <c r="Q331" i="22"/>
  <c r="I332" i="22"/>
  <c r="J332" i="22" s="1"/>
  <c r="L332" i="22" s="1"/>
  <c r="N332" i="22"/>
  <c r="O332" i="22"/>
  <c r="P332" i="22"/>
  <c r="Q332" i="22"/>
  <c r="I333" i="22"/>
  <c r="J333" i="22" s="1"/>
  <c r="N333" i="22"/>
  <c r="O333" i="22"/>
  <c r="P333" i="22"/>
  <c r="Q333" i="22"/>
  <c r="I334" i="22"/>
  <c r="J334" i="22" s="1"/>
  <c r="N334" i="22"/>
  <c r="O334" i="22"/>
  <c r="P334" i="22"/>
  <c r="Q334" i="22"/>
  <c r="I335" i="22"/>
  <c r="J335" i="22" s="1"/>
  <c r="N335" i="22"/>
  <c r="O335" i="22"/>
  <c r="P335" i="22"/>
  <c r="Q335" i="22"/>
  <c r="I336" i="22"/>
  <c r="J336" i="22" s="1"/>
  <c r="K336" i="22" s="1"/>
  <c r="N336" i="22"/>
  <c r="O336" i="22"/>
  <c r="P336" i="22"/>
  <c r="Q336" i="22"/>
  <c r="I337" i="22"/>
  <c r="J337" i="22" s="1"/>
  <c r="N337" i="22"/>
  <c r="O337" i="22"/>
  <c r="P337" i="22"/>
  <c r="Q337" i="22"/>
  <c r="I338" i="22"/>
  <c r="J338" i="22" s="1"/>
  <c r="N338" i="22"/>
  <c r="O338" i="22"/>
  <c r="P338" i="22"/>
  <c r="Q338" i="22"/>
  <c r="I339" i="22"/>
  <c r="J339" i="22" s="1"/>
  <c r="N339" i="22"/>
  <c r="O339" i="22"/>
  <c r="P339" i="22"/>
  <c r="Q339" i="22"/>
  <c r="I340" i="22"/>
  <c r="J340" i="22" s="1"/>
  <c r="N340" i="22"/>
  <c r="O340" i="22"/>
  <c r="P340" i="22"/>
  <c r="Q340" i="22"/>
  <c r="I341" i="22"/>
  <c r="J341" i="22" s="1"/>
  <c r="N341" i="22"/>
  <c r="O341" i="22"/>
  <c r="P341" i="22"/>
  <c r="Q341" i="22"/>
  <c r="I342" i="22"/>
  <c r="J342" i="22" s="1"/>
  <c r="N342" i="22"/>
  <c r="O342" i="22"/>
  <c r="P342" i="22"/>
  <c r="Q342" i="22"/>
  <c r="I343" i="22"/>
  <c r="J343" i="22" s="1"/>
  <c r="N343" i="22"/>
  <c r="O343" i="22"/>
  <c r="P343" i="22"/>
  <c r="Q343" i="22"/>
  <c r="I344" i="22"/>
  <c r="J344" i="22" s="1"/>
  <c r="N344" i="22"/>
  <c r="O344" i="22"/>
  <c r="P344" i="22"/>
  <c r="Q344" i="22"/>
  <c r="I345" i="22"/>
  <c r="J345" i="22" s="1"/>
  <c r="N345" i="22"/>
  <c r="O345" i="22"/>
  <c r="P345" i="22"/>
  <c r="Q345" i="22"/>
  <c r="I346" i="22"/>
  <c r="J346" i="22" s="1"/>
  <c r="N346" i="22"/>
  <c r="O346" i="22"/>
  <c r="P346" i="22"/>
  <c r="Q346" i="22"/>
  <c r="I347" i="22"/>
  <c r="J347" i="22" s="1"/>
  <c r="N347" i="22"/>
  <c r="O347" i="22"/>
  <c r="P347" i="22"/>
  <c r="Q347" i="22"/>
  <c r="I348" i="22"/>
  <c r="J348" i="22" s="1"/>
  <c r="N348" i="22"/>
  <c r="O348" i="22"/>
  <c r="P348" i="22"/>
  <c r="Q348" i="22"/>
  <c r="I349" i="22"/>
  <c r="J349" i="22" s="1"/>
  <c r="L349" i="22" s="1"/>
  <c r="N349" i="22"/>
  <c r="O349" i="22"/>
  <c r="P349" i="22"/>
  <c r="Q349" i="22"/>
  <c r="I350" i="22"/>
  <c r="J350" i="22" s="1"/>
  <c r="N350" i="22"/>
  <c r="O350" i="22"/>
  <c r="P350" i="22"/>
  <c r="Q350" i="22"/>
  <c r="I351" i="22"/>
  <c r="J351" i="22" s="1"/>
  <c r="N351" i="22"/>
  <c r="O351" i="22"/>
  <c r="P351" i="22"/>
  <c r="Q351" i="22"/>
  <c r="I352" i="22"/>
  <c r="J352" i="22" s="1"/>
  <c r="N352" i="22"/>
  <c r="O352" i="22"/>
  <c r="P352" i="22"/>
  <c r="Q352" i="22"/>
  <c r="I353" i="22"/>
  <c r="J353" i="22" s="1"/>
  <c r="N353" i="22"/>
  <c r="O353" i="22"/>
  <c r="P353" i="22"/>
  <c r="Q353" i="22"/>
  <c r="I354" i="22"/>
  <c r="J354" i="22" s="1"/>
  <c r="L354" i="22" s="1"/>
  <c r="N354" i="22"/>
  <c r="O354" i="22"/>
  <c r="P354" i="22"/>
  <c r="Q354" i="22"/>
  <c r="I355" i="22"/>
  <c r="J355" i="22" s="1"/>
  <c r="N355" i="22"/>
  <c r="O355" i="22"/>
  <c r="P355" i="22"/>
  <c r="Q355" i="22"/>
  <c r="I356" i="22"/>
  <c r="J356" i="22" s="1"/>
  <c r="N356" i="22"/>
  <c r="O356" i="22"/>
  <c r="P356" i="22"/>
  <c r="Q356" i="22"/>
  <c r="I357" i="22"/>
  <c r="J357" i="22" s="1"/>
  <c r="L357" i="22" s="1"/>
  <c r="N357" i="22"/>
  <c r="O357" i="22"/>
  <c r="P357" i="22"/>
  <c r="Q357" i="22"/>
  <c r="I358" i="22"/>
  <c r="J358" i="22" s="1"/>
  <c r="N358" i="22"/>
  <c r="O358" i="22"/>
  <c r="P358" i="22"/>
  <c r="Q358" i="22"/>
  <c r="I359" i="22"/>
  <c r="J359" i="22" s="1"/>
  <c r="N359" i="22"/>
  <c r="O359" i="22"/>
  <c r="P359" i="22"/>
  <c r="Q359" i="22"/>
  <c r="I360" i="22"/>
  <c r="J360" i="22" s="1"/>
  <c r="N360" i="22"/>
  <c r="O360" i="22"/>
  <c r="P360" i="22"/>
  <c r="Q360" i="22"/>
  <c r="I361" i="22"/>
  <c r="J361" i="22" s="1"/>
  <c r="N361" i="22"/>
  <c r="O361" i="22"/>
  <c r="P361" i="22"/>
  <c r="Q361" i="22"/>
  <c r="I362" i="22"/>
  <c r="J362" i="22" s="1"/>
  <c r="K362" i="22" s="1"/>
  <c r="N362" i="22"/>
  <c r="O362" i="22"/>
  <c r="P362" i="22"/>
  <c r="Q362" i="22"/>
  <c r="I363" i="22"/>
  <c r="J363" i="22" s="1"/>
  <c r="N363" i="22"/>
  <c r="O363" i="22"/>
  <c r="P363" i="22"/>
  <c r="Q363" i="22"/>
  <c r="I364" i="22"/>
  <c r="J364" i="22" s="1"/>
  <c r="N364" i="22"/>
  <c r="O364" i="22"/>
  <c r="P364" i="22"/>
  <c r="Q364" i="22"/>
  <c r="I365" i="22"/>
  <c r="J365" i="22" s="1"/>
  <c r="L365" i="22" s="1"/>
  <c r="N365" i="22"/>
  <c r="O365" i="22"/>
  <c r="P365" i="22"/>
  <c r="Q365" i="22"/>
  <c r="I366" i="22"/>
  <c r="J366" i="22" s="1"/>
  <c r="K366" i="22" s="1"/>
  <c r="N366" i="22"/>
  <c r="O366" i="22"/>
  <c r="P366" i="22"/>
  <c r="Q366" i="22"/>
  <c r="I367" i="22"/>
  <c r="J367" i="22" s="1"/>
  <c r="N367" i="22"/>
  <c r="O367" i="22"/>
  <c r="P367" i="22"/>
  <c r="Q367" i="22"/>
  <c r="I368" i="22"/>
  <c r="J368" i="22" s="1"/>
  <c r="N368" i="22"/>
  <c r="O368" i="22"/>
  <c r="P368" i="22"/>
  <c r="Q368" i="22"/>
  <c r="I369" i="22"/>
  <c r="J369" i="22" s="1"/>
  <c r="N369" i="22"/>
  <c r="O369" i="22"/>
  <c r="P369" i="22"/>
  <c r="Q369" i="22"/>
  <c r="I370" i="22"/>
  <c r="J370" i="22" s="1"/>
  <c r="K370" i="22" s="1"/>
  <c r="N370" i="22"/>
  <c r="O370" i="22"/>
  <c r="P370" i="22"/>
  <c r="Q370" i="22"/>
  <c r="I371" i="22"/>
  <c r="J371" i="22" s="1"/>
  <c r="N371" i="22"/>
  <c r="O371" i="22"/>
  <c r="P371" i="22"/>
  <c r="Q371" i="22"/>
  <c r="I372" i="22"/>
  <c r="J372" i="22" s="1"/>
  <c r="N372" i="22"/>
  <c r="O372" i="22"/>
  <c r="P372" i="22"/>
  <c r="Q372" i="22"/>
  <c r="I373" i="22"/>
  <c r="J373" i="22" s="1"/>
  <c r="L373" i="22" s="1"/>
  <c r="N373" i="22"/>
  <c r="O373" i="22"/>
  <c r="P373" i="22"/>
  <c r="Q373" i="22"/>
  <c r="I374" i="22"/>
  <c r="J374" i="22" s="1"/>
  <c r="L374" i="22" s="1"/>
  <c r="N374" i="22"/>
  <c r="O374" i="22"/>
  <c r="P374" i="22"/>
  <c r="Q374" i="22"/>
  <c r="I375" i="22"/>
  <c r="J375" i="22" s="1"/>
  <c r="N375" i="22"/>
  <c r="O375" i="22"/>
  <c r="P375" i="22"/>
  <c r="Q375" i="22"/>
  <c r="I376" i="22"/>
  <c r="J376" i="22" s="1"/>
  <c r="N376" i="22"/>
  <c r="O376" i="22"/>
  <c r="P376" i="22"/>
  <c r="Q376" i="22"/>
  <c r="I377" i="22"/>
  <c r="J377" i="22" s="1"/>
  <c r="N377" i="22"/>
  <c r="O377" i="22"/>
  <c r="P377" i="22"/>
  <c r="Q377" i="22"/>
  <c r="I378" i="22"/>
  <c r="J378" i="22" s="1"/>
  <c r="N378" i="22"/>
  <c r="O378" i="22"/>
  <c r="P378" i="22"/>
  <c r="Q378" i="22"/>
  <c r="I379" i="22"/>
  <c r="J379" i="22" s="1"/>
  <c r="N379" i="22"/>
  <c r="O379" i="22"/>
  <c r="P379" i="22"/>
  <c r="Q379" i="22"/>
  <c r="I380" i="22"/>
  <c r="J380" i="22" s="1"/>
  <c r="N380" i="22"/>
  <c r="O380" i="22"/>
  <c r="P380" i="22"/>
  <c r="Q380" i="22"/>
  <c r="I381" i="22"/>
  <c r="J381" i="22" s="1"/>
  <c r="L381" i="22" s="1"/>
  <c r="N381" i="22"/>
  <c r="O381" i="22"/>
  <c r="P381" i="22"/>
  <c r="Q381" i="22"/>
  <c r="I382" i="22"/>
  <c r="J382" i="22" s="1"/>
  <c r="K382" i="22" s="1"/>
  <c r="N382" i="22"/>
  <c r="O382" i="22"/>
  <c r="P382" i="22"/>
  <c r="Q382" i="22"/>
  <c r="I383" i="22"/>
  <c r="J383" i="22" s="1"/>
  <c r="N383" i="22"/>
  <c r="O383" i="22"/>
  <c r="P383" i="22"/>
  <c r="Q383" i="22"/>
  <c r="I384" i="22"/>
  <c r="J384" i="22" s="1"/>
  <c r="N384" i="22"/>
  <c r="O384" i="22"/>
  <c r="P384" i="22"/>
  <c r="Q384" i="22"/>
  <c r="I385" i="22"/>
  <c r="J385" i="22" s="1"/>
  <c r="N385" i="22"/>
  <c r="O385" i="22"/>
  <c r="P385" i="22"/>
  <c r="Q385" i="22"/>
  <c r="I386" i="22"/>
  <c r="J386" i="22" s="1"/>
  <c r="L386" i="22" s="1"/>
  <c r="N386" i="22"/>
  <c r="O386" i="22"/>
  <c r="P386" i="22"/>
  <c r="Q386" i="22"/>
  <c r="I387" i="22"/>
  <c r="J387" i="22" s="1"/>
  <c r="N387" i="22"/>
  <c r="O387" i="22"/>
  <c r="P387" i="22"/>
  <c r="Q387" i="22"/>
  <c r="I388" i="22"/>
  <c r="J388" i="22" s="1"/>
  <c r="N388" i="22"/>
  <c r="O388" i="22"/>
  <c r="P388" i="22"/>
  <c r="Q388" i="22"/>
  <c r="I389" i="22"/>
  <c r="J389" i="22" s="1"/>
  <c r="L389" i="22" s="1"/>
  <c r="N389" i="22"/>
  <c r="O389" i="22"/>
  <c r="P389" i="22"/>
  <c r="Q389" i="22"/>
  <c r="I390" i="22"/>
  <c r="J390" i="22" s="1"/>
  <c r="K390" i="22" s="1"/>
  <c r="N390" i="22"/>
  <c r="O390" i="22"/>
  <c r="P390" i="22"/>
  <c r="Q390" i="22"/>
  <c r="I391" i="22"/>
  <c r="J391" i="22" s="1"/>
  <c r="N391" i="22"/>
  <c r="O391" i="22"/>
  <c r="P391" i="22"/>
  <c r="Q391" i="22"/>
  <c r="I392" i="22"/>
  <c r="J392" i="22" s="1"/>
  <c r="N392" i="22"/>
  <c r="O392" i="22"/>
  <c r="P392" i="22"/>
  <c r="Q392" i="22"/>
  <c r="I393" i="22"/>
  <c r="J393" i="22" s="1"/>
  <c r="N393" i="22"/>
  <c r="O393" i="22"/>
  <c r="P393" i="22"/>
  <c r="Q393" i="22"/>
  <c r="I394" i="22"/>
  <c r="J394" i="22" s="1"/>
  <c r="N394" i="22"/>
  <c r="O394" i="22"/>
  <c r="P394" i="22"/>
  <c r="Q394" i="22"/>
  <c r="I395" i="22"/>
  <c r="J395" i="22" s="1"/>
  <c r="N395" i="22"/>
  <c r="O395" i="22"/>
  <c r="P395" i="22"/>
  <c r="Q395" i="22"/>
  <c r="I396" i="22"/>
  <c r="J396" i="22" s="1"/>
  <c r="N396" i="22"/>
  <c r="O396" i="22"/>
  <c r="P396" i="22"/>
  <c r="Q396" i="22"/>
  <c r="I397" i="22"/>
  <c r="J397" i="22" s="1"/>
  <c r="L397" i="22" s="1"/>
  <c r="N397" i="22"/>
  <c r="O397" i="22"/>
  <c r="P397" i="22"/>
  <c r="Q397" i="22"/>
  <c r="I398" i="22"/>
  <c r="J398" i="22" s="1"/>
  <c r="L398" i="22" s="1"/>
  <c r="N398" i="22"/>
  <c r="O398" i="22"/>
  <c r="P398" i="22"/>
  <c r="Q398" i="22"/>
  <c r="I399" i="22"/>
  <c r="J399" i="22" s="1"/>
  <c r="N399" i="22"/>
  <c r="O399" i="22"/>
  <c r="P399" i="22"/>
  <c r="Q399" i="22"/>
  <c r="I400" i="22"/>
  <c r="J400" i="22" s="1"/>
  <c r="N400" i="22"/>
  <c r="O400" i="22"/>
  <c r="P400" i="22"/>
  <c r="Q400" i="22"/>
  <c r="I401" i="22"/>
  <c r="J401" i="22" s="1"/>
  <c r="N401" i="22"/>
  <c r="O401" i="22"/>
  <c r="P401" i="22"/>
  <c r="Q401" i="22"/>
  <c r="I402" i="22"/>
  <c r="J402" i="22" s="1"/>
  <c r="K402" i="22" s="1"/>
  <c r="N402" i="22"/>
  <c r="O402" i="22"/>
  <c r="P402" i="22"/>
  <c r="Q402" i="22"/>
  <c r="I403" i="22"/>
  <c r="J403" i="22" s="1"/>
  <c r="N403" i="22"/>
  <c r="O403" i="22"/>
  <c r="P403" i="22"/>
  <c r="Q403" i="22"/>
  <c r="I404" i="22"/>
  <c r="J404" i="22" s="1"/>
  <c r="N404" i="22"/>
  <c r="O404" i="22"/>
  <c r="P404" i="22"/>
  <c r="Q404" i="22"/>
  <c r="I405" i="22"/>
  <c r="J405" i="22" s="1"/>
  <c r="K405" i="22" s="1"/>
  <c r="N405" i="22"/>
  <c r="O405" i="22"/>
  <c r="P405" i="22"/>
  <c r="Q405" i="22"/>
  <c r="I406" i="22"/>
  <c r="J406" i="22" s="1"/>
  <c r="L406" i="22" s="1"/>
  <c r="N406" i="22"/>
  <c r="O406" i="22"/>
  <c r="P406" i="22"/>
  <c r="Q406" i="22"/>
  <c r="I407" i="22"/>
  <c r="J407" i="22" s="1"/>
  <c r="K407" i="22" s="1"/>
  <c r="N407" i="22"/>
  <c r="O407" i="22"/>
  <c r="P407" i="22"/>
  <c r="Q407" i="22"/>
  <c r="I408" i="22"/>
  <c r="J408" i="22" s="1"/>
  <c r="N408" i="22"/>
  <c r="O408" i="22"/>
  <c r="P408" i="22"/>
  <c r="Q408" i="22"/>
  <c r="I409" i="22"/>
  <c r="J409" i="22" s="1"/>
  <c r="N409" i="22"/>
  <c r="O409" i="22"/>
  <c r="P409" i="22"/>
  <c r="Q409" i="22"/>
  <c r="I410" i="22"/>
  <c r="J410" i="22" s="1"/>
  <c r="L410" i="22" s="1"/>
  <c r="N410" i="22"/>
  <c r="O410" i="22"/>
  <c r="P410" i="22"/>
  <c r="Q410" i="22"/>
  <c r="I411" i="22"/>
  <c r="J411" i="22" s="1"/>
  <c r="K411" i="22" s="1"/>
  <c r="N411" i="22"/>
  <c r="O411" i="22"/>
  <c r="P411" i="22"/>
  <c r="Q411" i="22"/>
  <c r="I412" i="22"/>
  <c r="J412" i="22" s="1"/>
  <c r="N412" i="22"/>
  <c r="O412" i="22"/>
  <c r="P412" i="22"/>
  <c r="Q412" i="22"/>
  <c r="I413" i="22"/>
  <c r="J413" i="22" s="1"/>
  <c r="N413" i="22"/>
  <c r="O413" i="22"/>
  <c r="P413" i="22"/>
  <c r="Q413" i="22"/>
  <c r="I414" i="22"/>
  <c r="J414" i="22" s="1"/>
  <c r="K414" i="22" s="1"/>
  <c r="N414" i="22"/>
  <c r="O414" i="22"/>
  <c r="P414" i="22"/>
  <c r="Q414" i="22"/>
  <c r="I415" i="22"/>
  <c r="J415" i="22" s="1"/>
  <c r="N415" i="22"/>
  <c r="O415" i="22"/>
  <c r="P415" i="22"/>
  <c r="Q415" i="22"/>
  <c r="I416" i="22"/>
  <c r="J416" i="22" s="1"/>
  <c r="N416" i="22"/>
  <c r="O416" i="22"/>
  <c r="P416" i="22"/>
  <c r="Q416" i="22"/>
  <c r="I417" i="22"/>
  <c r="J417" i="22" s="1"/>
  <c r="K417" i="22" s="1"/>
  <c r="N417" i="22"/>
  <c r="O417" i="22"/>
  <c r="P417" i="22"/>
  <c r="Q417" i="22"/>
  <c r="I418" i="22"/>
  <c r="J418" i="22" s="1"/>
  <c r="N418" i="22"/>
  <c r="O418" i="22"/>
  <c r="P418" i="22"/>
  <c r="Q418" i="22"/>
  <c r="I419" i="22"/>
  <c r="J419" i="22" s="1"/>
  <c r="K419" i="22" s="1"/>
  <c r="N419" i="22"/>
  <c r="O419" i="22"/>
  <c r="P419" i="22"/>
  <c r="Q419" i="22"/>
  <c r="I420" i="22"/>
  <c r="J420" i="22" s="1"/>
  <c r="N420" i="22"/>
  <c r="O420" i="22"/>
  <c r="P420" i="22"/>
  <c r="Q420" i="22"/>
  <c r="I421" i="22"/>
  <c r="J421" i="22" s="1"/>
  <c r="K421" i="22" s="1"/>
  <c r="N421" i="22"/>
  <c r="O421" i="22"/>
  <c r="P421" i="22"/>
  <c r="Q421" i="22"/>
  <c r="I422" i="22"/>
  <c r="J422" i="22" s="1"/>
  <c r="L422" i="22" s="1"/>
  <c r="N422" i="22"/>
  <c r="O422" i="22"/>
  <c r="P422" i="22"/>
  <c r="Q422" i="22"/>
  <c r="I423" i="22"/>
  <c r="J423" i="22" s="1"/>
  <c r="K423" i="22" s="1"/>
  <c r="N423" i="22"/>
  <c r="O423" i="22"/>
  <c r="P423" i="22"/>
  <c r="Q423" i="22"/>
  <c r="I424" i="22"/>
  <c r="J424" i="22" s="1"/>
  <c r="N424" i="22"/>
  <c r="O424" i="22"/>
  <c r="P424" i="22"/>
  <c r="Q424" i="22"/>
  <c r="I425" i="22"/>
  <c r="J425" i="22" s="1"/>
  <c r="N425" i="22"/>
  <c r="O425" i="22"/>
  <c r="P425" i="22"/>
  <c r="Q425" i="22"/>
  <c r="I426" i="22"/>
  <c r="J426" i="22" s="1"/>
  <c r="K426" i="22" s="1"/>
  <c r="N426" i="22"/>
  <c r="O426" i="22"/>
  <c r="P426" i="22"/>
  <c r="Q426" i="22"/>
  <c r="I427" i="22"/>
  <c r="J427" i="22" s="1"/>
  <c r="K427" i="22" s="1"/>
  <c r="N427" i="22"/>
  <c r="O427" i="22"/>
  <c r="P427" i="22"/>
  <c r="Q427" i="22"/>
  <c r="I428" i="22"/>
  <c r="J428" i="22" s="1"/>
  <c r="N428" i="22"/>
  <c r="O428" i="22"/>
  <c r="P428" i="22"/>
  <c r="Q428" i="22"/>
  <c r="I429" i="22"/>
  <c r="J429" i="22" s="1"/>
  <c r="L429" i="22" s="1"/>
  <c r="N429" i="22"/>
  <c r="O429" i="22"/>
  <c r="P429" i="22"/>
  <c r="Q429" i="22"/>
  <c r="I430" i="22"/>
  <c r="J430" i="22" s="1"/>
  <c r="L430" i="22" s="1"/>
  <c r="N430" i="22"/>
  <c r="O430" i="22"/>
  <c r="P430" i="22"/>
  <c r="Q430" i="22"/>
  <c r="I431" i="22"/>
  <c r="J431" i="22" s="1"/>
  <c r="L431" i="22" s="1"/>
  <c r="N431" i="22"/>
  <c r="O431" i="22"/>
  <c r="P431" i="22"/>
  <c r="Q431" i="22"/>
  <c r="I432" i="22"/>
  <c r="J432" i="22" s="1"/>
  <c r="N432" i="22"/>
  <c r="O432" i="22"/>
  <c r="P432" i="22"/>
  <c r="Q432" i="22"/>
  <c r="I433" i="22"/>
  <c r="J433" i="22" s="1"/>
  <c r="L433" i="22" s="1"/>
  <c r="N433" i="22"/>
  <c r="O433" i="22"/>
  <c r="P433" i="22"/>
  <c r="Q433" i="22"/>
  <c r="I434" i="22"/>
  <c r="J434" i="22" s="1"/>
  <c r="K434" i="22" s="1"/>
  <c r="N434" i="22"/>
  <c r="O434" i="22"/>
  <c r="P434" i="22"/>
  <c r="Q434" i="22"/>
  <c r="I435" i="22"/>
  <c r="J435" i="22" s="1"/>
  <c r="N435" i="22"/>
  <c r="O435" i="22"/>
  <c r="P435" i="22"/>
  <c r="Q435" i="22"/>
  <c r="I436" i="22"/>
  <c r="J436" i="22" s="1"/>
  <c r="K436" i="22" s="1"/>
  <c r="N436" i="22"/>
  <c r="O436" i="22"/>
  <c r="P436" i="22"/>
  <c r="Q436" i="22"/>
  <c r="I437" i="22"/>
  <c r="J437" i="22" s="1"/>
  <c r="L437" i="22" s="1"/>
  <c r="N437" i="22"/>
  <c r="O437" i="22"/>
  <c r="P437" i="22"/>
  <c r="Q437" i="22"/>
  <c r="I438" i="22"/>
  <c r="J438" i="22" s="1"/>
  <c r="N438" i="22"/>
  <c r="O438" i="22"/>
  <c r="P438" i="22"/>
  <c r="Q438" i="22"/>
  <c r="I439" i="22"/>
  <c r="J439" i="22" s="1"/>
  <c r="N439" i="22"/>
  <c r="O439" i="22"/>
  <c r="P439" i="22"/>
  <c r="Q439" i="22"/>
  <c r="I440" i="22"/>
  <c r="J440" i="22" s="1"/>
  <c r="K440" i="22" s="1"/>
  <c r="N440" i="22"/>
  <c r="O440" i="22"/>
  <c r="P440" i="22"/>
  <c r="Q440" i="22"/>
  <c r="I441" i="22"/>
  <c r="J441" i="22" s="1"/>
  <c r="L441" i="22" s="1"/>
  <c r="N441" i="22"/>
  <c r="O441" i="22"/>
  <c r="P441" i="22"/>
  <c r="Q441" i="22"/>
  <c r="I442" i="22"/>
  <c r="J442" i="22" s="1"/>
  <c r="N442" i="22"/>
  <c r="O442" i="22"/>
  <c r="P442" i="22"/>
  <c r="Q442" i="22"/>
  <c r="I443" i="22"/>
  <c r="J443" i="22" s="1"/>
  <c r="L443" i="22" s="1"/>
  <c r="N443" i="22"/>
  <c r="O443" i="22"/>
  <c r="P443" i="22"/>
  <c r="Q443" i="22"/>
  <c r="I444" i="22"/>
  <c r="J444" i="22" s="1"/>
  <c r="N444" i="22"/>
  <c r="O444" i="22"/>
  <c r="P444" i="22"/>
  <c r="Q444" i="22"/>
  <c r="I445" i="22"/>
  <c r="J445" i="22" s="1"/>
  <c r="M445" i="22" s="1"/>
  <c r="N445" i="22"/>
  <c r="O445" i="22"/>
  <c r="P445" i="22"/>
  <c r="Q445" i="22"/>
  <c r="I446" i="22"/>
  <c r="J446" i="22" s="1"/>
  <c r="N446" i="22"/>
  <c r="O446" i="22"/>
  <c r="P446" i="22"/>
  <c r="Q446" i="22"/>
  <c r="I447" i="22"/>
  <c r="J447" i="22" s="1"/>
  <c r="L447" i="22" s="1"/>
  <c r="N447" i="22"/>
  <c r="O447" i="22"/>
  <c r="P447" i="22"/>
  <c r="Q447" i="22"/>
  <c r="I448" i="22"/>
  <c r="J448" i="22" s="1"/>
  <c r="N448" i="22"/>
  <c r="O448" i="22"/>
  <c r="P448" i="22"/>
  <c r="Q448" i="22"/>
  <c r="I449" i="22"/>
  <c r="J449" i="22" s="1"/>
  <c r="N449" i="22"/>
  <c r="O449" i="22"/>
  <c r="P449" i="22"/>
  <c r="Q449" i="22"/>
  <c r="I450" i="22"/>
  <c r="J450" i="22" s="1"/>
  <c r="N450" i="22"/>
  <c r="O450" i="22"/>
  <c r="P450" i="22"/>
  <c r="Q450" i="22"/>
  <c r="I451" i="22"/>
  <c r="J451" i="22" s="1"/>
  <c r="L451" i="22" s="1"/>
  <c r="N451" i="22"/>
  <c r="O451" i="22"/>
  <c r="P451" i="22"/>
  <c r="Q451" i="22"/>
  <c r="I452" i="22"/>
  <c r="J452" i="22" s="1"/>
  <c r="N452" i="22"/>
  <c r="O452" i="22"/>
  <c r="P452" i="22"/>
  <c r="Q452" i="22"/>
  <c r="I453" i="22"/>
  <c r="J453" i="22" s="1"/>
  <c r="M453" i="22" s="1"/>
  <c r="N453" i="22"/>
  <c r="O453" i="22"/>
  <c r="P453" i="22"/>
  <c r="Q453" i="22"/>
  <c r="I454" i="22"/>
  <c r="J454" i="22" s="1"/>
  <c r="N454" i="22"/>
  <c r="O454" i="22"/>
  <c r="P454" i="22"/>
  <c r="Q454" i="22"/>
  <c r="I455" i="22"/>
  <c r="J455" i="22" s="1"/>
  <c r="L455" i="22" s="1"/>
  <c r="N455" i="22"/>
  <c r="O455" i="22"/>
  <c r="P455" i="22"/>
  <c r="Q455" i="22"/>
  <c r="I456" i="22"/>
  <c r="J456" i="22" s="1"/>
  <c r="K456" i="22" s="1"/>
  <c r="N456" i="22"/>
  <c r="O456" i="22"/>
  <c r="P456" i="22"/>
  <c r="Q456" i="22"/>
  <c r="I457" i="22"/>
  <c r="J457" i="22" s="1"/>
  <c r="L457" i="22" s="1"/>
  <c r="N457" i="22"/>
  <c r="O457" i="22"/>
  <c r="P457" i="22"/>
  <c r="Q457" i="22"/>
  <c r="I458" i="22"/>
  <c r="J458" i="22" s="1"/>
  <c r="K458" i="22" s="1"/>
  <c r="N458" i="22"/>
  <c r="O458" i="22"/>
  <c r="P458" i="22"/>
  <c r="Q458" i="22"/>
  <c r="I459" i="22"/>
  <c r="J459" i="22" s="1"/>
  <c r="N459" i="22"/>
  <c r="O459" i="22"/>
  <c r="P459" i="22"/>
  <c r="Q459" i="22"/>
  <c r="I460" i="22"/>
  <c r="J460" i="22" s="1"/>
  <c r="K460" i="22" s="1"/>
  <c r="N460" i="22"/>
  <c r="O460" i="22"/>
  <c r="P460" i="22"/>
  <c r="Q460" i="22"/>
  <c r="I461" i="22"/>
  <c r="J461" i="22" s="1"/>
  <c r="L461" i="22" s="1"/>
  <c r="N461" i="22"/>
  <c r="O461" i="22"/>
  <c r="P461" i="22"/>
  <c r="Q461" i="22"/>
  <c r="I462" i="22"/>
  <c r="J462" i="22" s="1"/>
  <c r="L462" i="22" s="1"/>
  <c r="N462" i="22"/>
  <c r="O462" i="22"/>
  <c r="P462" i="22"/>
  <c r="Q462" i="22"/>
  <c r="I463" i="22"/>
  <c r="J463" i="22" s="1"/>
  <c r="N463" i="22"/>
  <c r="O463" i="22"/>
  <c r="P463" i="22"/>
  <c r="Q463" i="22"/>
  <c r="I464" i="22"/>
  <c r="J464" i="22" s="1"/>
  <c r="K464" i="22" s="1"/>
  <c r="N464" i="22"/>
  <c r="O464" i="22"/>
  <c r="P464" i="22"/>
  <c r="Q464" i="22"/>
  <c r="I465" i="22"/>
  <c r="J465" i="22" s="1"/>
  <c r="L465" i="22" s="1"/>
  <c r="N465" i="22"/>
  <c r="O465" i="22"/>
  <c r="P465" i="22"/>
  <c r="Q465" i="22"/>
  <c r="I466" i="22"/>
  <c r="J466" i="22" s="1"/>
  <c r="M466" i="22" s="1"/>
  <c r="N466" i="22"/>
  <c r="O466" i="22"/>
  <c r="P466" i="22"/>
  <c r="Q466" i="22"/>
  <c r="I467" i="22"/>
  <c r="J467" i="22" s="1"/>
  <c r="L467" i="22" s="1"/>
  <c r="N467" i="22"/>
  <c r="O467" i="22"/>
  <c r="P467" i="22"/>
  <c r="Q467" i="22"/>
  <c r="I468" i="22"/>
  <c r="J468" i="22" s="1"/>
  <c r="N468" i="22"/>
  <c r="O468" i="22"/>
  <c r="P468" i="22"/>
  <c r="Q468" i="22"/>
  <c r="I469" i="22"/>
  <c r="J469" i="22" s="1"/>
  <c r="K469" i="22" s="1"/>
  <c r="N469" i="22"/>
  <c r="O469" i="22"/>
  <c r="P469" i="22"/>
  <c r="Q469" i="22"/>
  <c r="I470" i="22"/>
  <c r="J470" i="22" s="1"/>
  <c r="N470" i="22"/>
  <c r="O470" i="22"/>
  <c r="P470" i="22"/>
  <c r="Q470" i="22"/>
  <c r="I471" i="22"/>
  <c r="J471" i="22" s="1"/>
  <c r="M471" i="22" s="1"/>
  <c r="N471" i="22"/>
  <c r="O471" i="22"/>
  <c r="P471" i="22"/>
  <c r="Q471" i="22"/>
  <c r="I472" i="22"/>
  <c r="J472" i="22" s="1"/>
  <c r="N472" i="22"/>
  <c r="O472" i="22"/>
  <c r="P472" i="22"/>
  <c r="Q472" i="22"/>
  <c r="I473" i="22"/>
  <c r="J473" i="22" s="1"/>
  <c r="N473" i="22"/>
  <c r="O473" i="22"/>
  <c r="P473" i="22"/>
  <c r="Q473" i="22"/>
  <c r="I474" i="22"/>
  <c r="J474" i="22" s="1"/>
  <c r="N474" i="22"/>
  <c r="O474" i="22"/>
  <c r="P474" i="22"/>
  <c r="Q474" i="22"/>
  <c r="I475" i="22"/>
  <c r="J475" i="22" s="1"/>
  <c r="N475" i="22"/>
  <c r="O475" i="22"/>
  <c r="P475" i="22"/>
  <c r="Q475" i="22"/>
  <c r="I476" i="22"/>
  <c r="J476" i="22" s="1"/>
  <c r="L476" i="22" s="1"/>
  <c r="N476" i="22"/>
  <c r="O476" i="22"/>
  <c r="P476" i="22"/>
  <c r="Q476" i="22"/>
  <c r="I477" i="22"/>
  <c r="J477" i="22" s="1"/>
  <c r="M477" i="22" s="1"/>
  <c r="N477" i="22"/>
  <c r="O477" i="22"/>
  <c r="P477" i="22"/>
  <c r="Q477" i="22"/>
  <c r="I478" i="22"/>
  <c r="J478" i="22" s="1"/>
  <c r="L478" i="22" s="1"/>
  <c r="N478" i="22"/>
  <c r="O478" i="22"/>
  <c r="P478" i="22"/>
  <c r="Q478" i="22"/>
  <c r="I479" i="22"/>
  <c r="J479" i="22" s="1"/>
  <c r="N479" i="22"/>
  <c r="O479" i="22"/>
  <c r="P479" i="22"/>
  <c r="Q479" i="22"/>
  <c r="I480" i="22"/>
  <c r="J480" i="22" s="1"/>
  <c r="L480" i="22" s="1"/>
  <c r="N480" i="22"/>
  <c r="O480" i="22"/>
  <c r="P480" i="22"/>
  <c r="Q480" i="22"/>
  <c r="I481" i="22"/>
  <c r="J481" i="22" s="1"/>
  <c r="L481" i="22" s="1"/>
  <c r="N481" i="22"/>
  <c r="O481" i="22"/>
  <c r="P481" i="22"/>
  <c r="Q481" i="22"/>
  <c r="I482" i="22"/>
  <c r="J482" i="22" s="1"/>
  <c r="L482" i="22" s="1"/>
  <c r="N482" i="22"/>
  <c r="O482" i="22"/>
  <c r="P482" i="22"/>
  <c r="Q482" i="22"/>
  <c r="I483" i="22"/>
  <c r="J483" i="22" s="1"/>
  <c r="L483" i="22" s="1"/>
  <c r="N483" i="22"/>
  <c r="O483" i="22"/>
  <c r="P483" i="22"/>
  <c r="Q483" i="22"/>
  <c r="I484" i="22"/>
  <c r="J484" i="22" s="1"/>
  <c r="L484" i="22" s="1"/>
  <c r="N484" i="22"/>
  <c r="O484" i="22"/>
  <c r="P484" i="22"/>
  <c r="Q484" i="22"/>
  <c r="I485" i="22"/>
  <c r="J485" i="22" s="1"/>
  <c r="N485" i="22"/>
  <c r="O485" i="22"/>
  <c r="P485" i="22"/>
  <c r="Q485" i="22"/>
  <c r="I486" i="22"/>
  <c r="J486" i="22" s="1"/>
  <c r="L486" i="22" s="1"/>
  <c r="N486" i="22"/>
  <c r="O486" i="22"/>
  <c r="P486" i="22"/>
  <c r="Q486" i="22"/>
  <c r="I487" i="22"/>
  <c r="J487" i="22" s="1"/>
  <c r="N487" i="22"/>
  <c r="O487" i="22"/>
  <c r="P487" i="22"/>
  <c r="Q487" i="22"/>
  <c r="I488" i="22"/>
  <c r="J488" i="22" s="1"/>
  <c r="L488" i="22" s="1"/>
  <c r="N488" i="22"/>
  <c r="O488" i="22"/>
  <c r="P488" i="22"/>
  <c r="Q488" i="22"/>
  <c r="I489" i="22"/>
  <c r="J489" i="22" s="1"/>
  <c r="L489" i="22" s="1"/>
  <c r="N489" i="22"/>
  <c r="O489" i="22"/>
  <c r="P489" i="22"/>
  <c r="Q489" i="22"/>
  <c r="I490" i="22"/>
  <c r="J490" i="22" s="1"/>
  <c r="L490" i="22" s="1"/>
  <c r="N490" i="22"/>
  <c r="O490" i="22"/>
  <c r="P490" i="22"/>
  <c r="Q490" i="22"/>
  <c r="I491" i="22"/>
  <c r="J491" i="22" s="1"/>
  <c r="L491" i="22" s="1"/>
  <c r="N491" i="22"/>
  <c r="O491" i="22"/>
  <c r="P491" i="22"/>
  <c r="Q491" i="22"/>
  <c r="I492" i="22"/>
  <c r="J492" i="22" s="1"/>
  <c r="L492" i="22" s="1"/>
  <c r="N492" i="22"/>
  <c r="O492" i="22"/>
  <c r="P492" i="22"/>
  <c r="Q492" i="22"/>
  <c r="I493" i="22"/>
  <c r="J493" i="22" s="1"/>
  <c r="M493" i="22" s="1"/>
  <c r="N493" i="22"/>
  <c r="O493" i="22"/>
  <c r="P493" i="22"/>
  <c r="Q493" i="22"/>
  <c r="I494" i="22"/>
  <c r="J494" i="22" s="1"/>
  <c r="L494" i="22" s="1"/>
  <c r="N494" i="22"/>
  <c r="O494" i="22"/>
  <c r="P494" i="22"/>
  <c r="Q494" i="22"/>
  <c r="I495" i="22"/>
  <c r="J495" i="22" s="1"/>
  <c r="L495" i="22" s="1"/>
  <c r="N495" i="22"/>
  <c r="O495" i="22"/>
  <c r="P495" i="22"/>
  <c r="Q495" i="22"/>
  <c r="I496" i="22"/>
  <c r="J496" i="22" s="1"/>
  <c r="L496" i="22" s="1"/>
  <c r="N496" i="22"/>
  <c r="O496" i="22"/>
  <c r="P496" i="22"/>
  <c r="Q496" i="22"/>
  <c r="I497" i="22"/>
  <c r="J497" i="22" s="1"/>
  <c r="L497" i="22" s="1"/>
  <c r="N497" i="22"/>
  <c r="O497" i="22"/>
  <c r="P497" i="22"/>
  <c r="Q497" i="22"/>
  <c r="I498" i="22"/>
  <c r="J498" i="22" s="1"/>
  <c r="L498" i="22" s="1"/>
  <c r="N498" i="22"/>
  <c r="O498" i="22"/>
  <c r="P498" i="22"/>
  <c r="Q498" i="22"/>
  <c r="I499" i="22"/>
  <c r="J499" i="22" s="1"/>
  <c r="L499" i="22" s="1"/>
  <c r="N499" i="22"/>
  <c r="O499" i="22"/>
  <c r="P499" i="22"/>
  <c r="Q499" i="22"/>
  <c r="I500" i="22"/>
  <c r="J500" i="22" s="1"/>
  <c r="L500" i="22" s="1"/>
  <c r="N500" i="22"/>
  <c r="O500" i="22"/>
  <c r="P500" i="22"/>
  <c r="Q500" i="22"/>
  <c r="I501" i="22"/>
  <c r="J501" i="22" s="1"/>
  <c r="N501" i="22"/>
  <c r="O501" i="22"/>
  <c r="P501" i="22"/>
  <c r="Q501" i="22"/>
  <c r="I502" i="22"/>
  <c r="J502" i="22" s="1"/>
  <c r="L502" i="22" s="1"/>
  <c r="N502" i="22"/>
  <c r="O502" i="22"/>
  <c r="P502" i="22"/>
  <c r="Q502" i="22"/>
  <c r="I503" i="22"/>
  <c r="J503" i="22" s="1"/>
  <c r="N503" i="22"/>
  <c r="O503" i="22"/>
  <c r="P503" i="22"/>
  <c r="Q503" i="22"/>
  <c r="I504" i="22"/>
  <c r="J504" i="22" s="1"/>
  <c r="L504" i="22" s="1"/>
  <c r="N504" i="22"/>
  <c r="O504" i="22"/>
  <c r="P504" i="22"/>
  <c r="Q504" i="22"/>
  <c r="I505" i="22"/>
  <c r="J505" i="22" s="1"/>
  <c r="L505" i="22" s="1"/>
  <c r="N505" i="22"/>
  <c r="O505" i="22"/>
  <c r="P505" i="22"/>
  <c r="Q505" i="22"/>
  <c r="I506" i="22"/>
  <c r="J506" i="22" s="1"/>
  <c r="L506" i="22" s="1"/>
  <c r="N506" i="22"/>
  <c r="O506" i="22"/>
  <c r="P506" i="22"/>
  <c r="Q506" i="22"/>
  <c r="I507" i="22"/>
  <c r="J507" i="22" s="1"/>
  <c r="L507" i="22" s="1"/>
  <c r="N507" i="22"/>
  <c r="O507" i="22"/>
  <c r="P507" i="22"/>
  <c r="Q507" i="22"/>
  <c r="I508" i="22"/>
  <c r="J508" i="22" s="1"/>
  <c r="L508" i="22" s="1"/>
  <c r="N508" i="22"/>
  <c r="O508" i="22"/>
  <c r="P508" i="22"/>
  <c r="Q508" i="22"/>
  <c r="I509" i="22"/>
  <c r="J509" i="22" s="1"/>
  <c r="L509" i="22" s="1"/>
  <c r="N509" i="22"/>
  <c r="O509" i="22"/>
  <c r="P509" i="22"/>
  <c r="Q509" i="22"/>
  <c r="I510" i="22"/>
  <c r="J510" i="22" s="1"/>
  <c r="L510" i="22" s="1"/>
  <c r="N510" i="22"/>
  <c r="O510" i="22"/>
  <c r="P510" i="22"/>
  <c r="Q510" i="22"/>
  <c r="I511" i="22"/>
  <c r="J511" i="22" s="1"/>
  <c r="L511" i="22" s="1"/>
  <c r="N511" i="22"/>
  <c r="O511" i="22"/>
  <c r="P511" i="22"/>
  <c r="Q511" i="22"/>
  <c r="I512" i="22"/>
  <c r="J512" i="22" s="1"/>
  <c r="L512" i="22" s="1"/>
  <c r="N512" i="22"/>
  <c r="O512" i="22"/>
  <c r="P512" i="22"/>
  <c r="Q512" i="22"/>
  <c r="I513" i="22"/>
  <c r="J513" i="22" s="1"/>
  <c r="L513" i="22" s="1"/>
  <c r="N513" i="22"/>
  <c r="O513" i="22"/>
  <c r="P513" i="22"/>
  <c r="Q513" i="22"/>
  <c r="I514" i="22"/>
  <c r="J514" i="22" s="1"/>
  <c r="L514" i="22" s="1"/>
  <c r="N514" i="22"/>
  <c r="O514" i="22"/>
  <c r="P514" i="22"/>
  <c r="Q514" i="22"/>
  <c r="I515" i="22"/>
  <c r="J515" i="22" s="1"/>
  <c r="L515" i="22" s="1"/>
  <c r="N515" i="22"/>
  <c r="O515" i="22"/>
  <c r="P515" i="22"/>
  <c r="Q515" i="22"/>
  <c r="I516" i="22"/>
  <c r="J516" i="22" s="1"/>
  <c r="L516" i="22" s="1"/>
  <c r="N516" i="22"/>
  <c r="O516" i="22"/>
  <c r="P516" i="22"/>
  <c r="Q516" i="22"/>
  <c r="I517" i="22"/>
  <c r="J517" i="22" s="1"/>
  <c r="L517" i="22" s="1"/>
  <c r="N517" i="22"/>
  <c r="O517" i="22"/>
  <c r="P517" i="22"/>
  <c r="Q517" i="22"/>
  <c r="I518" i="22"/>
  <c r="J518" i="22" s="1"/>
  <c r="L518" i="22" s="1"/>
  <c r="N518" i="22"/>
  <c r="O518" i="22"/>
  <c r="P518" i="22"/>
  <c r="Q518" i="22"/>
  <c r="I519" i="22"/>
  <c r="J519" i="22" s="1"/>
  <c r="L519" i="22" s="1"/>
  <c r="N519" i="22"/>
  <c r="O519" i="22"/>
  <c r="P519" i="22"/>
  <c r="Q519" i="22"/>
  <c r="I520" i="22"/>
  <c r="J520" i="22" s="1"/>
  <c r="L520" i="22" s="1"/>
  <c r="N520" i="22"/>
  <c r="O520" i="22"/>
  <c r="P520" i="22"/>
  <c r="Q520" i="22"/>
  <c r="I521" i="22"/>
  <c r="J521" i="22" s="1"/>
  <c r="L521" i="22" s="1"/>
  <c r="N521" i="22"/>
  <c r="O521" i="22"/>
  <c r="P521" i="22"/>
  <c r="Q521" i="22"/>
  <c r="I522" i="22"/>
  <c r="J522" i="22" s="1"/>
  <c r="L522" i="22" s="1"/>
  <c r="N522" i="22"/>
  <c r="O522" i="22"/>
  <c r="P522" i="22"/>
  <c r="Q522" i="22"/>
  <c r="I523" i="22"/>
  <c r="J523" i="22" s="1"/>
  <c r="L523" i="22" s="1"/>
  <c r="N523" i="22"/>
  <c r="O523" i="22"/>
  <c r="P523" i="22"/>
  <c r="Q523" i="22"/>
  <c r="I524" i="22"/>
  <c r="J524" i="22" s="1"/>
  <c r="N524" i="22"/>
  <c r="O524" i="22"/>
  <c r="P524" i="22"/>
  <c r="Q524" i="22"/>
  <c r="I525" i="22"/>
  <c r="J525" i="22" s="1"/>
  <c r="L525" i="22" s="1"/>
  <c r="N525" i="22"/>
  <c r="O525" i="22"/>
  <c r="P525" i="22"/>
  <c r="Q525" i="22"/>
  <c r="I526" i="22"/>
  <c r="J526" i="22" s="1"/>
  <c r="N526" i="22"/>
  <c r="O526" i="22"/>
  <c r="P526" i="22"/>
  <c r="Q526" i="22"/>
  <c r="I527" i="22"/>
  <c r="J527" i="22" s="1"/>
  <c r="L527" i="22" s="1"/>
  <c r="N527" i="22"/>
  <c r="O527" i="22"/>
  <c r="P527" i="22"/>
  <c r="Q527" i="22"/>
  <c r="I528" i="22"/>
  <c r="J528" i="22" s="1"/>
  <c r="N528" i="22"/>
  <c r="O528" i="22"/>
  <c r="P528" i="22"/>
  <c r="Q528" i="22"/>
  <c r="I529" i="22"/>
  <c r="J529" i="22" s="1"/>
  <c r="N529" i="22"/>
  <c r="O529" i="22"/>
  <c r="P529" i="22"/>
  <c r="Q529" i="22"/>
  <c r="I530" i="22"/>
  <c r="J530" i="22" s="1"/>
  <c r="K530" i="22" s="1"/>
  <c r="N530" i="22"/>
  <c r="O530" i="22"/>
  <c r="P530" i="22"/>
  <c r="Q530" i="22"/>
  <c r="I531" i="22"/>
  <c r="J531" i="22" s="1"/>
  <c r="N531" i="22"/>
  <c r="O531" i="22"/>
  <c r="P531" i="22"/>
  <c r="Q531" i="22"/>
  <c r="I532" i="22"/>
  <c r="J532" i="22" s="1"/>
  <c r="K532" i="22" s="1"/>
  <c r="N532" i="22"/>
  <c r="O532" i="22"/>
  <c r="P532" i="22"/>
  <c r="Q532" i="22"/>
  <c r="I533" i="22"/>
  <c r="J533" i="22" s="1"/>
  <c r="K533" i="22" s="1"/>
  <c r="M533" i="22" s="1"/>
  <c r="N533" i="22"/>
  <c r="O533" i="22"/>
  <c r="P533" i="22"/>
  <c r="Q533" i="22"/>
  <c r="I534" i="22"/>
  <c r="J534" i="22" s="1"/>
  <c r="N534" i="22"/>
  <c r="O534" i="22"/>
  <c r="P534" i="22"/>
  <c r="Q534" i="22"/>
  <c r="I535" i="22"/>
  <c r="J535" i="22" s="1"/>
  <c r="N535" i="22"/>
  <c r="O535" i="22"/>
  <c r="P535" i="22"/>
  <c r="Q535" i="22"/>
  <c r="I536" i="22"/>
  <c r="J536" i="22" s="1"/>
  <c r="K536" i="22" s="1"/>
  <c r="N536" i="22"/>
  <c r="O536" i="22"/>
  <c r="P536" i="22"/>
  <c r="Q536" i="22"/>
  <c r="I537" i="22"/>
  <c r="J537" i="22" s="1"/>
  <c r="K537" i="22" s="1"/>
  <c r="N537" i="22"/>
  <c r="O537" i="22"/>
  <c r="P537" i="22"/>
  <c r="Q537" i="22"/>
  <c r="I538" i="22"/>
  <c r="J538" i="22" s="1"/>
  <c r="N538" i="22"/>
  <c r="O538" i="22"/>
  <c r="P538" i="22"/>
  <c r="Q538" i="22"/>
  <c r="I539" i="22"/>
  <c r="J539" i="22" s="1"/>
  <c r="N539" i="22"/>
  <c r="O539" i="22"/>
  <c r="P539" i="22"/>
  <c r="Q539" i="22"/>
  <c r="I540" i="22"/>
  <c r="J540" i="22" s="1"/>
  <c r="N540" i="22"/>
  <c r="O540" i="22"/>
  <c r="P540" i="22"/>
  <c r="Q540" i="22"/>
  <c r="I541" i="22"/>
  <c r="J541" i="22" s="1"/>
  <c r="L541" i="22" s="1"/>
  <c r="N541" i="22"/>
  <c r="O541" i="22"/>
  <c r="P541" i="22"/>
  <c r="Q541" i="22"/>
  <c r="I542" i="22"/>
  <c r="J542" i="22" s="1"/>
  <c r="K542" i="22" s="1"/>
  <c r="N542" i="22"/>
  <c r="O542" i="22"/>
  <c r="P542" i="22"/>
  <c r="Q542" i="22"/>
  <c r="I543" i="22"/>
  <c r="J543" i="22" s="1"/>
  <c r="N543" i="22"/>
  <c r="O543" i="22"/>
  <c r="P543" i="22"/>
  <c r="Q543" i="22"/>
  <c r="I544" i="22"/>
  <c r="J544" i="22" s="1"/>
  <c r="N544" i="22"/>
  <c r="O544" i="22"/>
  <c r="P544" i="22"/>
  <c r="Q544" i="22"/>
  <c r="I545" i="22"/>
  <c r="J545" i="22" s="1"/>
  <c r="L545" i="22" s="1"/>
  <c r="N545" i="22"/>
  <c r="O545" i="22"/>
  <c r="P545" i="22"/>
  <c r="Q545" i="22"/>
  <c r="I546" i="22"/>
  <c r="J546" i="22" s="1"/>
  <c r="N546" i="22"/>
  <c r="O546" i="22"/>
  <c r="P546" i="22"/>
  <c r="Q546" i="22"/>
  <c r="I547" i="22"/>
  <c r="J547" i="22" s="1"/>
  <c r="N547" i="22"/>
  <c r="O547" i="22"/>
  <c r="P547" i="22"/>
  <c r="Q547" i="22"/>
  <c r="I548" i="22"/>
  <c r="J548" i="22" s="1"/>
  <c r="N548" i="22"/>
  <c r="O548" i="22"/>
  <c r="P548" i="22"/>
  <c r="Q548" i="22"/>
  <c r="I549" i="22"/>
  <c r="J549" i="22" s="1"/>
  <c r="L549" i="22" s="1"/>
  <c r="N549" i="22"/>
  <c r="O549" i="22"/>
  <c r="P549" i="22"/>
  <c r="Q549" i="22"/>
  <c r="I550" i="22"/>
  <c r="J550" i="22" s="1"/>
  <c r="N550" i="22"/>
  <c r="O550" i="22"/>
  <c r="P550" i="22"/>
  <c r="Q550" i="22"/>
  <c r="I551" i="22"/>
  <c r="J551" i="22" s="1"/>
  <c r="L551" i="22" s="1"/>
  <c r="N551" i="22"/>
  <c r="O551" i="22"/>
  <c r="P551" i="22"/>
  <c r="Q551" i="22"/>
  <c r="I552" i="22"/>
  <c r="J552" i="22" s="1"/>
  <c r="N552" i="22"/>
  <c r="O552" i="22"/>
  <c r="P552" i="22"/>
  <c r="Q552" i="22"/>
  <c r="I553" i="22"/>
  <c r="J553" i="22" s="1"/>
  <c r="N553" i="22"/>
  <c r="O553" i="22"/>
  <c r="P553" i="22"/>
  <c r="Q553" i="22"/>
  <c r="I554" i="22"/>
  <c r="J554" i="22" s="1"/>
  <c r="K554" i="22" s="1"/>
  <c r="N554" i="22"/>
  <c r="O554" i="22"/>
  <c r="P554" i="22"/>
  <c r="Q554" i="22"/>
  <c r="I555" i="22"/>
  <c r="J555" i="22" s="1"/>
  <c r="N555" i="22"/>
  <c r="O555" i="22"/>
  <c r="P555" i="22"/>
  <c r="Q555" i="22"/>
  <c r="I556" i="22"/>
  <c r="J556" i="22" s="1"/>
  <c r="K556" i="22" s="1"/>
  <c r="N556" i="22"/>
  <c r="O556" i="22"/>
  <c r="P556" i="22"/>
  <c r="Q556" i="22"/>
  <c r="I557" i="22"/>
  <c r="J557" i="22" s="1"/>
  <c r="K557" i="22" s="1"/>
  <c r="M557" i="22" s="1"/>
  <c r="N557" i="22"/>
  <c r="O557" i="22"/>
  <c r="P557" i="22"/>
  <c r="Q557" i="22"/>
  <c r="I558" i="22"/>
  <c r="J558" i="22" s="1"/>
  <c r="N558" i="22"/>
  <c r="O558" i="22"/>
  <c r="P558" i="22"/>
  <c r="Q558" i="22"/>
  <c r="I559" i="22"/>
  <c r="J559" i="22" s="1"/>
  <c r="N559" i="22"/>
  <c r="O559" i="22"/>
  <c r="P559" i="22"/>
  <c r="Q559" i="22"/>
  <c r="I560" i="22"/>
  <c r="J560" i="22" s="1"/>
  <c r="K560" i="22" s="1"/>
  <c r="N560" i="22"/>
  <c r="O560" i="22"/>
  <c r="P560" i="22"/>
  <c r="Q560" i="22"/>
  <c r="I561" i="22"/>
  <c r="J561" i="22" s="1"/>
  <c r="K561" i="22" s="1"/>
  <c r="N561" i="22"/>
  <c r="O561" i="22"/>
  <c r="P561" i="22"/>
  <c r="Q561" i="22"/>
  <c r="I562" i="22"/>
  <c r="J562" i="22" s="1"/>
  <c r="N562" i="22"/>
  <c r="O562" i="22"/>
  <c r="P562" i="22"/>
  <c r="Q562" i="22"/>
  <c r="I563" i="22"/>
  <c r="J563" i="22" s="1"/>
  <c r="N563" i="22"/>
  <c r="O563" i="22"/>
  <c r="P563" i="22"/>
  <c r="Q563" i="22"/>
  <c r="I564" i="22"/>
  <c r="J564" i="22" s="1"/>
  <c r="N564" i="22"/>
  <c r="O564" i="22"/>
  <c r="P564" i="22"/>
  <c r="Q564" i="22"/>
  <c r="I565" i="22"/>
  <c r="J565" i="22" s="1"/>
  <c r="K565" i="22" s="1"/>
  <c r="N565" i="22"/>
  <c r="O565" i="22"/>
  <c r="P565" i="22"/>
  <c r="Q565" i="22"/>
  <c r="I566" i="22"/>
  <c r="J566" i="22" s="1"/>
  <c r="K566" i="22" s="1"/>
  <c r="N566" i="22"/>
  <c r="O566" i="22"/>
  <c r="P566" i="22"/>
  <c r="Q566" i="22"/>
  <c r="I567" i="22"/>
  <c r="J567" i="22" s="1"/>
  <c r="N567" i="22"/>
  <c r="O567" i="22"/>
  <c r="P567" i="22"/>
  <c r="Q567" i="22"/>
  <c r="I568" i="22"/>
  <c r="J568" i="22" s="1"/>
  <c r="N568" i="22"/>
  <c r="O568" i="22"/>
  <c r="P568" i="22"/>
  <c r="Q568" i="22"/>
  <c r="I569" i="22"/>
  <c r="J569" i="22" s="1"/>
  <c r="L569" i="22" s="1"/>
  <c r="N569" i="22"/>
  <c r="O569" i="22"/>
  <c r="P569" i="22"/>
  <c r="Q569" i="22"/>
  <c r="I570" i="22"/>
  <c r="J570" i="22" s="1"/>
  <c r="L570" i="22" s="1"/>
  <c r="N570" i="22"/>
  <c r="O570" i="22"/>
  <c r="P570" i="22"/>
  <c r="Q570" i="22"/>
  <c r="I571" i="22"/>
  <c r="J571" i="22" s="1"/>
  <c r="N571" i="22"/>
  <c r="O571" i="22"/>
  <c r="P571" i="22"/>
  <c r="Q571" i="22"/>
  <c r="I572" i="22"/>
  <c r="J572" i="22" s="1"/>
  <c r="N572" i="22"/>
  <c r="O572" i="22"/>
  <c r="P572" i="22"/>
  <c r="Q572" i="22"/>
  <c r="I573" i="22"/>
  <c r="J573" i="22" s="1"/>
  <c r="L573" i="22" s="1"/>
  <c r="N573" i="22"/>
  <c r="O573" i="22"/>
  <c r="P573" i="22"/>
  <c r="Q573" i="22"/>
  <c r="I574" i="22"/>
  <c r="J574" i="22" s="1"/>
  <c r="N574" i="22"/>
  <c r="O574" i="22"/>
  <c r="P574" i="22"/>
  <c r="Q574" i="22"/>
  <c r="I575" i="22"/>
  <c r="J575" i="22" s="1"/>
  <c r="N575" i="22"/>
  <c r="O575" i="22"/>
  <c r="P575" i="22"/>
  <c r="Q575" i="22"/>
  <c r="I576" i="22"/>
  <c r="J576" i="22" s="1"/>
  <c r="M576" i="22" s="1"/>
  <c r="N576" i="22"/>
  <c r="O576" i="22"/>
  <c r="P576" i="22"/>
  <c r="Q576" i="22"/>
  <c r="I577" i="22"/>
  <c r="J577" i="22" s="1"/>
  <c r="N577" i="22"/>
  <c r="O577" i="22"/>
  <c r="P577" i="22"/>
  <c r="Q577" i="22"/>
  <c r="I578" i="22"/>
  <c r="J578" i="22" s="1"/>
  <c r="L578" i="22" s="1"/>
  <c r="N578" i="22"/>
  <c r="O578" i="22"/>
  <c r="P578" i="22"/>
  <c r="Q578" i="22"/>
  <c r="I579" i="22"/>
  <c r="J579" i="22" s="1"/>
  <c r="N579" i="22"/>
  <c r="O579" i="22"/>
  <c r="P579" i="22"/>
  <c r="Q579" i="22"/>
  <c r="I580" i="22"/>
  <c r="J580" i="22" s="1"/>
  <c r="M580" i="22" s="1"/>
  <c r="N580" i="22"/>
  <c r="O580" i="22"/>
  <c r="P580" i="22"/>
  <c r="Q580" i="22"/>
  <c r="I581" i="22"/>
  <c r="J581" i="22" s="1"/>
  <c r="N581" i="22"/>
  <c r="O581" i="22"/>
  <c r="P581" i="22"/>
  <c r="Q581" i="22"/>
  <c r="I582" i="22"/>
  <c r="J582" i="22" s="1"/>
  <c r="L582" i="22" s="1"/>
  <c r="N582" i="22"/>
  <c r="O582" i="22"/>
  <c r="P582" i="22"/>
  <c r="Q582" i="22"/>
  <c r="I583" i="22"/>
  <c r="J583" i="22" s="1"/>
  <c r="N583" i="22"/>
  <c r="O583" i="22"/>
  <c r="P583" i="22"/>
  <c r="Q583" i="22"/>
  <c r="I584" i="22"/>
  <c r="J584" i="22" s="1"/>
  <c r="N584" i="22"/>
  <c r="O584" i="22"/>
  <c r="P584" i="22"/>
  <c r="Q584" i="22"/>
  <c r="I585" i="22"/>
  <c r="J585" i="22" s="1"/>
  <c r="L585" i="22" s="1"/>
  <c r="N585" i="22"/>
  <c r="O585" i="22"/>
  <c r="P585" i="22"/>
  <c r="Q585" i="22"/>
  <c r="I586" i="22"/>
  <c r="J586" i="22" s="1"/>
  <c r="L586" i="22" s="1"/>
  <c r="N586" i="22"/>
  <c r="O586" i="22"/>
  <c r="P586" i="22"/>
  <c r="Q586" i="22"/>
  <c r="I587" i="22"/>
  <c r="J587" i="22" s="1"/>
  <c r="N587" i="22"/>
  <c r="O587" i="22"/>
  <c r="P587" i="22"/>
  <c r="Q587" i="22"/>
  <c r="I588" i="22"/>
  <c r="J588" i="22" s="1"/>
  <c r="N588" i="22"/>
  <c r="O588" i="22"/>
  <c r="P588" i="22"/>
  <c r="Q588" i="22"/>
  <c r="I589" i="22"/>
  <c r="J589" i="22" s="1"/>
  <c r="L589" i="22" s="1"/>
  <c r="N589" i="22"/>
  <c r="O589" i="22"/>
  <c r="P589" i="22"/>
  <c r="Q589" i="22"/>
  <c r="I590" i="22"/>
  <c r="J590" i="22" s="1"/>
  <c r="L590" i="22" s="1"/>
  <c r="N590" i="22"/>
  <c r="O590" i="22"/>
  <c r="P590" i="22"/>
  <c r="Q590" i="22"/>
  <c r="I591" i="22"/>
  <c r="J591" i="22" s="1"/>
  <c r="N591" i="22"/>
  <c r="O591" i="22"/>
  <c r="P591" i="22"/>
  <c r="Q591" i="22"/>
  <c r="I592" i="22"/>
  <c r="J592" i="22" s="1"/>
  <c r="M592" i="22" s="1"/>
  <c r="N592" i="22"/>
  <c r="O592" i="22"/>
  <c r="P592" i="22"/>
  <c r="Q592" i="22"/>
  <c r="I593" i="22"/>
  <c r="J593" i="22" s="1"/>
  <c r="N593" i="22"/>
  <c r="O593" i="22"/>
  <c r="P593" i="22"/>
  <c r="Q593" i="22"/>
  <c r="I594" i="22"/>
  <c r="J594" i="22" s="1"/>
  <c r="L594" i="22" s="1"/>
  <c r="N594" i="22"/>
  <c r="O594" i="22"/>
  <c r="P594" i="22"/>
  <c r="Q594" i="22"/>
  <c r="I595" i="22"/>
  <c r="J595" i="22" s="1"/>
  <c r="N595" i="22"/>
  <c r="O595" i="22"/>
  <c r="P595" i="22"/>
  <c r="Q595" i="22"/>
  <c r="I596" i="22"/>
  <c r="J596" i="22" s="1"/>
  <c r="N596" i="22"/>
  <c r="O596" i="22"/>
  <c r="P596" i="22"/>
  <c r="Q596" i="22"/>
  <c r="I597" i="22"/>
  <c r="J597" i="22" s="1"/>
  <c r="N597" i="22"/>
  <c r="O597" i="22"/>
  <c r="P597" i="22"/>
  <c r="Q597" i="22"/>
  <c r="I598" i="22"/>
  <c r="J598" i="22" s="1"/>
  <c r="N598" i="22"/>
  <c r="O598" i="22"/>
  <c r="P598" i="22"/>
  <c r="Q598" i="22"/>
  <c r="I599" i="22"/>
  <c r="J599" i="22" s="1"/>
  <c r="N599" i="22"/>
  <c r="O599" i="22"/>
  <c r="P599" i="22"/>
  <c r="Q599" i="22"/>
  <c r="I600" i="22"/>
  <c r="J600" i="22" s="1"/>
  <c r="N600" i="22"/>
  <c r="O600" i="22"/>
  <c r="P600" i="22"/>
  <c r="Q600" i="22"/>
  <c r="I601" i="22"/>
  <c r="J601" i="22" s="1"/>
  <c r="L601" i="22" s="1"/>
  <c r="N601" i="22"/>
  <c r="O601" i="22"/>
  <c r="P601" i="22"/>
  <c r="Q601" i="22"/>
  <c r="I602" i="22"/>
  <c r="J602" i="22" s="1"/>
  <c r="N602" i="22"/>
  <c r="O602" i="22"/>
  <c r="P602" i="22"/>
  <c r="Q602" i="22"/>
  <c r="I603" i="22"/>
  <c r="J603" i="22" s="1"/>
  <c r="N603" i="22"/>
  <c r="O603" i="22"/>
  <c r="P603" i="22"/>
  <c r="Q603" i="22"/>
  <c r="I604" i="22"/>
  <c r="J604" i="22" s="1"/>
  <c r="N604" i="22"/>
  <c r="O604" i="22"/>
  <c r="P604" i="22"/>
  <c r="Q604" i="22"/>
  <c r="I605" i="22"/>
  <c r="J605" i="22" s="1"/>
  <c r="L605" i="22" s="1"/>
  <c r="N605" i="22"/>
  <c r="O605" i="22"/>
  <c r="P605" i="22"/>
  <c r="Q605" i="22"/>
  <c r="I606" i="22"/>
  <c r="J606" i="22" s="1"/>
  <c r="N606" i="22"/>
  <c r="O606" i="22"/>
  <c r="P606" i="22"/>
  <c r="Q606" i="22"/>
  <c r="I607" i="22"/>
  <c r="J607" i="22" s="1"/>
  <c r="N607" i="22"/>
  <c r="O607" i="22"/>
  <c r="P607" i="22"/>
  <c r="Q607" i="22"/>
  <c r="I608" i="22"/>
  <c r="J608" i="22" s="1"/>
  <c r="N608" i="22"/>
  <c r="O608" i="22"/>
  <c r="P608" i="22"/>
  <c r="Q608" i="22"/>
  <c r="I609" i="22"/>
  <c r="J609" i="22" s="1"/>
  <c r="N609" i="22"/>
  <c r="O609" i="22"/>
  <c r="P609" i="22"/>
  <c r="Q609" i="22"/>
  <c r="I610" i="22"/>
  <c r="J610" i="22" s="1"/>
  <c r="N610" i="22"/>
  <c r="O610" i="22"/>
  <c r="P610" i="22"/>
  <c r="Q610" i="22"/>
  <c r="I611" i="22"/>
  <c r="J611" i="22" s="1"/>
  <c r="N611" i="22"/>
  <c r="O611" i="22"/>
  <c r="P611" i="22"/>
  <c r="Q611" i="22"/>
  <c r="I612" i="22"/>
  <c r="J612" i="22" s="1"/>
  <c r="M612" i="22" s="1"/>
  <c r="N612" i="22"/>
  <c r="O612" i="22"/>
  <c r="P612" i="22"/>
  <c r="Q612" i="22"/>
  <c r="I613" i="22"/>
  <c r="J613" i="22" s="1"/>
  <c r="N613" i="22"/>
  <c r="O613" i="22"/>
  <c r="P613" i="22"/>
  <c r="Q613" i="22"/>
  <c r="I614" i="22"/>
  <c r="J614" i="22" s="1"/>
  <c r="N614" i="22"/>
  <c r="O614" i="22"/>
  <c r="P614" i="22"/>
  <c r="Q614" i="22"/>
  <c r="I615" i="22"/>
  <c r="J615" i="22" s="1"/>
  <c r="N615" i="22"/>
  <c r="O615" i="22"/>
  <c r="P615" i="22"/>
  <c r="Q615" i="22"/>
  <c r="I616" i="22"/>
  <c r="J616" i="22" s="1"/>
  <c r="N616" i="22"/>
  <c r="O616" i="22"/>
  <c r="P616" i="22"/>
  <c r="Q616" i="22"/>
  <c r="I617" i="22"/>
  <c r="J617" i="22" s="1"/>
  <c r="L617" i="22" s="1"/>
  <c r="N617" i="22"/>
  <c r="O617" i="22"/>
  <c r="P617" i="22"/>
  <c r="Q617" i="22"/>
  <c r="I618" i="22"/>
  <c r="J618" i="22" s="1"/>
  <c r="N618" i="22"/>
  <c r="O618" i="22"/>
  <c r="P618" i="22"/>
  <c r="Q618" i="22"/>
  <c r="I619" i="22"/>
  <c r="J619" i="22" s="1"/>
  <c r="N619" i="22"/>
  <c r="O619" i="22"/>
  <c r="P619" i="22"/>
  <c r="Q619" i="22"/>
  <c r="I620" i="22"/>
  <c r="J620" i="22" s="1"/>
  <c r="N620" i="22"/>
  <c r="O620" i="22"/>
  <c r="P620" i="22"/>
  <c r="Q620" i="22"/>
  <c r="I621" i="22"/>
  <c r="J621" i="22" s="1"/>
  <c r="L621" i="22" s="1"/>
  <c r="N621" i="22"/>
  <c r="O621" i="22"/>
  <c r="P621" i="22"/>
  <c r="Q621" i="22"/>
  <c r="I622" i="22"/>
  <c r="J622" i="22" s="1"/>
  <c r="N622" i="22"/>
  <c r="O622" i="22"/>
  <c r="P622" i="22"/>
  <c r="Q622" i="22"/>
  <c r="I623" i="22"/>
  <c r="J623" i="22" s="1"/>
  <c r="N623" i="22"/>
  <c r="O623" i="22"/>
  <c r="P623" i="22"/>
  <c r="Q623" i="22"/>
  <c r="I624" i="22"/>
  <c r="J624" i="22" s="1"/>
  <c r="M624" i="22" s="1"/>
  <c r="N624" i="22"/>
  <c r="O624" i="22"/>
  <c r="P624" i="22"/>
  <c r="Q624" i="22"/>
  <c r="I625" i="22"/>
  <c r="J625" i="22" s="1"/>
  <c r="N625" i="22"/>
  <c r="O625" i="22"/>
  <c r="P625" i="22"/>
  <c r="Q625" i="22"/>
  <c r="I626" i="22"/>
  <c r="J626" i="22" s="1"/>
  <c r="N626" i="22"/>
  <c r="O626" i="22"/>
  <c r="P626" i="22"/>
  <c r="Q626" i="22"/>
  <c r="I627" i="22"/>
  <c r="J627" i="22" s="1"/>
  <c r="N627" i="22"/>
  <c r="O627" i="22"/>
  <c r="P627" i="22"/>
  <c r="Q627" i="22"/>
  <c r="I628" i="22"/>
  <c r="J628" i="22" s="1"/>
  <c r="M628" i="22" s="1"/>
  <c r="N628" i="22"/>
  <c r="O628" i="22"/>
  <c r="P628" i="22"/>
  <c r="Q628" i="22"/>
  <c r="I629" i="22"/>
  <c r="J629" i="22" s="1"/>
  <c r="N629" i="22"/>
  <c r="O629" i="22"/>
  <c r="P629" i="22"/>
  <c r="Q629" i="22"/>
  <c r="I630" i="22"/>
  <c r="J630" i="22" s="1"/>
  <c r="N630" i="22"/>
  <c r="O630" i="22"/>
  <c r="P630" i="22"/>
  <c r="Q630" i="22"/>
  <c r="I631" i="22"/>
  <c r="J631" i="22" s="1"/>
  <c r="N631" i="22"/>
  <c r="O631" i="22"/>
  <c r="P631" i="22"/>
  <c r="Q631" i="22"/>
  <c r="I632" i="22"/>
  <c r="J632" i="22" s="1"/>
  <c r="N632" i="22"/>
  <c r="O632" i="22"/>
  <c r="P632" i="22"/>
  <c r="Q632" i="22"/>
  <c r="I633" i="22"/>
  <c r="J633" i="22" s="1"/>
  <c r="L633" i="22" s="1"/>
  <c r="N633" i="22"/>
  <c r="O633" i="22"/>
  <c r="P633" i="22"/>
  <c r="Q633" i="22"/>
  <c r="I634" i="22"/>
  <c r="J634" i="22" s="1"/>
  <c r="N634" i="22"/>
  <c r="O634" i="22"/>
  <c r="P634" i="22"/>
  <c r="Q634" i="22"/>
  <c r="I635" i="22"/>
  <c r="J635" i="22" s="1"/>
  <c r="N635" i="22"/>
  <c r="O635" i="22"/>
  <c r="P635" i="22"/>
  <c r="Q635" i="22"/>
  <c r="I636" i="22"/>
  <c r="J636" i="22" s="1"/>
  <c r="N636" i="22"/>
  <c r="O636" i="22"/>
  <c r="P636" i="22"/>
  <c r="Q636" i="22"/>
  <c r="I637" i="22"/>
  <c r="J637" i="22" s="1"/>
  <c r="L637" i="22" s="1"/>
  <c r="N637" i="22"/>
  <c r="O637" i="22"/>
  <c r="P637" i="22"/>
  <c r="Q637" i="22"/>
  <c r="I638" i="22"/>
  <c r="J638" i="22" s="1"/>
  <c r="N638" i="22"/>
  <c r="O638" i="22"/>
  <c r="P638" i="22"/>
  <c r="Q638" i="22"/>
  <c r="I639" i="22"/>
  <c r="J639" i="22" s="1"/>
  <c r="N639" i="22"/>
  <c r="O639" i="22"/>
  <c r="P639" i="22"/>
  <c r="Q639" i="22"/>
  <c r="I640" i="22"/>
  <c r="J640" i="22" s="1"/>
  <c r="M640" i="22" s="1"/>
  <c r="N640" i="22"/>
  <c r="O640" i="22"/>
  <c r="P640" i="22"/>
  <c r="Q640" i="22"/>
  <c r="I641" i="22"/>
  <c r="J641" i="22" s="1"/>
  <c r="N641" i="22"/>
  <c r="O641" i="22"/>
  <c r="P641" i="22"/>
  <c r="Q641" i="22"/>
  <c r="I642" i="22"/>
  <c r="J642" i="22" s="1"/>
  <c r="N642" i="22"/>
  <c r="O642" i="22"/>
  <c r="P642" i="22"/>
  <c r="Q642" i="22"/>
  <c r="I643" i="22"/>
  <c r="J643" i="22" s="1"/>
  <c r="N643" i="22"/>
  <c r="O643" i="22"/>
  <c r="P643" i="22"/>
  <c r="Q643" i="22"/>
  <c r="I644" i="22"/>
  <c r="J644" i="22" s="1"/>
  <c r="N644" i="22"/>
  <c r="O644" i="22"/>
  <c r="P644" i="22"/>
  <c r="Q644" i="22"/>
  <c r="I645" i="22"/>
  <c r="J645" i="22" s="1"/>
  <c r="K645" i="22" s="1"/>
  <c r="N645" i="22"/>
  <c r="O645" i="22"/>
  <c r="P645" i="22"/>
  <c r="Q645" i="22"/>
  <c r="I646" i="22"/>
  <c r="J646" i="22" s="1"/>
  <c r="K646" i="22" s="1"/>
  <c r="N646" i="22"/>
  <c r="O646" i="22"/>
  <c r="P646" i="22"/>
  <c r="Q646" i="22"/>
  <c r="I647" i="22"/>
  <c r="J647" i="22" s="1"/>
  <c r="N647" i="22"/>
  <c r="O647" i="22"/>
  <c r="P647" i="22"/>
  <c r="Q647" i="22"/>
  <c r="I648" i="22"/>
  <c r="J648" i="22" s="1"/>
  <c r="K648" i="22" s="1"/>
  <c r="N648" i="22"/>
  <c r="O648" i="22"/>
  <c r="P648" i="22"/>
  <c r="Q648" i="22"/>
  <c r="I649" i="22"/>
  <c r="J649" i="22" s="1"/>
  <c r="M649" i="22" s="1"/>
  <c r="N649" i="22"/>
  <c r="O649" i="22"/>
  <c r="P649" i="22"/>
  <c r="Q649" i="22"/>
  <c r="I650" i="22"/>
  <c r="J650" i="22" s="1"/>
  <c r="K650" i="22" s="1"/>
  <c r="N650" i="22"/>
  <c r="O650" i="22"/>
  <c r="P650" i="22"/>
  <c r="Q650" i="22"/>
  <c r="I651" i="22"/>
  <c r="J651" i="22" s="1"/>
  <c r="N651" i="22"/>
  <c r="O651" i="22"/>
  <c r="P651" i="22"/>
  <c r="Q651" i="22"/>
  <c r="I652" i="22"/>
  <c r="J652" i="22" s="1"/>
  <c r="N652" i="22"/>
  <c r="O652" i="22"/>
  <c r="P652" i="22"/>
  <c r="Q652" i="22"/>
  <c r="I653" i="22"/>
  <c r="J653" i="22" s="1"/>
  <c r="N653" i="22"/>
  <c r="O653" i="22"/>
  <c r="P653" i="22"/>
  <c r="Q653" i="22"/>
  <c r="I654" i="22"/>
  <c r="J654" i="22" s="1"/>
  <c r="K654" i="22" s="1"/>
  <c r="N654" i="22"/>
  <c r="O654" i="22"/>
  <c r="P654" i="22"/>
  <c r="Q654" i="22"/>
  <c r="I655" i="22"/>
  <c r="J655" i="22" s="1"/>
  <c r="N655" i="22"/>
  <c r="O655" i="22"/>
  <c r="P655" i="22"/>
  <c r="Q655" i="22"/>
  <c r="I656" i="22"/>
  <c r="J656" i="22" s="1"/>
  <c r="K656" i="22" s="1"/>
  <c r="N656" i="22"/>
  <c r="O656" i="22"/>
  <c r="P656" i="22"/>
  <c r="Q656" i="22"/>
  <c r="I657" i="22"/>
  <c r="J657" i="22" s="1"/>
  <c r="M657" i="22" s="1"/>
  <c r="N657" i="22"/>
  <c r="O657" i="22"/>
  <c r="P657" i="22"/>
  <c r="Q657" i="22"/>
  <c r="I658" i="22"/>
  <c r="J658" i="22" s="1"/>
  <c r="K658" i="22" s="1"/>
  <c r="N658" i="22"/>
  <c r="O658" i="22"/>
  <c r="P658" i="22"/>
  <c r="Q658" i="22"/>
  <c r="I659" i="22"/>
  <c r="J659" i="22" s="1"/>
  <c r="N659" i="22"/>
  <c r="O659" i="22"/>
  <c r="P659" i="22"/>
  <c r="Q659" i="22"/>
  <c r="I660" i="22"/>
  <c r="J660" i="22" s="1"/>
  <c r="N660" i="22"/>
  <c r="O660" i="22"/>
  <c r="P660" i="22"/>
  <c r="Q660" i="22"/>
  <c r="I661" i="22"/>
  <c r="J661" i="22" s="1"/>
  <c r="N661" i="22"/>
  <c r="O661" i="22"/>
  <c r="P661" i="22"/>
  <c r="Q661" i="22"/>
  <c r="I662" i="22"/>
  <c r="J662" i="22" s="1"/>
  <c r="K662" i="22" s="1"/>
  <c r="N662" i="22"/>
  <c r="O662" i="22"/>
  <c r="P662" i="22"/>
  <c r="Q662" i="22"/>
  <c r="I663" i="22"/>
  <c r="J663" i="22" s="1"/>
  <c r="N663" i="22"/>
  <c r="O663" i="22"/>
  <c r="P663" i="22"/>
  <c r="Q663" i="22"/>
  <c r="I664" i="22"/>
  <c r="J664" i="22" s="1"/>
  <c r="K664" i="22" s="1"/>
  <c r="N664" i="22"/>
  <c r="O664" i="22"/>
  <c r="P664" i="22"/>
  <c r="Q664" i="22"/>
  <c r="I665" i="22"/>
  <c r="J665" i="22" s="1"/>
  <c r="M665" i="22" s="1"/>
  <c r="N665" i="22"/>
  <c r="O665" i="22"/>
  <c r="P665" i="22"/>
  <c r="Q665" i="22"/>
  <c r="I666" i="22"/>
  <c r="J666" i="22" s="1"/>
  <c r="K666" i="22" s="1"/>
  <c r="N666" i="22"/>
  <c r="O666" i="22"/>
  <c r="P666" i="22"/>
  <c r="Q666" i="22"/>
  <c r="I667" i="22"/>
  <c r="J667" i="22" s="1"/>
  <c r="N667" i="22"/>
  <c r="O667" i="22"/>
  <c r="P667" i="22"/>
  <c r="Q667" i="22"/>
  <c r="I668" i="22"/>
  <c r="J668" i="22" s="1"/>
  <c r="K668" i="22" s="1"/>
  <c r="N668" i="22"/>
  <c r="O668" i="22"/>
  <c r="P668" i="22"/>
  <c r="Q668" i="22"/>
  <c r="I669" i="22"/>
  <c r="J669" i="22" s="1"/>
  <c r="M669" i="22" s="1"/>
  <c r="N669" i="22"/>
  <c r="O669" i="22"/>
  <c r="P669" i="22"/>
  <c r="Q669" i="22"/>
  <c r="I670" i="22"/>
  <c r="J670" i="22" s="1"/>
  <c r="K670" i="22" s="1"/>
  <c r="N670" i="22"/>
  <c r="O670" i="22"/>
  <c r="P670" i="22"/>
  <c r="Q670" i="22"/>
  <c r="I671" i="22"/>
  <c r="J671" i="22" s="1"/>
  <c r="N671" i="22"/>
  <c r="O671" i="22"/>
  <c r="P671" i="22"/>
  <c r="Q671" i="22"/>
  <c r="I672" i="22"/>
  <c r="J672" i="22" s="1"/>
  <c r="K672" i="22" s="1"/>
  <c r="N672" i="22"/>
  <c r="O672" i="22"/>
  <c r="P672" i="22"/>
  <c r="Q672" i="22"/>
  <c r="I673" i="22"/>
  <c r="J673" i="22" s="1"/>
  <c r="M673" i="22" s="1"/>
  <c r="N673" i="22"/>
  <c r="O673" i="22"/>
  <c r="P673" i="22"/>
  <c r="Q673" i="22"/>
  <c r="I674" i="22"/>
  <c r="J674" i="22" s="1"/>
  <c r="K674" i="22" s="1"/>
  <c r="N674" i="22"/>
  <c r="O674" i="22"/>
  <c r="P674" i="22"/>
  <c r="Q674" i="22"/>
  <c r="I675" i="22"/>
  <c r="J675" i="22" s="1"/>
  <c r="N675" i="22"/>
  <c r="O675" i="22"/>
  <c r="P675" i="22"/>
  <c r="Q675" i="22"/>
  <c r="I676" i="22"/>
  <c r="J676" i="22" s="1"/>
  <c r="K676" i="22" s="1"/>
  <c r="N676" i="22"/>
  <c r="O676" i="22"/>
  <c r="P676" i="22"/>
  <c r="Q676" i="22"/>
  <c r="I677" i="22"/>
  <c r="J677" i="22" s="1"/>
  <c r="M677" i="22" s="1"/>
  <c r="N677" i="22"/>
  <c r="O677" i="22"/>
  <c r="P677" i="22"/>
  <c r="Q677" i="22"/>
  <c r="I678" i="22"/>
  <c r="J678" i="22" s="1"/>
  <c r="K678" i="22" s="1"/>
  <c r="N678" i="22"/>
  <c r="O678" i="22"/>
  <c r="P678" i="22"/>
  <c r="Q678" i="22"/>
  <c r="I679" i="22"/>
  <c r="J679" i="22" s="1"/>
  <c r="N679" i="22"/>
  <c r="O679" i="22"/>
  <c r="P679" i="22"/>
  <c r="Q679" i="22"/>
  <c r="I680" i="22"/>
  <c r="J680" i="22" s="1"/>
  <c r="K680" i="22" s="1"/>
  <c r="N680" i="22"/>
  <c r="O680" i="22"/>
  <c r="P680" i="22"/>
  <c r="Q680" i="22"/>
  <c r="I681" i="22"/>
  <c r="J681" i="22" s="1"/>
  <c r="M681" i="22" s="1"/>
  <c r="N681" i="22"/>
  <c r="O681" i="22"/>
  <c r="P681" i="22"/>
  <c r="Q681" i="22"/>
  <c r="I682" i="22"/>
  <c r="J682" i="22" s="1"/>
  <c r="K682" i="22" s="1"/>
  <c r="N682" i="22"/>
  <c r="O682" i="22"/>
  <c r="P682" i="22"/>
  <c r="Q682" i="22"/>
  <c r="I683" i="22"/>
  <c r="J683" i="22" s="1"/>
  <c r="N683" i="22"/>
  <c r="O683" i="22"/>
  <c r="P683" i="22"/>
  <c r="Q683" i="22"/>
  <c r="I684" i="22"/>
  <c r="J684" i="22" s="1"/>
  <c r="N684" i="22"/>
  <c r="O684" i="22"/>
  <c r="P684" i="22"/>
  <c r="Q684" i="22"/>
  <c r="I685" i="22"/>
  <c r="J685" i="22" s="1"/>
  <c r="N685" i="22"/>
  <c r="O685" i="22"/>
  <c r="P685" i="22"/>
  <c r="Q685" i="22"/>
  <c r="I686" i="22"/>
  <c r="J686" i="22" s="1"/>
  <c r="N686" i="22"/>
  <c r="O686" i="22"/>
  <c r="P686" i="22"/>
  <c r="Q686" i="22"/>
  <c r="I687" i="22"/>
  <c r="J687" i="22" s="1"/>
  <c r="N687" i="22"/>
  <c r="O687" i="22"/>
  <c r="P687" i="22"/>
  <c r="Q687" i="22"/>
  <c r="I688" i="22"/>
  <c r="J688" i="22" s="1"/>
  <c r="N688" i="22"/>
  <c r="O688" i="22"/>
  <c r="P688" i="22"/>
  <c r="Q688" i="22"/>
  <c r="I689" i="22"/>
  <c r="J689" i="22" s="1"/>
  <c r="N689" i="22"/>
  <c r="O689" i="22"/>
  <c r="P689" i="22"/>
  <c r="Q689" i="22"/>
  <c r="I690" i="22"/>
  <c r="J690" i="22" s="1"/>
  <c r="N690" i="22"/>
  <c r="O690" i="22"/>
  <c r="P690" i="22"/>
  <c r="Q690" i="22"/>
  <c r="I691" i="22"/>
  <c r="J691" i="22" s="1"/>
  <c r="N691" i="22"/>
  <c r="O691" i="22"/>
  <c r="P691" i="22"/>
  <c r="Q691" i="22"/>
  <c r="I692" i="22"/>
  <c r="J692" i="22" s="1"/>
  <c r="N692" i="22"/>
  <c r="O692" i="22"/>
  <c r="P692" i="22"/>
  <c r="Q692" i="22"/>
  <c r="I693" i="22"/>
  <c r="J693" i="22" s="1"/>
  <c r="M693" i="22" s="1"/>
  <c r="N693" i="22"/>
  <c r="O693" i="22"/>
  <c r="P693" i="22"/>
  <c r="Q693" i="22"/>
  <c r="I694" i="22"/>
  <c r="J694" i="22" s="1"/>
  <c r="L694" i="22" s="1"/>
  <c r="N694" i="22"/>
  <c r="O694" i="22"/>
  <c r="P694" i="22"/>
  <c r="Q694" i="22"/>
  <c r="I695" i="22"/>
  <c r="J695" i="22" s="1"/>
  <c r="M695" i="22" s="1"/>
  <c r="N695" i="22"/>
  <c r="O695" i="22"/>
  <c r="P695" i="22"/>
  <c r="Q695" i="22"/>
  <c r="I696" i="22"/>
  <c r="J696" i="22" s="1"/>
  <c r="N696" i="22"/>
  <c r="O696" i="22"/>
  <c r="P696" i="22"/>
  <c r="Q696" i="22"/>
  <c r="I697" i="22"/>
  <c r="J697" i="22" s="1"/>
  <c r="N697" i="22"/>
  <c r="O697" i="22"/>
  <c r="P697" i="22"/>
  <c r="Q697" i="22"/>
  <c r="I698" i="22"/>
  <c r="J698" i="22" s="1"/>
  <c r="L698" i="22" s="1"/>
  <c r="N698" i="22"/>
  <c r="O698" i="22"/>
  <c r="P698" i="22"/>
  <c r="Q698" i="22"/>
  <c r="I699" i="22"/>
  <c r="J699" i="22" s="1"/>
  <c r="M699" i="22" s="1"/>
  <c r="N699" i="22"/>
  <c r="O699" i="22"/>
  <c r="P699" i="22"/>
  <c r="Q699" i="22"/>
  <c r="I700" i="22"/>
  <c r="J700" i="22" s="1"/>
  <c r="N700" i="22"/>
  <c r="O700" i="22"/>
  <c r="P700" i="22"/>
  <c r="Q700" i="22"/>
  <c r="I701" i="22"/>
  <c r="J701" i="22" s="1"/>
  <c r="M701" i="22" s="1"/>
  <c r="N701" i="22"/>
  <c r="O701" i="22"/>
  <c r="P701" i="22"/>
  <c r="Q701" i="22"/>
  <c r="I702" i="22"/>
  <c r="J702" i="22" s="1"/>
  <c r="N702" i="22"/>
  <c r="O702" i="22"/>
  <c r="P702" i="22"/>
  <c r="Q702" i="22"/>
  <c r="I703" i="22"/>
  <c r="J703" i="22" s="1"/>
  <c r="N703" i="22"/>
  <c r="O703" i="22"/>
  <c r="P703" i="22"/>
  <c r="Q703" i="22"/>
  <c r="I704" i="22"/>
  <c r="J704" i="22" s="1"/>
  <c r="N704" i="22"/>
  <c r="O704" i="22"/>
  <c r="P704" i="22"/>
  <c r="Q704" i="22"/>
  <c r="I705" i="22"/>
  <c r="J705" i="22" s="1"/>
  <c r="N705" i="22"/>
  <c r="O705" i="22"/>
  <c r="P705" i="22"/>
  <c r="Q705" i="22"/>
  <c r="I706" i="22"/>
  <c r="J706" i="22" s="1"/>
  <c r="L706" i="22" s="1"/>
  <c r="N706" i="22"/>
  <c r="O706" i="22"/>
  <c r="P706" i="22"/>
  <c r="Q706" i="22"/>
  <c r="I707" i="22"/>
  <c r="J707" i="22" s="1"/>
  <c r="N707" i="22"/>
  <c r="O707" i="22"/>
  <c r="P707" i="22"/>
  <c r="Q707" i="22"/>
  <c r="I708" i="22"/>
  <c r="J708" i="22" s="1"/>
  <c r="N708" i="22"/>
  <c r="O708" i="22"/>
  <c r="P708" i="22"/>
  <c r="Q708" i="22"/>
  <c r="I709" i="22"/>
  <c r="J709" i="22" s="1"/>
  <c r="M709" i="22" s="1"/>
  <c r="N709" i="22"/>
  <c r="O709" i="22"/>
  <c r="P709" i="22"/>
  <c r="Q709" i="22"/>
  <c r="I710" i="22"/>
  <c r="J710" i="22" s="1"/>
  <c r="N710" i="22"/>
  <c r="O710" i="22"/>
  <c r="P710" i="22"/>
  <c r="Q710" i="22"/>
  <c r="I711" i="22"/>
  <c r="J711" i="22" s="1"/>
  <c r="M711" i="22" s="1"/>
  <c r="N711" i="22"/>
  <c r="O711" i="22"/>
  <c r="P711" i="22"/>
  <c r="Q711" i="22"/>
  <c r="I712" i="22"/>
  <c r="J712" i="22" s="1"/>
  <c r="N712" i="22"/>
  <c r="O712" i="22"/>
  <c r="P712" i="22"/>
  <c r="Q712" i="22"/>
  <c r="I713" i="22"/>
  <c r="J713" i="22" s="1"/>
  <c r="N713" i="22"/>
  <c r="O713" i="22"/>
  <c r="P713" i="22"/>
  <c r="Q713" i="22"/>
  <c r="I714" i="22"/>
  <c r="J714" i="22" s="1"/>
  <c r="L714" i="22" s="1"/>
  <c r="N714" i="22"/>
  <c r="O714" i="22"/>
  <c r="P714" i="22"/>
  <c r="Q714" i="22"/>
  <c r="I715" i="22"/>
  <c r="J715" i="22" s="1"/>
  <c r="M715" i="22" s="1"/>
  <c r="N715" i="22"/>
  <c r="O715" i="22"/>
  <c r="P715" i="22"/>
  <c r="Q715" i="22"/>
  <c r="I716" i="22"/>
  <c r="J716" i="22" s="1"/>
  <c r="N716" i="22"/>
  <c r="O716" i="22"/>
  <c r="P716" i="22"/>
  <c r="Q716" i="22"/>
  <c r="I717" i="22"/>
  <c r="J717" i="22" s="1"/>
  <c r="M717" i="22" s="1"/>
  <c r="N717" i="22"/>
  <c r="O717" i="22"/>
  <c r="P717" i="22"/>
  <c r="Q717" i="22"/>
  <c r="I718" i="22"/>
  <c r="J718" i="22" s="1"/>
  <c r="N718" i="22"/>
  <c r="O718" i="22"/>
  <c r="P718" i="22"/>
  <c r="Q718" i="22"/>
  <c r="I719" i="22"/>
  <c r="J719" i="22" s="1"/>
  <c r="N719" i="22"/>
  <c r="O719" i="22"/>
  <c r="P719" i="22"/>
  <c r="Q719" i="22"/>
  <c r="I720" i="22"/>
  <c r="J720" i="22" s="1"/>
  <c r="N720" i="22"/>
  <c r="O720" i="22"/>
  <c r="P720" i="22"/>
  <c r="Q720" i="22"/>
  <c r="I721" i="22"/>
  <c r="J721" i="22" s="1"/>
  <c r="N721" i="22"/>
  <c r="O721" i="22"/>
  <c r="P721" i="22"/>
  <c r="Q721" i="22"/>
  <c r="I722" i="22"/>
  <c r="J722" i="22" s="1"/>
  <c r="L722" i="22" s="1"/>
  <c r="N722" i="22"/>
  <c r="O722" i="22"/>
  <c r="P722" i="22"/>
  <c r="Q722" i="22"/>
  <c r="I723" i="22"/>
  <c r="J723" i="22" s="1"/>
  <c r="N723" i="22"/>
  <c r="O723" i="22"/>
  <c r="P723" i="22"/>
  <c r="Q723" i="22"/>
  <c r="I724" i="22"/>
  <c r="J724" i="22" s="1"/>
  <c r="N724" i="22"/>
  <c r="O724" i="22"/>
  <c r="P724" i="22"/>
  <c r="Q724" i="22"/>
  <c r="I725" i="22"/>
  <c r="J725" i="22" s="1"/>
  <c r="M725" i="22" s="1"/>
  <c r="N725" i="22"/>
  <c r="O725" i="22"/>
  <c r="P725" i="22"/>
  <c r="Q725" i="22"/>
  <c r="I726" i="22"/>
  <c r="J726" i="22" s="1"/>
  <c r="N726" i="22"/>
  <c r="O726" i="22"/>
  <c r="P726" i="22"/>
  <c r="Q726" i="22"/>
  <c r="I727" i="22"/>
  <c r="J727" i="22" s="1"/>
  <c r="M727" i="22" s="1"/>
  <c r="N727" i="22"/>
  <c r="O727" i="22"/>
  <c r="P727" i="22"/>
  <c r="Q727" i="22"/>
  <c r="I728" i="22"/>
  <c r="J728" i="22" s="1"/>
  <c r="N728" i="22"/>
  <c r="O728" i="22"/>
  <c r="P728" i="22"/>
  <c r="Q728" i="22"/>
  <c r="I729" i="22"/>
  <c r="J729" i="22" s="1"/>
  <c r="N729" i="22"/>
  <c r="O729" i="22"/>
  <c r="P729" i="22"/>
  <c r="Q729" i="22"/>
  <c r="I730" i="22"/>
  <c r="J730" i="22" s="1"/>
  <c r="L730" i="22" s="1"/>
  <c r="N730" i="22"/>
  <c r="O730" i="22"/>
  <c r="P730" i="22"/>
  <c r="Q730" i="22"/>
  <c r="I731" i="22"/>
  <c r="J731" i="22" s="1"/>
  <c r="N731" i="22"/>
  <c r="O731" i="22"/>
  <c r="P731" i="22"/>
  <c r="Q731" i="22"/>
  <c r="I732" i="22"/>
  <c r="J732" i="22" s="1"/>
  <c r="N732" i="22"/>
  <c r="O732" i="22"/>
  <c r="P732" i="22"/>
  <c r="Q732" i="22"/>
  <c r="I733" i="22"/>
  <c r="J733" i="22" s="1"/>
  <c r="M733" i="22" s="1"/>
  <c r="N733" i="22"/>
  <c r="O733" i="22"/>
  <c r="P733" i="22"/>
  <c r="Q733" i="22"/>
  <c r="I734" i="22"/>
  <c r="J734" i="22" s="1"/>
  <c r="N734" i="22"/>
  <c r="O734" i="22"/>
  <c r="P734" i="22"/>
  <c r="Q734" i="22"/>
  <c r="I735" i="22"/>
  <c r="J735" i="22" s="1"/>
  <c r="M735" i="22" s="1"/>
  <c r="N735" i="22"/>
  <c r="O735" i="22"/>
  <c r="P735" i="22"/>
  <c r="Q735" i="22"/>
  <c r="I736" i="22"/>
  <c r="J736" i="22" s="1"/>
  <c r="N736" i="22"/>
  <c r="O736" i="22"/>
  <c r="P736" i="22"/>
  <c r="Q736" i="22"/>
  <c r="I737" i="22"/>
  <c r="J737" i="22" s="1"/>
  <c r="N737" i="22"/>
  <c r="O737" i="22"/>
  <c r="P737" i="22"/>
  <c r="Q737" i="22"/>
  <c r="I738" i="22"/>
  <c r="J738" i="22" s="1"/>
  <c r="L738" i="22" s="1"/>
  <c r="N738" i="22"/>
  <c r="O738" i="22"/>
  <c r="P738" i="22"/>
  <c r="Q738" i="22"/>
  <c r="I739" i="22"/>
  <c r="J739" i="22" s="1"/>
  <c r="N739" i="22"/>
  <c r="O739" i="22"/>
  <c r="P739" i="22"/>
  <c r="Q739" i="22"/>
  <c r="I740" i="22"/>
  <c r="J740" i="22" s="1"/>
  <c r="N740" i="22"/>
  <c r="O740" i="22"/>
  <c r="P740" i="22"/>
  <c r="Q740" i="22"/>
  <c r="I741" i="22"/>
  <c r="J741" i="22" s="1"/>
  <c r="M741" i="22" s="1"/>
  <c r="N741" i="22"/>
  <c r="O741" i="22"/>
  <c r="P741" i="22"/>
  <c r="Q741" i="22"/>
  <c r="I742" i="22"/>
  <c r="J742" i="22" s="1"/>
  <c r="N742" i="22"/>
  <c r="O742" i="22"/>
  <c r="P742" i="22"/>
  <c r="Q742" i="22"/>
  <c r="I743" i="22"/>
  <c r="J743" i="22" s="1"/>
  <c r="M743" i="22" s="1"/>
  <c r="N743" i="22"/>
  <c r="O743" i="22"/>
  <c r="P743" i="22"/>
  <c r="Q743" i="22"/>
  <c r="I744" i="22"/>
  <c r="J744" i="22" s="1"/>
  <c r="N744" i="22"/>
  <c r="O744" i="22"/>
  <c r="P744" i="22"/>
  <c r="Q744" i="22"/>
  <c r="I745" i="22"/>
  <c r="J745" i="22" s="1"/>
  <c r="N745" i="22"/>
  <c r="O745" i="22"/>
  <c r="P745" i="22"/>
  <c r="Q745" i="22"/>
  <c r="I746" i="22"/>
  <c r="J746" i="22" s="1"/>
  <c r="L746" i="22" s="1"/>
  <c r="N746" i="22"/>
  <c r="O746" i="22"/>
  <c r="P746" i="22"/>
  <c r="Q746" i="22"/>
  <c r="I747" i="22"/>
  <c r="J747" i="22" s="1"/>
  <c r="N747" i="22"/>
  <c r="O747" i="22"/>
  <c r="P747" i="22"/>
  <c r="Q747" i="22"/>
  <c r="I748" i="22"/>
  <c r="J748" i="22" s="1"/>
  <c r="N748" i="22"/>
  <c r="O748" i="22"/>
  <c r="P748" i="22"/>
  <c r="Q748" i="22"/>
  <c r="I749" i="22"/>
  <c r="J749" i="22" s="1"/>
  <c r="M749" i="22" s="1"/>
  <c r="N749" i="22"/>
  <c r="O749" i="22"/>
  <c r="P749" i="22"/>
  <c r="Q749" i="22"/>
  <c r="I750" i="22"/>
  <c r="J750" i="22" s="1"/>
  <c r="K750" i="22" s="1"/>
  <c r="N750" i="22"/>
  <c r="O750" i="22"/>
  <c r="P750" i="22"/>
  <c r="Q750" i="22"/>
  <c r="B65" i="8"/>
  <c r="B65" i="2"/>
  <c r="B35" i="1"/>
  <c r="B65" i="1"/>
  <c r="D66" i="1"/>
  <c r="K681" i="22" l="1"/>
  <c r="L750" i="22"/>
  <c r="L743" i="22"/>
  <c r="L677" i="22"/>
  <c r="L711" i="22"/>
  <c r="L676" i="22"/>
  <c r="K711" i="22"/>
  <c r="L680" i="22"/>
  <c r="M565" i="22"/>
  <c r="M672" i="22"/>
  <c r="L672" i="22"/>
  <c r="L657" i="22"/>
  <c r="M460" i="22"/>
  <c r="L150" i="22"/>
  <c r="K143" i="22"/>
  <c r="M143" i="22" s="1"/>
  <c r="L669" i="22"/>
  <c r="M505" i="22"/>
  <c r="K123" i="22"/>
  <c r="K511" i="22"/>
  <c r="K91" i="22"/>
  <c r="L668" i="22"/>
  <c r="M656" i="22"/>
  <c r="K649" i="22"/>
  <c r="K410" i="22"/>
  <c r="L264" i="22"/>
  <c r="C18" i="41"/>
  <c r="C19" i="41" s="1"/>
  <c r="C20" i="41" s="1"/>
  <c r="C21" i="41" s="1"/>
  <c r="D12" i="41"/>
  <c r="B12" i="41"/>
  <c r="A16" i="41"/>
  <c r="A26" i="41"/>
  <c r="D22" i="41"/>
  <c r="B22" i="41"/>
  <c r="B9" i="41"/>
  <c r="A13" i="41"/>
  <c r="D13" i="41" s="1"/>
  <c r="B15" i="41"/>
  <c r="D15" i="41"/>
  <c r="A19" i="41"/>
  <c r="V62" i="35"/>
  <c r="M747" i="22"/>
  <c r="L747" i="22"/>
  <c r="K747" i="22"/>
  <c r="M690" i="22"/>
  <c r="L690" i="22"/>
  <c r="M686" i="22"/>
  <c r="L686" i="22"/>
  <c r="M739" i="22"/>
  <c r="K739" i="22"/>
  <c r="L739" i="22"/>
  <c r="M731" i="22"/>
  <c r="K731" i="22"/>
  <c r="L731" i="22"/>
  <c r="M707" i="22"/>
  <c r="K707" i="22"/>
  <c r="L707" i="22"/>
  <c r="M723" i="22"/>
  <c r="K723" i="22"/>
  <c r="L723" i="22"/>
  <c r="M719" i="22"/>
  <c r="L719" i="22"/>
  <c r="K719" i="22"/>
  <c r="M703" i="22"/>
  <c r="L703" i="22"/>
  <c r="K703" i="22"/>
  <c r="M750" i="22"/>
  <c r="K735" i="22"/>
  <c r="L715" i="22"/>
  <c r="L699" i="22"/>
  <c r="L673" i="22"/>
  <c r="L665" i="22"/>
  <c r="L565" i="22"/>
  <c r="K541" i="22"/>
  <c r="K525" i="22"/>
  <c r="M464" i="22"/>
  <c r="M456" i="22"/>
  <c r="M447" i="22"/>
  <c r="K437" i="22"/>
  <c r="M437" i="22" s="1"/>
  <c r="M244" i="22"/>
  <c r="L727" i="22"/>
  <c r="K715" i="22"/>
  <c r="K699" i="22"/>
  <c r="K695" i="22"/>
  <c r="L681" i="22"/>
  <c r="M676" i="22"/>
  <c r="K673" i="22"/>
  <c r="M668" i="22"/>
  <c r="K665" i="22"/>
  <c r="M648" i="22"/>
  <c r="K549" i="22"/>
  <c r="K499" i="22"/>
  <c r="L466" i="22"/>
  <c r="L458" i="22"/>
  <c r="M441" i="22"/>
  <c r="M232" i="22"/>
  <c r="K743" i="22"/>
  <c r="K727" i="22"/>
  <c r="K594" i="22"/>
  <c r="M537" i="22"/>
  <c r="K441" i="22"/>
  <c r="M405" i="22"/>
  <c r="L735" i="22"/>
  <c r="K677" i="22"/>
  <c r="K669" i="22"/>
  <c r="L664" i="22"/>
  <c r="L656" i="22"/>
  <c r="M541" i="22"/>
  <c r="K519" i="22"/>
  <c r="K507" i="22"/>
  <c r="M451" i="22"/>
  <c r="L103" i="22"/>
  <c r="K103" i="22"/>
  <c r="L574" i="22"/>
  <c r="K574" i="22"/>
  <c r="L135" i="22"/>
  <c r="K135" i="22"/>
  <c r="M546" i="22"/>
  <c r="K546" i="22"/>
  <c r="K259" i="22"/>
  <c r="M259" i="22"/>
  <c r="M561" i="22"/>
  <c r="K578" i="22"/>
  <c r="L561" i="22"/>
  <c r="L557" i="22"/>
  <c r="L536" i="22"/>
  <c r="L532" i="22"/>
  <c r="K527" i="22"/>
  <c r="K523" i="22"/>
  <c r="M517" i="22"/>
  <c r="K495" i="22"/>
  <c r="K491" i="22"/>
  <c r="K483" i="22"/>
  <c r="K481" i="22"/>
  <c r="M421" i="22"/>
  <c r="K374" i="22"/>
  <c r="M374" i="22" s="1"/>
  <c r="K332" i="22"/>
  <c r="M255" i="22"/>
  <c r="M316" i="22"/>
  <c r="M664" i="22"/>
  <c r="K657" i="22"/>
  <c r="L649" i="22"/>
  <c r="L648" i="22"/>
  <c r="K586" i="22"/>
  <c r="L560" i="22"/>
  <c r="L556" i="22"/>
  <c r="K551" i="22"/>
  <c r="K545" i="22"/>
  <c r="M545" i="22" s="1"/>
  <c r="L537" i="22"/>
  <c r="L533" i="22"/>
  <c r="L362" i="22"/>
  <c r="K292" i="22"/>
  <c r="M248" i="22"/>
  <c r="K246" i="22"/>
  <c r="L244" i="22"/>
  <c r="K242" i="22"/>
  <c r="M242" i="22" s="1"/>
  <c r="M240" i="22"/>
  <c r="K238" i="22"/>
  <c r="M236" i="22"/>
  <c r="K234" i="22"/>
  <c r="M234" i="22" s="1"/>
  <c r="L232" i="22"/>
  <c r="K489" i="22"/>
  <c r="M481" i="22"/>
  <c r="K465" i="22"/>
  <c r="K461" i="22"/>
  <c r="K457" i="22"/>
  <c r="M440" i="22"/>
  <c r="L438" i="22"/>
  <c r="M436" i="22"/>
  <c r="L434" i="22"/>
  <c r="L417" i="22"/>
  <c r="K386" i="22"/>
  <c r="M386" i="22" s="1"/>
  <c r="L316" i="22"/>
  <c r="K288" i="22"/>
  <c r="M288" i="22" s="1"/>
  <c r="L260" i="22"/>
  <c r="K250" i="22"/>
  <c r="M250" i="22" s="1"/>
  <c r="L248" i="22"/>
  <c r="L240" i="22"/>
  <c r="L236" i="22"/>
  <c r="M150" i="22"/>
  <c r="L626" i="22"/>
  <c r="K626" i="22"/>
  <c r="M626" i="22" s="1"/>
  <c r="L634" i="22"/>
  <c r="K634" i="22"/>
  <c r="L642" i="22"/>
  <c r="K642" i="22"/>
  <c r="L610" i="22"/>
  <c r="K610" i="22"/>
  <c r="L618" i="22"/>
  <c r="K618" i="22"/>
  <c r="M661" i="22"/>
  <c r="L661" i="22"/>
  <c r="K652" i="22"/>
  <c r="L652" i="22"/>
  <c r="M652" i="22"/>
  <c r="L638" i="22"/>
  <c r="K638" i="22"/>
  <c r="L630" i="22"/>
  <c r="K630" i="22"/>
  <c r="L614" i="22"/>
  <c r="K614" i="22"/>
  <c r="L598" i="22"/>
  <c r="K598" i="22"/>
  <c r="K568" i="22"/>
  <c r="L568" i="22"/>
  <c r="M562" i="22"/>
  <c r="K562" i="22"/>
  <c r="K428" i="22"/>
  <c r="M428" i="22" s="1"/>
  <c r="K660" i="22"/>
  <c r="L660" i="22"/>
  <c r="M660" i="22"/>
  <c r="K661" i="22"/>
  <c r="L653" i="22"/>
  <c r="K644" i="22"/>
  <c r="M644" i="22" s="1"/>
  <c r="L644" i="22"/>
  <c r="K570" i="22"/>
  <c r="L563" i="22"/>
  <c r="K563" i="22"/>
  <c r="L559" i="22"/>
  <c r="K559" i="22"/>
  <c r="L555" i="22"/>
  <c r="K555" i="22"/>
  <c r="K552" i="22"/>
  <c r="L552" i="22"/>
  <c r="M550" i="22"/>
  <c r="K550" i="22"/>
  <c r="K548" i="22"/>
  <c r="M548" i="22" s="1"/>
  <c r="L548" i="22"/>
  <c r="L543" i="22"/>
  <c r="K543" i="22"/>
  <c r="K540" i="22"/>
  <c r="L540" i="22"/>
  <c r="M534" i="22"/>
  <c r="K534" i="22"/>
  <c r="L378" i="22"/>
  <c r="K378" i="22"/>
  <c r="M378" i="22" s="1"/>
  <c r="K245" i="22"/>
  <c r="L245" i="22"/>
  <c r="K231" i="22"/>
  <c r="L231" i="22"/>
  <c r="M231" i="22"/>
  <c r="L622" i="22"/>
  <c r="K622" i="22"/>
  <c r="L606" i="22"/>
  <c r="K606" i="22"/>
  <c r="L547" i="22"/>
  <c r="K547" i="22"/>
  <c r="K529" i="22"/>
  <c r="L529" i="22"/>
  <c r="M529" i="22"/>
  <c r="M472" i="22"/>
  <c r="L472" i="22"/>
  <c r="M468" i="22"/>
  <c r="L468" i="22"/>
  <c r="K247" i="22"/>
  <c r="L247" i="22"/>
  <c r="M247" i="22"/>
  <c r="L567" i="22"/>
  <c r="K567" i="22"/>
  <c r="K564" i="22"/>
  <c r="L564" i="22"/>
  <c r="M558" i="22"/>
  <c r="K558" i="22"/>
  <c r="L539" i="22"/>
  <c r="K539" i="22"/>
  <c r="L535" i="22"/>
  <c r="K535" i="22"/>
  <c r="L531" i="22"/>
  <c r="K531" i="22"/>
  <c r="K528" i="22"/>
  <c r="L528" i="22"/>
  <c r="M526" i="22"/>
  <c r="K526" i="22"/>
  <c r="K524" i="22"/>
  <c r="L524" i="22"/>
  <c r="K432" i="22"/>
  <c r="M432" i="22" s="1"/>
  <c r="L418" i="22"/>
  <c r="K418" i="22"/>
  <c r="M418" i="22" s="1"/>
  <c r="L394" i="22"/>
  <c r="K394" i="22"/>
  <c r="M394" i="22" s="1"/>
  <c r="K653" i="22"/>
  <c r="M653" i="22" s="1"/>
  <c r="M645" i="22"/>
  <c r="L645" i="22"/>
  <c r="L602" i="22"/>
  <c r="K602" i="22"/>
  <c r="K590" i="22"/>
  <c r="K582" i="22"/>
  <c r="K569" i="22"/>
  <c r="M569" i="22" s="1"/>
  <c r="K553" i="22"/>
  <c r="M553" i="22"/>
  <c r="L553" i="22"/>
  <c r="K544" i="22"/>
  <c r="L544" i="22"/>
  <c r="M538" i="22"/>
  <c r="K538" i="22"/>
  <c r="L442" i="22"/>
  <c r="K358" i="22"/>
  <c r="M358" i="22" s="1"/>
  <c r="L358" i="22"/>
  <c r="L298" i="22"/>
  <c r="M273" i="22"/>
  <c r="L273" i="22"/>
  <c r="K263" i="22"/>
  <c r="M263" i="22" s="1"/>
  <c r="L503" i="22"/>
  <c r="K503" i="22"/>
  <c r="M503" i="22" s="1"/>
  <c r="L487" i="22"/>
  <c r="K487" i="22"/>
  <c r="L477" i="22"/>
  <c r="K477" i="22"/>
  <c r="K350" i="22"/>
  <c r="M350" i="22" s="1"/>
  <c r="L350" i="22"/>
  <c r="K340" i="22"/>
  <c r="M340" i="22" s="1"/>
  <c r="L340" i="22"/>
  <c r="L258" i="22"/>
  <c r="M253" i="22"/>
  <c r="L253" i="22"/>
  <c r="M241" i="22"/>
  <c r="K241" i="22"/>
  <c r="M549" i="22"/>
  <c r="M525" i="22"/>
  <c r="K515" i="22"/>
  <c r="M513" i="22"/>
  <c r="L493" i="22"/>
  <c r="K493" i="22"/>
  <c r="L463" i="22"/>
  <c r="M463" i="22"/>
  <c r="L459" i="22"/>
  <c r="M459" i="22"/>
  <c r="L453" i="22"/>
  <c r="K453" i="22"/>
  <c r="L449" i="22"/>
  <c r="K449" i="22"/>
  <c r="M449" i="22" s="1"/>
  <c r="L445" i="22"/>
  <c r="K445" i="22"/>
  <c r="L439" i="22"/>
  <c r="M439" i="22"/>
  <c r="L435" i="22"/>
  <c r="M435" i="22"/>
  <c r="K425" i="22"/>
  <c r="L425" i="22"/>
  <c r="M414" i="22"/>
  <c r="L414" i="22"/>
  <c r="K409" i="22"/>
  <c r="L409" i="22"/>
  <c r="M402" i="22"/>
  <c r="L402" i="22"/>
  <c r="K398" i="22"/>
  <c r="M398" i="22" s="1"/>
  <c r="M370" i="22"/>
  <c r="L370" i="22"/>
  <c r="L304" i="22"/>
  <c r="K304" i="22"/>
  <c r="M304" i="22" s="1"/>
  <c r="L296" i="22"/>
  <c r="K296" i="22"/>
  <c r="M265" i="22"/>
  <c r="L265" i="22"/>
  <c r="L262" i="22"/>
  <c r="K252" i="22"/>
  <c r="M252" i="22" s="1"/>
  <c r="L252" i="22"/>
  <c r="K239" i="22"/>
  <c r="M239" i="22" s="1"/>
  <c r="L239" i="22"/>
  <c r="M237" i="22"/>
  <c r="K237" i="22"/>
  <c r="L233" i="22"/>
  <c r="L131" i="22"/>
  <c r="K131" i="22"/>
  <c r="L99" i="22"/>
  <c r="K99" i="22"/>
  <c r="L485" i="22"/>
  <c r="K485" i="22"/>
  <c r="M485" i="22" s="1"/>
  <c r="L479" i="22"/>
  <c r="K479" i="22"/>
  <c r="M426" i="22"/>
  <c r="L426" i="22"/>
  <c r="M390" i="22"/>
  <c r="L390" i="22"/>
  <c r="K324" i="22"/>
  <c r="M324" i="22" s="1"/>
  <c r="L324" i="22"/>
  <c r="K243" i="22"/>
  <c r="L243" i="22"/>
  <c r="L501" i="22"/>
  <c r="M501" i="22"/>
  <c r="L454" i="22"/>
  <c r="K452" i="22"/>
  <c r="M452" i="22" s="1"/>
  <c r="L450" i="22"/>
  <c r="K448" i="22"/>
  <c r="M448" i="22" s="1"/>
  <c r="K446" i="22"/>
  <c r="L446" i="22"/>
  <c r="K444" i="22"/>
  <c r="M444" i="22" s="1"/>
  <c r="M433" i="22"/>
  <c r="K433" i="22"/>
  <c r="M429" i="22"/>
  <c r="K429" i="22"/>
  <c r="K422" i="22"/>
  <c r="M422" i="22" s="1"/>
  <c r="K406" i="22"/>
  <c r="M406" i="22" s="1"/>
  <c r="M382" i="22"/>
  <c r="L382" i="22"/>
  <c r="M366" i="22"/>
  <c r="L366" i="22"/>
  <c r="K346" i="22"/>
  <c r="M346" i="22" s="1"/>
  <c r="L346" i="22"/>
  <c r="L284" i="22"/>
  <c r="K284" i="22"/>
  <c r="M261" i="22"/>
  <c r="L261" i="22"/>
  <c r="K251" i="22"/>
  <c r="M251" i="22" s="1"/>
  <c r="M249" i="22"/>
  <c r="K249" i="22"/>
  <c r="K235" i="22"/>
  <c r="L235" i="22"/>
  <c r="L139" i="22"/>
  <c r="K139" i="22"/>
  <c r="L107" i="22"/>
  <c r="K107" i="22"/>
  <c r="M107" i="22" s="1"/>
  <c r="M489" i="22"/>
  <c r="M465" i="22"/>
  <c r="M461" i="22"/>
  <c r="M457" i="22"/>
  <c r="M417" i="22"/>
  <c r="K354" i="22"/>
  <c r="M354" i="22" s="1"/>
  <c r="M336" i="22"/>
  <c r="L336" i="22"/>
  <c r="K256" i="22"/>
  <c r="M256" i="22" s="1"/>
  <c r="L256" i="22"/>
  <c r="L147" i="22"/>
  <c r="K147" i="22"/>
  <c r="L127" i="22"/>
  <c r="K127" i="22"/>
  <c r="L115" i="22"/>
  <c r="K115" i="22"/>
  <c r="L95" i="22"/>
  <c r="K95" i="22"/>
  <c r="K119" i="22"/>
  <c r="K87" i="22"/>
  <c r="M320" i="22"/>
  <c r="L320" i="22"/>
  <c r="L300" i="22"/>
  <c r="K300" i="22"/>
  <c r="M277" i="22"/>
  <c r="L277" i="22"/>
  <c r="K257" i="22"/>
  <c r="M257" i="22" s="1"/>
  <c r="L257" i="22"/>
  <c r="M246" i="22"/>
  <c r="M238" i="22"/>
  <c r="L111" i="22"/>
  <c r="K111" i="22"/>
  <c r="K328" i="22"/>
  <c r="M328" i="22" s="1"/>
  <c r="K312" i="22"/>
  <c r="M312" i="22" s="1"/>
  <c r="K308" i="22"/>
  <c r="M308" i="22" s="1"/>
  <c r="K286" i="22"/>
  <c r="M286" i="22" s="1"/>
  <c r="K737" i="22"/>
  <c r="L737" i="22"/>
  <c r="K729" i="22"/>
  <c r="L729" i="22"/>
  <c r="K726" i="22"/>
  <c r="M726" i="22"/>
  <c r="K705" i="22"/>
  <c r="L705" i="22"/>
  <c r="K697" i="22"/>
  <c r="L697" i="22"/>
  <c r="K679" i="22"/>
  <c r="L679" i="22"/>
  <c r="M679" i="22"/>
  <c r="K647" i="22"/>
  <c r="M647" i="22" s="1"/>
  <c r="L647" i="22"/>
  <c r="K749" i="22"/>
  <c r="L749" i="22"/>
  <c r="L736" i="22"/>
  <c r="M736" i="22"/>
  <c r="K736" i="22"/>
  <c r="L712" i="22"/>
  <c r="M712" i="22"/>
  <c r="K712" i="22"/>
  <c r="L704" i="22"/>
  <c r="M704" i="22"/>
  <c r="K704" i="22"/>
  <c r="L696" i="22"/>
  <c r="M696" i="22"/>
  <c r="K696" i="22"/>
  <c r="K693" i="22"/>
  <c r="L693" i="22"/>
  <c r="L687" i="22"/>
  <c r="K687" i="22"/>
  <c r="M687" i="22"/>
  <c r="L685" i="22"/>
  <c r="M685" i="22"/>
  <c r="K685" i="22"/>
  <c r="K632" i="22"/>
  <c r="M632" i="22" s="1"/>
  <c r="L632" i="22"/>
  <c r="K616" i="22"/>
  <c r="L616" i="22"/>
  <c r="M616" i="22"/>
  <c r="K603" i="22"/>
  <c r="L603" i="22"/>
  <c r="M603" i="22"/>
  <c r="K587" i="22"/>
  <c r="M587" i="22" s="1"/>
  <c r="L587" i="22"/>
  <c r="K745" i="22"/>
  <c r="L745" i="22"/>
  <c r="K734" i="22"/>
  <c r="M734" i="22"/>
  <c r="K721" i="22"/>
  <c r="L721" i="22"/>
  <c r="K713" i="22"/>
  <c r="L713" i="22"/>
  <c r="K710" i="22"/>
  <c r="M710" i="22"/>
  <c r="K688" i="22"/>
  <c r="L688" i="22"/>
  <c r="M688" i="22"/>
  <c r="K663" i="22"/>
  <c r="L663" i="22"/>
  <c r="M663" i="22"/>
  <c r="K655" i="22"/>
  <c r="L655" i="22"/>
  <c r="M655" i="22"/>
  <c r="K584" i="22"/>
  <c r="M584" i="22" s="1"/>
  <c r="L584" i="22"/>
  <c r="L473" i="22"/>
  <c r="K473" i="22"/>
  <c r="M473" i="22" s="1"/>
  <c r="L744" i="22"/>
  <c r="M744" i="22"/>
  <c r="K744" i="22"/>
  <c r="L728" i="22"/>
  <c r="M728" i="22"/>
  <c r="K728" i="22"/>
  <c r="K741" i="22"/>
  <c r="L741" i="22"/>
  <c r="K738" i="22"/>
  <c r="M738" i="22"/>
  <c r="K725" i="22"/>
  <c r="L725" i="22"/>
  <c r="K717" i="22"/>
  <c r="L717" i="22"/>
  <c r="K714" i="22"/>
  <c r="M714" i="22"/>
  <c r="K709" i="22"/>
  <c r="L709" i="22"/>
  <c r="K706" i="22"/>
  <c r="M706" i="22"/>
  <c r="K701" i="22"/>
  <c r="L701" i="22"/>
  <c r="K698" i="22"/>
  <c r="M698" i="22"/>
  <c r="K692" i="22"/>
  <c r="L692" i="22"/>
  <c r="M692" i="22"/>
  <c r="K684" i="22"/>
  <c r="L684" i="22"/>
  <c r="M684" i="22"/>
  <c r="K675" i="22"/>
  <c r="L675" i="22"/>
  <c r="M675" i="22"/>
  <c r="K667" i="22"/>
  <c r="L667" i="22"/>
  <c r="M667" i="22"/>
  <c r="K659" i="22"/>
  <c r="M659" i="22" s="1"/>
  <c r="L659" i="22"/>
  <c r="K651" i="22"/>
  <c r="L651" i="22"/>
  <c r="M651" i="22"/>
  <c r="K635" i="22"/>
  <c r="M635" i="22" s="1"/>
  <c r="L635" i="22"/>
  <c r="K619" i="22"/>
  <c r="L619" i="22"/>
  <c r="M619" i="22"/>
  <c r="M593" i="22"/>
  <c r="K593" i="22"/>
  <c r="L593" i="22"/>
  <c r="M577" i="22"/>
  <c r="K577" i="22"/>
  <c r="L577" i="22"/>
  <c r="K742" i="22"/>
  <c r="M742" i="22"/>
  <c r="K718" i="22"/>
  <c r="M718" i="22"/>
  <c r="K702" i="22"/>
  <c r="M702" i="22"/>
  <c r="K671" i="22"/>
  <c r="L671" i="22"/>
  <c r="M671" i="22"/>
  <c r="K600" i="22"/>
  <c r="L600" i="22"/>
  <c r="M600" i="22"/>
  <c r="K571" i="22"/>
  <c r="L571" i="22"/>
  <c r="M571" i="22"/>
  <c r="K424" i="22"/>
  <c r="M424" i="22" s="1"/>
  <c r="L424" i="22"/>
  <c r="L720" i="22"/>
  <c r="M720" i="22"/>
  <c r="K720" i="22"/>
  <c r="K746" i="22"/>
  <c r="M746" i="22"/>
  <c r="K733" i="22"/>
  <c r="L733" i="22"/>
  <c r="K730" i="22"/>
  <c r="M730" i="22"/>
  <c r="K722" i="22"/>
  <c r="M722" i="22"/>
  <c r="L748" i="22"/>
  <c r="M748" i="22"/>
  <c r="K748" i="22"/>
  <c r="M745" i="22"/>
  <c r="L742" i="22"/>
  <c r="L740" i="22"/>
  <c r="M740" i="22"/>
  <c r="K740" i="22"/>
  <c r="M737" i="22"/>
  <c r="L734" i="22"/>
  <c r="L732" i="22"/>
  <c r="M732" i="22"/>
  <c r="K732" i="22"/>
  <c r="M729" i="22"/>
  <c r="L726" i="22"/>
  <c r="L724" i="22"/>
  <c r="M724" i="22"/>
  <c r="K724" i="22"/>
  <c r="M721" i="22"/>
  <c r="L718" i="22"/>
  <c r="L716" i="22"/>
  <c r="M716" i="22"/>
  <c r="K716" i="22"/>
  <c r="M713" i="22"/>
  <c r="L710" i="22"/>
  <c r="L708" i="22"/>
  <c r="M708" i="22"/>
  <c r="K708" i="22"/>
  <c r="M705" i="22"/>
  <c r="L702" i="22"/>
  <c r="L700" i="22"/>
  <c r="M700" i="22"/>
  <c r="K700" i="22"/>
  <c r="M697" i="22"/>
  <c r="K694" i="22"/>
  <c r="M694" i="22"/>
  <c r="L691" i="22"/>
  <c r="K691" i="22"/>
  <c r="M691" i="22"/>
  <c r="L689" i="22"/>
  <c r="M689" i="22"/>
  <c r="K689" i="22"/>
  <c r="L683" i="22"/>
  <c r="K683" i="22"/>
  <c r="M683" i="22"/>
  <c r="K641" i="22"/>
  <c r="M641" i="22" s="1"/>
  <c r="L641" i="22"/>
  <c r="M625" i="22"/>
  <c r="K625" i="22"/>
  <c r="L625" i="22"/>
  <c r="M609" i="22"/>
  <c r="K609" i="22"/>
  <c r="L609" i="22"/>
  <c r="L695" i="22"/>
  <c r="M680" i="22"/>
  <c r="K639" i="22"/>
  <c r="L639" i="22"/>
  <c r="M639" i="22"/>
  <c r="K636" i="22"/>
  <c r="L636" i="22"/>
  <c r="K629" i="22"/>
  <c r="M629" i="22" s="1"/>
  <c r="K623" i="22"/>
  <c r="M623" i="22" s="1"/>
  <c r="L623" i="22"/>
  <c r="K620" i="22"/>
  <c r="L620" i="22"/>
  <c r="M613" i="22"/>
  <c r="K613" i="22"/>
  <c r="K607" i="22"/>
  <c r="L607" i="22"/>
  <c r="M607" i="22"/>
  <c r="K604" i="22"/>
  <c r="L604" i="22"/>
  <c r="M597" i="22"/>
  <c r="K597" i="22"/>
  <c r="K591" i="22"/>
  <c r="L591" i="22"/>
  <c r="M591" i="22"/>
  <c r="K588" i="22"/>
  <c r="L588" i="22"/>
  <c r="K581" i="22"/>
  <c r="M581" i="22" s="1"/>
  <c r="K575" i="22"/>
  <c r="M575" i="22" s="1"/>
  <c r="L575" i="22"/>
  <c r="K572" i="22"/>
  <c r="M572" i="22" s="1"/>
  <c r="L572" i="22"/>
  <c r="K146" i="22"/>
  <c r="M146" i="22" s="1"/>
  <c r="L146" i="22"/>
  <c r="K137" i="22"/>
  <c r="M137" i="22" s="1"/>
  <c r="L137" i="22"/>
  <c r="L126" i="22"/>
  <c r="K126" i="22"/>
  <c r="M126" i="22" s="1"/>
  <c r="M121" i="22"/>
  <c r="K121" i="22"/>
  <c r="L121" i="22"/>
  <c r="L110" i="22"/>
  <c r="K110" i="22"/>
  <c r="M110" i="22" s="1"/>
  <c r="M105" i="22"/>
  <c r="K105" i="22"/>
  <c r="L105" i="22"/>
  <c r="L94" i="22"/>
  <c r="K94" i="22"/>
  <c r="M94" i="22" s="1"/>
  <c r="K89" i="22"/>
  <c r="M89" i="22" s="1"/>
  <c r="L89" i="22"/>
  <c r="M81" i="22"/>
  <c r="K81" i="22"/>
  <c r="L81" i="22"/>
  <c r="L78" i="22"/>
  <c r="K78" i="22"/>
  <c r="M78" i="22" s="1"/>
  <c r="K75" i="22"/>
  <c r="M75" i="22" s="1"/>
  <c r="L75" i="22"/>
  <c r="M637" i="22"/>
  <c r="K637" i="22"/>
  <c r="K631" i="22"/>
  <c r="L631" i="22"/>
  <c r="M631" i="22"/>
  <c r="K628" i="22"/>
  <c r="L628" i="22"/>
  <c r="M621" i="22"/>
  <c r="K621" i="22"/>
  <c r="K615" i="22"/>
  <c r="L615" i="22"/>
  <c r="M615" i="22"/>
  <c r="K612" i="22"/>
  <c r="L612" i="22"/>
  <c r="K605" i="22"/>
  <c r="M605" i="22" s="1"/>
  <c r="K599" i="22"/>
  <c r="M599" i="22" s="1"/>
  <c r="L599" i="22"/>
  <c r="K596" i="22"/>
  <c r="M596" i="22" s="1"/>
  <c r="L596" i="22"/>
  <c r="M589" i="22"/>
  <c r="K589" i="22"/>
  <c r="K583" i="22"/>
  <c r="L583" i="22"/>
  <c r="M583" i="22"/>
  <c r="K580" i="22"/>
  <c r="L580" i="22"/>
  <c r="M573" i="22"/>
  <c r="K573" i="22"/>
  <c r="K475" i="22"/>
  <c r="L475" i="22"/>
  <c r="M475" i="22"/>
  <c r="K690" i="22"/>
  <c r="K686" i="22"/>
  <c r="L682" i="22"/>
  <c r="M682" i="22"/>
  <c r="L678" i="22"/>
  <c r="M678" i="22"/>
  <c r="L674" i="22"/>
  <c r="M674" i="22"/>
  <c r="L670" i="22"/>
  <c r="M670" i="22"/>
  <c r="L666" i="22"/>
  <c r="M666" i="22"/>
  <c r="L662" i="22"/>
  <c r="M662" i="22"/>
  <c r="L658" i="22"/>
  <c r="M658" i="22"/>
  <c r="L654" i="22"/>
  <c r="M654" i="22"/>
  <c r="L650" i="22"/>
  <c r="M650" i="22"/>
  <c r="L646" i="22"/>
  <c r="M646" i="22"/>
  <c r="K643" i="22"/>
  <c r="L643" i="22"/>
  <c r="M643" i="22"/>
  <c r="K640" i="22"/>
  <c r="L640" i="22"/>
  <c r="M636" i="22"/>
  <c r="M633" i="22"/>
  <c r="K633" i="22"/>
  <c r="L629" i="22"/>
  <c r="K627" i="22"/>
  <c r="L627" i="22"/>
  <c r="M627" i="22"/>
  <c r="K624" i="22"/>
  <c r="L624" i="22"/>
  <c r="M620" i="22"/>
  <c r="K617" i="22"/>
  <c r="M617" i="22" s="1"/>
  <c r="L613" i="22"/>
  <c r="K611" i="22"/>
  <c r="M611" i="22" s="1"/>
  <c r="L611" i="22"/>
  <c r="K608" i="22"/>
  <c r="M608" i="22" s="1"/>
  <c r="L608" i="22"/>
  <c r="M604" i="22"/>
  <c r="M601" i="22"/>
  <c r="K601" i="22"/>
  <c r="L597" i="22"/>
  <c r="K595" i="22"/>
  <c r="L595" i="22"/>
  <c r="M595" i="22"/>
  <c r="K592" i="22"/>
  <c r="L592" i="22"/>
  <c r="M588" i="22"/>
  <c r="M585" i="22"/>
  <c r="K585" i="22"/>
  <c r="L581" i="22"/>
  <c r="K579" i="22"/>
  <c r="L579" i="22"/>
  <c r="M579" i="22"/>
  <c r="K576" i="22"/>
  <c r="L576" i="22"/>
  <c r="M566" i="22"/>
  <c r="M554" i="22"/>
  <c r="M542" i="22"/>
  <c r="M530" i="22"/>
  <c r="M520" i="22"/>
  <c r="K520" i="22"/>
  <c r="M516" i="22"/>
  <c r="K516" i="22"/>
  <c r="K512" i="22"/>
  <c r="M512" i="22" s="1"/>
  <c r="M508" i="22"/>
  <c r="K508" i="22"/>
  <c r="M504" i="22"/>
  <c r="K504" i="22"/>
  <c r="K500" i="22"/>
  <c r="M500" i="22" s="1"/>
  <c r="M496" i="22"/>
  <c r="K496" i="22"/>
  <c r="M492" i="22"/>
  <c r="K492" i="22"/>
  <c r="K488" i="22"/>
  <c r="M488" i="22" s="1"/>
  <c r="M484" i="22"/>
  <c r="K484" i="22"/>
  <c r="M480" i="22"/>
  <c r="K480" i="22"/>
  <c r="K474" i="22"/>
  <c r="L474" i="22"/>
  <c r="M474" i="22"/>
  <c r="K471" i="22"/>
  <c r="L471" i="22"/>
  <c r="L469" i="22"/>
  <c r="M469" i="22"/>
  <c r="K420" i="22"/>
  <c r="M420" i="22" s="1"/>
  <c r="L420" i="22"/>
  <c r="K413" i="22"/>
  <c r="M413" i="22" s="1"/>
  <c r="L413" i="22"/>
  <c r="K408" i="22"/>
  <c r="M408" i="22" s="1"/>
  <c r="L408" i="22"/>
  <c r="K401" i="22"/>
  <c r="M401" i="22" s="1"/>
  <c r="L401" i="22"/>
  <c r="M393" i="22"/>
  <c r="K393" i="22"/>
  <c r="L393" i="22"/>
  <c r="M385" i="22"/>
  <c r="K385" i="22"/>
  <c r="L385" i="22"/>
  <c r="K377" i="22"/>
  <c r="M377" i="22" s="1"/>
  <c r="L377" i="22"/>
  <c r="M369" i="22"/>
  <c r="K369" i="22"/>
  <c r="L369" i="22"/>
  <c r="M361" i="22"/>
  <c r="K361" i="22"/>
  <c r="L361" i="22"/>
  <c r="K353" i="22"/>
  <c r="M353" i="22" s="1"/>
  <c r="L353" i="22"/>
  <c r="K339" i="22"/>
  <c r="L339" i="22"/>
  <c r="M339" i="22"/>
  <c r="M337" i="22"/>
  <c r="K337" i="22"/>
  <c r="L337" i="22"/>
  <c r="L330" i="22"/>
  <c r="K330" i="22"/>
  <c r="M330" i="22" s="1"/>
  <c r="K323" i="22"/>
  <c r="M323" i="22" s="1"/>
  <c r="L323" i="22"/>
  <c r="M321" i="22"/>
  <c r="K321" i="22"/>
  <c r="L321" i="22"/>
  <c r="L314" i="22"/>
  <c r="K314" i="22"/>
  <c r="M314" i="22" s="1"/>
  <c r="K276" i="22"/>
  <c r="M276" i="22" s="1"/>
  <c r="L276" i="22"/>
  <c r="M642" i="22"/>
  <c r="M638" i="22"/>
  <c r="M634" i="22"/>
  <c r="M630" i="22"/>
  <c r="M622" i="22"/>
  <c r="M618" i="22"/>
  <c r="M614" i="22"/>
  <c r="M610" i="22"/>
  <c r="M606" i="22"/>
  <c r="M602" i="22"/>
  <c r="M598" i="22"/>
  <c r="M594" i="22"/>
  <c r="M590" i="22"/>
  <c r="M586" i="22"/>
  <c r="M582" i="22"/>
  <c r="M578" i="22"/>
  <c r="M574" i="22"/>
  <c r="M570" i="22"/>
  <c r="K521" i="22"/>
  <c r="M521" i="22" s="1"/>
  <c r="K517" i="22"/>
  <c r="K513" i="22"/>
  <c r="K509" i="22"/>
  <c r="M509" i="22" s="1"/>
  <c r="K505" i="22"/>
  <c r="K501" i="22"/>
  <c r="K497" i="22"/>
  <c r="M497" i="22" s="1"/>
  <c r="K470" i="22"/>
  <c r="M470" i="22" s="1"/>
  <c r="L470" i="22"/>
  <c r="K416" i="22"/>
  <c r="M416" i="22" s="1"/>
  <c r="L416" i="22"/>
  <c r="K404" i="22"/>
  <c r="M404" i="22" s="1"/>
  <c r="L404" i="22"/>
  <c r="K396" i="22"/>
  <c r="M396" i="22" s="1"/>
  <c r="L396" i="22"/>
  <c r="K388" i="22"/>
  <c r="M388" i="22" s="1"/>
  <c r="L388" i="22"/>
  <c r="K380" i="22"/>
  <c r="M380" i="22" s="1"/>
  <c r="L380" i="22"/>
  <c r="K372" i="22"/>
  <c r="M372" i="22" s="1"/>
  <c r="L372" i="22"/>
  <c r="K364" i="22"/>
  <c r="M364" i="22" s="1"/>
  <c r="L364" i="22"/>
  <c r="K356" i="22"/>
  <c r="M356" i="22" s="1"/>
  <c r="L356" i="22"/>
  <c r="M345" i="22"/>
  <c r="K345" i="22"/>
  <c r="L345" i="22"/>
  <c r="M568" i="22"/>
  <c r="M567" i="22"/>
  <c r="L566" i="22"/>
  <c r="M564" i="22"/>
  <c r="M563" i="22"/>
  <c r="L562" i="22"/>
  <c r="M560" i="22"/>
  <c r="M559" i="22"/>
  <c r="L558" i="22"/>
  <c r="M556" i="22"/>
  <c r="M555" i="22"/>
  <c r="L554" i="22"/>
  <c r="M552" i="22"/>
  <c r="M551" i="22"/>
  <c r="L550" i="22"/>
  <c r="M547" i="22"/>
  <c r="L546" i="22"/>
  <c r="M544" i="22"/>
  <c r="M543" i="22"/>
  <c r="L542" i="22"/>
  <c r="M540" i="22"/>
  <c r="M539" i="22"/>
  <c r="L538" i="22"/>
  <c r="M536" i="22"/>
  <c r="M535" i="22"/>
  <c r="L534" i="22"/>
  <c r="M532" i="22"/>
  <c r="M531" i="22"/>
  <c r="L530" i="22"/>
  <c r="M528" i="22"/>
  <c r="M527" i="22"/>
  <c r="L526" i="22"/>
  <c r="M524" i="22"/>
  <c r="M523" i="22"/>
  <c r="K522" i="22"/>
  <c r="M522" i="22"/>
  <c r="M519" i="22"/>
  <c r="K518" i="22"/>
  <c r="M518" i="22" s="1"/>
  <c r="M515" i="22"/>
  <c r="K514" i="22"/>
  <c r="M514" i="22"/>
  <c r="M511" i="22"/>
  <c r="K510" i="22"/>
  <c r="M510" i="22"/>
  <c r="M507" i="22"/>
  <c r="K506" i="22"/>
  <c r="M506" i="22" s="1"/>
  <c r="K502" i="22"/>
  <c r="M502" i="22"/>
  <c r="M499" i="22"/>
  <c r="K498" i="22"/>
  <c r="M498" i="22"/>
  <c r="M495" i="22"/>
  <c r="K494" i="22"/>
  <c r="M494" i="22" s="1"/>
  <c r="M491" i="22"/>
  <c r="K490" i="22"/>
  <c r="M490" i="22"/>
  <c r="M487" i="22"/>
  <c r="K486" i="22"/>
  <c r="M486" i="22"/>
  <c r="M483" i="22"/>
  <c r="K482" i="22"/>
  <c r="M482" i="22" s="1"/>
  <c r="M479" i="22"/>
  <c r="K478" i="22"/>
  <c r="M478" i="22"/>
  <c r="L415" i="22"/>
  <c r="M415" i="22"/>
  <c r="K415" i="22"/>
  <c r="K348" i="22"/>
  <c r="M348" i="22" s="1"/>
  <c r="L348" i="22"/>
  <c r="K476" i="22"/>
  <c r="M476" i="22" s="1"/>
  <c r="K472" i="22"/>
  <c r="K468" i="22"/>
  <c r="K467" i="22"/>
  <c r="M467" i="22" s="1"/>
  <c r="K466" i="22"/>
  <c r="L464" i="22"/>
  <c r="K463" i="22"/>
  <c r="K462" i="22"/>
  <c r="M462" i="22" s="1"/>
  <c r="L460" i="22"/>
  <c r="K459" i="22"/>
  <c r="L456" i="22"/>
  <c r="K455" i="22"/>
  <c r="M455" i="22" s="1"/>
  <c r="K454" i="22"/>
  <c r="M454" i="22" s="1"/>
  <c r="L452" i="22"/>
  <c r="K451" i="22"/>
  <c r="K450" i="22"/>
  <c r="M450" i="22" s="1"/>
  <c r="L448" i="22"/>
  <c r="K447" i="22"/>
  <c r="L444" i="22"/>
  <c r="K443" i="22"/>
  <c r="M443" i="22" s="1"/>
  <c r="K442" i="22"/>
  <c r="M442" i="22" s="1"/>
  <c r="L440" i="22"/>
  <c r="K439" i="22"/>
  <c r="K438" i="22"/>
  <c r="M438" i="22" s="1"/>
  <c r="L436" i="22"/>
  <c r="K435" i="22"/>
  <c r="L432" i="22"/>
  <c r="K431" i="22"/>
  <c r="M431" i="22" s="1"/>
  <c r="K430" i="22"/>
  <c r="M430" i="22" s="1"/>
  <c r="L428" i="22"/>
  <c r="L427" i="22"/>
  <c r="M427" i="22"/>
  <c r="L421" i="22"/>
  <c r="L411" i="22"/>
  <c r="M411" i="22"/>
  <c r="M410" i="22"/>
  <c r="L405" i="22"/>
  <c r="K403" i="22"/>
  <c r="L403" i="22"/>
  <c r="M403" i="22"/>
  <c r="K395" i="22"/>
  <c r="M395" i="22" s="1"/>
  <c r="L395" i="22"/>
  <c r="K387" i="22"/>
  <c r="L387" i="22"/>
  <c r="M387" i="22"/>
  <c r="K379" i="22"/>
  <c r="L379" i="22"/>
  <c r="M379" i="22"/>
  <c r="K371" i="22"/>
  <c r="M371" i="22" s="1"/>
  <c r="L371" i="22"/>
  <c r="K363" i="22"/>
  <c r="L363" i="22"/>
  <c r="M363" i="22"/>
  <c r="M362" i="22"/>
  <c r="K355" i="22"/>
  <c r="L355" i="22"/>
  <c r="M355" i="22"/>
  <c r="K347" i="22"/>
  <c r="M347" i="22" s="1"/>
  <c r="L347" i="22"/>
  <c r="L342" i="22"/>
  <c r="K342" i="22"/>
  <c r="M342" i="22" s="1"/>
  <c r="K335" i="22"/>
  <c r="M335" i="22" s="1"/>
  <c r="L335" i="22"/>
  <c r="M333" i="22"/>
  <c r="K333" i="22"/>
  <c r="L333" i="22"/>
  <c r="M332" i="22"/>
  <c r="L326" i="22"/>
  <c r="K326" i="22"/>
  <c r="M326" i="22" s="1"/>
  <c r="K319" i="22"/>
  <c r="L319" i="22"/>
  <c r="M319" i="22"/>
  <c r="K317" i="22"/>
  <c r="M317" i="22" s="1"/>
  <c r="L317" i="22"/>
  <c r="K279" i="22"/>
  <c r="L279" i="22"/>
  <c r="M279" i="22"/>
  <c r="M458" i="22"/>
  <c r="M446" i="22"/>
  <c r="M434" i="22"/>
  <c r="L423" i="22"/>
  <c r="M423" i="22"/>
  <c r="K412" i="22"/>
  <c r="M412" i="22" s="1"/>
  <c r="L412" i="22"/>
  <c r="L407" i="22"/>
  <c r="M407" i="22"/>
  <c r="K400" i="22"/>
  <c r="M400" i="22" s="1"/>
  <c r="L400" i="22"/>
  <c r="M397" i="22"/>
  <c r="K397" i="22"/>
  <c r="K392" i="22"/>
  <c r="M392" i="22" s="1"/>
  <c r="L392" i="22"/>
  <c r="K389" i="22"/>
  <c r="M389" i="22" s="1"/>
  <c r="K384" i="22"/>
  <c r="M384" i="22" s="1"/>
  <c r="L384" i="22"/>
  <c r="M381" i="22"/>
  <c r="K381" i="22"/>
  <c r="K376" i="22"/>
  <c r="M376" i="22" s="1"/>
  <c r="L376" i="22"/>
  <c r="M373" i="22"/>
  <c r="K373" i="22"/>
  <c r="K368" i="22"/>
  <c r="M368" i="22" s="1"/>
  <c r="L368" i="22"/>
  <c r="K365" i="22"/>
  <c r="M365" i="22" s="1"/>
  <c r="K360" i="22"/>
  <c r="M360" i="22" s="1"/>
  <c r="L360" i="22"/>
  <c r="M357" i="22"/>
  <c r="K357" i="22"/>
  <c r="K352" i="22"/>
  <c r="M352" i="22" s="1"/>
  <c r="L352" i="22"/>
  <c r="M349" i="22"/>
  <c r="K349" i="22"/>
  <c r="K344" i="22"/>
  <c r="M344" i="22" s="1"/>
  <c r="L344" i="22"/>
  <c r="L338" i="22"/>
  <c r="K338" i="22"/>
  <c r="M338" i="22" s="1"/>
  <c r="K331" i="22"/>
  <c r="L331" i="22"/>
  <c r="M331" i="22"/>
  <c r="K329" i="22"/>
  <c r="M329" i="22" s="1"/>
  <c r="L329" i="22"/>
  <c r="L322" i="22"/>
  <c r="K322" i="22"/>
  <c r="M322" i="22" s="1"/>
  <c r="K315" i="22"/>
  <c r="L315" i="22"/>
  <c r="M315" i="22"/>
  <c r="M313" i="22"/>
  <c r="K313" i="22"/>
  <c r="L313" i="22"/>
  <c r="M425" i="22"/>
  <c r="L419" i="22"/>
  <c r="M419" i="22"/>
  <c r="M409" i="22"/>
  <c r="K399" i="22"/>
  <c r="L399" i="22"/>
  <c r="M399" i="22"/>
  <c r="K391" i="22"/>
  <c r="L391" i="22"/>
  <c r="M391" i="22"/>
  <c r="K383" i="22"/>
  <c r="M383" i="22" s="1"/>
  <c r="L383" i="22"/>
  <c r="K375" i="22"/>
  <c r="L375" i="22"/>
  <c r="M375" i="22"/>
  <c r="K367" i="22"/>
  <c r="L367" i="22"/>
  <c r="M367" i="22"/>
  <c r="K359" i="22"/>
  <c r="M359" i="22" s="1"/>
  <c r="L359" i="22"/>
  <c r="K351" i="22"/>
  <c r="L351" i="22"/>
  <c r="M351" i="22"/>
  <c r="K343" i="22"/>
  <c r="L343" i="22"/>
  <c r="M343" i="22"/>
  <c r="K341" i="22"/>
  <c r="M341" i="22" s="1"/>
  <c r="L341" i="22"/>
  <c r="L334" i="22"/>
  <c r="K334" i="22"/>
  <c r="M334" i="22" s="1"/>
  <c r="K327" i="22"/>
  <c r="L327" i="22"/>
  <c r="M327" i="22"/>
  <c r="M325" i="22"/>
  <c r="K325" i="22"/>
  <c r="L325" i="22"/>
  <c r="L318" i="22"/>
  <c r="K318" i="22"/>
  <c r="M318" i="22" s="1"/>
  <c r="L274" i="22"/>
  <c r="K274" i="22"/>
  <c r="M274" i="22" s="1"/>
  <c r="M309" i="22"/>
  <c r="K309" i="22"/>
  <c r="K305" i="22"/>
  <c r="M305" i="22" s="1"/>
  <c r="M301" i="22"/>
  <c r="K301" i="22"/>
  <c r="M297" i="22"/>
  <c r="K297" i="22"/>
  <c r="M293" i="22"/>
  <c r="K293" i="22"/>
  <c r="M289" i="22"/>
  <c r="K289" i="22"/>
  <c r="M285" i="22"/>
  <c r="K285" i="22"/>
  <c r="K275" i="22"/>
  <c r="M275" i="22" s="1"/>
  <c r="L275" i="22"/>
  <c r="K272" i="22"/>
  <c r="M272" i="22" s="1"/>
  <c r="L272" i="22"/>
  <c r="L270" i="22"/>
  <c r="M270" i="22"/>
  <c r="K310" i="22"/>
  <c r="M310" i="22" s="1"/>
  <c r="K306" i="22"/>
  <c r="M306" i="22" s="1"/>
  <c r="K302" i="22"/>
  <c r="M302" i="22" s="1"/>
  <c r="K298" i="22"/>
  <c r="M298" i="22" s="1"/>
  <c r="K294" i="22"/>
  <c r="M294" i="22" s="1"/>
  <c r="K290" i="22"/>
  <c r="M290" i="22" s="1"/>
  <c r="L282" i="22"/>
  <c r="M282" i="22"/>
  <c r="K271" i="22"/>
  <c r="L271" i="22"/>
  <c r="M271" i="22"/>
  <c r="K268" i="22"/>
  <c r="M268" i="22" s="1"/>
  <c r="L268" i="22"/>
  <c r="L266" i="22"/>
  <c r="M266" i="22"/>
  <c r="K311" i="22"/>
  <c r="M311" i="22" s="1"/>
  <c r="K307" i="22"/>
  <c r="M307" i="22"/>
  <c r="K303" i="22"/>
  <c r="M303" i="22"/>
  <c r="M300" i="22"/>
  <c r="K299" i="22"/>
  <c r="M299" i="22" s="1"/>
  <c r="M296" i="22"/>
  <c r="K295" i="22"/>
  <c r="M295" i="22"/>
  <c r="M292" i="22"/>
  <c r="K291" i="22"/>
  <c r="M291" i="22"/>
  <c r="K287" i="22"/>
  <c r="M287" i="22" s="1"/>
  <c r="M284" i="22"/>
  <c r="K283" i="22"/>
  <c r="M283" i="22"/>
  <c r="K280" i="22"/>
  <c r="M280" i="22" s="1"/>
  <c r="L280" i="22"/>
  <c r="L278" i="22"/>
  <c r="M278" i="22"/>
  <c r="K267" i="22"/>
  <c r="L267" i="22"/>
  <c r="M267" i="22"/>
  <c r="K281" i="22"/>
  <c r="M281" i="22" s="1"/>
  <c r="K277" i="22"/>
  <c r="K273" i="22"/>
  <c r="K269" i="22"/>
  <c r="M269" i="22" s="1"/>
  <c r="K265" i="22"/>
  <c r="L263" i="22"/>
  <c r="K262" i="22"/>
  <c r="M262" i="22" s="1"/>
  <c r="K261" i="22"/>
  <c r="L259" i="22"/>
  <c r="K258" i="22"/>
  <c r="M258" i="22" s="1"/>
  <c r="L255" i="22"/>
  <c r="K254" i="22"/>
  <c r="M254" i="22" s="1"/>
  <c r="K253" i="22"/>
  <c r="L251" i="22"/>
  <c r="K230" i="22"/>
  <c r="M230" i="22" s="1"/>
  <c r="L230" i="22"/>
  <c r="L228" i="22"/>
  <c r="M228" i="22"/>
  <c r="K226" i="22"/>
  <c r="M226" i="22" s="1"/>
  <c r="L226" i="22"/>
  <c r="L224" i="22"/>
  <c r="M224" i="22"/>
  <c r="K222" i="22"/>
  <c r="M222" i="22" s="1"/>
  <c r="L222" i="22"/>
  <c r="L220" i="22"/>
  <c r="M220" i="22"/>
  <c r="K218" i="22"/>
  <c r="M218" i="22" s="1"/>
  <c r="L218" i="22"/>
  <c r="L216" i="22"/>
  <c r="M216" i="22"/>
  <c r="K214" i="22"/>
  <c r="M214" i="22" s="1"/>
  <c r="L214" i="22"/>
  <c r="L212" i="22"/>
  <c r="M212" i="22"/>
  <c r="K210" i="22"/>
  <c r="M210" i="22" s="1"/>
  <c r="L210" i="22"/>
  <c r="L208" i="22"/>
  <c r="M208" i="22"/>
  <c r="K206" i="22"/>
  <c r="M206" i="22" s="1"/>
  <c r="L206" i="22"/>
  <c r="L204" i="22"/>
  <c r="M204" i="22"/>
  <c r="K202" i="22"/>
  <c r="M202" i="22" s="1"/>
  <c r="L202" i="22"/>
  <c r="L200" i="22"/>
  <c r="M200" i="22"/>
  <c r="K198" i="22"/>
  <c r="M198" i="22" s="1"/>
  <c r="L198" i="22"/>
  <c r="L196" i="22"/>
  <c r="M196" i="22"/>
  <c r="K194" i="22"/>
  <c r="M194" i="22" s="1"/>
  <c r="L194" i="22"/>
  <c r="L192" i="22"/>
  <c r="M192" i="22"/>
  <c r="K190" i="22"/>
  <c r="M190" i="22" s="1"/>
  <c r="L190" i="22"/>
  <c r="L188" i="22"/>
  <c r="M188" i="22"/>
  <c r="K186" i="22"/>
  <c r="M186" i="22" s="1"/>
  <c r="L186" i="22"/>
  <c r="L184" i="22"/>
  <c r="M184" i="22"/>
  <c r="K182" i="22"/>
  <c r="M182" i="22" s="1"/>
  <c r="L182" i="22"/>
  <c r="L180" i="22"/>
  <c r="M180" i="22"/>
  <c r="K178" i="22"/>
  <c r="M178" i="22" s="1"/>
  <c r="L178" i="22"/>
  <c r="L176" i="22"/>
  <c r="M176" i="22"/>
  <c r="K174" i="22"/>
  <c r="M174" i="22" s="1"/>
  <c r="L174" i="22"/>
  <c r="L172" i="22"/>
  <c r="M172" i="22"/>
  <c r="K170" i="22"/>
  <c r="M170" i="22" s="1"/>
  <c r="L170" i="22"/>
  <c r="L168" i="22"/>
  <c r="M168" i="22"/>
  <c r="K166" i="22"/>
  <c r="M166" i="22" s="1"/>
  <c r="L166" i="22"/>
  <c r="L164" i="22"/>
  <c r="M164" i="22"/>
  <c r="K162" i="22"/>
  <c r="M162" i="22" s="1"/>
  <c r="L162" i="22"/>
  <c r="L160" i="22"/>
  <c r="M160" i="22"/>
  <c r="K158" i="22"/>
  <c r="M158" i="22" s="1"/>
  <c r="L158" i="22"/>
  <c r="L156" i="22"/>
  <c r="M156" i="22"/>
  <c r="K154" i="22"/>
  <c r="M154" i="22" s="1"/>
  <c r="L154" i="22"/>
  <c r="M245" i="22"/>
  <c r="M233" i="22"/>
  <c r="K229" i="22"/>
  <c r="L229" i="22"/>
  <c r="M229" i="22"/>
  <c r="K225" i="22"/>
  <c r="L225" i="22"/>
  <c r="M225" i="22"/>
  <c r="K221" i="22"/>
  <c r="M221" i="22" s="1"/>
  <c r="L221" i="22"/>
  <c r="K217" i="22"/>
  <c r="L217" i="22"/>
  <c r="M217" i="22"/>
  <c r="K213" i="22"/>
  <c r="L213" i="22"/>
  <c r="M213" i="22"/>
  <c r="K209" i="22"/>
  <c r="M209" i="22" s="1"/>
  <c r="L209" i="22"/>
  <c r="K205" i="22"/>
  <c r="L205" i="22"/>
  <c r="M205" i="22"/>
  <c r="K201" i="22"/>
  <c r="L201" i="22"/>
  <c r="M201" i="22"/>
  <c r="K197" i="22"/>
  <c r="M197" i="22" s="1"/>
  <c r="L197" i="22"/>
  <c r="K193" i="22"/>
  <c r="L193" i="22"/>
  <c r="M193" i="22"/>
  <c r="K189" i="22"/>
  <c r="L189" i="22"/>
  <c r="M189" i="22"/>
  <c r="K185" i="22"/>
  <c r="M185" i="22" s="1"/>
  <c r="L185" i="22"/>
  <c r="K181" i="22"/>
  <c r="L181" i="22"/>
  <c r="M181" i="22"/>
  <c r="K177" i="22"/>
  <c r="L177" i="22"/>
  <c r="M177" i="22"/>
  <c r="K173" i="22"/>
  <c r="L173" i="22"/>
  <c r="M173" i="22"/>
  <c r="K169" i="22"/>
  <c r="L169" i="22"/>
  <c r="M169" i="22"/>
  <c r="K165" i="22"/>
  <c r="L165" i="22"/>
  <c r="M165" i="22"/>
  <c r="K161" i="22"/>
  <c r="M161" i="22" s="1"/>
  <c r="L161" i="22"/>
  <c r="K157" i="22"/>
  <c r="L157" i="22"/>
  <c r="M157" i="22"/>
  <c r="K153" i="22"/>
  <c r="L153" i="22"/>
  <c r="M153" i="22"/>
  <c r="K149" i="22"/>
  <c r="M149" i="22" s="1"/>
  <c r="L149" i="22"/>
  <c r="K140" i="22"/>
  <c r="M140" i="22" s="1"/>
  <c r="L140" i="22"/>
  <c r="K227" i="22"/>
  <c r="M227" i="22" s="1"/>
  <c r="M223" i="22"/>
  <c r="K223" i="22"/>
  <c r="M219" i="22"/>
  <c r="K219" i="22"/>
  <c r="K215" i="22"/>
  <c r="M215" i="22" s="1"/>
  <c r="M211" i="22"/>
  <c r="K211" i="22"/>
  <c r="M207" i="22"/>
  <c r="K207" i="22"/>
  <c r="K203" i="22"/>
  <c r="M203" i="22" s="1"/>
  <c r="M199" i="22"/>
  <c r="K199" i="22"/>
  <c r="M195" i="22"/>
  <c r="K195" i="22"/>
  <c r="K191" i="22"/>
  <c r="M191" i="22" s="1"/>
  <c r="M187" i="22"/>
  <c r="K187" i="22"/>
  <c r="M183" i="22"/>
  <c r="K183" i="22"/>
  <c r="K179" i="22"/>
  <c r="M179" i="22" s="1"/>
  <c r="M175" i="22"/>
  <c r="K175" i="22"/>
  <c r="M171" i="22"/>
  <c r="K171" i="22"/>
  <c r="K167" i="22"/>
  <c r="M167" i="22" s="1"/>
  <c r="M163" i="22"/>
  <c r="K163" i="22"/>
  <c r="M159" i="22"/>
  <c r="K159" i="22"/>
  <c r="K155" i="22"/>
  <c r="M155" i="22" s="1"/>
  <c r="K152" i="22"/>
  <c r="M152" i="22" s="1"/>
  <c r="L152" i="22"/>
  <c r="L151" i="22"/>
  <c r="M151" i="22"/>
  <c r="K142" i="22"/>
  <c r="M142" i="22" s="1"/>
  <c r="K136" i="22"/>
  <c r="M136" i="22" s="1"/>
  <c r="L136" i="22"/>
  <c r="L130" i="22"/>
  <c r="K130" i="22"/>
  <c r="M130" i="22" s="1"/>
  <c r="K125" i="22"/>
  <c r="M125" i="22" s="1"/>
  <c r="L125" i="22"/>
  <c r="L114" i="22"/>
  <c r="K114" i="22"/>
  <c r="M114" i="22" s="1"/>
  <c r="M109" i="22"/>
  <c r="K109" i="22"/>
  <c r="L109" i="22"/>
  <c r="L98" i="22"/>
  <c r="K98" i="22"/>
  <c r="M98" i="22" s="1"/>
  <c r="M93" i="22"/>
  <c r="K93" i="22"/>
  <c r="L93" i="22"/>
  <c r="K77" i="22"/>
  <c r="M77" i="22" s="1"/>
  <c r="L77" i="22"/>
  <c r="L74" i="22"/>
  <c r="K74" i="22"/>
  <c r="M74" i="22" s="1"/>
  <c r="K71" i="22"/>
  <c r="M71" i="22" s="1"/>
  <c r="L71" i="22"/>
  <c r="K148" i="22"/>
  <c r="M148" i="22" s="1"/>
  <c r="L148" i="22"/>
  <c r="K145" i="22"/>
  <c r="L145" i="22"/>
  <c r="K138" i="22"/>
  <c r="M138" i="22" s="1"/>
  <c r="L134" i="22"/>
  <c r="K134" i="22"/>
  <c r="M134" i="22" s="1"/>
  <c r="M129" i="22"/>
  <c r="K129" i="22"/>
  <c r="L129" i="22"/>
  <c r="L118" i="22"/>
  <c r="K118" i="22"/>
  <c r="M118" i="22" s="1"/>
  <c r="K113" i="22"/>
  <c r="M113" i="22" s="1"/>
  <c r="L113" i="22"/>
  <c r="L102" i="22"/>
  <c r="K102" i="22"/>
  <c r="M102" i="22" s="1"/>
  <c r="M97" i="22"/>
  <c r="K97" i="22"/>
  <c r="L97" i="22"/>
  <c r="L86" i="22"/>
  <c r="K86" i="22"/>
  <c r="M86" i="22" s="1"/>
  <c r="K83" i="22"/>
  <c r="M83" i="22" s="1"/>
  <c r="L83" i="22"/>
  <c r="K73" i="22"/>
  <c r="M73" i="22" s="1"/>
  <c r="L73" i="22"/>
  <c r="L70" i="22"/>
  <c r="K70" i="22"/>
  <c r="M70" i="22" s="1"/>
  <c r="K144" i="22"/>
  <c r="M144" i="22" s="1"/>
  <c r="L144" i="22"/>
  <c r="K141" i="22"/>
  <c r="L141" i="22"/>
  <c r="M133" i="22"/>
  <c r="K133" i="22"/>
  <c r="L133" i="22"/>
  <c r="L122" i="22"/>
  <c r="K122" i="22"/>
  <c r="M122" i="22" s="1"/>
  <c r="M117" i="22"/>
  <c r="K117" i="22"/>
  <c r="L117" i="22"/>
  <c r="L106" i="22"/>
  <c r="K106" i="22"/>
  <c r="M106" i="22" s="1"/>
  <c r="K101" i="22"/>
  <c r="M101" i="22" s="1"/>
  <c r="L101" i="22"/>
  <c r="L90" i="22"/>
  <c r="K90" i="22"/>
  <c r="M90" i="22" s="1"/>
  <c r="M85" i="22"/>
  <c r="K85" i="22"/>
  <c r="L85" i="22"/>
  <c r="L82" i="22"/>
  <c r="K82" i="22"/>
  <c r="M82" i="22" s="1"/>
  <c r="K79" i="22"/>
  <c r="L79" i="22"/>
  <c r="M79" i="22"/>
  <c r="M69" i="22"/>
  <c r="K69" i="22"/>
  <c r="L69" i="22"/>
  <c r="M132" i="22"/>
  <c r="M128" i="22"/>
  <c r="M124" i="22"/>
  <c r="M120" i="22"/>
  <c r="M116" i="22"/>
  <c r="M112" i="22"/>
  <c r="M108" i="22"/>
  <c r="M104" i="22"/>
  <c r="M100" i="22"/>
  <c r="M96" i="22"/>
  <c r="M92" i="22"/>
  <c r="M88" i="22"/>
  <c r="M84" i="22"/>
  <c r="M80" i="22"/>
  <c r="M76" i="22"/>
  <c r="M72" i="22"/>
  <c r="M147" i="22"/>
  <c r="M139" i="22"/>
  <c r="M135" i="22"/>
  <c r="L132" i="22"/>
  <c r="M131" i="22"/>
  <c r="L128" i="22"/>
  <c r="M127" i="22"/>
  <c r="L124" i="22"/>
  <c r="M123" i="22"/>
  <c r="L120" i="22"/>
  <c r="M119" i="22"/>
  <c r="L116" i="22"/>
  <c r="M115" i="22"/>
  <c r="L112" i="22"/>
  <c r="M111" i="22"/>
  <c r="L108" i="22"/>
  <c r="L104" i="22"/>
  <c r="M103" i="22"/>
  <c r="L100" i="22"/>
  <c r="M99" i="22"/>
  <c r="L96" i="22"/>
  <c r="M95" i="22"/>
  <c r="L92" i="22"/>
  <c r="M91" i="22"/>
  <c r="L88" i="22"/>
  <c r="M87" i="22"/>
  <c r="L84" i="22"/>
  <c r="L80" i="22"/>
  <c r="L76" i="22"/>
  <c r="L72" i="22"/>
  <c r="U240" i="33"/>
  <c r="U241" i="33"/>
  <c r="U242" i="33"/>
  <c r="U243" i="33"/>
  <c r="U244" i="33"/>
  <c r="U245" i="33"/>
  <c r="U246" i="33"/>
  <c r="U247" i="33"/>
  <c r="U248" i="33"/>
  <c r="U249" i="33"/>
  <c r="U250" i="33"/>
  <c r="U251" i="33"/>
  <c r="U252" i="33"/>
  <c r="U239" i="33"/>
  <c r="F251" i="33"/>
  <c r="F250" i="33"/>
  <c r="F252" i="33"/>
  <c r="F249" i="33"/>
  <c r="F248" i="33"/>
  <c r="F247" i="33"/>
  <c r="F246" i="33"/>
  <c r="F245" i="33"/>
  <c r="F244" i="33"/>
  <c r="F243" i="33"/>
  <c r="F242" i="33"/>
  <c r="F241" i="33"/>
  <c r="F240" i="33"/>
  <c r="F239" i="33"/>
  <c r="B19" i="41" l="1"/>
  <c r="D19" i="41"/>
  <c r="B13" i="41"/>
  <c r="A17" i="41"/>
  <c r="D17" i="41" s="1"/>
  <c r="A30" i="41"/>
  <c r="D26" i="41"/>
  <c r="B26" i="41"/>
  <c r="D16" i="41"/>
  <c r="B16" i="41"/>
  <c r="A20" i="41"/>
  <c r="C22" i="41"/>
  <c r="C23" i="41" s="1"/>
  <c r="C24" i="41" s="1"/>
  <c r="C25" i="41" s="1"/>
  <c r="A23" i="41"/>
  <c r="D20" i="41" l="1"/>
  <c r="B20" i="41"/>
  <c r="A24" i="41"/>
  <c r="D23" i="41"/>
  <c r="B23" i="41"/>
  <c r="A34" i="41"/>
  <c r="D30" i="41"/>
  <c r="B30" i="41"/>
  <c r="B17" i="41"/>
  <c r="A21" i="41"/>
  <c r="D21" i="41" s="1"/>
  <c r="C26" i="41"/>
  <c r="C27" i="41" s="1"/>
  <c r="C28" i="41" s="1"/>
  <c r="C29" i="41" s="1"/>
  <c r="A27" i="41"/>
  <c r="U371" i="33"/>
  <c r="U370" i="33"/>
  <c r="U369" i="33"/>
  <c r="U368" i="33"/>
  <c r="U367" i="33"/>
  <c r="U366" i="33"/>
  <c r="U365" i="33"/>
  <c r="U364" i="33"/>
  <c r="U363" i="33"/>
  <c r="U362" i="33"/>
  <c r="U361" i="33"/>
  <c r="U360" i="33"/>
  <c r="U359" i="33"/>
  <c r="U358" i="33"/>
  <c r="F371" i="33"/>
  <c r="F370" i="33"/>
  <c r="F369" i="33"/>
  <c r="F368" i="33"/>
  <c r="F367" i="33"/>
  <c r="F366" i="33"/>
  <c r="F365" i="33"/>
  <c r="F364" i="33"/>
  <c r="F363" i="33"/>
  <c r="F362" i="33"/>
  <c r="F361" i="33"/>
  <c r="F360" i="33"/>
  <c r="F359" i="33"/>
  <c r="F358" i="33"/>
  <c r="B27" i="41" l="1"/>
  <c r="D27" i="41"/>
  <c r="B21" i="41"/>
  <c r="A25" i="41"/>
  <c r="D25" i="41" s="1"/>
  <c r="A38" i="41"/>
  <c r="D34" i="41"/>
  <c r="B34" i="41"/>
  <c r="C30" i="41"/>
  <c r="C31" i="41" s="1"/>
  <c r="C32" i="41" s="1"/>
  <c r="C33" i="41" s="1"/>
  <c r="D24" i="41"/>
  <c r="B24" i="41"/>
  <c r="A28" i="41"/>
  <c r="A31" i="41"/>
  <c r="U344" i="33"/>
  <c r="U345" i="33"/>
  <c r="U346" i="33"/>
  <c r="U347" i="33"/>
  <c r="U348" i="33"/>
  <c r="U349" i="33"/>
  <c r="U350" i="33"/>
  <c r="U351" i="33"/>
  <c r="U352" i="33"/>
  <c r="U353" i="33"/>
  <c r="U354" i="33"/>
  <c r="U355" i="33"/>
  <c r="U356" i="33"/>
  <c r="U357" i="33"/>
  <c r="F357" i="33"/>
  <c r="F356" i="33"/>
  <c r="F355" i="33"/>
  <c r="F354" i="33"/>
  <c r="F353" i="33"/>
  <c r="F352" i="33"/>
  <c r="F351" i="33"/>
  <c r="F350" i="33"/>
  <c r="F349" i="33"/>
  <c r="F348" i="33"/>
  <c r="F347" i="33"/>
  <c r="F346" i="33"/>
  <c r="F345" i="33"/>
  <c r="F344" i="33"/>
  <c r="U330" i="33"/>
  <c r="U331" i="33"/>
  <c r="U332" i="33"/>
  <c r="U333" i="33"/>
  <c r="U334" i="33"/>
  <c r="U335" i="33"/>
  <c r="U336" i="33"/>
  <c r="U337" i="33"/>
  <c r="U338" i="33"/>
  <c r="U339" i="33"/>
  <c r="U340" i="33"/>
  <c r="U341" i="33"/>
  <c r="U342" i="33"/>
  <c r="U343" i="33"/>
  <c r="F343" i="33"/>
  <c r="F342" i="33"/>
  <c r="F341" i="33"/>
  <c r="F340" i="33"/>
  <c r="F339" i="33"/>
  <c r="F338" i="33"/>
  <c r="F337" i="33"/>
  <c r="F336" i="33"/>
  <c r="F335" i="33"/>
  <c r="F334" i="33"/>
  <c r="F333" i="33"/>
  <c r="F332" i="33"/>
  <c r="F331" i="33"/>
  <c r="F330" i="33"/>
  <c r="A42" i="41" l="1"/>
  <c r="D38" i="41"/>
  <c r="B38" i="41"/>
  <c r="D28" i="41"/>
  <c r="B28" i="41"/>
  <c r="A32" i="41"/>
  <c r="C34" i="41"/>
  <c r="C35" i="41" s="1"/>
  <c r="C36" i="41" s="1"/>
  <c r="C37" i="41" s="1"/>
  <c r="B25" i="41"/>
  <c r="A29" i="41"/>
  <c r="D29" i="41" s="1"/>
  <c r="B31" i="41"/>
  <c r="D31" i="41"/>
  <c r="A35" i="41"/>
  <c r="C64" i="2"/>
  <c r="D64" i="2"/>
  <c r="C64" i="8"/>
  <c r="D64" i="8"/>
  <c r="C64" i="1"/>
  <c r="D64" i="1"/>
  <c r="B35" i="41" l="1"/>
  <c r="D35" i="41"/>
  <c r="B29" i="41"/>
  <c r="A33" i="41"/>
  <c r="D33" i="41" s="1"/>
  <c r="D32" i="41"/>
  <c r="B32" i="41"/>
  <c r="A36" i="41"/>
  <c r="A46" i="41"/>
  <c r="D42" i="41"/>
  <c r="B42" i="41"/>
  <c r="C38" i="41"/>
  <c r="C39" i="41" s="1"/>
  <c r="C40" i="41" s="1"/>
  <c r="C41" i="41" s="1"/>
  <c r="A39" i="41"/>
  <c r="B376" i="33"/>
  <c r="U35" i="33"/>
  <c r="U36" i="33"/>
  <c r="U37" i="33"/>
  <c r="U38" i="33"/>
  <c r="U39" i="33"/>
  <c r="U40" i="33"/>
  <c r="U41" i="33"/>
  <c r="U42" i="33"/>
  <c r="U43" i="33"/>
  <c r="U44" i="33"/>
  <c r="U45" i="33"/>
  <c r="U46" i="33"/>
  <c r="U47" i="33"/>
  <c r="U48" i="33"/>
  <c r="U49" i="33"/>
  <c r="U50" i="33"/>
  <c r="U51" i="33"/>
  <c r="U52" i="33"/>
  <c r="U53" i="33"/>
  <c r="U54" i="33"/>
  <c r="U55" i="33"/>
  <c r="U56" i="33"/>
  <c r="U57" i="33"/>
  <c r="U58" i="33"/>
  <c r="U59" i="33"/>
  <c r="U60" i="33"/>
  <c r="U61" i="33"/>
  <c r="U62" i="33"/>
  <c r="U63" i="33"/>
  <c r="U64" i="33"/>
  <c r="F64" i="33"/>
  <c r="F63" i="33"/>
  <c r="F62" i="33"/>
  <c r="F61" i="33"/>
  <c r="F60" i="33"/>
  <c r="F59" i="33"/>
  <c r="F58" i="33"/>
  <c r="F57" i="33"/>
  <c r="F56" i="33"/>
  <c r="F55" i="33"/>
  <c r="F54" i="33"/>
  <c r="F53" i="33"/>
  <c r="F52" i="33"/>
  <c r="F51" i="33"/>
  <c r="F50" i="33"/>
  <c r="F49" i="33"/>
  <c r="F48" i="33"/>
  <c r="F47" i="33"/>
  <c r="F46" i="33"/>
  <c r="F45" i="33"/>
  <c r="F44" i="33"/>
  <c r="F43" i="33"/>
  <c r="F42" i="33"/>
  <c r="F41" i="33"/>
  <c r="F40" i="33"/>
  <c r="F39" i="33"/>
  <c r="F38" i="33"/>
  <c r="F37" i="33"/>
  <c r="F35" i="33"/>
  <c r="F36" i="33"/>
  <c r="B33" i="41" l="1"/>
  <c r="A37" i="41"/>
  <c r="D37" i="41" s="1"/>
  <c r="D39" i="41"/>
  <c r="B39" i="41"/>
  <c r="C42" i="41"/>
  <c r="C43" i="41" s="1"/>
  <c r="C44" i="41" s="1"/>
  <c r="C45" i="41" s="1"/>
  <c r="D36" i="41"/>
  <c r="B36" i="41"/>
  <c r="A40" i="41"/>
  <c r="A50" i="41"/>
  <c r="D46" i="41"/>
  <c r="B46" i="41"/>
  <c r="A43" i="41"/>
  <c r="B43" i="41" l="1"/>
  <c r="D43" i="41"/>
  <c r="D40" i="41"/>
  <c r="B40" i="41"/>
  <c r="A44" i="41"/>
  <c r="C46" i="41"/>
  <c r="C47" i="41" s="1"/>
  <c r="C48" i="41" s="1"/>
  <c r="C49" i="41" s="1"/>
  <c r="A54" i="41"/>
  <c r="D50" i="41"/>
  <c r="B50" i="41"/>
  <c r="B37" i="41"/>
  <c r="A41" i="41"/>
  <c r="D41" i="41" s="1"/>
  <c r="A47" i="41"/>
  <c r="U179" i="33"/>
  <c r="U180" i="33"/>
  <c r="U181" i="33"/>
  <c r="U182" i="33"/>
  <c r="U183" i="33"/>
  <c r="U184" i="33"/>
  <c r="U185" i="33"/>
  <c r="U186" i="33"/>
  <c r="U187" i="33"/>
  <c r="U188" i="33"/>
  <c r="U189" i="33"/>
  <c r="U190" i="33"/>
  <c r="U191" i="33"/>
  <c r="U192" i="33"/>
  <c r="U193" i="33"/>
  <c r="U194" i="33"/>
  <c r="U195" i="33"/>
  <c r="F188" i="33"/>
  <c r="F187" i="33"/>
  <c r="F186" i="33"/>
  <c r="F185" i="33"/>
  <c r="F184" i="33"/>
  <c r="F183" i="33"/>
  <c r="F182" i="33"/>
  <c r="F181" i="33"/>
  <c r="F180" i="33"/>
  <c r="F179" i="33"/>
  <c r="F178" i="33"/>
  <c r="F177" i="33"/>
  <c r="F176" i="33"/>
  <c r="F175" i="33"/>
  <c r="F174" i="33"/>
  <c r="F173" i="33"/>
  <c r="F172" i="33"/>
  <c r="F171" i="33"/>
  <c r="F170" i="33"/>
  <c r="F169" i="33"/>
  <c r="F168" i="33"/>
  <c r="F167" i="33"/>
  <c r="U162" i="33"/>
  <c r="U163" i="33"/>
  <c r="U164" i="33"/>
  <c r="U165" i="33"/>
  <c r="U166" i="33"/>
  <c r="U167" i="33"/>
  <c r="U168" i="33"/>
  <c r="U169" i="33"/>
  <c r="U170" i="33"/>
  <c r="U171" i="33"/>
  <c r="U172" i="33"/>
  <c r="U173" i="33"/>
  <c r="U174" i="33"/>
  <c r="U175" i="33"/>
  <c r="U176" i="33"/>
  <c r="U177" i="33"/>
  <c r="U178" i="33"/>
  <c r="U196" i="33"/>
  <c r="F166" i="33"/>
  <c r="F165" i="33"/>
  <c r="F164" i="33"/>
  <c r="F163" i="33"/>
  <c r="F162" i="33"/>
  <c r="F161" i="33"/>
  <c r="B47" i="41" l="1"/>
  <c r="D47" i="41"/>
  <c r="D44" i="41"/>
  <c r="B44" i="41"/>
  <c r="A48" i="41"/>
  <c r="B41" i="41"/>
  <c r="A45" i="41"/>
  <c r="D45" i="41" s="1"/>
  <c r="A58" i="41"/>
  <c r="D54" i="41"/>
  <c r="B54" i="41"/>
  <c r="C50" i="41"/>
  <c r="C51" i="41" s="1"/>
  <c r="C52" i="41" s="1"/>
  <c r="C53" i="41" s="1"/>
  <c r="A51" i="41"/>
  <c r="J3" i="9"/>
  <c r="I3" i="9"/>
  <c r="H3" i="9"/>
  <c r="A62" i="41" l="1"/>
  <c r="D58" i="41"/>
  <c r="B58" i="41"/>
  <c r="C54" i="41"/>
  <c r="C55" i="41" s="1"/>
  <c r="C56" i="41" s="1"/>
  <c r="C57" i="41" s="1"/>
  <c r="B45" i="41"/>
  <c r="A49" i="41"/>
  <c r="D49" i="41" s="1"/>
  <c r="D48" i="41"/>
  <c r="B48" i="41"/>
  <c r="A52" i="41"/>
  <c r="B51" i="41"/>
  <c r="D51" i="41"/>
  <c r="A55" i="41"/>
  <c r="F160" i="33"/>
  <c r="F159" i="33"/>
  <c r="F158" i="33"/>
  <c r="F157" i="33"/>
  <c r="F156" i="33"/>
  <c r="F155" i="33"/>
  <c r="U128" i="33"/>
  <c r="U129" i="33"/>
  <c r="U130" i="33"/>
  <c r="U131" i="33"/>
  <c r="U132" i="33"/>
  <c r="U133" i="33"/>
  <c r="U134" i="33"/>
  <c r="U135" i="33"/>
  <c r="U136" i="33"/>
  <c r="U137" i="33"/>
  <c r="U138" i="33"/>
  <c r="U139" i="33"/>
  <c r="U140" i="33"/>
  <c r="U141" i="33"/>
  <c r="U142" i="33"/>
  <c r="U143" i="33"/>
  <c r="U144" i="33"/>
  <c r="U145" i="33"/>
  <c r="U149" i="33"/>
  <c r="U150" i="33"/>
  <c r="U151" i="33"/>
  <c r="U152" i="33"/>
  <c r="U153" i="33"/>
  <c r="U154" i="33"/>
  <c r="U155" i="33"/>
  <c r="U156" i="33"/>
  <c r="U157" i="33"/>
  <c r="U158" i="33"/>
  <c r="U159" i="33"/>
  <c r="U160" i="33"/>
  <c r="U161" i="33"/>
  <c r="F154" i="33"/>
  <c r="F153" i="33"/>
  <c r="F152" i="33"/>
  <c r="F151" i="33"/>
  <c r="F150" i="33"/>
  <c r="F149" i="33"/>
  <c r="C58" i="41" l="1"/>
  <c r="C59" i="41" s="1"/>
  <c r="C60" i="41" s="1"/>
  <c r="C61" i="41" s="1"/>
  <c r="B55" i="41"/>
  <c r="D55" i="41"/>
  <c r="B49" i="41"/>
  <c r="A53" i="41"/>
  <c r="D53" i="41" s="1"/>
  <c r="A66" i="41"/>
  <c r="D62" i="41"/>
  <c r="B62" i="41"/>
  <c r="D52" i="41"/>
  <c r="B52" i="41"/>
  <c r="A56" i="41"/>
  <c r="A59" i="41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J27" i="10"/>
  <c r="Q27" i="10" s="1"/>
  <c r="Q28" i="10" s="1"/>
  <c r="Q29" i="10" s="1"/>
  <c r="Q30" i="10" s="1"/>
  <c r="Q31" i="10" s="1"/>
  <c r="Q32" i="10" s="1"/>
  <c r="Q33" i="10" s="1"/>
  <c r="Q34" i="10" s="1"/>
  <c r="Q35" i="10" s="1"/>
  <c r="Q36" i="10" s="1"/>
  <c r="Q37" i="10" s="1"/>
  <c r="Q38" i="10" s="1"/>
  <c r="Q39" i="10" s="1"/>
  <c r="Q40" i="10" s="1"/>
  <c r="Q41" i="10" s="1"/>
  <c r="Q42" i="10" s="1"/>
  <c r="Q43" i="10" s="1"/>
  <c r="Q44" i="10" s="1"/>
  <c r="Q45" i="10" s="1"/>
  <c r="Q46" i="10" s="1"/>
  <c r="Q47" i="10" s="1"/>
  <c r="Q48" i="10" s="1"/>
  <c r="Q49" i="10" s="1"/>
  <c r="Q50" i="10" s="1"/>
  <c r="Q51" i="10" s="1"/>
  <c r="Q52" i="10" s="1"/>
  <c r="Q53" i="10" s="1"/>
  <c r="Q54" i="10" s="1"/>
  <c r="Q55" i="10" s="1"/>
  <c r="Q56" i="10" s="1"/>
  <c r="Q57" i="10" s="1"/>
  <c r="O90" i="12"/>
  <c r="O89" i="12"/>
  <c r="O87" i="12"/>
  <c r="O88" i="12"/>
  <c r="O83" i="12"/>
  <c r="O85" i="12"/>
  <c r="O86" i="12"/>
  <c r="O82" i="12"/>
  <c r="O84" i="12"/>
  <c r="O81" i="12"/>
  <c r="O80" i="12"/>
  <c r="O79" i="12"/>
  <c r="O78" i="12"/>
  <c r="O77" i="12"/>
  <c r="O76" i="12"/>
  <c r="O75" i="12"/>
  <c r="O74" i="12"/>
  <c r="O73" i="12"/>
  <c r="O72" i="12"/>
  <c r="O71" i="12"/>
  <c r="O70" i="12"/>
  <c r="O66" i="12"/>
  <c r="O68" i="12"/>
  <c r="O67" i="12"/>
  <c r="O69" i="12"/>
  <c r="O65" i="12"/>
  <c r="O64" i="12"/>
  <c r="O63" i="12"/>
  <c r="O62" i="12"/>
  <c r="O61" i="12"/>
  <c r="O60" i="12"/>
  <c r="O59" i="12"/>
  <c r="O58" i="12"/>
  <c r="O57" i="12"/>
  <c r="O56" i="12"/>
  <c r="O55" i="12"/>
  <c r="O54" i="12"/>
  <c r="O53" i="12"/>
  <c r="O52" i="12"/>
  <c r="O51" i="12"/>
  <c r="O50" i="12"/>
  <c r="O49" i="12"/>
  <c r="O48" i="12"/>
  <c r="O47" i="12"/>
  <c r="O46" i="12"/>
  <c r="O45" i="12"/>
  <c r="O44" i="12"/>
  <c r="O43" i="12"/>
  <c r="O42" i="12"/>
  <c r="O41" i="12"/>
  <c r="O40" i="12"/>
  <c r="O39" i="12"/>
  <c r="O38" i="12"/>
  <c r="O37" i="12"/>
  <c r="O36" i="12"/>
  <c r="O35" i="12"/>
  <c r="O34" i="12"/>
  <c r="O33" i="12"/>
  <c r="O32" i="12"/>
  <c r="O31" i="12"/>
  <c r="O30" i="12"/>
  <c r="O29" i="12"/>
  <c r="O28" i="12"/>
  <c r="O27" i="12"/>
  <c r="O26" i="12"/>
  <c r="O25" i="12"/>
  <c r="O24" i="12"/>
  <c r="O23" i="12"/>
  <c r="O22" i="12"/>
  <c r="O21" i="12"/>
  <c r="O20" i="12"/>
  <c r="O19" i="12"/>
  <c r="O18" i="12"/>
  <c r="O17" i="12"/>
  <c r="O16" i="12"/>
  <c r="O15" i="12"/>
  <c r="O14" i="12"/>
  <c r="O13" i="12"/>
  <c r="O12" i="12"/>
  <c r="O11" i="12"/>
  <c r="O10" i="12"/>
  <c r="O9" i="12"/>
  <c r="O8" i="12"/>
  <c r="O7" i="12"/>
  <c r="O6" i="12"/>
  <c r="O5" i="12"/>
  <c r="O4" i="12"/>
  <c r="A70" i="41" l="1"/>
  <c r="D66" i="41"/>
  <c r="B66" i="41"/>
  <c r="D56" i="41"/>
  <c r="B56" i="41"/>
  <c r="A60" i="41"/>
  <c r="B53" i="41"/>
  <c r="A57" i="41"/>
  <c r="D57" i="41" s="1"/>
  <c r="B59" i="41"/>
  <c r="D59" i="41"/>
  <c r="C62" i="41"/>
  <c r="C63" i="41" s="1"/>
  <c r="C64" i="41" s="1"/>
  <c r="C65" i="41" s="1"/>
  <c r="A63" i="41"/>
  <c r="O27" i="10"/>
  <c r="O28" i="10" s="1"/>
  <c r="O29" i="10" s="1"/>
  <c r="O30" i="10" s="1"/>
  <c r="O31" i="10" s="1"/>
  <c r="O32" i="10" s="1"/>
  <c r="O33" i="10" s="1"/>
  <c r="P27" i="10"/>
  <c r="P28" i="10" s="1"/>
  <c r="P29" i="10" s="1"/>
  <c r="P30" i="10" s="1"/>
  <c r="P31" i="10" s="1"/>
  <c r="P32" i="10" s="1"/>
  <c r="P33" i="10" s="1"/>
  <c r="P34" i="10" s="1"/>
  <c r="P35" i="10" s="1"/>
  <c r="P36" i="10" s="1"/>
  <c r="P37" i="10" s="1"/>
  <c r="P38" i="10" s="1"/>
  <c r="P39" i="10" s="1"/>
  <c r="P40" i="10" s="1"/>
  <c r="P41" i="10" s="1"/>
  <c r="P42" i="10" s="1"/>
  <c r="P43" i="10" s="1"/>
  <c r="P44" i="10" s="1"/>
  <c r="P45" i="10" s="1"/>
  <c r="P46" i="10" s="1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J28" i="10"/>
  <c r="L27" i="10"/>
  <c r="H27" i="10"/>
  <c r="AN1" i="33"/>
  <c r="P4" i="9"/>
  <c r="P5" i="9"/>
  <c r="P6" i="9"/>
  <c r="P7" i="9"/>
  <c r="P8" i="9"/>
  <c r="P9" i="9"/>
  <c r="P10" i="9"/>
  <c r="A74" i="41" l="1"/>
  <c r="D70" i="41"/>
  <c r="B70" i="41"/>
  <c r="B57" i="41"/>
  <c r="A61" i="41"/>
  <c r="D61" i="41" s="1"/>
  <c r="D63" i="41"/>
  <c r="B63" i="41"/>
  <c r="C66" i="41"/>
  <c r="C67" i="41" s="1"/>
  <c r="C68" i="41" s="1"/>
  <c r="C69" i="41" s="1"/>
  <c r="D60" i="41"/>
  <c r="B60" i="41"/>
  <c r="A64" i="41"/>
  <c r="A67" i="41"/>
  <c r="H28" i="10"/>
  <c r="J29" i="10"/>
  <c r="L28" i="1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E231" i="20" s="1"/>
  <c r="A232" i="20"/>
  <c r="E232" i="20" s="1"/>
  <c r="A233" i="20"/>
  <c r="B233" i="20" s="1"/>
  <c r="A234" i="20"/>
  <c r="A235" i="20"/>
  <c r="C235" i="20" s="1"/>
  <c r="A236" i="20"/>
  <c r="C236" i="20" s="1"/>
  <c r="A237" i="20"/>
  <c r="E237" i="20" s="1"/>
  <c r="A238" i="20"/>
  <c r="A239" i="20"/>
  <c r="A240" i="20"/>
  <c r="E240" i="20" s="1"/>
  <c r="A241" i="20"/>
  <c r="A242" i="20"/>
  <c r="B242" i="20" s="1"/>
  <c r="A243" i="20"/>
  <c r="A244" i="20"/>
  <c r="E244" i="20" s="1"/>
  <c r="A245" i="20"/>
  <c r="A246" i="20"/>
  <c r="A247" i="20"/>
  <c r="B247" i="20" s="1"/>
  <c r="A248" i="20"/>
  <c r="A249" i="20"/>
  <c r="A250" i="20"/>
  <c r="A251" i="20"/>
  <c r="B251" i="20" s="1"/>
  <c r="A252" i="20"/>
  <c r="A253" i="20"/>
  <c r="A254" i="20"/>
  <c r="C254" i="20" s="1"/>
  <c r="A255" i="20"/>
  <c r="C255" i="20" s="1"/>
  <c r="A256" i="20"/>
  <c r="E256" i="20" s="1"/>
  <c r="A257" i="20"/>
  <c r="A258" i="20"/>
  <c r="B258" i="20" s="1"/>
  <c r="A259" i="20"/>
  <c r="A260" i="20"/>
  <c r="C260" i="20" s="1"/>
  <c r="A261" i="20"/>
  <c r="B261" i="20" s="1"/>
  <c r="A262" i="20"/>
  <c r="C262" i="20" s="1"/>
  <c r="A263" i="20"/>
  <c r="A264" i="20"/>
  <c r="E264" i="20" s="1"/>
  <c r="A265" i="20"/>
  <c r="B265" i="20" s="1"/>
  <c r="A266" i="20"/>
  <c r="A267" i="20"/>
  <c r="B267" i="20" s="1"/>
  <c r="A268" i="20"/>
  <c r="C268" i="20" s="1"/>
  <c r="A269" i="20"/>
  <c r="E269" i="20" s="1"/>
  <c r="A270" i="20"/>
  <c r="A271" i="20"/>
  <c r="A272" i="20"/>
  <c r="C272" i="20" s="1"/>
  <c r="A273" i="20"/>
  <c r="A274" i="20"/>
  <c r="B274" i="20" s="1"/>
  <c r="A275" i="20"/>
  <c r="A276" i="20"/>
  <c r="E276" i="20" s="1"/>
  <c r="A277" i="20"/>
  <c r="B277" i="20" s="1"/>
  <c r="A278" i="20"/>
  <c r="A4" i="20"/>
  <c r="C70" i="41" l="1"/>
  <c r="C71" i="41" s="1"/>
  <c r="C72" i="41" s="1"/>
  <c r="C73" i="41" s="1"/>
  <c r="B67" i="41"/>
  <c r="D67" i="41"/>
  <c r="D64" i="41"/>
  <c r="B64" i="41"/>
  <c r="A68" i="41"/>
  <c r="B61" i="41"/>
  <c r="A65" i="41"/>
  <c r="D65" i="41" s="1"/>
  <c r="A78" i="41"/>
  <c r="D74" i="41"/>
  <c r="B74" i="41"/>
  <c r="A71" i="41"/>
  <c r="E268" i="20"/>
  <c r="C251" i="20"/>
  <c r="C244" i="20"/>
  <c r="E265" i="20"/>
  <c r="C276" i="20"/>
  <c r="B237" i="20"/>
  <c r="C274" i="20"/>
  <c r="B262" i="20"/>
  <c r="E272" i="20"/>
  <c r="C258" i="20"/>
  <c r="B269" i="20"/>
  <c r="A3" i="20"/>
  <c r="H29" i="10"/>
  <c r="J30" i="10"/>
  <c r="L29" i="10"/>
  <c r="M271" i="20"/>
  <c r="X271" i="20"/>
  <c r="O271" i="20"/>
  <c r="H271" i="20"/>
  <c r="G271" i="20"/>
  <c r="W271" i="20"/>
  <c r="N271" i="20"/>
  <c r="I271" i="20"/>
  <c r="J271" i="20"/>
  <c r="L271" i="20"/>
  <c r="O239" i="20"/>
  <c r="H239" i="20"/>
  <c r="J239" i="20"/>
  <c r="W239" i="20"/>
  <c r="I239" i="20"/>
  <c r="X239" i="20"/>
  <c r="G239" i="20"/>
  <c r="L239" i="20"/>
  <c r="M239" i="20"/>
  <c r="N239" i="20"/>
  <c r="N207" i="20"/>
  <c r="I207" i="20"/>
  <c r="O207" i="20"/>
  <c r="G207" i="20"/>
  <c r="W207" i="20"/>
  <c r="H207" i="20"/>
  <c r="X207" i="20"/>
  <c r="J207" i="20"/>
  <c r="L207" i="20"/>
  <c r="M207" i="20"/>
  <c r="B207" i="20"/>
  <c r="C207" i="20"/>
  <c r="E207" i="20"/>
  <c r="G199" i="20"/>
  <c r="I199" i="20"/>
  <c r="L199" i="20"/>
  <c r="X199" i="20"/>
  <c r="M199" i="20"/>
  <c r="O199" i="20"/>
  <c r="W199" i="20"/>
  <c r="H199" i="20"/>
  <c r="J199" i="20"/>
  <c r="N199" i="20"/>
  <c r="B199" i="20"/>
  <c r="C199" i="20"/>
  <c r="E199" i="20"/>
  <c r="H183" i="20"/>
  <c r="J183" i="20"/>
  <c r="M183" i="20"/>
  <c r="X183" i="20"/>
  <c r="O183" i="20"/>
  <c r="G183" i="20"/>
  <c r="W183" i="20"/>
  <c r="I183" i="20"/>
  <c r="L183" i="20"/>
  <c r="N183" i="20"/>
  <c r="B183" i="20"/>
  <c r="C183" i="20"/>
  <c r="E183" i="20"/>
  <c r="M167" i="20"/>
  <c r="X167" i="20"/>
  <c r="O167" i="20"/>
  <c r="H167" i="20"/>
  <c r="G167" i="20"/>
  <c r="W167" i="20"/>
  <c r="J167" i="20"/>
  <c r="N167" i="20"/>
  <c r="I167" i="20"/>
  <c r="L167" i="20"/>
  <c r="B167" i="20"/>
  <c r="C167" i="20"/>
  <c r="E167" i="20"/>
  <c r="I127" i="20"/>
  <c r="L127" i="20"/>
  <c r="W127" i="20"/>
  <c r="M127" i="20"/>
  <c r="X127" i="20"/>
  <c r="N127" i="20"/>
  <c r="O127" i="20"/>
  <c r="G127" i="20"/>
  <c r="H127" i="20"/>
  <c r="J127" i="20"/>
  <c r="J103" i="20"/>
  <c r="M103" i="20"/>
  <c r="X103" i="20"/>
  <c r="N103" i="20"/>
  <c r="O103" i="20"/>
  <c r="G103" i="20"/>
  <c r="H103" i="20"/>
  <c r="I103" i="20"/>
  <c r="W103" i="20"/>
  <c r="L103" i="20"/>
  <c r="E247" i="20"/>
  <c r="J270" i="20"/>
  <c r="M270" i="20"/>
  <c r="X270" i="20"/>
  <c r="O270" i="20"/>
  <c r="H270" i="20"/>
  <c r="G270" i="20"/>
  <c r="I270" i="20"/>
  <c r="L270" i="20"/>
  <c r="N270" i="20"/>
  <c r="W270" i="20"/>
  <c r="E270" i="20"/>
  <c r="L238" i="20"/>
  <c r="X238" i="20"/>
  <c r="N238" i="20"/>
  <c r="G238" i="20"/>
  <c r="I238" i="20"/>
  <c r="M238" i="20"/>
  <c r="O238" i="20"/>
  <c r="W238" i="20"/>
  <c r="H238" i="20"/>
  <c r="J238" i="20"/>
  <c r="E238" i="20"/>
  <c r="N198" i="20"/>
  <c r="G198" i="20"/>
  <c r="I198" i="20"/>
  <c r="M198" i="20"/>
  <c r="W198" i="20"/>
  <c r="H198" i="20"/>
  <c r="X198" i="20"/>
  <c r="J198" i="20"/>
  <c r="L198" i="20"/>
  <c r="O198" i="20"/>
  <c r="B198" i="20"/>
  <c r="C198" i="20"/>
  <c r="E198" i="20"/>
  <c r="O182" i="20"/>
  <c r="H182" i="20"/>
  <c r="J182" i="20"/>
  <c r="W182" i="20"/>
  <c r="I182" i="20"/>
  <c r="M182" i="20"/>
  <c r="X182" i="20"/>
  <c r="G182" i="20"/>
  <c r="L182" i="20"/>
  <c r="N182" i="20"/>
  <c r="B182" i="20"/>
  <c r="C182" i="20"/>
  <c r="E182" i="20"/>
  <c r="I150" i="20"/>
  <c r="L150" i="20"/>
  <c r="W150" i="20"/>
  <c r="M150" i="20"/>
  <c r="X150" i="20"/>
  <c r="N150" i="20"/>
  <c r="O150" i="20"/>
  <c r="G150" i="20"/>
  <c r="H150" i="20"/>
  <c r="J150" i="20"/>
  <c r="I134" i="20"/>
  <c r="L134" i="20"/>
  <c r="W134" i="20"/>
  <c r="M134" i="20"/>
  <c r="X134" i="20"/>
  <c r="N134" i="20"/>
  <c r="O134" i="20"/>
  <c r="G134" i="20"/>
  <c r="H134" i="20"/>
  <c r="J134" i="20"/>
  <c r="O102" i="20"/>
  <c r="H102" i="20"/>
  <c r="I102" i="20"/>
  <c r="W102" i="20"/>
  <c r="J102" i="20"/>
  <c r="X102" i="20"/>
  <c r="L102" i="20"/>
  <c r="M102" i="20"/>
  <c r="N102" i="20"/>
  <c r="G102" i="20"/>
  <c r="M275" i="20"/>
  <c r="X275" i="20"/>
  <c r="O275" i="20"/>
  <c r="H275" i="20"/>
  <c r="I275" i="20"/>
  <c r="G275" i="20"/>
  <c r="J275" i="20"/>
  <c r="L275" i="20"/>
  <c r="N275" i="20"/>
  <c r="W275" i="20"/>
  <c r="H259" i="20"/>
  <c r="J259" i="20"/>
  <c r="W259" i="20"/>
  <c r="M259" i="20"/>
  <c r="I259" i="20"/>
  <c r="N259" i="20"/>
  <c r="O259" i="20"/>
  <c r="X259" i="20"/>
  <c r="G259" i="20"/>
  <c r="L259" i="20"/>
  <c r="J243" i="20"/>
  <c r="W243" i="20"/>
  <c r="M243" i="20"/>
  <c r="O243" i="20"/>
  <c r="H243" i="20"/>
  <c r="X243" i="20"/>
  <c r="G243" i="20"/>
  <c r="I243" i="20"/>
  <c r="L243" i="20"/>
  <c r="N243" i="20"/>
  <c r="I227" i="20"/>
  <c r="L227" i="20"/>
  <c r="X227" i="20"/>
  <c r="M227" i="20"/>
  <c r="N227" i="20"/>
  <c r="G227" i="20"/>
  <c r="O227" i="20"/>
  <c r="H227" i="20"/>
  <c r="J227" i="20"/>
  <c r="W227" i="20"/>
  <c r="B227" i="20"/>
  <c r="C227" i="20"/>
  <c r="E227" i="20"/>
  <c r="O211" i="20"/>
  <c r="J211" i="20"/>
  <c r="W211" i="20"/>
  <c r="M211" i="20"/>
  <c r="G211" i="20"/>
  <c r="H211" i="20"/>
  <c r="X211" i="20"/>
  <c r="I211" i="20"/>
  <c r="L211" i="20"/>
  <c r="N211" i="20"/>
  <c r="B211" i="20"/>
  <c r="C211" i="20"/>
  <c r="E211" i="20"/>
  <c r="O195" i="20"/>
  <c r="H195" i="20"/>
  <c r="J195" i="20"/>
  <c r="W195" i="20"/>
  <c r="X195" i="20"/>
  <c r="G195" i="20"/>
  <c r="I195" i="20"/>
  <c r="L195" i="20"/>
  <c r="M195" i="20"/>
  <c r="N195" i="20"/>
  <c r="B195" i="20"/>
  <c r="C195" i="20"/>
  <c r="E195" i="20"/>
  <c r="G179" i="20"/>
  <c r="I179" i="20"/>
  <c r="L179" i="20"/>
  <c r="W179" i="20"/>
  <c r="H179" i="20"/>
  <c r="M179" i="20"/>
  <c r="N179" i="20"/>
  <c r="X179" i="20"/>
  <c r="J179" i="20"/>
  <c r="O179" i="20"/>
  <c r="B179" i="20"/>
  <c r="C179" i="20"/>
  <c r="E179" i="20"/>
  <c r="M171" i="20"/>
  <c r="X171" i="20"/>
  <c r="O171" i="20"/>
  <c r="H171" i="20"/>
  <c r="L171" i="20"/>
  <c r="W171" i="20"/>
  <c r="G171" i="20"/>
  <c r="I171" i="20"/>
  <c r="J171" i="20"/>
  <c r="N171" i="20"/>
  <c r="B171" i="20"/>
  <c r="C171" i="20"/>
  <c r="E171" i="20"/>
  <c r="I147" i="20"/>
  <c r="L147" i="20"/>
  <c r="X147" i="20"/>
  <c r="M147" i="20"/>
  <c r="N147" i="20"/>
  <c r="O147" i="20"/>
  <c r="G147" i="20"/>
  <c r="H147" i="20"/>
  <c r="W147" i="20"/>
  <c r="J147" i="20"/>
  <c r="I131" i="20"/>
  <c r="L131" i="20"/>
  <c r="X131" i="20"/>
  <c r="M131" i="20"/>
  <c r="N131" i="20"/>
  <c r="O131" i="20"/>
  <c r="G131" i="20"/>
  <c r="H131" i="20"/>
  <c r="J131" i="20"/>
  <c r="W131" i="20"/>
  <c r="L115" i="20"/>
  <c r="W115" i="20"/>
  <c r="N115" i="20"/>
  <c r="O115" i="20"/>
  <c r="G115" i="20"/>
  <c r="H115" i="20"/>
  <c r="I115" i="20"/>
  <c r="J115" i="20"/>
  <c r="X115" i="20"/>
  <c r="M115" i="20"/>
  <c r="O266" i="20"/>
  <c r="H266" i="20"/>
  <c r="W266" i="20"/>
  <c r="J266" i="20"/>
  <c r="I266" i="20"/>
  <c r="G266" i="20"/>
  <c r="L266" i="20"/>
  <c r="M266" i="20"/>
  <c r="N266" i="20"/>
  <c r="X266" i="20"/>
  <c r="E266" i="20"/>
  <c r="O250" i="20"/>
  <c r="H250" i="20"/>
  <c r="J250" i="20"/>
  <c r="W250" i="20"/>
  <c r="M250" i="20"/>
  <c r="X250" i="20"/>
  <c r="L250" i="20"/>
  <c r="N250" i="20"/>
  <c r="G250" i="20"/>
  <c r="I250" i="20"/>
  <c r="E250" i="20"/>
  <c r="G226" i="20"/>
  <c r="I226" i="20"/>
  <c r="J226" i="20"/>
  <c r="L226" i="20"/>
  <c r="W226" i="20"/>
  <c r="N226" i="20"/>
  <c r="X226" i="20"/>
  <c r="M226" i="20"/>
  <c r="O226" i="20"/>
  <c r="H226" i="20"/>
  <c r="B226" i="20"/>
  <c r="C226" i="20"/>
  <c r="E226" i="20"/>
  <c r="O202" i="20"/>
  <c r="H202" i="20"/>
  <c r="J202" i="20"/>
  <c r="X202" i="20"/>
  <c r="I202" i="20"/>
  <c r="M202" i="20"/>
  <c r="N202" i="20"/>
  <c r="W202" i="20"/>
  <c r="G202" i="20"/>
  <c r="L202" i="20"/>
  <c r="B202" i="20"/>
  <c r="C202" i="20"/>
  <c r="E202" i="20"/>
  <c r="N178" i="20"/>
  <c r="G178" i="20"/>
  <c r="I178" i="20"/>
  <c r="W178" i="20"/>
  <c r="J178" i="20"/>
  <c r="M178" i="20"/>
  <c r="L178" i="20"/>
  <c r="O178" i="20"/>
  <c r="X178" i="20"/>
  <c r="H178" i="20"/>
  <c r="B178" i="20"/>
  <c r="C178" i="20"/>
  <c r="E178" i="20"/>
  <c r="O154" i="20"/>
  <c r="H154" i="20"/>
  <c r="J154" i="20"/>
  <c r="W154" i="20"/>
  <c r="I154" i="20"/>
  <c r="G154" i="20"/>
  <c r="M154" i="20"/>
  <c r="N154" i="20"/>
  <c r="X154" i="20"/>
  <c r="L154" i="20"/>
  <c r="H273" i="20"/>
  <c r="J273" i="20"/>
  <c r="M273" i="20"/>
  <c r="X273" i="20"/>
  <c r="L273" i="20"/>
  <c r="W273" i="20"/>
  <c r="G273" i="20"/>
  <c r="I273" i="20"/>
  <c r="N273" i="20"/>
  <c r="O273" i="20"/>
  <c r="C273" i="20"/>
  <c r="J257" i="20"/>
  <c r="W257" i="20"/>
  <c r="M257" i="20"/>
  <c r="O257" i="20"/>
  <c r="I257" i="20"/>
  <c r="X257" i="20"/>
  <c r="G257" i="20"/>
  <c r="H257" i="20"/>
  <c r="L257" i="20"/>
  <c r="N257" i="20"/>
  <c r="C257" i="20"/>
  <c r="L249" i="20"/>
  <c r="X249" i="20"/>
  <c r="N249" i="20"/>
  <c r="G249" i="20"/>
  <c r="M249" i="20"/>
  <c r="W249" i="20"/>
  <c r="H249" i="20"/>
  <c r="I249" i="20"/>
  <c r="J249" i="20"/>
  <c r="O249" i="20"/>
  <c r="C249" i="20"/>
  <c r="M241" i="20"/>
  <c r="O241" i="20"/>
  <c r="H241" i="20"/>
  <c r="I241" i="20"/>
  <c r="G241" i="20"/>
  <c r="J241" i="20"/>
  <c r="L241" i="20"/>
  <c r="N241" i="20"/>
  <c r="W241" i="20"/>
  <c r="X241" i="20"/>
  <c r="C241" i="20"/>
  <c r="M225" i="20"/>
  <c r="O225" i="20"/>
  <c r="G225" i="20"/>
  <c r="H225" i="20"/>
  <c r="I225" i="20"/>
  <c r="J225" i="20"/>
  <c r="W225" i="20"/>
  <c r="L225" i="20"/>
  <c r="X225" i="20"/>
  <c r="N225" i="20"/>
  <c r="E225" i="20"/>
  <c r="B225" i="20"/>
  <c r="C225" i="20"/>
  <c r="H217" i="20"/>
  <c r="J217" i="20"/>
  <c r="W217" i="20"/>
  <c r="L217" i="20"/>
  <c r="X217" i="20"/>
  <c r="M217" i="20"/>
  <c r="N217" i="20"/>
  <c r="O217" i="20"/>
  <c r="G217" i="20"/>
  <c r="I217" i="20"/>
  <c r="E217" i="20"/>
  <c r="B217" i="20"/>
  <c r="C217" i="20"/>
  <c r="J209" i="20"/>
  <c r="O209" i="20"/>
  <c r="H209" i="20"/>
  <c r="W209" i="20"/>
  <c r="L209" i="20"/>
  <c r="M209" i="20"/>
  <c r="N209" i="20"/>
  <c r="G209" i="20"/>
  <c r="I209" i="20"/>
  <c r="X209" i="20"/>
  <c r="E209" i="20"/>
  <c r="B209" i="20"/>
  <c r="C209" i="20"/>
  <c r="H193" i="20"/>
  <c r="J193" i="20"/>
  <c r="M193" i="20"/>
  <c r="X193" i="20"/>
  <c r="W193" i="20"/>
  <c r="I193" i="20"/>
  <c r="N193" i="20"/>
  <c r="L193" i="20"/>
  <c r="O193" i="20"/>
  <c r="G193" i="20"/>
  <c r="E193" i="20"/>
  <c r="B193" i="20"/>
  <c r="C193" i="20"/>
  <c r="M185" i="20"/>
  <c r="X185" i="20"/>
  <c r="O185" i="20"/>
  <c r="H185" i="20"/>
  <c r="L185" i="20"/>
  <c r="J185" i="20"/>
  <c r="W185" i="20"/>
  <c r="G185" i="20"/>
  <c r="I185" i="20"/>
  <c r="N185" i="20"/>
  <c r="E185" i="20"/>
  <c r="B185" i="20"/>
  <c r="C185" i="20"/>
  <c r="L177" i="20"/>
  <c r="W177" i="20"/>
  <c r="N177" i="20"/>
  <c r="G177" i="20"/>
  <c r="H177" i="20"/>
  <c r="X177" i="20"/>
  <c r="J177" i="20"/>
  <c r="O177" i="20"/>
  <c r="I177" i="20"/>
  <c r="M177" i="20"/>
  <c r="E177" i="20"/>
  <c r="B177" i="20"/>
  <c r="C177" i="20"/>
  <c r="G161" i="20"/>
  <c r="I161" i="20"/>
  <c r="L161" i="20"/>
  <c r="W161" i="20"/>
  <c r="J161" i="20"/>
  <c r="N161" i="20"/>
  <c r="O161" i="20"/>
  <c r="X161" i="20"/>
  <c r="H161" i="20"/>
  <c r="M161" i="20"/>
  <c r="E161" i="20"/>
  <c r="B161" i="20"/>
  <c r="C161" i="20"/>
  <c r="M153" i="20"/>
  <c r="X153" i="20"/>
  <c r="O153" i="20"/>
  <c r="H153" i="20"/>
  <c r="G153" i="20"/>
  <c r="W153" i="20"/>
  <c r="J153" i="20"/>
  <c r="I153" i="20"/>
  <c r="L153" i="20"/>
  <c r="N153" i="20"/>
  <c r="H137" i="20"/>
  <c r="J137" i="20"/>
  <c r="W137" i="20"/>
  <c r="L137" i="20"/>
  <c r="X137" i="20"/>
  <c r="M137" i="20"/>
  <c r="N137" i="20"/>
  <c r="O137" i="20"/>
  <c r="G137" i="20"/>
  <c r="I137" i="20"/>
  <c r="N129" i="20"/>
  <c r="G129" i="20"/>
  <c r="H129" i="20"/>
  <c r="I129" i="20"/>
  <c r="J129" i="20"/>
  <c r="L129" i="20"/>
  <c r="W129" i="20"/>
  <c r="M129" i="20"/>
  <c r="X129" i="20"/>
  <c r="O129" i="20"/>
  <c r="O113" i="20"/>
  <c r="H113" i="20"/>
  <c r="I113" i="20"/>
  <c r="J113" i="20"/>
  <c r="W113" i="20"/>
  <c r="L113" i="20"/>
  <c r="X113" i="20"/>
  <c r="M113" i="20"/>
  <c r="N113" i="20"/>
  <c r="G113" i="20"/>
  <c r="O105" i="20"/>
  <c r="H105" i="20"/>
  <c r="I105" i="20"/>
  <c r="J105" i="20"/>
  <c r="L105" i="20"/>
  <c r="W105" i="20"/>
  <c r="M105" i="20"/>
  <c r="X105" i="20"/>
  <c r="N105" i="20"/>
  <c r="G105" i="20"/>
  <c r="O272" i="20"/>
  <c r="H272" i="20"/>
  <c r="J272" i="20"/>
  <c r="W272" i="20"/>
  <c r="M272" i="20"/>
  <c r="L272" i="20"/>
  <c r="X272" i="20"/>
  <c r="G272" i="20"/>
  <c r="I272" i="20"/>
  <c r="N272" i="20"/>
  <c r="B272" i="20"/>
  <c r="G264" i="20"/>
  <c r="I264" i="20"/>
  <c r="L264" i="20"/>
  <c r="X264" i="20"/>
  <c r="H264" i="20"/>
  <c r="O264" i="20"/>
  <c r="N264" i="20"/>
  <c r="W264" i="20"/>
  <c r="J264" i="20"/>
  <c r="M264" i="20"/>
  <c r="B264" i="20"/>
  <c r="H256" i="20"/>
  <c r="J256" i="20"/>
  <c r="M256" i="20"/>
  <c r="X256" i="20"/>
  <c r="L256" i="20"/>
  <c r="W256" i="20"/>
  <c r="G256" i="20"/>
  <c r="I256" i="20"/>
  <c r="N256" i="20"/>
  <c r="O256" i="20"/>
  <c r="B256" i="20"/>
  <c r="I248" i="20"/>
  <c r="L248" i="20"/>
  <c r="W248" i="20"/>
  <c r="N248" i="20"/>
  <c r="O248" i="20"/>
  <c r="G248" i="20"/>
  <c r="X248" i="20"/>
  <c r="H248" i="20"/>
  <c r="J248" i="20"/>
  <c r="M248" i="20"/>
  <c r="B248" i="20"/>
  <c r="I240" i="20"/>
  <c r="L240" i="20"/>
  <c r="X240" i="20"/>
  <c r="N240" i="20"/>
  <c r="H240" i="20"/>
  <c r="G240" i="20"/>
  <c r="J240" i="20"/>
  <c r="M240" i="20"/>
  <c r="O240" i="20"/>
  <c r="W240" i="20"/>
  <c r="B240" i="20"/>
  <c r="H232" i="20"/>
  <c r="J232" i="20"/>
  <c r="W232" i="20"/>
  <c r="M232" i="20"/>
  <c r="O232" i="20"/>
  <c r="L232" i="20"/>
  <c r="G232" i="20"/>
  <c r="I232" i="20"/>
  <c r="N232" i="20"/>
  <c r="X232" i="20"/>
  <c r="B232" i="20"/>
  <c r="C232" i="20"/>
  <c r="J224" i="20"/>
  <c r="M224" i="20"/>
  <c r="X224" i="20"/>
  <c r="N224" i="20"/>
  <c r="O224" i="20"/>
  <c r="G224" i="20"/>
  <c r="H224" i="20"/>
  <c r="W224" i="20"/>
  <c r="I224" i="20"/>
  <c r="L224" i="20"/>
  <c r="B224" i="20"/>
  <c r="C224" i="20"/>
  <c r="E224" i="20"/>
  <c r="M216" i="20"/>
  <c r="O216" i="20"/>
  <c r="G216" i="20"/>
  <c r="H216" i="20"/>
  <c r="I216" i="20"/>
  <c r="W216" i="20"/>
  <c r="J216" i="20"/>
  <c r="X216" i="20"/>
  <c r="N216" i="20"/>
  <c r="L216" i="20"/>
  <c r="B216" i="20"/>
  <c r="C216" i="20"/>
  <c r="E216" i="20"/>
  <c r="H208" i="20"/>
  <c r="M208" i="20"/>
  <c r="X208" i="20"/>
  <c r="L208" i="20"/>
  <c r="O208" i="20"/>
  <c r="G208" i="20"/>
  <c r="I208" i="20"/>
  <c r="W208" i="20"/>
  <c r="J208" i="20"/>
  <c r="N208" i="20"/>
  <c r="B208" i="20"/>
  <c r="C208" i="20"/>
  <c r="E208" i="20"/>
  <c r="J200" i="20"/>
  <c r="M200" i="20"/>
  <c r="X200" i="20"/>
  <c r="O200" i="20"/>
  <c r="L200" i="20"/>
  <c r="G200" i="20"/>
  <c r="W200" i="20"/>
  <c r="H200" i="20"/>
  <c r="I200" i="20"/>
  <c r="N200" i="20"/>
  <c r="B200" i="20"/>
  <c r="C200" i="20"/>
  <c r="E200" i="20"/>
  <c r="O192" i="20"/>
  <c r="H192" i="20"/>
  <c r="J192" i="20"/>
  <c r="G192" i="20"/>
  <c r="X192" i="20"/>
  <c r="L192" i="20"/>
  <c r="N192" i="20"/>
  <c r="W192" i="20"/>
  <c r="I192" i="20"/>
  <c r="M192" i="20"/>
  <c r="B192" i="20"/>
  <c r="C192" i="20"/>
  <c r="E192" i="20"/>
  <c r="J184" i="20"/>
  <c r="M184" i="20"/>
  <c r="X184" i="20"/>
  <c r="O184" i="20"/>
  <c r="N184" i="20"/>
  <c r="G184" i="20"/>
  <c r="W184" i="20"/>
  <c r="I184" i="20"/>
  <c r="L184" i="20"/>
  <c r="H184" i="20"/>
  <c r="B184" i="20"/>
  <c r="C184" i="20"/>
  <c r="E184" i="20"/>
  <c r="G176" i="20"/>
  <c r="I176" i="20"/>
  <c r="W176" i="20"/>
  <c r="L176" i="20"/>
  <c r="J176" i="20"/>
  <c r="N176" i="20"/>
  <c r="M176" i="20"/>
  <c r="X176" i="20"/>
  <c r="H176" i="20"/>
  <c r="O176" i="20"/>
  <c r="B176" i="20"/>
  <c r="C176" i="20"/>
  <c r="E176" i="20"/>
  <c r="O168" i="20"/>
  <c r="H168" i="20"/>
  <c r="J168" i="20"/>
  <c r="W168" i="20"/>
  <c r="I168" i="20"/>
  <c r="X168" i="20"/>
  <c r="G168" i="20"/>
  <c r="L168" i="20"/>
  <c r="M168" i="20"/>
  <c r="N168" i="20"/>
  <c r="B168" i="20"/>
  <c r="C168" i="20"/>
  <c r="E168" i="20"/>
  <c r="L160" i="20"/>
  <c r="N160" i="20"/>
  <c r="G160" i="20"/>
  <c r="I160" i="20"/>
  <c r="M160" i="20"/>
  <c r="J160" i="20"/>
  <c r="O160" i="20"/>
  <c r="W160" i="20"/>
  <c r="X160" i="20"/>
  <c r="H160" i="20"/>
  <c r="B160" i="20"/>
  <c r="C160" i="20"/>
  <c r="E160" i="20"/>
  <c r="J152" i="20"/>
  <c r="M152" i="20"/>
  <c r="X152" i="20"/>
  <c r="O152" i="20"/>
  <c r="H152" i="20"/>
  <c r="L152" i="20"/>
  <c r="W152" i="20"/>
  <c r="G152" i="20"/>
  <c r="I152" i="20"/>
  <c r="N152" i="20"/>
  <c r="J144" i="20"/>
  <c r="M144" i="20"/>
  <c r="X144" i="20"/>
  <c r="N144" i="20"/>
  <c r="O144" i="20"/>
  <c r="G144" i="20"/>
  <c r="H144" i="20"/>
  <c r="I144" i="20"/>
  <c r="L144" i="20"/>
  <c r="W144" i="20"/>
  <c r="O136" i="20"/>
  <c r="H136" i="20"/>
  <c r="I136" i="20"/>
  <c r="J136" i="20"/>
  <c r="L136" i="20"/>
  <c r="W136" i="20"/>
  <c r="M136" i="20"/>
  <c r="X136" i="20"/>
  <c r="N136" i="20"/>
  <c r="G136" i="20"/>
  <c r="L128" i="20"/>
  <c r="W128" i="20"/>
  <c r="N128" i="20"/>
  <c r="O128" i="20"/>
  <c r="G128" i="20"/>
  <c r="H128" i="20"/>
  <c r="I128" i="20"/>
  <c r="J128" i="20"/>
  <c r="X128" i="20"/>
  <c r="M128" i="20"/>
  <c r="L120" i="20"/>
  <c r="W120" i="20"/>
  <c r="N120" i="20"/>
  <c r="O120" i="20"/>
  <c r="G120" i="20"/>
  <c r="H120" i="20"/>
  <c r="I120" i="20"/>
  <c r="J120" i="20"/>
  <c r="X120" i="20"/>
  <c r="M120" i="20"/>
  <c r="M112" i="20"/>
  <c r="X112" i="20"/>
  <c r="O112" i="20"/>
  <c r="G112" i="20"/>
  <c r="H112" i="20"/>
  <c r="I112" i="20"/>
  <c r="J112" i="20"/>
  <c r="L112" i="20"/>
  <c r="W112" i="20"/>
  <c r="N112" i="20"/>
  <c r="M104" i="20"/>
  <c r="X104" i="20"/>
  <c r="O104" i="20"/>
  <c r="G104" i="20"/>
  <c r="H104" i="20"/>
  <c r="I104" i="20"/>
  <c r="J104" i="20"/>
  <c r="L104" i="20"/>
  <c r="W104" i="20"/>
  <c r="N104" i="20"/>
  <c r="B273" i="20"/>
  <c r="B266" i="20"/>
  <c r="B259" i="20"/>
  <c r="E251" i="20"/>
  <c r="C248" i="20"/>
  <c r="B241" i="20"/>
  <c r="M263" i="20"/>
  <c r="O263" i="20"/>
  <c r="H263" i="20"/>
  <c r="I263" i="20"/>
  <c r="J263" i="20"/>
  <c r="L263" i="20"/>
  <c r="N263" i="20"/>
  <c r="W263" i="20"/>
  <c r="X263" i="20"/>
  <c r="G263" i="20"/>
  <c r="G223" i="20"/>
  <c r="I223" i="20"/>
  <c r="J223" i="20"/>
  <c r="W223" i="20"/>
  <c r="L223" i="20"/>
  <c r="X223" i="20"/>
  <c r="M223" i="20"/>
  <c r="N223" i="20"/>
  <c r="H223" i="20"/>
  <c r="O223" i="20"/>
  <c r="B223" i="20"/>
  <c r="C223" i="20"/>
  <c r="E223" i="20"/>
  <c r="M191" i="20"/>
  <c r="X191" i="20"/>
  <c r="O191" i="20"/>
  <c r="H191" i="20"/>
  <c r="I191" i="20"/>
  <c r="L191" i="20"/>
  <c r="N191" i="20"/>
  <c r="W191" i="20"/>
  <c r="G191" i="20"/>
  <c r="J191" i="20"/>
  <c r="B191" i="20"/>
  <c r="C191" i="20"/>
  <c r="E191" i="20"/>
  <c r="G143" i="20"/>
  <c r="I143" i="20"/>
  <c r="J143" i="20"/>
  <c r="W143" i="20"/>
  <c r="L143" i="20"/>
  <c r="X143" i="20"/>
  <c r="M143" i="20"/>
  <c r="N143" i="20"/>
  <c r="O143" i="20"/>
  <c r="H143" i="20"/>
  <c r="I119" i="20"/>
  <c r="L119" i="20"/>
  <c r="W119" i="20"/>
  <c r="M119" i="20"/>
  <c r="X119" i="20"/>
  <c r="N119" i="20"/>
  <c r="O119" i="20"/>
  <c r="G119" i="20"/>
  <c r="H119" i="20"/>
  <c r="J119" i="20"/>
  <c r="J230" i="20"/>
  <c r="W230" i="20"/>
  <c r="M230" i="20"/>
  <c r="N230" i="20"/>
  <c r="O230" i="20"/>
  <c r="H230" i="20"/>
  <c r="G230" i="20"/>
  <c r="I230" i="20"/>
  <c r="L230" i="20"/>
  <c r="X230" i="20"/>
  <c r="E230" i="20"/>
  <c r="E261" i="20"/>
  <c r="C247" i="20"/>
  <c r="E243" i="20"/>
  <c r="C240" i="20"/>
  <c r="E236" i="20"/>
  <c r="N231" i="20"/>
  <c r="G231" i="20"/>
  <c r="H231" i="20"/>
  <c r="I231" i="20"/>
  <c r="L231" i="20"/>
  <c r="X231" i="20"/>
  <c r="O231" i="20"/>
  <c r="W231" i="20"/>
  <c r="J231" i="20"/>
  <c r="M231" i="20"/>
  <c r="B231" i="20"/>
  <c r="I159" i="20"/>
  <c r="L159" i="20"/>
  <c r="W159" i="20"/>
  <c r="N159" i="20"/>
  <c r="J159" i="20"/>
  <c r="O159" i="20"/>
  <c r="X159" i="20"/>
  <c r="G159" i="20"/>
  <c r="H159" i="20"/>
  <c r="M159" i="20"/>
  <c r="B159" i="20"/>
  <c r="C159" i="20"/>
  <c r="E159" i="20"/>
  <c r="J254" i="20"/>
  <c r="W254" i="20"/>
  <c r="M254" i="20"/>
  <c r="O254" i="20"/>
  <c r="L254" i="20"/>
  <c r="H254" i="20"/>
  <c r="I254" i="20"/>
  <c r="N254" i="20"/>
  <c r="X254" i="20"/>
  <c r="G254" i="20"/>
  <c r="E254" i="20"/>
  <c r="E257" i="20"/>
  <c r="B254" i="20"/>
  <c r="C250" i="20"/>
  <c r="C243" i="20"/>
  <c r="E239" i="20"/>
  <c r="C231" i="20"/>
  <c r="M278" i="20"/>
  <c r="O278" i="20"/>
  <c r="H278" i="20"/>
  <c r="N278" i="20"/>
  <c r="G278" i="20"/>
  <c r="X278" i="20"/>
  <c r="W278" i="20"/>
  <c r="I278" i="20"/>
  <c r="J278" i="20"/>
  <c r="L278" i="20"/>
  <c r="E278" i="20"/>
  <c r="L246" i="20"/>
  <c r="X246" i="20"/>
  <c r="N246" i="20"/>
  <c r="G246" i="20"/>
  <c r="O246" i="20"/>
  <c r="H246" i="20"/>
  <c r="J246" i="20"/>
  <c r="M246" i="20"/>
  <c r="W246" i="20"/>
  <c r="I246" i="20"/>
  <c r="E246" i="20"/>
  <c r="I206" i="20"/>
  <c r="W206" i="20"/>
  <c r="N206" i="20"/>
  <c r="G206" i="20"/>
  <c r="X206" i="20"/>
  <c r="H206" i="20"/>
  <c r="J206" i="20"/>
  <c r="L206" i="20"/>
  <c r="M206" i="20"/>
  <c r="O206" i="20"/>
  <c r="B206" i="20"/>
  <c r="C206" i="20"/>
  <c r="E206" i="20"/>
  <c r="L174" i="20"/>
  <c r="W174" i="20"/>
  <c r="N174" i="20"/>
  <c r="G174" i="20"/>
  <c r="I174" i="20"/>
  <c r="M174" i="20"/>
  <c r="H174" i="20"/>
  <c r="J174" i="20"/>
  <c r="O174" i="20"/>
  <c r="X174" i="20"/>
  <c r="B174" i="20"/>
  <c r="C174" i="20"/>
  <c r="E174" i="20"/>
  <c r="N142" i="20"/>
  <c r="G142" i="20"/>
  <c r="H142" i="20"/>
  <c r="I142" i="20"/>
  <c r="J142" i="20"/>
  <c r="L142" i="20"/>
  <c r="W142" i="20"/>
  <c r="M142" i="20"/>
  <c r="X142" i="20"/>
  <c r="O142" i="20"/>
  <c r="H110" i="20"/>
  <c r="J110" i="20"/>
  <c r="L110" i="20"/>
  <c r="W110" i="20"/>
  <c r="M110" i="20"/>
  <c r="X110" i="20"/>
  <c r="N110" i="20"/>
  <c r="O110" i="20"/>
  <c r="G110" i="20"/>
  <c r="I110" i="20"/>
  <c r="E275" i="20"/>
  <c r="G277" i="20"/>
  <c r="I277" i="20"/>
  <c r="X277" i="20"/>
  <c r="L277" i="20"/>
  <c r="M277" i="20"/>
  <c r="H277" i="20"/>
  <c r="J277" i="20"/>
  <c r="N277" i="20"/>
  <c r="O277" i="20"/>
  <c r="W277" i="20"/>
  <c r="C277" i="20"/>
  <c r="H269" i="20"/>
  <c r="J269" i="20"/>
  <c r="M269" i="20"/>
  <c r="X269" i="20"/>
  <c r="I269" i="20"/>
  <c r="G269" i="20"/>
  <c r="N269" i="20"/>
  <c r="L269" i="20"/>
  <c r="O269" i="20"/>
  <c r="W269" i="20"/>
  <c r="C269" i="20"/>
  <c r="O261" i="20"/>
  <c r="H261" i="20"/>
  <c r="J261" i="20"/>
  <c r="W261" i="20"/>
  <c r="I261" i="20"/>
  <c r="G261" i="20"/>
  <c r="L261" i="20"/>
  <c r="M261" i="20"/>
  <c r="N261" i="20"/>
  <c r="X261" i="20"/>
  <c r="C261" i="20"/>
  <c r="G253" i="20"/>
  <c r="I253" i="20"/>
  <c r="L253" i="20"/>
  <c r="X253" i="20"/>
  <c r="M253" i="20"/>
  <c r="W253" i="20"/>
  <c r="H253" i="20"/>
  <c r="J253" i="20"/>
  <c r="N253" i="20"/>
  <c r="O253" i="20"/>
  <c r="C253" i="20"/>
  <c r="H245" i="20"/>
  <c r="J245" i="20"/>
  <c r="W245" i="20"/>
  <c r="M245" i="20"/>
  <c r="O245" i="20"/>
  <c r="G245" i="20"/>
  <c r="I245" i="20"/>
  <c r="L245" i="20"/>
  <c r="N245" i="20"/>
  <c r="X245" i="20"/>
  <c r="C245" i="20"/>
  <c r="H237" i="20"/>
  <c r="J237" i="20"/>
  <c r="W237" i="20"/>
  <c r="M237" i="20"/>
  <c r="I237" i="20"/>
  <c r="G237" i="20"/>
  <c r="L237" i="20"/>
  <c r="N237" i="20"/>
  <c r="O237" i="20"/>
  <c r="X237" i="20"/>
  <c r="C237" i="20"/>
  <c r="G229" i="20"/>
  <c r="I229" i="20"/>
  <c r="J229" i="20"/>
  <c r="W229" i="20"/>
  <c r="L229" i="20"/>
  <c r="X229" i="20"/>
  <c r="N229" i="20"/>
  <c r="H229" i="20"/>
  <c r="M229" i="20"/>
  <c r="O229" i="20"/>
  <c r="C229" i="20"/>
  <c r="E229" i="20"/>
  <c r="J221" i="20"/>
  <c r="W221" i="20"/>
  <c r="M221" i="20"/>
  <c r="N221" i="20"/>
  <c r="O221" i="20"/>
  <c r="G221" i="20"/>
  <c r="H221" i="20"/>
  <c r="L221" i="20"/>
  <c r="I221" i="20"/>
  <c r="X221" i="20"/>
  <c r="B221" i="20"/>
  <c r="C221" i="20"/>
  <c r="E221" i="20"/>
  <c r="N213" i="20"/>
  <c r="I213" i="20"/>
  <c r="H213" i="20"/>
  <c r="X213" i="20"/>
  <c r="L213" i="20"/>
  <c r="M213" i="20"/>
  <c r="O213" i="20"/>
  <c r="G213" i="20"/>
  <c r="W213" i="20"/>
  <c r="J213" i="20"/>
  <c r="B213" i="20"/>
  <c r="C213" i="20"/>
  <c r="E213" i="20"/>
  <c r="G205" i="20"/>
  <c r="L205" i="20"/>
  <c r="W205" i="20"/>
  <c r="H205" i="20"/>
  <c r="J205" i="20"/>
  <c r="M205" i="20"/>
  <c r="N205" i="20"/>
  <c r="O205" i="20"/>
  <c r="X205" i="20"/>
  <c r="I205" i="20"/>
  <c r="B205" i="20"/>
  <c r="C205" i="20"/>
  <c r="E205" i="20"/>
  <c r="L197" i="20"/>
  <c r="W197" i="20"/>
  <c r="N197" i="20"/>
  <c r="G197" i="20"/>
  <c r="O197" i="20"/>
  <c r="H197" i="20"/>
  <c r="X197" i="20"/>
  <c r="I197" i="20"/>
  <c r="J197" i="20"/>
  <c r="M197" i="20"/>
  <c r="B197" i="20"/>
  <c r="C197" i="20"/>
  <c r="E197" i="20"/>
  <c r="G189" i="20"/>
  <c r="I189" i="20"/>
  <c r="L189" i="20"/>
  <c r="X189" i="20"/>
  <c r="J189" i="20"/>
  <c r="N189" i="20"/>
  <c r="H189" i="20"/>
  <c r="M189" i="20"/>
  <c r="O189" i="20"/>
  <c r="W189" i="20"/>
  <c r="B189" i="20"/>
  <c r="C189" i="20"/>
  <c r="E189" i="20"/>
  <c r="L181" i="20"/>
  <c r="X181" i="20"/>
  <c r="N181" i="20"/>
  <c r="G181" i="20"/>
  <c r="W181" i="20"/>
  <c r="I181" i="20"/>
  <c r="J181" i="20"/>
  <c r="M181" i="20"/>
  <c r="O181" i="20"/>
  <c r="H181" i="20"/>
  <c r="B181" i="20"/>
  <c r="C181" i="20"/>
  <c r="E181" i="20"/>
  <c r="H173" i="20"/>
  <c r="J173" i="20"/>
  <c r="W173" i="20"/>
  <c r="M173" i="20"/>
  <c r="I173" i="20"/>
  <c r="N173" i="20"/>
  <c r="L173" i="20"/>
  <c r="X173" i="20"/>
  <c r="G173" i="20"/>
  <c r="O173" i="20"/>
  <c r="B173" i="20"/>
  <c r="C173" i="20"/>
  <c r="E173" i="20"/>
  <c r="G165" i="20"/>
  <c r="I165" i="20"/>
  <c r="L165" i="20"/>
  <c r="X165" i="20"/>
  <c r="W165" i="20"/>
  <c r="H165" i="20"/>
  <c r="M165" i="20"/>
  <c r="J165" i="20"/>
  <c r="N165" i="20"/>
  <c r="O165" i="20"/>
  <c r="B165" i="20"/>
  <c r="C165" i="20"/>
  <c r="E165" i="20"/>
  <c r="M157" i="20"/>
  <c r="O157" i="20"/>
  <c r="H157" i="20"/>
  <c r="L157" i="20"/>
  <c r="W157" i="20"/>
  <c r="G157" i="20"/>
  <c r="J157" i="20"/>
  <c r="N157" i="20"/>
  <c r="X157" i="20"/>
  <c r="I157" i="20"/>
  <c r="O149" i="20"/>
  <c r="H149" i="20"/>
  <c r="I149" i="20"/>
  <c r="J149" i="20"/>
  <c r="W149" i="20"/>
  <c r="L149" i="20"/>
  <c r="X149" i="20"/>
  <c r="M149" i="20"/>
  <c r="N149" i="20"/>
  <c r="G149" i="20"/>
  <c r="J141" i="20"/>
  <c r="W141" i="20"/>
  <c r="M141" i="20"/>
  <c r="N141" i="20"/>
  <c r="O141" i="20"/>
  <c r="G141" i="20"/>
  <c r="H141" i="20"/>
  <c r="I141" i="20"/>
  <c r="X141" i="20"/>
  <c r="L141" i="20"/>
  <c r="O133" i="20"/>
  <c r="H133" i="20"/>
  <c r="I133" i="20"/>
  <c r="J133" i="20"/>
  <c r="W133" i="20"/>
  <c r="L133" i="20"/>
  <c r="X133" i="20"/>
  <c r="M133" i="20"/>
  <c r="N133" i="20"/>
  <c r="G133" i="20"/>
  <c r="N125" i="20"/>
  <c r="G125" i="20"/>
  <c r="H125" i="20"/>
  <c r="I125" i="20"/>
  <c r="J125" i="20"/>
  <c r="L125" i="20"/>
  <c r="W125" i="20"/>
  <c r="M125" i="20"/>
  <c r="X125" i="20"/>
  <c r="O125" i="20"/>
  <c r="G117" i="20"/>
  <c r="I117" i="20"/>
  <c r="J117" i="20"/>
  <c r="L117" i="20"/>
  <c r="W117" i="20"/>
  <c r="M117" i="20"/>
  <c r="X117" i="20"/>
  <c r="N117" i="20"/>
  <c r="O117" i="20"/>
  <c r="H117" i="20"/>
  <c r="O109" i="20"/>
  <c r="H109" i="20"/>
  <c r="I109" i="20"/>
  <c r="J109" i="20"/>
  <c r="L109" i="20"/>
  <c r="W109" i="20"/>
  <c r="M109" i="20"/>
  <c r="X109" i="20"/>
  <c r="N109" i="20"/>
  <c r="G109" i="20"/>
  <c r="C275" i="20"/>
  <c r="E271" i="20"/>
  <c r="M276" i="20"/>
  <c r="O276" i="20"/>
  <c r="H276" i="20"/>
  <c r="L276" i="20"/>
  <c r="W276" i="20"/>
  <c r="I276" i="20"/>
  <c r="J276" i="20"/>
  <c r="N276" i="20"/>
  <c r="X276" i="20"/>
  <c r="G276" i="20"/>
  <c r="B276" i="20"/>
  <c r="O268" i="20"/>
  <c r="H268" i="20"/>
  <c r="J268" i="20"/>
  <c r="L268" i="20"/>
  <c r="W268" i="20"/>
  <c r="X268" i="20"/>
  <c r="G268" i="20"/>
  <c r="I268" i="20"/>
  <c r="M268" i="20"/>
  <c r="N268" i="20"/>
  <c r="B268" i="20"/>
  <c r="L260" i="20"/>
  <c r="X260" i="20"/>
  <c r="N260" i="20"/>
  <c r="G260" i="20"/>
  <c r="I260" i="20"/>
  <c r="O260" i="20"/>
  <c r="W260" i="20"/>
  <c r="H260" i="20"/>
  <c r="J260" i="20"/>
  <c r="M260" i="20"/>
  <c r="B260" i="20"/>
  <c r="M252" i="20"/>
  <c r="O252" i="20"/>
  <c r="H252" i="20"/>
  <c r="L252" i="20"/>
  <c r="W252" i="20"/>
  <c r="X252" i="20"/>
  <c r="G252" i="20"/>
  <c r="I252" i="20"/>
  <c r="J252" i="20"/>
  <c r="N252" i="20"/>
  <c r="B252" i="20"/>
  <c r="N244" i="20"/>
  <c r="G244" i="20"/>
  <c r="I244" i="20"/>
  <c r="O244" i="20"/>
  <c r="H244" i="20"/>
  <c r="J244" i="20"/>
  <c r="L244" i="20"/>
  <c r="M244" i="20"/>
  <c r="W244" i="20"/>
  <c r="X244" i="20"/>
  <c r="B244" i="20"/>
  <c r="O236" i="20"/>
  <c r="H236" i="20"/>
  <c r="J236" i="20"/>
  <c r="L236" i="20"/>
  <c r="G236" i="20"/>
  <c r="I236" i="20"/>
  <c r="M236" i="20"/>
  <c r="N236" i="20"/>
  <c r="W236" i="20"/>
  <c r="X236" i="20"/>
  <c r="B236" i="20"/>
  <c r="M228" i="20"/>
  <c r="O228" i="20"/>
  <c r="G228" i="20"/>
  <c r="H228" i="20"/>
  <c r="J228" i="20"/>
  <c r="W228" i="20"/>
  <c r="L228" i="20"/>
  <c r="I228" i="20"/>
  <c r="N228" i="20"/>
  <c r="X228" i="20"/>
  <c r="C228" i="20"/>
  <c r="B228" i="20"/>
  <c r="H220" i="20"/>
  <c r="J220" i="20"/>
  <c r="L220" i="20"/>
  <c r="W220" i="20"/>
  <c r="M220" i="20"/>
  <c r="X220" i="20"/>
  <c r="N220" i="20"/>
  <c r="O220" i="20"/>
  <c r="I220" i="20"/>
  <c r="G220" i="20"/>
  <c r="C220" i="20"/>
  <c r="E220" i="20"/>
  <c r="B220" i="20"/>
  <c r="I212" i="20"/>
  <c r="W212" i="20"/>
  <c r="N212" i="20"/>
  <c r="J212" i="20"/>
  <c r="M212" i="20"/>
  <c r="O212" i="20"/>
  <c r="G212" i="20"/>
  <c r="X212" i="20"/>
  <c r="H212" i="20"/>
  <c r="L212" i="20"/>
  <c r="C212" i="20"/>
  <c r="E212" i="20"/>
  <c r="B212" i="20"/>
  <c r="N204" i="20"/>
  <c r="G204" i="20"/>
  <c r="I204" i="20"/>
  <c r="J204" i="20"/>
  <c r="M204" i="20"/>
  <c r="O204" i="20"/>
  <c r="W204" i="20"/>
  <c r="X204" i="20"/>
  <c r="H204" i="20"/>
  <c r="L204" i="20"/>
  <c r="C204" i="20"/>
  <c r="E204" i="20"/>
  <c r="B204" i="20"/>
  <c r="I196" i="20"/>
  <c r="L196" i="20"/>
  <c r="W196" i="20"/>
  <c r="N196" i="20"/>
  <c r="G196" i="20"/>
  <c r="X196" i="20"/>
  <c r="H196" i="20"/>
  <c r="J196" i="20"/>
  <c r="M196" i="20"/>
  <c r="O196" i="20"/>
  <c r="C196" i="20"/>
  <c r="E196" i="20"/>
  <c r="B196" i="20"/>
  <c r="N188" i="20"/>
  <c r="G188" i="20"/>
  <c r="I188" i="20"/>
  <c r="L188" i="20"/>
  <c r="O188" i="20"/>
  <c r="M188" i="20"/>
  <c r="W188" i="20"/>
  <c r="X188" i="20"/>
  <c r="H188" i="20"/>
  <c r="J188" i="20"/>
  <c r="C188" i="20"/>
  <c r="E188" i="20"/>
  <c r="B188" i="20"/>
  <c r="I180" i="20"/>
  <c r="L180" i="20"/>
  <c r="W180" i="20"/>
  <c r="N180" i="20"/>
  <c r="G180" i="20"/>
  <c r="X180" i="20"/>
  <c r="J180" i="20"/>
  <c r="H180" i="20"/>
  <c r="M180" i="20"/>
  <c r="O180" i="20"/>
  <c r="C180" i="20"/>
  <c r="E180" i="20"/>
  <c r="B180" i="20"/>
  <c r="O172" i="20"/>
  <c r="H172" i="20"/>
  <c r="J172" i="20"/>
  <c r="L172" i="20"/>
  <c r="N172" i="20"/>
  <c r="I172" i="20"/>
  <c r="M172" i="20"/>
  <c r="W172" i="20"/>
  <c r="X172" i="20"/>
  <c r="G172" i="20"/>
  <c r="C172" i="20"/>
  <c r="E172" i="20"/>
  <c r="B172" i="20"/>
  <c r="N164" i="20"/>
  <c r="G164" i="20"/>
  <c r="I164" i="20"/>
  <c r="W164" i="20"/>
  <c r="J164" i="20"/>
  <c r="M164" i="20"/>
  <c r="O164" i="20"/>
  <c r="X164" i="20"/>
  <c r="H164" i="20"/>
  <c r="L164" i="20"/>
  <c r="C164" i="20"/>
  <c r="E164" i="20"/>
  <c r="B164" i="20"/>
  <c r="J156" i="20"/>
  <c r="M156" i="20"/>
  <c r="X156" i="20"/>
  <c r="O156" i="20"/>
  <c r="N156" i="20"/>
  <c r="G156" i="20"/>
  <c r="W156" i="20"/>
  <c r="H156" i="20"/>
  <c r="I156" i="20"/>
  <c r="L156" i="20"/>
  <c r="M148" i="20"/>
  <c r="X148" i="20"/>
  <c r="O148" i="20"/>
  <c r="G148" i="20"/>
  <c r="H148" i="20"/>
  <c r="I148" i="20"/>
  <c r="J148" i="20"/>
  <c r="L148" i="20"/>
  <c r="W148" i="20"/>
  <c r="N148" i="20"/>
  <c r="H140" i="20"/>
  <c r="J140" i="20"/>
  <c r="L140" i="20"/>
  <c r="W140" i="20"/>
  <c r="M140" i="20"/>
  <c r="X140" i="20"/>
  <c r="N140" i="20"/>
  <c r="O140" i="20"/>
  <c r="G140" i="20"/>
  <c r="I140" i="20"/>
  <c r="M132" i="20"/>
  <c r="X132" i="20"/>
  <c r="O132" i="20"/>
  <c r="G132" i="20"/>
  <c r="H132" i="20"/>
  <c r="I132" i="20"/>
  <c r="J132" i="20"/>
  <c r="L132" i="20"/>
  <c r="W132" i="20"/>
  <c r="N132" i="20"/>
  <c r="L124" i="20"/>
  <c r="W124" i="20"/>
  <c r="N124" i="20"/>
  <c r="O124" i="20"/>
  <c r="G124" i="20"/>
  <c r="H124" i="20"/>
  <c r="I124" i="20"/>
  <c r="J124" i="20"/>
  <c r="X124" i="20"/>
  <c r="M124" i="20"/>
  <c r="N116" i="20"/>
  <c r="G116" i="20"/>
  <c r="H116" i="20"/>
  <c r="I116" i="20"/>
  <c r="J116" i="20"/>
  <c r="L116" i="20"/>
  <c r="W116" i="20"/>
  <c r="M116" i="20"/>
  <c r="X116" i="20"/>
  <c r="O116" i="20"/>
  <c r="M108" i="20"/>
  <c r="X108" i="20"/>
  <c r="O108" i="20"/>
  <c r="G108" i="20"/>
  <c r="H108" i="20"/>
  <c r="I108" i="20"/>
  <c r="J108" i="20"/>
  <c r="L108" i="20"/>
  <c r="W108" i="20"/>
  <c r="N108" i="20"/>
  <c r="C278" i="20"/>
  <c r="B275" i="20"/>
  <c r="C271" i="20"/>
  <c r="E267" i="20"/>
  <c r="C264" i="20"/>
  <c r="E260" i="20"/>
  <c r="B257" i="20"/>
  <c r="E253" i="20"/>
  <c r="B250" i="20"/>
  <c r="C246" i="20"/>
  <c r="B243" i="20"/>
  <c r="C239" i="20"/>
  <c r="E235" i="20"/>
  <c r="C230" i="20"/>
  <c r="O247" i="20"/>
  <c r="H247" i="20"/>
  <c r="J247" i="20"/>
  <c r="W247" i="20"/>
  <c r="N247" i="20"/>
  <c r="G247" i="20"/>
  <c r="X247" i="20"/>
  <c r="I247" i="20"/>
  <c r="L247" i="20"/>
  <c r="M247" i="20"/>
  <c r="L151" i="20"/>
  <c r="G151" i="20"/>
  <c r="H151" i="20"/>
  <c r="I151" i="20"/>
  <c r="J151" i="20"/>
  <c r="M151" i="20"/>
  <c r="X151" i="20"/>
  <c r="W151" i="20"/>
  <c r="N151" i="20"/>
  <c r="O151" i="20"/>
  <c r="B253" i="20"/>
  <c r="E249" i="20"/>
  <c r="B246" i="20"/>
  <c r="C242" i="20"/>
  <c r="B239" i="20"/>
  <c r="B230" i="20"/>
  <c r="N255" i="20"/>
  <c r="G255" i="20"/>
  <c r="I255" i="20"/>
  <c r="L255" i="20"/>
  <c r="W255" i="20"/>
  <c r="M255" i="20"/>
  <c r="O255" i="20"/>
  <c r="X255" i="20"/>
  <c r="H255" i="20"/>
  <c r="J255" i="20"/>
  <c r="I215" i="20"/>
  <c r="L215" i="20"/>
  <c r="X215" i="20"/>
  <c r="M215" i="20"/>
  <c r="N215" i="20"/>
  <c r="O215" i="20"/>
  <c r="G215" i="20"/>
  <c r="J215" i="20"/>
  <c r="H215" i="20"/>
  <c r="W215" i="20"/>
  <c r="B215" i="20"/>
  <c r="C215" i="20"/>
  <c r="E215" i="20"/>
  <c r="N175" i="20"/>
  <c r="G175" i="20"/>
  <c r="I175" i="20"/>
  <c r="H175" i="20"/>
  <c r="X175" i="20"/>
  <c r="L175" i="20"/>
  <c r="O175" i="20"/>
  <c r="J175" i="20"/>
  <c r="M175" i="20"/>
  <c r="W175" i="20"/>
  <c r="B175" i="20"/>
  <c r="C175" i="20"/>
  <c r="E175" i="20"/>
  <c r="L135" i="20"/>
  <c r="X135" i="20"/>
  <c r="N135" i="20"/>
  <c r="O135" i="20"/>
  <c r="G135" i="20"/>
  <c r="H135" i="20"/>
  <c r="I135" i="20"/>
  <c r="J135" i="20"/>
  <c r="W135" i="20"/>
  <c r="M135" i="20"/>
  <c r="J111" i="20"/>
  <c r="M111" i="20"/>
  <c r="X111" i="20"/>
  <c r="N111" i="20"/>
  <c r="O111" i="20"/>
  <c r="G111" i="20"/>
  <c r="H111" i="20"/>
  <c r="I111" i="20"/>
  <c r="W111" i="20"/>
  <c r="L111" i="20"/>
  <c r="B255" i="20"/>
  <c r="H214" i="20"/>
  <c r="I214" i="20"/>
  <c r="J214" i="20"/>
  <c r="W214" i="20"/>
  <c r="L214" i="20"/>
  <c r="X214" i="20"/>
  <c r="M214" i="20"/>
  <c r="N214" i="20"/>
  <c r="G214" i="20"/>
  <c r="O214" i="20"/>
  <c r="B214" i="20"/>
  <c r="C214" i="20"/>
  <c r="E214" i="20"/>
  <c r="G158" i="20"/>
  <c r="I158" i="20"/>
  <c r="L158" i="20"/>
  <c r="W158" i="20"/>
  <c r="M158" i="20"/>
  <c r="O158" i="20"/>
  <c r="N158" i="20"/>
  <c r="X158" i="20"/>
  <c r="H158" i="20"/>
  <c r="J158" i="20"/>
  <c r="G118" i="20"/>
  <c r="I118" i="20"/>
  <c r="J118" i="20"/>
  <c r="L118" i="20"/>
  <c r="W118" i="20"/>
  <c r="M118" i="20"/>
  <c r="X118" i="20"/>
  <c r="N118" i="20"/>
  <c r="O118" i="20"/>
  <c r="H118" i="20"/>
  <c r="I251" i="20"/>
  <c r="L251" i="20"/>
  <c r="X251" i="20"/>
  <c r="N251" i="20"/>
  <c r="M251" i="20"/>
  <c r="W251" i="20"/>
  <c r="J251" i="20"/>
  <c r="O251" i="20"/>
  <c r="G251" i="20"/>
  <c r="H251" i="20"/>
  <c r="N219" i="20"/>
  <c r="G219" i="20"/>
  <c r="H219" i="20"/>
  <c r="I219" i="20"/>
  <c r="J219" i="20"/>
  <c r="W219" i="20"/>
  <c r="L219" i="20"/>
  <c r="X219" i="20"/>
  <c r="M219" i="20"/>
  <c r="O219" i="20"/>
  <c r="B219" i="20"/>
  <c r="C219" i="20"/>
  <c r="E219" i="20"/>
  <c r="I187" i="20"/>
  <c r="W187" i="20"/>
  <c r="L187" i="20"/>
  <c r="N187" i="20"/>
  <c r="J187" i="20"/>
  <c r="O187" i="20"/>
  <c r="H187" i="20"/>
  <c r="M187" i="20"/>
  <c r="X187" i="20"/>
  <c r="G187" i="20"/>
  <c r="B187" i="20"/>
  <c r="C187" i="20"/>
  <c r="E187" i="20"/>
  <c r="H155" i="20"/>
  <c r="J155" i="20"/>
  <c r="M155" i="20"/>
  <c r="X155" i="20"/>
  <c r="O155" i="20"/>
  <c r="G155" i="20"/>
  <c r="N155" i="20"/>
  <c r="W155" i="20"/>
  <c r="I155" i="20"/>
  <c r="L155" i="20"/>
  <c r="N139" i="20"/>
  <c r="G139" i="20"/>
  <c r="H139" i="20"/>
  <c r="I139" i="20"/>
  <c r="J139" i="20"/>
  <c r="W139" i="20"/>
  <c r="L139" i="20"/>
  <c r="X139" i="20"/>
  <c r="M139" i="20"/>
  <c r="O139" i="20"/>
  <c r="I123" i="20"/>
  <c r="L123" i="20"/>
  <c r="W123" i="20"/>
  <c r="M123" i="20"/>
  <c r="X123" i="20"/>
  <c r="N123" i="20"/>
  <c r="O123" i="20"/>
  <c r="G123" i="20"/>
  <c r="H123" i="20"/>
  <c r="J123" i="20"/>
  <c r="J107" i="20"/>
  <c r="M107" i="20"/>
  <c r="X107" i="20"/>
  <c r="N107" i="20"/>
  <c r="O107" i="20"/>
  <c r="G107" i="20"/>
  <c r="H107" i="20"/>
  <c r="I107" i="20"/>
  <c r="L107" i="20"/>
  <c r="W107" i="20"/>
  <c r="B278" i="20"/>
  <c r="B271" i="20"/>
  <c r="C267" i="20"/>
  <c r="H234" i="20"/>
  <c r="J234" i="20"/>
  <c r="W234" i="20"/>
  <c r="M234" i="20"/>
  <c r="L234" i="20"/>
  <c r="O234" i="20"/>
  <c r="X234" i="20"/>
  <c r="G234" i="20"/>
  <c r="I234" i="20"/>
  <c r="N234" i="20"/>
  <c r="E234" i="20"/>
  <c r="J194" i="20"/>
  <c r="X194" i="20"/>
  <c r="M194" i="20"/>
  <c r="O194" i="20"/>
  <c r="W194" i="20"/>
  <c r="H194" i="20"/>
  <c r="L194" i="20"/>
  <c r="N194" i="20"/>
  <c r="G194" i="20"/>
  <c r="I194" i="20"/>
  <c r="B194" i="20"/>
  <c r="C194" i="20"/>
  <c r="E194" i="20"/>
  <c r="J170" i="20"/>
  <c r="M170" i="20"/>
  <c r="X170" i="20"/>
  <c r="O170" i="20"/>
  <c r="N170" i="20"/>
  <c r="G170" i="20"/>
  <c r="W170" i="20"/>
  <c r="L170" i="20"/>
  <c r="H170" i="20"/>
  <c r="I170" i="20"/>
  <c r="B170" i="20"/>
  <c r="C170" i="20"/>
  <c r="E170" i="20"/>
  <c r="G146" i="20"/>
  <c r="I146" i="20"/>
  <c r="J146" i="20"/>
  <c r="L146" i="20"/>
  <c r="W146" i="20"/>
  <c r="M146" i="20"/>
  <c r="X146" i="20"/>
  <c r="N146" i="20"/>
  <c r="O146" i="20"/>
  <c r="H146" i="20"/>
  <c r="L138" i="20"/>
  <c r="W138" i="20"/>
  <c r="N138" i="20"/>
  <c r="O138" i="20"/>
  <c r="G138" i="20"/>
  <c r="H138" i="20"/>
  <c r="I138" i="20"/>
  <c r="J138" i="20"/>
  <c r="X138" i="20"/>
  <c r="M138" i="20"/>
  <c r="G130" i="20"/>
  <c r="I130" i="20"/>
  <c r="J130" i="20"/>
  <c r="L130" i="20"/>
  <c r="W130" i="20"/>
  <c r="M130" i="20"/>
  <c r="X130" i="20"/>
  <c r="N130" i="20"/>
  <c r="O130" i="20"/>
  <c r="H130" i="20"/>
  <c r="G122" i="20"/>
  <c r="I122" i="20"/>
  <c r="J122" i="20"/>
  <c r="L122" i="20"/>
  <c r="W122" i="20"/>
  <c r="M122" i="20"/>
  <c r="X122" i="20"/>
  <c r="N122" i="20"/>
  <c r="O122" i="20"/>
  <c r="H122" i="20"/>
  <c r="I114" i="20"/>
  <c r="L114" i="20"/>
  <c r="W114" i="20"/>
  <c r="M114" i="20"/>
  <c r="X114" i="20"/>
  <c r="N114" i="20"/>
  <c r="O114" i="20"/>
  <c r="G114" i="20"/>
  <c r="H114" i="20"/>
  <c r="J114" i="20"/>
  <c r="H106" i="20"/>
  <c r="J106" i="20"/>
  <c r="L106" i="20"/>
  <c r="W106" i="20"/>
  <c r="M106" i="20"/>
  <c r="X106" i="20"/>
  <c r="N106" i="20"/>
  <c r="O106" i="20"/>
  <c r="G106" i="20"/>
  <c r="I106" i="20"/>
  <c r="E277" i="20"/>
  <c r="C270" i="20"/>
  <c r="C263" i="20"/>
  <c r="E259" i="20"/>
  <c r="C256" i="20"/>
  <c r="E252" i="20"/>
  <c r="B249" i="20"/>
  <c r="E245" i="20"/>
  <c r="C238" i="20"/>
  <c r="C234" i="20"/>
  <c r="B229" i="20"/>
  <c r="I262" i="20"/>
  <c r="L262" i="20"/>
  <c r="X262" i="20"/>
  <c r="N262" i="20"/>
  <c r="H262" i="20"/>
  <c r="G262" i="20"/>
  <c r="J262" i="20"/>
  <c r="M262" i="20"/>
  <c r="O262" i="20"/>
  <c r="W262" i="20"/>
  <c r="E262" i="20"/>
  <c r="N222" i="20"/>
  <c r="G222" i="20"/>
  <c r="H222" i="20"/>
  <c r="I222" i="20"/>
  <c r="J222" i="20"/>
  <c r="L222" i="20"/>
  <c r="W222" i="20"/>
  <c r="O222" i="20"/>
  <c r="X222" i="20"/>
  <c r="M222" i="20"/>
  <c r="B222" i="20"/>
  <c r="C222" i="20"/>
  <c r="E222" i="20"/>
  <c r="J190" i="20"/>
  <c r="M190" i="20"/>
  <c r="X190" i="20"/>
  <c r="O190" i="20"/>
  <c r="I190" i="20"/>
  <c r="N190" i="20"/>
  <c r="G190" i="20"/>
  <c r="L190" i="20"/>
  <c r="W190" i="20"/>
  <c r="H190" i="20"/>
  <c r="B190" i="20"/>
  <c r="C190" i="20"/>
  <c r="E190" i="20"/>
  <c r="J166" i="20"/>
  <c r="M166" i="20"/>
  <c r="X166" i="20"/>
  <c r="O166" i="20"/>
  <c r="H166" i="20"/>
  <c r="L166" i="20"/>
  <c r="G166" i="20"/>
  <c r="N166" i="20"/>
  <c r="W166" i="20"/>
  <c r="I166" i="20"/>
  <c r="B166" i="20"/>
  <c r="C166" i="20"/>
  <c r="E166" i="20"/>
  <c r="G126" i="20"/>
  <c r="I126" i="20"/>
  <c r="J126" i="20"/>
  <c r="L126" i="20"/>
  <c r="W126" i="20"/>
  <c r="M126" i="20"/>
  <c r="X126" i="20"/>
  <c r="N126" i="20"/>
  <c r="O126" i="20"/>
  <c r="H126" i="20"/>
  <c r="L267" i="20"/>
  <c r="X267" i="20"/>
  <c r="N267" i="20"/>
  <c r="G267" i="20"/>
  <c r="J267" i="20"/>
  <c r="M267" i="20"/>
  <c r="O267" i="20"/>
  <c r="W267" i="20"/>
  <c r="H267" i="20"/>
  <c r="I267" i="20"/>
  <c r="L235" i="20"/>
  <c r="X235" i="20"/>
  <c r="N235" i="20"/>
  <c r="G235" i="20"/>
  <c r="J235" i="20"/>
  <c r="W235" i="20"/>
  <c r="H235" i="20"/>
  <c r="I235" i="20"/>
  <c r="M235" i="20"/>
  <c r="O235" i="20"/>
  <c r="B235" i="20"/>
  <c r="J203" i="20"/>
  <c r="W203" i="20"/>
  <c r="M203" i="20"/>
  <c r="O203" i="20"/>
  <c r="I203" i="20"/>
  <c r="N203" i="20"/>
  <c r="G203" i="20"/>
  <c r="X203" i="20"/>
  <c r="H203" i="20"/>
  <c r="L203" i="20"/>
  <c r="B203" i="20"/>
  <c r="C203" i="20"/>
  <c r="E203" i="20"/>
  <c r="L163" i="20"/>
  <c r="W163" i="20"/>
  <c r="N163" i="20"/>
  <c r="G163" i="20"/>
  <c r="H163" i="20"/>
  <c r="X163" i="20"/>
  <c r="J163" i="20"/>
  <c r="O163" i="20"/>
  <c r="M163" i="20"/>
  <c r="I163" i="20"/>
  <c r="B163" i="20"/>
  <c r="C163" i="20"/>
  <c r="E163" i="20"/>
  <c r="E263" i="20"/>
  <c r="J274" i="20"/>
  <c r="M274" i="20"/>
  <c r="X274" i="20"/>
  <c r="O274" i="20"/>
  <c r="I274" i="20"/>
  <c r="W274" i="20"/>
  <c r="G274" i="20"/>
  <c r="H274" i="20"/>
  <c r="L274" i="20"/>
  <c r="N274" i="20"/>
  <c r="E274" i="20"/>
  <c r="N258" i="20"/>
  <c r="G258" i="20"/>
  <c r="I258" i="20"/>
  <c r="J258" i="20"/>
  <c r="H258" i="20"/>
  <c r="L258" i="20"/>
  <c r="M258" i="20"/>
  <c r="O258" i="20"/>
  <c r="W258" i="20"/>
  <c r="X258" i="20"/>
  <c r="E258" i="20"/>
  <c r="G242" i="20"/>
  <c r="I242" i="20"/>
  <c r="L242" i="20"/>
  <c r="X242" i="20"/>
  <c r="O242" i="20"/>
  <c r="H242" i="20"/>
  <c r="N242" i="20"/>
  <c r="W242" i="20"/>
  <c r="J242" i="20"/>
  <c r="M242" i="20"/>
  <c r="E242" i="20"/>
  <c r="L218" i="20"/>
  <c r="W218" i="20"/>
  <c r="N218" i="20"/>
  <c r="O218" i="20"/>
  <c r="G218" i="20"/>
  <c r="H218" i="20"/>
  <c r="I218" i="20"/>
  <c r="J218" i="20"/>
  <c r="X218" i="20"/>
  <c r="M218" i="20"/>
  <c r="B218" i="20"/>
  <c r="C218" i="20"/>
  <c r="E218" i="20"/>
  <c r="M210" i="20"/>
  <c r="H210" i="20"/>
  <c r="G210" i="20"/>
  <c r="W210" i="20"/>
  <c r="I210" i="20"/>
  <c r="X210" i="20"/>
  <c r="J210" i="20"/>
  <c r="L210" i="20"/>
  <c r="N210" i="20"/>
  <c r="O210" i="20"/>
  <c r="B210" i="20"/>
  <c r="C210" i="20"/>
  <c r="E210" i="20"/>
  <c r="O186" i="20"/>
  <c r="H186" i="20"/>
  <c r="J186" i="20"/>
  <c r="W186" i="20"/>
  <c r="L186" i="20"/>
  <c r="N186" i="20"/>
  <c r="X186" i="20"/>
  <c r="G186" i="20"/>
  <c r="I186" i="20"/>
  <c r="M186" i="20"/>
  <c r="B186" i="20"/>
  <c r="C186" i="20"/>
  <c r="E186" i="20"/>
  <c r="I162" i="20"/>
  <c r="L162" i="20"/>
  <c r="W162" i="20"/>
  <c r="N162" i="20"/>
  <c r="H162" i="20"/>
  <c r="M162" i="20"/>
  <c r="X162" i="20"/>
  <c r="G162" i="20"/>
  <c r="J162" i="20"/>
  <c r="O162" i="20"/>
  <c r="B162" i="20"/>
  <c r="C162" i="20"/>
  <c r="E162" i="20"/>
  <c r="J265" i="20"/>
  <c r="X265" i="20"/>
  <c r="M265" i="20"/>
  <c r="O265" i="20"/>
  <c r="H265" i="20"/>
  <c r="G265" i="20"/>
  <c r="I265" i="20"/>
  <c r="L265" i="20"/>
  <c r="N265" i="20"/>
  <c r="W265" i="20"/>
  <c r="C265" i="20"/>
  <c r="N233" i="20"/>
  <c r="G233" i="20"/>
  <c r="I233" i="20"/>
  <c r="W233" i="20"/>
  <c r="L233" i="20"/>
  <c r="M233" i="20"/>
  <c r="O233" i="20"/>
  <c r="X233" i="20"/>
  <c r="H233" i="20"/>
  <c r="J233" i="20"/>
  <c r="E233" i="20"/>
  <c r="C233" i="20"/>
  <c r="M201" i="20"/>
  <c r="X201" i="20"/>
  <c r="O201" i="20"/>
  <c r="H201" i="20"/>
  <c r="J201" i="20"/>
  <c r="N201" i="20"/>
  <c r="G201" i="20"/>
  <c r="W201" i="20"/>
  <c r="I201" i="20"/>
  <c r="L201" i="20"/>
  <c r="E201" i="20"/>
  <c r="B201" i="20"/>
  <c r="C201" i="20"/>
  <c r="H169" i="20"/>
  <c r="J169" i="20"/>
  <c r="M169" i="20"/>
  <c r="X169" i="20"/>
  <c r="O169" i="20"/>
  <c r="G169" i="20"/>
  <c r="L169" i="20"/>
  <c r="N169" i="20"/>
  <c r="W169" i="20"/>
  <c r="I169" i="20"/>
  <c r="E169" i="20"/>
  <c r="B169" i="20"/>
  <c r="C169" i="20"/>
  <c r="M145" i="20"/>
  <c r="O145" i="20"/>
  <c r="G145" i="20"/>
  <c r="H145" i="20"/>
  <c r="I145" i="20"/>
  <c r="J145" i="20"/>
  <c r="W145" i="20"/>
  <c r="L145" i="20"/>
  <c r="X145" i="20"/>
  <c r="N145" i="20"/>
  <c r="N121" i="20"/>
  <c r="G121" i="20"/>
  <c r="H121" i="20"/>
  <c r="I121" i="20"/>
  <c r="J121" i="20"/>
  <c r="L121" i="20"/>
  <c r="W121" i="20"/>
  <c r="M121" i="20"/>
  <c r="X121" i="20"/>
  <c r="O121" i="20"/>
  <c r="E273" i="20"/>
  <c r="B270" i="20"/>
  <c r="C266" i="20"/>
  <c r="B263" i="20"/>
  <c r="C259" i="20"/>
  <c r="E255" i="20"/>
  <c r="C252" i="20"/>
  <c r="E248" i="20"/>
  <c r="B245" i="20"/>
  <c r="E241" i="20"/>
  <c r="B238" i="20"/>
  <c r="B234" i="20"/>
  <c r="E228" i="20"/>
  <c r="U236" i="33"/>
  <c r="U235" i="33"/>
  <c r="U234" i="33"/>
  <c r="U233" i="33"/>
  <c r="U232" i="33"/>
  <c r="U231" i="33"/>
  <c r="U230" i="33"/>
  <c r="U229" i="33"/>
  <c r="U228" i="33"/>
  <c r="U227" i="33"/>
  <c r="U226" i="33"/>
  <c r="U225" i="33"/>
  <c r="U224" i="33"/>
  <c r="U223" i="33"/>
  <c r="U222" i="33"/>
  <c r="U221" i="33"/>
  <c r="U220" i="33"/>
  <c r="U219" i="33"/>
  <c r="U218" i="33"/>
  <c r="U217" i="33"/>
  <c r="U216" i="33"/>
  <c r="F216" i="33"/>
  <c r="F215" i="33"/>
  <c r="F236" i="33"/>
  <c r="F235" i="33"/>
  <c r="F234" i="33"/>
  <c r="F233" i="33"/>
  <c r="F232" i="33"/>
  <c r="F231" i="33"/>
  <c r="F230" i="33"/>
  <c r="F229" i="33"/>
  <c r="F228" i="33"/>
  <c r="F227" i="33"/>
  <c r="F226" i="33"/>
  <c r="F225" i="33"/>
  <c r="F224" i="33"/>
  <c r="F223" i="33"/>
  <c r="F222" i="33"/>
  <c r="F221" i="33"/>
  <c r="F220" i="33"/>
  <c r="F219" i="33"/>
  <c r="F218" i="33"/>
  <c r="F217" i="33"/>
  <c r="T273" i="20" l="1"/>
  <c r="D68" i="41"/>
  <c r="B68" i="41"/>
  <c r="A72" i="41"/>
  <c r="A82" i="41"/>
  <c r="D78" i="41"/>
  <c r="B78" i="41"/>
  <c r="B71" i="41"/>
  <c r="D71" i="41"/>
  <c r="B65" i="41"/>
  <c r="A69" i="41"/>
  <c r="D69" i="41" s="1"/>
  <c r="C74" i="41"/>
  <c r="C75" i="41" s="1"/>
  <c r="C76" i="41" s="1"/>
  <c r="C77" i="41" s="1"/>
  <c r="A75" i="41"/>
  <c r="R128" i="20"/>
  <c r="R192" i="20"/>
  <c r="Q156" i="20"/>
  <c r="Q129" i="20"/>
  <c r="Q258" i="20"/>
  <c r="S104" i="20"/>
  <c r="S265" i="20"/>
  <c r="R162" i="20"/>
  <c r="R124" i="20"/>
  <c r="T130" i="20"/>
  <c r="Q194" i="20"/>
  <c r="R140" i="20"/>
  <c r="R242" i="20"/>
  <c r="T181" i="20"/>
  <c r="S142" i="20"/>
  <c r="T263" i="20"/>
  <c r="R137" i="20"/>
  <c r="R177" i="20"/>
  <c r="R217" i="20"/>
  <c r="Q249" i="20"/>
  <c r="Q224" i="20"/>
  <c r="R248" i="20"/>
  <c r="Q257" i="20"/>
  <c r="S152" i="20"/>
  <c r="T160" i="20"/>
  <c r="S272" i="20"/>
  <c r="S126" i="20"/>
  <c r="T146" i="20"/>
  <c r="T247" i="20"/>
  <c r="Q204" i="20"/>
  <c r="R106" i="20"/>
  <c r="Q175" i="20"/>
  <c r="Q228" i="20"/>
  <c r="T141" i="20"/>
  <c r="R197" i="20"/>
  <c r="Q229" i="20"/>
  <c r="S261" i="20"/>
  <c r="T230" i="20"/>
  <c r="S131" i="20"/>
  <c r="Q106" i="20"/>
  <c r="S171" i="20"/>
  <c r="T191" i="20"/>
  <c r="Q168" i="20"/>
  <c r="R179" i="20"/>
  <c r="T117" i="20"/>
  <c r="S149" i="20"/>
  <c r="T231" i="20"/>
  <c r="R161" i="20"/>
  <c r="S250" i="20"/>
  <c r="S150" i="20"/>
  <c r="S238" i="20"/>
  <c r="Q181" i="20"/>
  <c r="S264" i="20"/>
  <c r="R129" i="20"/>
  <c r="T131" i="20"/>
  <c r="S182" i="20"/>
  <c r="Q271" i="20"/>
  <c r="S199" i="20"/>
  <c r="R138" i="20"/>
  <c r="S227" i="20"/>
  <c r="R145" i="20"/>
  <c r="T233" i="20"/>
  <c r="R210" i="20"/>
  <c r="Q163" i="20"/>
  <c r="Q203" i="20"/>
  <c r="S203" i="20"/>
  <c r="R235" i="20"/>
  <c r="Q235" i="20"/>
  <c r="Q166" i="20"/>
  <c r="R166" i="20"/>
  <c r="T222" i="20"/>
  <c r="S114" i="20"/>
  <c r="S122" i="20"/>
  <c r="S194" i="20"/>
  <c r="S123" i="20"/>
  <c r="Q123" i="20"/>
  <c r="Q187" i="20"/>
  <c r="Q251" i="20"/>
  <c r="Q118" i="20"/>
  <c r="T158" i="20"/>
  <c r="Q255" i="20"/>
  <c r="R116" i="20"/>
  <c r="R156" i="20"/>
  <c r="T164" i="20"/>
  <c r="Q172" i="20"/>
  <c r="R180" i="20"/>
  <c r="R188" i="20"/>
  <c r="T228" i="20"/>
  <c r="T236" i="20"/>
  <c r="T244" i="20"/>
  <c r="R260" i="20"/>
  <c r="T260" i="20"/>
  <c r="S276" i="20"/>
  <c r="R125" i="20"/>
  <c r="S157" i="20"/>
  <c r="Q197" i="20"/>
  <c r="R205" i="20"/>
  <c r="Q221" i="20"/>
  <c r="Q237" i="20"/>
  <c r="R253" i="20"/>
  <c r="R261" i="20"/>
  <c r="R269" i="20"/>
  <c r="R246" i="20"/>
  <c r="T254" i="20"/>
  <c r="S119" i="20"/>
  <c r="S143" i="20"/>
  <c r="T223" i="20"/>
  <c r="R160" i="20"/>
  <c r="S168" i="20"/>
  <c r="R176" i="20"/>
  <c r="T184" i="20"/>
  <c r="T192" i="20"/>
  <c r="S232" i="20"/>
  <c r="S240" i="20"/>
  <c r="T129" i="20"/>
  <c r="T137" i="20"/>
  <c r="S153" i="20"/>
  <c r="T161" i="20"/>
  <c r="Q185" i="20"/>
  <c r="R185" i="20"/>
  <c r="T217" i="20"/>
  <c r="R225" i="20"/>
  <c r="S249" i="20"/>
  <c r="S257" i="20"/>
  <c r="S273" i="20"/>
  <c r="R154" i="20"/>
  <c r="T178" i="20"/>
  <c r="R250" i="20"/>
  <c r="R266" i="20"/>
  <c r="T171" i="20"/>
  <c r="S211" i="20"/>
  <c r="T227" i="20"/>
  <c r="Q243" i="20"/>
  <c r="Q102" i="20"/>
  <c r="Q198" i="20"/>
  <c r="S198" i="20"/>
  <c r="R167" i="20"/>
  <c r="S183" i="20"/>
  <c r="S239" i="20"/>
  <c r="T234" i="20"/>
  <c r="R186" i="20"/>
  <c r="Q108" i="20"/>
  <c r="R115" i="20"/>
  <c r="R218" i="20"/>
  <c r="T242" i="20"/>
  <c r="T258" i="20"/>
  <c r="T138" i="20"/>
  <c r="R247" i="20"/>
  <c r="R212" i="20"/>
  <c r="R117" i="20"/>
  <c r="S230" i="20"/>
  <c r="T224" i="20"/>
  <c r="T256" i="20"/>
  <c r="R163" i="20"/>
  <c r="R146" i="20"/>
  <c r="Q148" i="20"/>
  <c r="S141" i="20"/>
  <c r="S241" i="20"/>
  <c r="Q164" i="20"/>
  <c r="Q142" i="20"/>
  <c r="Q206" i="20"/>
  <c r="R112" i="20"/>
  <c r="Q248" i="20"/>
  <c r="T193" i="20"/>
  <c r="Q227" i="20"/>
  <c r="T145" i="20"/>
  <c r="R265" i="20"/>
  <c r="R139" i="20"/>
  <c r="S158" i="20"/>
  <c r="S124" i="20"/>
  <c r="R148" i="20"/>
  <c r="T172" i="20"/>
  <c r="Q180" i="20"/>
  <c r="S204" i="20"/>
  <c r="T212" i="20"/>
  <c r="S220" i="20"/>
  <c r="S244" i="20"/>
  <c r="S260" i="20"/>
  <c r="S268" i="20"/>
  <c r="R276" i="20"/>
  <c r="S109" i="20"/>
  <c r="S125" i="20"/>
  <c r="R157" i="20"/>
  <c r="Q173" i="20"/>
  <c r="R181" i="20"/>
  <c r="S205" i="20"/>
  <c r="R229" i="20"/>
  <c r="T253" i="20"/>
  <c r="T261" i="20"/>
  <c r="Q174" i="20"/>
  <c r="T246" i="20"/>
  <c r="Q246" i="20"/>
  <c r="T159" i="20"/>
  <c r="Q159" i="20"/>
  <c r="T119" i="20"/>
  <c r="T143" i="20"/>
  <c r="Q191" i="20"/>
  <c r="R223" i="20"/>
  <c r="R263" i="20"/>
  <c r="S128" i="20"/>
  <c r="S136" i="20"/>
  <c r="S184" i="20"/>
  <c r="Q192" i="20"/>
  <c r="Q208" i="20"/>
  <c r="R216" i="20"/>
  <c r="T240" i="20"/>
  <c r="R256" i="20"/>
  <c r="T264" i="20"/>
  <c r="S113" i="20"/>
  <c r="T225" i="20"/>
  <c r="R257" i="20"/>
  <c r="S154" i="20"/>
  <c r="Q202" i="20"/>
  <c r="T266" i="20"/>
  <c r="S243" i="20"/>
  <c r="R259" i="20"/>
  <c r="R102" i="20"/>
  <c r="Q134" i="20"/>
  <c r="T182" i="20"/>
  <c r="Q238" i="20"/>
  <c r="T270" i="20"/>
  <c r="R183" i="20"/>
  <c r="S207" i="20"/>
  <c r="R271" i="20"/>
  <c r="R131" i="20"/>
  <c r="T147" i="20"/>
  <c r="Q121" i="20"/>
  <c r="Q262" i="20"/>
  <c r="R220" i="20"/>
  <c r="Q236" i="20"/>
  <c r="R221" i="20"/>
  <c r="Q223" i="20"/>
  <c r="S120" i="20"/>
  <c r="R239" i="20"/>
  <c r="S121" i="20"/>
  <c r="R201" i="20"/>
  <c r="Q233" i="20"/>
  <c r="T265" i="20"/>
  <c r="S186" i="20"/>
  <c r="S242" i="20"/>
  <c r="Q242" i="20"/>
  <c r="Q274" i="20"/>
  <c r="S163" i="20"/>
  <c r="S235" i="20"/>
  <c r="Q267" i="20"/>
  <c r="T166" i="20"/>
  <c r="R222" i="20"/>
  <c r="R122" i="20"/>
  <c r="Q130" i="20"/>
  <c r="S146" i="20"/>
  <c r="Q146" i="20"/>
  <c r="S170" i="20"/>
  <c r="Q234" i="20"/>
  <c r="R107" i="20"/>
  <c r="R123" i="20"/>
  <c r="T139" i="20"/>
  <c r="T219" i="20"/>
  <c r="T251" i="20"/>
  <c r="S251" i="20"/>
  <c r="S111" i="20"/>
  <c r="T175" i="20"/>
  <c r="R215" i="20"/>
  <c r="R255" i="20"/>
  <c r="T151" i="20"/>
  <c r="R151" i="20"/>
  <c r="T116" i="20"/>
  <c r="T140" i="20"/>
  <c r="T156" i="20"/>
  <c r="S164" i="20"/>
  <c r="Q188" i="20"/>
  <c r="R196" i="20"/>
  <c r="T204" i="20"/>
  <c r="S212" i="20"/>
  <c r="R236" i="20"/>
  <c r="R252" i="20"/>
  <c r="T276" i="20"/>
  <c r="S117" i="20"/>
  <c r="Q117" i="20"/>
  <c r="T125" i="20"/>
  <c r="R149" i="20"/>
  <c r="Q165" i="20"/>
  <c r="R173" i="20"/>
  <c r="S197" i="20"/>
  <c r="T205" i="20"/>
  <c r="S213" i="20"/>
  <c r="T229" i="20"/>
  <c r="T237" i="20"/>
  <c r="Q245" i="20"/>
  <c r="R245" i="20"/>
  <c r="Q253" i="20"/>
  <c r="T269" i="20"/>
  <c r="R174" i="20"/>
  <c r="R231" i="20"/>
  <c r="R119" i="20"/>
  <c r="T200" i="20"/>
  <c r="Q216" i="20"/>
  <c r="T216" i="20"/>
  <c r="Q240" i="20"/>
  <c r="T248" i="20"/>
  <c r="Q264" i="20"/>
  <c r="Q193" i="20"/>
  <c r="R249" i="20"/>
  <c r="T257" i="20"/>
  <c r="R178" i="20"/>
  <c r="Q226" i="20"/>
  <c r="Q250" i="20"/>
  <c r="Q171" i="20"/>
  <c r="R211" i="20"/>
  <c r="R243" i="20"/>
  <c r="V152" i="20"/>
  <c r="AC152" i="20" s="1"/>
  <c r="AD152" i="20" s="1"/>
  <c r="AE152" i="20" s="1"/>
  <c r="T195" i="20"/>
  <c r="T189" i="20"/>
  <c r="V121" i="20"/>
  <c r="Y121" i="20" s="1"/>
  <c r="AH121" i="20" s="1"/>
  <c r="V201" i="20"/>
  <c r="AC201" i="20" s="1"/>
  <c r="AD201" i="20" s="1"/>
  <c r="AE201" i="20" s="1"/>
  <c r="V186" i="20"/>
  <c r="AC186" i="20" s="1"/>
  <c r="AD186" i="20" s="1"/>
  <c r="AE186" i="20" s="1"/>
  <c r="V210" i="20"/>
  <c r="AC210" i="20" s="1"/>
  <c r="AD210" i="20" s="1"/>
  <c r="AE210" i="20" s="1"/>
  <c r="V190" i="20"/>
  <c r="Y190" i="20" s="1"/>
  <c r="V262" i="20"/>
  <c r="Y262" i="20" s="1"/>
  <c r="Z262" i="20" s="1"/>
  <c r="AA262" i="20" s="1"/>
  <c r="V155" i="20"/>
  <c r="Y155" i="20" s="1"/>
  <c r="V111" i="20"/>
  <c r="Y111" i="20" s="1"/>
  <c r="V220" i="20"/>
  <c r="Y220" i="20" s="1"/>
  <c r="V133" i="20"/>
  <c r="AC133" i="20" s="1"/>
  <c r="AD133" i="20" s="1"/>
  <c r="AE133" i="20" s="1"/>
  <c r="V245" i="20"/>
  <c r="AC245" i="20" s="1"/>
  <c r="AD245" i="20" s="1"/>
  <c r="AE245" i="20" s="1"/>
  <c r="V110" i="20"/>
  <c r="Y110" i="20" s="1"/>
  <c r="V136" i="20"/>
  <c r="AC136" i="20" s="1"/>
  <c r="AD136" i="20" s="1"/>
  <c r="AE136" i="20" s="1"/>
  <c r="V200" i="20"/>
  <c r="Y200" i="20" s="1"/>
  <c r="V177" i="20"/>
  <c r="Y177" i="20" s="1"/>
  <c r="S202" i="20"/>
  <c r="V103" i="20"/>
  <c r="AC103" i="20" s="1"/>
  <c r="AD103" i="20" s="1"/>
  <c r="AE103" i="20" s="1"/>
  <c r="V127" i="20"/>
  <c r="AC127" i="20" s="1"/>
  <c r="AD127" i="20" s="1"/>
  <c r="AE127" i="20" s="1"/>
  <c r="V167" i="20"/>
  <c r="AC167" i="20" s="1"/>
  <c r="AD167" i="20" s="1"/>
  <c r="AE167" i="20" s="1"/>
  <c r="T207" i="20"/>
  <c r="V207" i="20"/>
  <c r="Y207" i="20" s="1"/>
  <c r="T186" i="20"/>
  <c r="V170" i="20"/>
  <c r="Y170" i="20" s="1"/>
  <c r="Z170" i="20" s="1"/>
  <c r="AA170" i="20" s="1"/>
  <c r="V196" i="20"/>
  <c r="AC196" i="20" s="1"/>
  <c r="AD196" i="20" s="1"/>
  <c r="AE196" i="20" s="1"/>
  <c r="T199" i="20"/>
  <c r="J31" i="10"/>
  <c r="L30" i="10"/>
  <c r="H30" i="10"/>
  <c r="S233" i="20"/>
  <c r="S169" i="20"/>
  <c r="T169" i="20"/>
  <c r="Q201" i="20"/>
  <c r="Q145" i="20"/>
  <c r="V145" i="20"/>
  <c r="T173" i="20"/>
  <c r="V256" i="20"/>
  <c r="V105" i="20"/>
  <c r="V243" i="20"/>
  <c r="T121" i="20"/>
  <c r="S201" i="20"/>
  <c r="V233" i="20"/>
  <c r="T162" i="20"/>
  <c r="Q162" i="20"/>
  <c r="Q218" i="20"/>
  <c r="R258" i="20"/>
  <c r="S274" i="20"/>
  <c r="R274" i="20"/>
  <c r="T163" i="20"/>
  <c r="S267" i="20"/>
  <c r="Q126" i="20"/>
  <c r="S190" i="20"/>
  <c r="V130" i="20"/>
  <c r="S138" i="20"/>
  <c r="R170" i="20"/>
  <c r="S234" i="20"/>
  <c r="V234" i="20"/>
  <c r="T155" i="20"/>
  <c r="V187" i="20"/>
  <c r="R158" i="20"/>
  <c r="T214" i="20"/>
  <c r="V214" i="20"/>
  <c r="T111" i="20"/>
  <c r="S247" i="20"/>
  <c r="V108" i="20"/>
  <c r="Q124" i="20"/>
  <c r="T132" i="20"/>
  <c r="V148" i="20"/>
  <c r="R164" i="20"/>
  <c r="T188" i="20"/>
  <c r="T196" i="20"/>
  <c r="Q196" i="20"/>
  <c r="V228" i="20"/>
  <c r="S236" i="20"/>
  <c r="V260" i="20"/>
  <c r="Q260" i="20"/>
  <c r="Q268" i="20"/>
  <c r="S133" i="20"/>
  <c r="T133" i="20"/>
  <c r="R141" i="20"/>
  <c r="T157" i="20"/>
  <c r="V173" i="20"/>
  <c r="Q189" i="20"/>
  <c r="V229" i="20"/>
  <c r="S245" i="20"/>
  <c r="Q261" i="20"/>
  <c r="V269" i="20"/>
  <c r="R277" i="20"/>
  <c r="T110" i="20"/>
  <c r="T142" i="20"/>
  <c r="V174" i="20"/>
  <c r="V206" i="20"/>
  <c r="V246" i="20"/>
  <c r="Q278" i="20"/>
  <c r="T278" i="20"/>
  <c r="R254" i="20"/>
  <c r="V159" i="20"/>
  <c r="R230" i="20"/>
  <c r="R143" i="20"/>
  <c r="V223" i="20"/>
  <c r="T104" i="20"/>
  <c r="V112" i="20"/>
  <c r="Q128" i="20"/>
  <c r="T144" i="20"/>
  <c r="S160" i="20"/>
  <c r="R168" i="20"/>
  <c r="T168" i="20"/>
  <c r="S176" i="20"/>
  <c r="Q200" i="20"/>
  <c r="S208" i="20"/>
  <c r="R208" i="20"/>
  <c r="S224" i="20"/>
  <c r="S256" i="20"/>
  <c r="S105" i="20"/>
  <c r="T105" i="20"/>
  <c r="S137" i="20"/>
  <c r="Q153" i="20"/>
  <c r="R153" i="20"/>
  <c r="S161" i="20"/>
  <c r="S177" i="20"/>
  <c r="V185" i="20"/>
  <c r="T209" i="20"/>
  <c r="S217" i="20"/>
  <c r="Q241" i="20"/>
  <c r="T249" i="20"/>
  <c r="Q154" i="20"/>
  <c r="Q178" i="20"/>
  <c r="T226" i="20"/>
  <c r="V226" i="20"/>
  <c r="Q115" i="20"/>
  <c r="S147" i="20"/>
  <c r="S179" i="20"/>
  <c r="T211" i="20"/>
  <c r="Q259" i="20"/>
  <c r="V259" i="20"/>
  <c r="Q150" i="20"/>
  <c r="R198" i="20"/>
  <c r="T238" i="20"/>
  <c r="R270" i="20"/>
  <c r="T103" i="20"/>
  <c r="T127" i="20"/>
  <c r="Q183" i="20"/>
  <c r="S271" i="20"/>
  <c r="V274" i="20"/>
  <c r="S166" i="20"/>
  <c r="V222" i="20"/>
  <c r="R114" i="20"/>
  <c r="S130" i="20"/>
  <c r="V107" i="20"/>
  <c r="V123" i="20"/>
  <c r="Q139" i="20"/>
  <c r="V139" i="20"/>
  <c r="V255" i="20"/>
  <c r="V151" i="20"/>
  <c r="Q116" i="20"/>
  <c r="S132" i="20"/>
  <c r="V172" i="20"/>
  <c r="T220" i="20"/>
  <c r="V268" i="20"/>
  <c r="V109" i="20"/>
  <c r="Q125" i="20"/>
  <c r="R133" i="20"/>
  <c r="V157" i="20"/>
  <c r="V221" i="20"/>
  <c r="S110" i="20"/>
  <c r="R278" i="20"/>
  <c r="S223" i="20"/>
  <c r="V120" i="20"/>
  <c r="S144" i="20"/>
  <c r="Q152" i="20"/>
  <c r="V160" i="20"/>
  <c r="R184" i="20"/>
  <c r="S192" i="20"/>
  <c r="Q272" i="20"/>
  <c r="V113" i="20"/>
  <c r="Q225" i="20"/>
  <c r="V225" i="20"/>
  <c r="V241" i="20"/>
  <c r="V249" i="20"/>
  <c r="T154" i="20"/>
  <c r="R226" i="20"/>
  <c r="V250" i="20"/>
  <c r="Q266" i="20"/>
  <c r="V266" i="20"/>
  <c r="R147" i="20"/>
  <c r="R171" i="20"/>
  <c r="T275" i="20"/>
  <c r="T134" i="20"/>
  <c r="R182" i="20"/>
  <c r="R238" i="20"/>
  <c r="S270" i="20"/>
  <c r="V270" i="20"/>
  <c r="S103" i="20"/>
  <c r="S127" i="20"/>
  <c r="T167" i="20"/>
  <c r="R199" i="20"/>
  <c r="R207" i="20"/>
  <c r="R121" i="20"/>
  <c r="S145" i="20"/>
  <c r="Q169" i="20"/>
  <c r="Q186" i="20"/>
  <c r="T210" i="20"/>
  <c r="R203" i="20"/>
  <c r="T190" i="20"/>
  <c r="S222" i="20"/>
  <c r="S262" i="20"/>
  <c r="V106" i="20"/>
  <c r="Q138" i="20"/>
  <c r="V146" i="20"/>
  <c r="Q170" i="20"/>
  <c r="T107" i="20"/>
  <c r="T123" i="20"/>
  <c r="S139" i="20"/>
  <c r="R155" i="20"/>
  <c r="R187" i="20"/>
  <c r="V251" i="20"/>
  <c r="T118" i="20"/>
  <c r="V118" i="20"/>
  <c r="Q158" i="20"/>
  <c r="S214" i="20"/>
  <c r="Q135" i="20"/>
  <c r="V135" i="20"/>
  <c r="V175" i="20"/>
  <c r="Q215" i="20"/>
  <c r="V215" i="20"/>
  <c r="S255" i="20"/>
  <c r="S151" i="20"/>
  <c r="Q151" i="20"/>
  <c r="V247" i="20"/>
  <c r="T108" i="20"/>
  <c r="R132" i="20"/>
  <c r="Q140" i="20"/>
  <c r="R204" i="20"/>
  <c r="Q212" i="20"/>
  <c r="Q252" i="20"/>
  <c r="T109" i="20"/>
  <c r="V181" i="20"/>
  <c r="V189" i="20"/>
  <c r="Q213" i="20"/>
  <c r="V213" i="20"/>
  <c r="T221" i="20"/>
  <c r="R237" i="20"/>
  <c r="Q269" i="20"/>
  <c r="R142" i="20"/>
  <c r="T206" i="20"/>
  <c r="S278" i="20"/>
  <c r="V254" i="20"/>
  <c r="V231" i="20"/>
  <c r="S231" i="20"/>
  <c r="Q230" i="20"/>
  <c r="V230" i="20"/>
  <c r="Q143" i="20"/>
  <c r="R104" i="20"/>
  <c r="T112" i="20"/>
  <c r="T136" i="20"/>
  <c r="V168" i="20"/>
  <c r="Q176" i="20"/>
  <c r="Q184" i="20"/>
  <c r="R224" i="20"/>
  <c r="Q232" i="20"/>
  <c r="S248" i="20"/>
  <c r="R264" i="20"/>
  <c r="R272" i="20"/>
  <c r="R105" i="20"/>
  <c r="T113" i="20"/>
  <c r="Q177" i="20"/>
  <c r="R193" i="20"/>
  <c r="V209" i="20"/>
  <c r="S225" i="20"/>
  <c r="S195" i="20"/>
  <c r="R227" i="20"/>
  <c r="S134" i="20"/>
  <c r="V150" i="20"/>
  <c r="T198" i="20"/>
  <c r="V198" i="20"/>
  <c r="Q270" i="20"/>
  <c r="Q167" i="20"/>
  <c r="Q207" i="20"/>
  <c r="V239" i="20"/>
  <c r="V169" i="20"/>
  <c r="T201" i="20"/>
  <c r="S210" i="20"/>
  <c r="V242" i="20"/>
  <c r="V258" i="20"/>
  <c r="V235" i="20"/>
  <c r="T267" i="20"/>
  <c r="T126" i="20"/>
  <c r="V126" i="20"/>
  <c r="T106" i="20"/>
  <c r="Q114" i="20"/>
  <c r="Q122" i="20"/>
  <c r="R130" i="20"/>
  <c r="V138" i="20"/>
  <c r="T194" i="20"/>
  <c r="S107" i="20"/>
  <c r="Q155" i="20"/>
  <c r="S118" i="20"/>
  <c r="R214" i="20"/>
  <c r="Q111" i="20"/>
  <c r="R111" i="20"/>
  <c r="T135" i="20"/>
  <c r="R175" i="20"/>
  <c r="S175" i="20"/>
  <c r="T215" i="20"/>
  <c r="S108" i="20"/>
  <c r="Q132" i="20"/>
  <c r="V140" i="20"/>
  <c r="V156" i="20"/>
  <c r="V180" i="20"/>
  <c r="V188" i="20"/>
  <c r="R244" i="20"/>
  <c r="R268" i="20"/>
  <c r="T268" i="20"/>
  <c r="Q276" i="20"/>
  <c r="V117" i="20"/>
  <c r="Q133" i="20"/>
  <c r="Q149" i="20"/>
  <c r="V149" i="20"/>
  <c r="Q157" i="20"/>
  <c r="S165" i="20"/>
  <c r="V165" i="20"/>
  <c r="S173" i="20"/>
  <c r="S181" i="20"/>
  <c r="R189" i="20"/>
  <c r="T197" i="20"/>
  <c r="Q205" i="20"/>
  <c r="T213" i="20"/>
  <c r="S221" i="20"/>
  <c r="S253" i="20"/>
  <c r="S269" i="20"/>
  <c r="S277" i="20"/>
  <c r="R110" i="20"/>
  <c r="R206" i="20"/>
  <c r="S206" i="20"/>
  <c r="S254" i="20"/>
  <c r="Q119" i="20"/>
  <c r="V191" i="20"/>
  <c r="R191" i="20"/>
  <c r="Q104" i="20"/>
  <c r="S112" i="20"/>
  <c r="T120" i="20"/>
  <c r="R144" i="20"/>
  <c r="T152" i="20"/>
  <c r="Q160" i="20"/>
  <c r="S200" i="20"/>
  <c r="R200" i="20"/>
  <c r="T232" i="20"/>
  <c r="R240" i="20"/>
  <c r="V264" i="20"/>
  <c r="R113" i="20"/>
  <c r="V129" i="20"/>
  <c r="Q161" i="20"/>
  <c r="T177" i="20"/>
  <c r="V193" i="20"/>
  <c r="S209" i="20"/>
  <c r="Q273" i="20"/>
  <c r="V202" i="20"/>
  <c r="T202" i="20"/>
  <c r="S226" i="20"/>
  <c r="T250" i="20"/>
  <c r="V171" i="20"/>
  <c r="R195" i="20"/>
  <c r="T259" i="20"/>
  <c r="S275" i="20"/>
  <c r="R275" i="20"/>
  <c r="S102" i="20"/>
  <c r="T150" i="20"/>
  <c r="Q103" i="20"/>
  <c r="R103" i="20"/>
  <c r="R127" i="20"/>
  <c r="V183" i="20"/>
  <c r="Q199" i="20"/>
  <c r="R233" i="20"/>
  <c r="V265" i="20"/>
  <c r="Q210" i="20"/>
  <c r="V218" i="20"/>
  <c r="V163" i="20"/>
  <c r="T203" i="20"/>
  <c r="R267" i="20"/>
  <c r="V166" i="20"/>
  <c r="R190" i="20"/>
  <c r="S106" i="20"/>
  <c r="R194" i="20"/>
  <c r="T187" i="20"/>
  <c r="R251" i="20"/>
  <c r="V158" i="20"/>
  <c r="S135" i="20"/>
  <c r="S215" i="20"/>
  <c r="T255" i="20"/>
  <c r="Q247" i="20"/>
  <c r="R108" i="20"/>
  <c r="V116" i="20"/>
  <c r="V124" i="20"/>
  <c r="V132" i="20"/>
  <c r="T148" i="20"/>
  <c r="S156" i="20"/>
  <c r="V164" i="20"/>
  <c r="R172" i="20"/>
  <c r="S180" i="20"/>
  <c r="S188" i="20"/>
  <c r="S228" i="20"/>
  <c r="R228" i="20"/>
  <c r="Q244" i="20"/>
  <c r="S252" i="20"/>
  <c r="T252" i="20"/>
  <c r="R109" i="20"/>
  <c r="T149" i="20"/>
  <c r="T165" i="20"/>
  <c r="V197" i="20"/>
  <c r="V205" i="20"/>
  <c r="R213" i="20"/>
  <c r="S229" i="20"/>
  <c r="V237" i="20"/>
  <c r="T245" i="20"/>
  <c r="V253" i="20"/>
  <c r="V261" i="20"/>
  <c r="T277" i="20"/>
  <c r="Q277" i="20"/>
  <c r="V277" i="20"/>
  <c r="S174" i="20"/>
  <c r="S246" i="20"/>
  <c r="S159" i="20"/>
  <c r="S263" i="20"/>
  <c r="V128" i="20"/>
  <c r="R136" i="20"/>
  <c r="Q144" i="20"/>
  <c r="V144" i="20"/>
  <c r="T176" i="20"/>
  <c r="V192" i="20"/>
  <c r="V208" i="20"/>
  <c r="V216" i="20"/>
  <c r="R232" i="20"/>
  <c r="V240" i="20"/>
  <c r="Q256" i="20"/>
  <c r="V272" i="20"/>
  <c r="Q105" i="20"/>
  <c r="S129" i="20"/>
  <c r="V153" i="20"/>
  <c r="R209" i="20"/>
  <c r="V257" i="20"/>
  <c r="V154" i="20"/>
  <c r="V115" i="20"/>
  <c r="Q131" i="20"/>
  <c r="V131" i="20"/>
  <c r="Q179" i="20"/>
  <c r="Q195" i="20"/>
  <c r="Q211" i="20"/>
  <c r="V211" i="20"/>
  <c r="T243" i="20"/>
  <c r="S259" i="20"/>
  <c r="Q275" i="20"/>
  <c r="V102" i="20"/>
  <c r="R134" i="20"/>
  <c r="S167" i="20"/>
  <c r="T183" i="20"/>
  <c r="T239" i="20"/>
  <c r="T271" i="20"/>
  <c r="Q265" i="20"/>
  <c r="V162" i="20"/>
  <c r="T218" i="20"/>
  <c r="Q222" i="20"/>
  <c r="T262" i="20"/>
  <c r="V114" i="20"/>
  <c r="Q219" i="20"/>
  <c r="V219" i="20"/>
  <c r="R118" i="20"/>
  <c r="Q214" i="20"/>
  <c r="R135" i="20"/>
  <c r="T124" i="20"/>
  <c r="S148" i="20"/>
  <c r="V204" i="20"/>
  <c r="V212" i="20"/>
  <c r="V236" i="20"/>
  <c r="V244" i="20"/>
  <c r="V252" i="20"/>
  <c r="V276" i="20"/>
  <c r="V125" i="20"/>
  <c r="Q141" i="20"/>
  <c r="V141" i="20"/>
  <c r="R165" i="20"/>
  <c r="S189" i="20"/>
  <c r="Q110" i="20"/>
  <c r="V142" i="20"/>
  <c r="V278" i="20"/>
  <c r="V119" i="20"/>
  <c r="S191" i="20"/>
  <c r="Q263" i="20"/>
  <c r="Q112" i="20"/>
  <c r="R120" i="20"/>
  <c r="T128" i="20"/>
  <c r="R152" i="20"/>
  <c r="V176" i="20"/>
  <c r="V184" i="20"/>
  <c r="T208" i="20"/>
  <c r="V248" i="20"/>
  <c r="Q113" i="20"/>
  <c r="V161" i="20"/>
  <c r="T185" i="20"/>
  <c r="Q209" i="20"/>
  <c r="T241" i="20"/>
  <c r="R273" i="20"/>
  <c r="V178" i="20"/>
  <c r="T115" i="20"/>
  <c r="T179" i="20"/>
  <c r="V227" i="20"/>
  <c r="T102" i="20"/>
  <c r="V182" i="20"/>
  <c r="V238" i="20"/>
  <c r="Q127" i="20"/>
  <c r="V199" i="20"/>
  <c r="Q239" i="20"/>
  <c r="R169" i="20"/>
  <c r="S162" i="20"/>
  <c r="S218" i="20"/>
  <c r="S258" i="20"/>
  <c r="T274" i="20"/>
  <c r="V203" i="20"/>
  <c r="T235" i="20"/>
  <c r="V267" i="20"/>
  <c r="R126" i="20"/>
  <c r="Q190" i="20"/>
  <c r="R262" i="20"/>
  <c r="T114" i="20"/>
  <c r="T122" i="20"/>
  <c r="V122" i="20"/>
  <c r="T170" i="20"/>
  <c r="V194" i="20"/>
  <c r="R234" i="20"/>
  <c r="Q107" i="20"/>
  <c r="S155" i="20"/>
  <c r="S187" i="20"/>
  <c r="R219" i="20"/>
  <c r="S219" i="20"/>
  <c r="S116" i="20"/>
  <c r="S140" i="20"/>
  <c r="S172" i="20"/>
  <c r="T180" i="20"/>
  <c r="S196" i="20"/>
  <c r="Q220" i="20"/>
  <c r="Q109" i="20"/>
  <c r="S237" i="20"/>
  <c r="T174" i="20"/>
  <c r="Q254" i="20"/>
  <c r="R159" i="20"/>
  <c r="Q231" i="20"/>
  <c r="V143" i="20"/>
  <c r="V263" i="20"/>
  <c r="V104" i="20"/>
  <c r="Q120" i="20"/>
  <c r="Q136" i="20"/>
  <c r="S216" i="20"/>
  <c r="V224" i="20"/>
  <c r="V232" i="20"/>
  <c r="T272" i="20"/>
  <c r="Q137" i="20"/>
  <c r="V137" i="20"/>
  <c r="T153" i="20"/>
  <c r="S185" i="20"/>
  <c r="S193" i="20"/>
  <c r="Q217" i="20"/>
  <c r="V217" i="20"/>
  <c r="R241" i="20"/>
  <c r="V273" i="20"/>
  <c r="S178" i="20"/>
  <c r="R202" i="20"/>
  <c r="S266" i="20"/>
  <c r="S115" i="20"/>
  <c r="Q147" i="20"/>
  <c r="V147" i="20"/>
  <c r="V179" i="20"/>
  <c r="V195" i="20"/>
  <c r="V275" i="20"/>
  <c r="V134" i="20"/>
  <c r="R150" i="20"/>
  <c r="Q182" i="20"/>
  <c r="V271" i="20"/>
  <c r="U215" i="33"/>
  <c r="U214" i="33"/>
  <c r="U213" i="33"/>
  <c r="U212" i="33"/>
  <c r="U211" i="33"/>
  <c r="U210" i="33"/>
  <c r="U209" i="33"/>
  <c r="U208" i="33"/>
  <c r="U207" i="33"/>
  <c r="U206" i="33"/>
  <c r="U205" i="33"/>
  <c r="U204" i="33"/>
  <c r="U203" i="33"/>
  <c r="F214" i="33"/>
  <c r="F213" i="33"/>
  <c r="F212" i="33"/>
  <c r="F211" i="33"/>
  <c r="F210" i="33"/>
  <c r="F209" i="33"/>
  <c r="F208" i="33"/>
  <c r="F207" i="33"/>
  <c r="F206" i="33"/>
  <c r="F205" i="33"/>
  <c r="F204" i="33"/>
  <c r="F203" i="33"/>
  <c r="F202" i="33"/>
  <c r="P80" i="3"/>
  <c r="R80" i="3" s="1"/>
  <c r="O88" i="3"/>
  <c r="Q89" i="3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21" i="9"/>
  <c r="P78" i="3"/>
  <c r="D89" i="3"/>
  <c r="E89" i="3" s="1"/>
  <c r="D88" i="3"/>
  <c r="D87" i="3"/>
  <c r="D86" i="3"/>
  <c r="D85" i="3"/>
  <c r="E85" i="3" s="1"/>
  <c r="D84" i="3"/>
  <c r="D83" i="3"/>
  <c r="E83" i="3" s="1"/>
  <c r="G83" i="3" s="1"/>
  <c r="D82" i="3"/>
  <c r="E82" i="3" s="1"/>
  <c r="D81" i="3"/>
  <c r="E81" i="3" s="1"/>
  <c r="G81" i="3" s="1"/>
  <c r="D80" i="3"/>
  <c r="J81" i="3"/>
  <c r="J82" i="3"/>
  <c r="J83" i="3"/>
  <c r="J84" i="3"/>
  <c r="J85" i="3"/>
  <c r="E86" i="3"/>
  <c r="J86" i="3"/>
  <c r="J87" i="3"/>
  <c r="J88" i="3"/>
  <c r="J89" i="3"/>
  <c r="E90" i="3"/>
  <c r="G90" i="3"/>
  <c r="K90" i="3" s="1"/>
  <c r="J90" i="3"/>
  <c r="E91" i="3"/>
  <c r="G91" i="3"/>
  <c r="J91" i="3"/>
  <c r="E92" i="3"/>
  <c r="G92" i="3"/>
  <c r="K92" i="3" s="1"/>
  <c r="J92" i="3"/>
  <c r="E93" i="3"/>
  <c r="G93" i="3"/>
  <c r="J93" i="3"/>
  <c r="E94" i="3"/>
  <c r="G94" i="3"/>
  <c r="K94" i="3" s="1"/>
  <c r="J94" i="3"/>
  <c r="E95" i="3"/>
  <c r="G95" i="3"/>
  <c r="J95" i="3"/>
  <c r="E96" i="3"/>
  <c r="G96" i="3"/>
  <c r="K96" i="3" s="1"/>
  <c r="J96" i="3"/>
  <c r="E97" i="3"/>
  <c r="G97" i="3"/>
  <c r="J97" i="3"/>
  <c r="E98" i="3"/>
  <c r="G98" i="3"/>
  <c r="K98" i="3" s="1"/>
  <c r="J98" i="3"/>
  <c r="E99" i="3"/>
  <c r="G99" i="3"/>
  <c r="J99" i="3"/>
  <c r="E100" i="3"/>
  <c r="G100" i="3"/>
  <c r="K100" i="3" s="1"/>
  <c r="J100" i="3"/>
  <c r="E101" i="3"/>
  <c r="G101" i="3"/>
  <c r="J101" i="3"/>
  <c r="E102" i="3"/>
  <c r="G102" i="3"/>
  <c r="K102" i="3" s="1"/>
  <c r="J102" i="3"/>
  <c r="E103" i="3"/>
  <c r="G103" i="3"/>
  <c r="J103" i="3"/>
  <c r="E104" i="3"/>
  <c r="G104" i="3"/>
  <c r="K104" i="3" s="1"/>
  <c r="J104" i="3"/>
  <c r="E105" i="3"/>
  <c r="G105" i="3"/>
  <c r="J105" i="3"/>
  <c r="E106" i="3"/>
  <c r="G106" i="3"/>
  <c r="K106" i="3" s="1"/>
  <c r="J106" i="3"/>
  <c r="E107" i="3"/>
  <c r="G107" i="3"/>
  <c r="J107" i="3"/>
  <c r="E108" i="3"/>
  <c r="G108" i="3"/>
  <c r="K108" i="3" s="1"/>
  <c r="J108" i="3"/>
  <c r="E109" i="3"/>
  <c r="G109" i="3"/>
  <c r="J109" i="3"/>
  <c r="A86" i="41" l="1"/>
  <c r="D82" i="41"/>
  <c r="B82" i="41"/>
  <c r="B75" i="41"/>
  <c r="D75" i="41"/>
  <c r="C78" i="41"/>
  <c r="C79" i="41" s="1"/>
  <c r="C80" i="41" s="1"/>
  <c r="C81" i="41" s="1"/>
  <c r="D72" i="41"/>
  <c r="B72" i="41"/>
  <c r="A76" i="41"/>
  <c r="B69" i="41"/>
  <c r="A73" i="41"/>
  <c r="D73" i="41" s="1"/>
  <c r="A79" i="41"/>
  <c r="Y152" i="20"/>
  <c r="AI152" i="20" s="1"/>
  <c r="Y136" i="20"/>
  <c r="Z136" i="20" s="1"/>
  <c r="AA136" i="20" s="1"/>
  <c r="AG136" i="20" s="1"/>
  <c r="AC121" i="20"/>
  <c r="AD121" i="20" s="1"/>
  <c r="AE121" i="20" s="1"/>
  <c r="Y196" i="20"/>
  <c r="AI196" i="20" s="1"/>
  <c r="Y167" i="20"/>
  <c r="AH167" i="20" s="1"/>
  <c r="G85" i="3"/>
  <c r="L85" i="3" s="1"/>
  <c r="M85" i="3" s="1"/>
  <c r="Y201" i="20"/>
  <c r="AH201" i="20" s="1"/>
  <c r="Y127" i="20"/>
  <c r="AI127" i="20" s="1"/>
  <c r="AC111" i="20"/>
  <c r="AD111" i="20" s="1"/>
  <c r="AE111" i="20" s="1"/>
  <c r="Y210" i="20"/>
  <c r="Z210" i="20" s="1"/>
  <c r="AA210" i="20" s="1"/>
  <c r="AG210" i="20" s="1"/>
  <c r="Y186" i="20"/>
  <c r="Z186" i="20" s="1"/>
  <c r="AA186" i="20" s="1"/>
  <c r="AG186" i="20" s="1"/>
  <c r="AC155" i="20"/>
  <c r="AD155" i="20" s="1"/>
  <c r="AE155" i="20" s="1"/>
  <c r="Y133" i="20"/>
  <c r="Z133" i="20" s="1"/>
  <c r="AA133" i="20" s="1"/>
  <c r="AG133" i="20" s="1"/>
  <c r="AC262" i="20"/>
  <c r="AD262" i="20" s="1"/>
  <c r="AE262" i="20" s="1"/>
  <c r="AG262" i="20" s="1"/>
  <c r="AC207" i="20"/>
  <c r="AD207" i="20" s="1"/>
  <c r="AE207" i="20" s="1"/>
  <c r="Y103" i="20"/>
  <c r="AH103" i="20" s="1"/>
  <c r="AC110" i="20"/>
  <c r="AD110" i="20" s="1"/>
  <c r="AE110" i="20" s="1"/>
  <c r="AC220" i="20"/>
  <c r="AD220" i="20" s="1"/>
  <c r="AE220" i="20" s="1"/>
  <c r="AC190" i="20"/>
  <c r="AD190" i="20" s="1"/>
  <c r="AE190" i="20" s="1"/>
  <c r="AC170" i="20"/>
  <c r="AD170" i="20" s="1"/>
  <c r="AE170" i="20" s="1"/>
  <c r="AG170" i="20" s="1"/>
  <c r="AC177" i="20"/>
  <c r="AD177" i="20" s="1"/>
  <c r="AE177" i="20" s="1"/>
  <c r="AC200" i="20"/>
  <c r="AD200" i="20" s="1"/>
  <c r="AE200" i="20" s="1"/>
  <c r="Y245" i="20"/>
  <c r="Z245" i="20" s="1"/>
  <c r="AA245" i="20" s="1"/>
  <c r="AG245" i="20" s="1"/>
  <c r="AH170" i="20"/>
  <c r="J32" i="10"/>
  <c r="L31" i="10"/>
  <c r="H31" i="10"/>
  <c r="AH262" i="20"/>
  <c r="AI262" i="20"/>
  <c r="AI170" i="20"/>
  <c r="L103" i="3"/>
  <c r="M103" i="3" s="1"/>
  <c r="L95" i="3"/>
  <c r="M95" i="3" s="1"/>
  <c r="AC224" i="20"/>
  <c r="AD224" i="20" s="1"/>
  <c r="AE224" i="20" s="1"/>
  <c r="Y224" i="20"/>
  <c r="Y267" i="20"/>
  <c r="AC267" i="20"/>
  <c r="AD267" i="20" s="1"/>
  <c r="AE267" i="20" s="1"/>
  <c r="Y178" i="20"/>
  <c r="AC178" i="20"/>
  <c r="AD178" i="20" s="1"/>
  <c r="AE178" i="20" s="1"/>
  <c r="AC278" i="20"/>
  <c r="AD278" i="20" s="1"/>
  <c r="AE278" i="20" s="1"/>
  <c r="Y278" i="20"/>
  <c r="AC244" i="20"/>
  <c r="AD244" i="20" s="1"/>
  <c r="AE244" i="20" s="1"/>
  <c r="Y244" i="20"/>
  <c r="Y211" i="20"/>
  <c r="AC211" i="20"/>
  <c r="AD211" i="20" s="1"/>
  <c r="AE211" i="20" s="1"/>
  <c r="AC144" i="20"/>
  <c r="AD144" i="20" s="1"/>
  <c r="AE144" i="20" s="1"/>
  <c r="Y144" i="20"/>
  <c r="AC237" i="20"/>
  <c r="AD237" i="20" s="1"/>
  <c r="AE237" i="20" s="1"/>
  <c r="Y237" i="20"/>
  <c r="AC163" i="20"/>
  <c r="AD163" i="20" s="1"/>
  <c r="AE163" i="20" s="1"/>
  <c r="Y163" i="20"/>
  <c r="AC183" i="20"/>
  <c r="AD183" i="20" s="1"/>
  <c r="AE183" i="20" s="1"/>
  <c r="Y183" i="20"/>
  <c r="AC258" i="20"/>
  <c r="AD258" i="20" s="1"/>
  <c r="AE258" i="20" s="1"/>
  <c r="Y258" i="20"/>
  <c r="AC209" i="20"/>
  <c r="AD209" i="20" s="1"/>
  <c r="AE209" i="20" s="1"/>
  <c r="Y209" i="20"/>
  <c r="AC254" i="20"/>
  <c r="AD254" i="20" s="1"/>
  <c r="AE254" i="20" s="1"/>
  <c r="Y254" i="20"/>
  <c r="Y213" i="20"/>
  <c r="AC213" i="20"/>
  <c r="AD213" i="20" s="1"/>
  <c r="AE213" i="20" s="1"/>
  <c r="AC241" i="20"/>
  <c r="AD241" i="20" s="1"/>
  <c r="AE241" i="20" s="1"/>
  <c r="Y241" i="20"/>
  <c r="AC222" i="20"/>
  <c r="AD222" i="20" s="1"/>
  <c r="AE222" i="20" s="1"/>
  <c r="Y222" i="20"/>
  <c r="Y173" i="20"/>
  <c r="AC173" i="20"/>
  <c r="AD173" i="20" s="1"/>
  <c r="AE173" i="20" s="1"/>
  <c r="Y260" i="20"/>
  <c r="AC260" i="20"/>
  <c r="AD260" i="20" s="1"/>
  <c r="AE260" i="20" s="1"/>
  <c r="Y148" i="20"/>
  <c r="AC148" i="20"/>
  <c r="AD148" i="20" s="1"/>
  <c r="AE148" i="20" s="1"/>
  <c r="AC233" i="20"/>
  <c r="AD233" i="20" s="1"/>
  <c r="AE233" i="20" s="1"/>
  <c r="Y233" i="20"/>
  <c r="AC145" i="20"/>
  <c r="AD145" i="20" s="1"/>
  <c r="AE145" i="20" s="1"/>
  <c r="Y145" i="20"/>
  <c r="AC195" i="20"/>
  <c r="AD195" i="20" s="1"/>
  <c r="AE195" i="20" s="1"/>
  <c r="Y195" i="20"/>
  <c r="Y122" i="20"/>
  <c r="AC122" i="20"/>
  <c r="AD122" i="20" s="1"/>
  <c r="AE122" i="20" s="1"/>
  <c r="AC238" i="20"/>
  <c r="AD238" i="20" s="1"/>
  <c r="AE238" i="20" s="1"/>
  <c r="Y238" i="20"/>
  <c r="Y248" i="20"/>
  <c r="AC248" i="20"/>
  <c r="AD248" i="20" s="1"/>
  <c r="AE248" i="20" s="1"/>
  <c r="AC236" i="20"/>
  <c r="AD236" i="20" s="1"/>
  <c r="AE236" i="20" s="1"/>
  <c r="Y236" i="20"/>
  <c r="AC257" i="20"/>
  <c r="AD257" i="20" s="1"/>
  <c r="AE257" i="20" s="1"/>
  <c r="Y257" i="20"/>
  <c r="Y164" i="20"/>
  <c r="AC164" i="20"/>
  <c r="AD164" i="20" s="1"/>
  <c r="AE164" i="20" s="1"/>
  <c r="Y202" i="20"/>
  <c r="AC202" i="20"/>
  <c r="AD202" i="20" s="1"/>
  <c r="AE202" i="20" s="1"/>
  <c r="Y129" i="20"/>
  <c r="AC129" i="20"/>
  <c r="AD129" i="20" s="1"/>
  <c r="AE129" i="20" s="1"/>
  <c r="Y188" i="20"/>
  <c r="AC188" i="20"/>
  <c r="AD188" i="20" s="1"/>
  <c r="AE188" i="20" s="1"/>
  <c r="AC242" i="20"/>
  <c r="AD242" i="20" s="1"/>
  <c r="AE242" i="20" s="1"/>
  <c r="Y242" i="20"/>
  <c r="AC239" i="20"/>
  <c r="AD239" i="20" s="1"/>
  <c r="AE239" i="20" s="1"/>
  <c r="Y239" i="20"/>
  <c r="AC225" i="20"/>
  <c r="AD225" i="20" s="1"/>
  <c r="AE225" i="20" s="1"/>
  <c r="Y225" i="20"/>
  <c r="Y160" i="20"/>
  <c r="AC160" i="20"/>
  <c r="AD160" i="20" s="1"/>
  <c r="AE160" i="20" s="1"/>
  <c r="Y109" i="20"/>
  <c r="AC109" i="20"/>
  <c r="AD109" i="20" s="1"/>
  <c r="AE109" i="20" s="1"/>
  <c r="Y123" i="20"/>
  <c r="AC123" i="20"/>
  <c r="AD123" i="20" s="1"/>
  <c r="AE123" i="20" s="1"/>
  <c r="AC269" i="20"/>
  <c r="AD269" i="20" s="1"/>
  <c r="AE269" i="20" s="1"/>
  <c r="Y269" i="20"/>
  <c r="Y130" i="20"/>
  <c r="AC130" i="20"/>
  <c r="AD130" i="20" s="1"/>
  <c r="AE130" i="20" s="1"/>
  <c r="Y179" i="20"/>
  <c r="AC179" i="20"/>
  <c r="AD179" i="20" s="1"/>
  <c r="AE179" i="20" s="1"/>
  <c r="Y182" i="20"/>
  <c r="AC182" i="20"/>
  <c r="AD182" i="20" s="1"/>
  <c r="AE182" i="20" s="1"/>
  <c r="AC141" i="20"/>
  <c r="AD141" i="20" s="1"/>
  <c r="AE141" i="20" s="1"/>
  <c r="Y141" i="20"/>
  <c r="AC212" i="20"/>
  <c r="AD212" i="20" s="1"/>
  <c r="AE212" i="20" s="1"/>
  <c r="Y212" i="20"/>
  <c r="AC240" i="20"/>
  <c r="AD240" i="20" s="1"/>
  <c r="AE240" i="20" s="1"/>
  <c r="Y240" i="20"/>
  <c r="AC277" i="20"/>
  <c r="AD277" i="20" s="1"/>
  <c r="AE277" i="20" s="1"/>
  <c r="Y277" i="20"/>
  <c r="Y117" i="20"/>
  <c r="AC117" i="20"/>
  <c r="AD117" i="20" s="1"/>
  <c r="AE117" i="20" s="1"/>
  <c r="Y180" i="20"/>
  <c r="AC180" i="20"/>
  <c r="AD180" i="20" s="1"/>
  <c r="AE180" i="20" s="1"/>
  <c r="Y189" i="20"/>
  <c r="AC189" i="20"/>
  <c r="AD189" i="20" s="1"/>
  <c r="AE189" i="20" s="1"/>
  <c r="Y118" i="20"/>
  <c r="AC118" i="20"/>
  <c r="AD118" i="20" s="1"/>
  <c r="AE118" i="20" s="1"/>
  <c r="AC270" i="20"/>
  <c r="AD270" i="20" s="1"/>
  <c r="AE270" i="20" s="1"/>
  <c r="Y270" i="20"/>
  <c r="AC266" i="20"/>
  <c r="AD266" i="20" s="1"/>
  <c r="AE266" i="20" s="1"/>
  <c r="Y266" i="20"/>
  <c r="AC268" i="20"/>
  <c r="AD268" i="20" s="1"/>
  <c r="AE268" i="20" s="1"/>
  <c r="Y268" i="20"/>
  <c r="Y107" i="20"/>
  <c r="AC107" i="20"/>
  <c r="AD107" i="20" s="1"/>
  <c r="AE107" i="20" s="1"/>
  <c r="AC274" i="20"/>
  <c r="AD274" i="20" s="1"/>
  <c r="AE274" i="20" s="1"/>
  <c r="Y274" i="20"/>
  <c r="Y112" i="20"/>
  <c r="AC112" i="20"/>
  <c r="AD112" i="20" s="1"/>
  <c r="AE112" i="20" s="1"/>
  <c r="AC187" i="20"/>
  <c r="AD187" i="20" s="1"/>
  <c r="AE187" i="20" s="1"/>
  <c r="Y187" i="20"/>
  <c r="AI177" i="20"/>
  <c r="Z177" i="20"/>
  <c r="AA177" i="20" s="1"/>
  <c r="AH177" i="20"/>
  <c r="Z220" i="20"/>
  <c r="AA220" i="20" s="1"/>
  <c r="AH220" i="20"/>
  <c r="AI220" i="20"/>
  <c r="Z190" i="20"/>
  <c r="AA190" i="20" s="1"/>
  <c r="AI190" i="20"/>
  <c r="AH190" i="20"/>
  <c r="AC271" i="20"/>
  <c r="AD271" i="20" s="1"/>
  <c r="AE271" i="20" s="1"/>
  <c r="Y271" i="20"/>
  <c r="Y147" i="20"/>
  <c r="AC147" i="20"/>
  <c r="AD147" i="20" s="1"/>
  <c r="AE147" i="20" s="1"/>
  <c r="AC273" i="20"/>
  <c r="AD273" i="20" s="1"/>
  <c r="AE273" i="20" s="1"/>
  <c r="Y273" i="20"/>
  <c r="AC137" i="20"/>
  <c r="AD137" i="20" s="1"/>
  <c r="AE137" i="20" s="1"/>
  <c r="Y137" i="20"/>
  <c r="AC203" i="20"/>
  <c r="AD203" i="20" s="1"/>
  <c r="AE203" i="20" s="1"/>
  <c r="Y203" i="20"/>
  <c r="Y204" i="20"/>
  <c r="AC204" i="20"/>
  <c r="AD204" i="20" s="1"/>
  <c r="AE204" i="20" s="1"/>
  <c r="AC102" i="20"/>
  <c r="AD102" i="20" s="1"/>
  <c r="AE102" i="20" s="1"/>
  <c r="Y102" i="20"/>
  <c r="Y128" i="20"/>
  <c r="AC128" i="20"/>
  <c r="AD128" i="20" s="1"/>
  <c r="AE128" i="20" s="1"/>
  <c r="AC218" i="20"/>
  <c r="AD218" i="20" s="1"/>
  <c r="AE218" i="20" s="1"/>
  <c r="Y218" i="20"/>
  <c r="Y156" i="20"/>
  <c r="AC156" i="20"/>
  <c r="AD156" i="20" s="1"/>
  <c r="AE156" i="20" s="1"/>
  <c r="Y181" i="20"/>
  <c r="AC181" i="20"/>
  <c r="AD181" i="20" s="1"/>
  <c r="AE181" i="20" s="1"/>
  <c r="AC215" i="20"/>
  <c r="AD215" i="20" s="1"/>
  <c r="AE215" i="20" s="1"/>
  <c r="Y215" i="20"/>
  <c r="AC146" i="20"/>
  <c r="AD146" i="20" s="1"/>
  <c r="AE146" i="20" s="1"/>
  <c r="Y146" i="20"/>
  <c r="AC113" i="20"/>
  <c r="AD113" i="20" s="1"/>
  <c r="AE113" i="20" s="1"/>
  <c r="Y113" i="20"/>
  <c r="AC226" i="20"/>
  <c r="AD226" i="20" s="1"/>
  <c r="AE226" i="20" s="1"/>
  <c r="Y226" i="20"/>
  <c r="AC246" i="20"/>
  <c r="AD246" i="20" s="1"/>
  <c r="AE246" i="20" s="1"/>
  <c r="Y246" i="20"/>
  <c r="Y228" i="20"/>
  <c r="AC228" i="20"/>
  <c r="AD228" i="20" s="1"/>
  <c r="AE228" i="20" s="1"/>
  <c r="AC105" i="20"/>
  <c r="AD105" i="20" s="1"/>
  <c r="AE105" i="20" s="1"/>
  <c r="Y105" i="20"/>
  <c r="Y104" i="20"/>
  <c r="AC104" i="20"/>
  <c r="AD104" i="20" s="1"/>
  <c r="AE104" i="20" s="1"/>
  <c r="Y184" i="20"/>
  <c r="AC184" i="20"/>
  <c r="AD184" i="20" s="1"/>
  <c r="AE184" i="20" s="1"/>
  <c r="AC142" i="20"/>
  <c r="AD142" i="20" s="1"/>
  <c r="AE142" i="20" s="1"/>
  <c r="Y142" i="20"/>
  <c r="Y125" i="20"/>
  <c r="AC125" i="20"/>
  <c r="AD125" i="20" s="1"/>
  <c r="AE125" i="20" s="1"/>
  <c r="Y162" i="20"/>
  <c r="AC162" i="20"/>
  <c r="AD162" i="20" s="1"/>
  <c r="AE162" i="20" s="1"/>
  <c r="AC131" i="20"/>
  <c r="AD131" i="20" s="1"/>
  <c r="AE131" i="20" s="1"/>
  <c r="Y131" i="20"/>
  <c r="AC153" i="20"/>
  <c r="AD153" i="20" s="1"/>
  <c r="AE153" i="20" s="1"/>
  <c r="Y153" i="20"/>
  <c r="AC216" i="20"/>
  <c r="AD216" i="20" s="1"/>
  <c r="AE216" i="20" s="1"/>
  <c r="Y216" i="20"/>
  <c r="AC205" i="20"/>
  <c r="AD205" i="20" s="1"/>
  <c r="AE205" i="20" s="1"/>
  <c r="Y205" i="20"/>
  <c r="AC132" i="20"/>
  <c r="AD132" i="20" s="1"/>
  <c r="AE132" i="20" s="1"/>
  <c r="Y132" i="20"/>
  <c r="AC165" i="20"/>
  <c r="AD165" i="20" s="1"/>
  <c r="AE165" i="20" s="1"/>
  <c r="Y165" i="20"/>
  <c r="AC140" i="20"/>
  <c r="AD140" i="20" s="1"/>
  <c r="AE140" i="20" s="1"/>
  <c r="Y140" i="20"/>
  <c r="Y126" i="20"/>
  <c r="AC126" i="20"/>
  <c r="AD126" i="20" s="1"/>
  <c r="AE126" i="20" s="1"/>
  <c r="Y168" i="20"/>
  <c r="AC168" i="20"/>
  <c r="AD168" i="20" s="1"/>
  <c r="AE168" i="20" s="1"/>
  <c r="AC230" i="20"/>
  <c r="AD230" i="20" s="1"/>
  <c r="AE230" i="20" s="1"/>
  <c r="Y230" i="20"/>
  <c r="AC251" i="20"/>
  <c r="AD251" i="20" s="1"/>
  <c r="AE251" i="20" s="1"/>
  <c r="Y251" i="20"/>
  <c r="AC250" i="20"/>
  <c r="AD250" i="20" s="1"/>
  <c r="AE250" i="20" s="1"/>
  <c r="Y250" i="20"/>
  <c r="Y120" i="20"/>
  <c r="AC120" i="20"/>
  <c r="AD120" i="20" s="1"/>
  <c r="AE120" i="20" s="1"/>
  <c r="AC151" i="20"/>
  <c r="AD151" i="20" s="1"/>
  <c r="AE151" i="20" s="1"/>
  <c r="Y151" i="20"/>
  <c r="AC259" i="20"/>
  <c r="AD259" i="20" s="1"/>
  <c r="AE259" i="20" s="1"/>
  <c r="Y259" i="20"/>
  <c r="Y185" i="20"/>
  <c r="AC185" i="20"/>
  <c r="AD185" i="20" s="1"/>
  <c r="AE185" i="20" s="1"/>
  <c r="Y223" i="20"/>
  <c r="AC223" i="20"/>
  <c r="AD223" i="20" s="1"/>
  <c r="AE223" i="20" s="1"/>
  <c r="Y206" i="20"/>
  <c r="AC206" i="20"/>
  <c r="AD206" i="20" s="1"/>
  <c r="AE206" i="20" s="1"/>
  <c r="Y108" i="20"/>
  <c r="AC108" i="20"/>
  <c r="AD108" i="20" s="1"/>
  <c r="AE108" i="20" s="1"/>
  <c r="AC234" i="20"/>
  <c r="AD234" i="20" s="1"/>
  <c r="AE234" i="20" s="1"/>
  <c r="Y234" i="20"/>
  <c r="AH207" i="20"/>
  <c r="AI207" i="20"/>
  <c r="Z207" i="20"/>
  <c r="AA207" i="20" s="1"/>
  <c r="AC256" i="20"/>
  <c r="AD256" i="20" s="1"/>
  <c r="AE256" i="20" s="1"/>
  <c r="Y256" i="20"/>
  <c r="AC263" i="20"/>
  <c r="AD263" i="20" s="1"/>
  <c r="AE263" i="20" s="1"/>
  <c r="Y263" i="20"/>
  <c r="Y227" i="20"/>
  <c r="AC227" i="20"/>
  <c r="AD227" i="20" s="1"/>
  <c r="AE227" i="20" s="1"/>
  <c r="Y176" i="20"/>
  <c r="AC176" i="20"/>
  <c r="AD176" i="20" s="1"/>
  <c r="AE176" i="20" s="1"/>
  <c r="AC219" i="20"/>
  <c r="AD219" i="20" s="1"/>
  <c r="AE219" i="20" s="1"/>
  <c r="Y219" i="20"/>
  <c r="Y208" i="20"/>
  <c r="AC208" i="20"/>
  <c r="AD208" i="20" s="1"/>
  <c r="AE208" i="20" s="1"/>
  <c r="AC261" i="20"/>
  <c r="AD261" i="20" s="1"/>
  <c r="AE261" i="20" s="1"/>
  <c r="Y261" i="20"/>
  <c r="AC197" i="20"/>
  <c r="AD197" i="20" s="1"/>
  <c r="AE197" i="20" s="1"/>
  <c r="Y197" i="20"/>
  <c r="Y124" i="20"/>
  <c r="AC124" i="20"/>
  <c r="AD124" i="20" s="1"/>
  <c r="AE124" i="20" s="1"/>
  <c r="Y166" i="20"/>
  <c r="AC166" i="20"/>
  <c r="AD166" i="20" s="1"/>
  <c r="AE166" i="20" s="1"/>
  <c r="AC265" i="20"/>
  <c r="AD265" i="20" s="1"/>
  <c r="AE265" i="20" s="1"/>
  <c r="Y265" i="20"/>
  <c r="AC171" i="20"/>
  <c r="AD171" i="20" s="1"/>
  <c r="AE171" i="20" s="1"/>
  <c r="Y171" i="20"/>
  <c r="AC264" i="20"/>
  <c r="AD264" i="20" s="1"/>
  <c r="AE264" i="20" s="1"/>
  <c r="Y264" i="20"/>
  <c r="Y198" i="20"/>
  <c r="AC198" i="20"/>
  <c r="AD198" i="20" s="1"/>
  <c r="AE198" i="20" s="1"/>
  <c r="AC175" i="20"/>
  <c r="AD175" i="20" s="1"/>
  <c r="AE175" i="20" s="1"/>
  <c r="Y175" i="20"/>
  <c r="AC221" i="20"/>
  <c r="AD221" i="20" s="1"/>
  <c r="AE221" i="20" s="1"/>
  <c r="Y221" i="20"/>
  <c r="AC255" i="20"/>
  <c r="AD255" i="20" s="1"/>
  <c r="AE255" i="20" s="1"/>
  <c r="Y255" i="20"/>
  <c r="AC174" i="20"/>
  <c r="AD174" i="20" s="1"/>
  <c r="AE174" i="20" s="1"/>
  <c r="Y174" i="20"/>
  <c r="Z110" i="20"/>
  <c r="AA110" i="20" s="1"/>
  <c r="AH110" i="20"/>
  <c r="AI110" i="20"/>
  <c r="AI111" i="20"/>
  <c r="Z111" i="20"/>
  <c r="AA111" i="20" s="1"/>
  <c r="AH111" i="20"/>
  <c r="AI121" i="20"/>
  <c r="Z121" i="20"/>
  <c r="AA121" i="20" s="1"/>
  <c r="L109" i="3"/>
  <c r="M109" i="3" s="1"/>
  <c r="L101" i="3"/>
  <c r="M101" i="3" s="1"/>
  <c r="L93" i="3"/>
  <c r="M93" i="3" s="1"/>
  <c r="AC134" i="20"/>
  <c r="AD134" i="20" s="1"/>
  <c r="AE134" i="20" s="1"/>
  <c r="Y134" i="20"/>
  <c r="Y217" i="20"/>
  <c r="AC217" i="20"/>
  <c r="AD217" i="20" s="1"/>
  <c r="AE217" i="20" s="1"/>
  <c r="AC232" i="20"/>
  <c r="AD232" i="20" s="1"/>
  <c r="AE232" i="20" s="1"/>
  <c r="Y232" i="20"/>
  <c r="AC143" i="20"/>
  <c r="AD143" i="20" s="1"/>
  <c r="AE143" i="20" s="1"/>
  <c r="Y143" i="20"/>
  <c r="Y194" i="20"/>
  <c r="AC194" i="20"/>
  <c r="AD194" i="20" s="1"/>
  <c r="AE194" i="20" s="1"/>
  <c r="Y199" i="20"/>
  <c r="AC199" i="20"/>
  <c r="AD199" i="20" s="1"/>
  <c r="AE199" i="20" s="1"/>
  <c r="Y161" i="20"/>
  <c r="AC161" i="20"/>
  <c r="AD161" i="20" s="1"/>
  <c r="AE161" i="20" s="1"/>
  <c r="Y119" i="20"/>
  <c r="AC119" i="20"/>
  <c r="AD119" i="20" s="1"/>
  <c r="AE119" i="20" s="1"/>
  <c r="AC276" i="20"/>
  <c r="AD276" i="20" s="1"/>
  <c r="AE276" i="20" s="1"/>
  <c r="Y276" i="20"/>
  <c r="Y115" i="20"/>
  <c r="AC115" i="20"/>
  <c r="AD115" i="20" s="1"/>
  <c r="AE115" i="20" s="1"/>
  <c r="Y192" i="20"/>
  <c r="AC192" i="20"/>
  <c r="AD192" i="20" s="1"/>
  <c r="AE192" i="20" s="1"/>
  <c r="AC253" i="20"/>
  <c r="AD253" i="20" s="1"/>
  <c r="AE253" i="20" s="1"/>
  <c r="Y253" i="20"/>
  <c r="AC116" i="20"/>
  <c r="AD116" i="20" s="1"/>
  <c r="AE116" i="20" s="1"/>
  <c r="Y116" i="20"/>
  <c r="Y158" i="20"/>
  <c r="AC158" i="20"/>
  <c r="AD158" i="20" s="1"/>
  <c r="AE158" i="20" s="1"/>
  <c r="Y193" i="20"/>
  <c r="AC193" i="20"/>
  <c r="AD193" i="20" s="1"/>
  <c r="AE193" i="20" s="1"/>
  <c r="AC138" i="20"/>
  <c r="AD138" i="20" s="1"/>
  <c r="AE138" i="20" s="1"/>
  <c r="Y138" i="20"/>
  <c r="AC135" i="20"/>
  <c r="AD135" i="20" s="1"/>
  <c r="AE135" i="20" s="1"/>
  <c r="Y135" i="20"/>
  <c r="Y106" i="20"/>
  <c r="AC106" i="20"/>
  <c r="AD106" i="20" s="1"/>
  <c r="AE106" i="20" s="1"/>
  <c r="Y157" i="20"/>
  <c r="AC157" i="20"/>
  <c r="AD157" i="20" s="1"/>
  <c r="AE157" i="20" s="1"/>
  <c r="Y172" i="20"/>
  <c r="AC172" i="20"/>
  <c r="AD172" i="20" s="1"/>
  <c r="AE172" i="20" s="1"/>
  <c r="Y229" i="20"/>
  <c r="AC229" i="20"/>
  <c r="AD229" i="20" s="1"/>
  <c r="AE229" i="20" s="1"/>
  <c r="Z155" i="20"/>
  <c r="AA155" i="20" s="1"/>
  <c r="AI155" i="20"/>
  <c r="AH155" i="20"/>
  <c r="L81" i="3"/>
  <c r="M81" i="3" s="1"/>
  <c r="AC275" i="20"/>
  <c r="AD275" i="20" s="1"/>
  <c r="AE275" i="20" s="1"/>
  <c r="Y275" i="20"/>
  <c r="AC252" i="20"/>
  <c r="AD252" i="20" s="1"/>
  <c r="AE252" i="20" s="1"/>
  <c r="Y252" i="20"/>
  <c r="Y114" i="20"/>
  <c r="AC114" i="20"/>
  <c r="AD114" i="20" s="1"/>
  <c r="AE114" i="20" s="1"/>
  <c r="Y154" i="20"/>
  <c r="AC154" i="20"/>
  <c r="AD154" i="20" s="1"/>
  <c r="AE154" i="20" s="1"/>
  <c r="AC272" i="20"/>
  <c r="AD272" i="20" s="1"/>
  <c r="AE272" i="20" s="1"/>
  <c r="Y272" i="20"/>
  <c r="Y191" i="20"/>
  <c r="AC191" i="20"/>
  <c r="AD191" i="20" s="1"/>
  <c r="AE191" i="20" s="1"/>
  <c r="AC149" i="20"/>
  <c r="AD149" i="20" s="1"/>
  <c r="AE149" i="20" s="1"/>
  <c r="Y149" i="20"/>
  <c r="AC235" i="20"/>
  <c r="AD235" i="20" s="1"/>
  <c r="AE235" i="20" s="1"/>
  <c r="Y235" i="20"/>
  <c r="Y169" i="20"/>
  <c r="AC169" i="20"/>
  <c r="AD169" i="20" s="1"/>
  <c r="AE169" i="20" s="1"/>
  <c r="Y150" i="20"/>
  <c r="AC150" i="20"/>
  <c r="AD150" i="20" s="1"/>
  <c r="AE150" i="20" s="1"/>
  <c r="AC231" i="20"/>
  <c r="AD231" i="20" s="1"/>
  <c r="AE231" i="20" s="1"/>
  <c r="Y231" i="20"/>
  <c r="AC247" i="20"/>
  <c r="AD247" i="20" s="1"/>
  <c r="AE247" i="20" s="1"/>
  <c r="Y247" i="20"/>
  <c r="AC249" i="20"/>
  <c r="AD249" i="20" s="1"/>
  <c r="AE249" i="20" s="1"/>
  <c r="Y249" i="20"/>
  <c r="AC139" i="20"/>
  <c r="AD139" i="20" s="1"/>
  <c r="AE139" i="20" s="1"/>
  <c r="Y139" i="20"/>
  <c r="AC159" i="20"/>
  <c r="AD159" i="20" s="1"/>
  <c r="AE159" i="20" s="1"/>
  <c r="Y159" i="20"/>
  <c r="AC214" i="20"/>
  <c r="AD214" i="20" s="1"/>
  <c r="AE214" i="20" s="1"/>
  <c r="Y214" i="20"/>
  <c r="Y243" i="20"/>
  <c r="AC243" i="20"/>
  <c r="AD243" i="20" s="1"/>
  <c r="AE243" i="20" s="1"/>
  <c r="Z200" i="20"/>
  <c r="AA200" i="20" s="1"/>
  <c r="AH200" i="20"/>
  <c r="AI200" i="20"/>
  <c r="L105" i="3"/>
  <c r="M105" i="3" s="1"/>
  <c r="L97" i="3"/>
  <c r="M97" i="3" s="1"/>
  <c r="G89" i="3"/>
  <c r="L89" i="3" s="1"/>
  <c r="M89" i="3" s="1"/>
  <c r="L99" i="3"/>
  <c r="M99" i="3" s="1"/>
  <c r="L91" i="3"/>
  <c r="M91" i="3" s="1"/>
  <c r="L107" i="3"/>
  <c r="M107" i="3" s="1"/>
  <c r="E87" i="3"/>
  <c r="G87" i="3" s="1"/>
  <c r="L87" i="3" s="1"/>
  <c r="M87" i="3" s="1"/>
  <c r="G86" i="3"/>
  <c r="K86" i="3" s="1"/>
  <c r="G82" i="3"/>
  <c r="K82" i="3" s="1"/>
  <c r="E88" i="3"/>
  <c r="G88" i="3" s="1"/>
  <c r="E84" i="3"/>
  <c r="G84" i="3" s="1"/>
  <c r="L83" i="3"/>
  <c r="M83" i="3" s="1"/>
  <c r="K95" i="3"/>
  <c r="K105" i="3"/>
  <c r="K97" i="3"/>
  <c r="K81" i="3"/>
  <c r="K103" i="3"/>
  <c r="K107" i="3"/>
  <c r="K99" i="3"/>
  <c r="K91" i="3"/>
  <c r="K83" i="3"/>
  <c r="K109" i="3"/>
  <c r="K101" i="3"/>
  <c r="K93" i="3"/>
  <c r="L108" i="3"/>
  <c r="M108" i="3" s="1"/>
  <c r="L106" i="3"/>
  <c r="M106" i="3" s="1"/>
  <c r="L104" i="3"/>
  <c r="M104" i="3" s="1"/>
  <c r="L102" i="3"/>
  <c r="M102" i="3" s="1"/>
  <c r="L100" i="3"/>
  <c r="M100" i="3" s="1"/>
  <c r="L98" i="3"/>
  <c r="M98" i="3" s="1"/>
  <c r="L96" i="3"/>
  <c r="M96" i="3" s="1"/>
  <c r="L94" i="3"/>
  <c r="M94" i="3" s="1"/>
  <c r="L92" i="3"/>
  <c r="M92" i="3" s="1"/>
  <c r="L90" i="3"/>
  <c r="M90" i="3" s="1"/>
  <c r="Z167" i="20" l="1"/>
  <c r="AA167" i="20" s="1"/>
  <c r="AG167" i="20" s="1"/>
  <c r="AI133" i="20"/>
  <c r="AH133" i="20"/>
  <c r="AG111" i="20"/>
  <c r="AG110" i="20"/>
  <c r="AH152" i="20"/>
  <c r="AI167" i="20"/>
  <c r="Z152" i="20"/>
  <c r="AA152" i="20" s="1"/>
  <c r="AG152" i="20" s="1"/>
  <c r="AH196" i="20"/>
  <c r="B73" i="41"/>
  <c r="A77" i="41"/>
  <c r="D77" i="41" s="1"/>
  <c r="D79" i="41"/>
  <c r="B79" i="41"/>
  <c r="D76" i="41"/>
  <c r="B76" i="41"/>
  <c r="A80" i="41"/>
  <c r="C82" i="41"/>
  <c r="C83" i="41" s="1"/>
  <c r="C84" i="41" s="1"/>
  <c r="C85" i="41" s="1"/>
  <c r="A90" i="41"/>
  <c r="D86" i="41"/>
  <c r="B86" i="41"/>
  <c r="A83" i="41"/>
  <c r="AG200" i="20"/>
  <c r="AG121" i="20"/>
  <c r="AH136" i="20"/>
  <c r="AI136" i="20"/>
  <c r="Z196" i="20"/>
  <c r="AA196" i="20" s="1"/>
  <c r="AG196" i="20" s="1"/>
  <c r="AI201" i="20"/>
  <c r="AG207" i="20"/>
  <c r="Z201" i="20"/>
  <c r="AA201" i="20" s="1"/>
  <c r="AG201" i="20" s="1"/>
  <c r="Z103" i="20"/>
  <c r="AA103" i="20" s="1"/>
  <c r="AG103" i="20" s="1"/>
  <c r="AH127" i="20"/>
  <c r="Z127" i="20"/>
  <c r="AA127" i="20" s="1"/>
  <c r="AG127" i="20" s="1"/>
  <c r="AI186" i="20"/>
  <c r="AH186" i="20"/>
  <c r="AG155" i="20"/>
  <c r="AI210" i="20"/>
  <c r="K85" i="3"/>
  <c r="AH210" i="20"/>
  <c r="AI103" i="20"/>
  <c r="AG190" i="20"/>
  <c r="AI245" i="20"/>
  <c r="AG177" i="20"/>
  <c r="AG220" i="20"/>
  <c r="AH245" i="20"/>
  <c r="J33" i="10"/>
  <c r="L32" i="10"/>
  <c r="H32" i="10"/>
  <c r="Z154" i="20"/>
  <c r="AA154" i="20" s="1"/>
  <c r="AG154" i="20" s="1"/>
  <c r="AH154" i="20"/>
  <c r="AI154" i="20"/>
  <c r="Z232" i="20"/>
  <c r="AA232" i="20" s="1"/>
  <c r="AG232" i="20" s="1"/>
  <c r="AI232" i="20"/>
  <c r="AH232" i="20"/>
  <c r="Z175" i="20"/>
  <c r="AA175" i="20" s="1"/>
  <c r="AG175" i="20" s="1"/>
  <c r="AI175" i="20"/>
  <c r="AH175" i="20"/>
  <c r="Z265" i="20"/>
  <c r="AA265" i="20" s="1"/>
  <c r="AG265" i="20" s="1"/>
  <c r="AH265" i="20"/>
  <c r="AI265" i="20"/>
  <c r="Z261" i="20"/>
  <c r="AA261" i="20" s="1"/>
  <c r="AG261" i="20" s="1"/>
  <c r="AI261" i="20"/>
  <c r="AH261" i="20"/>
  <c r="Z256" i="20"/>
  <c r="AA256" i="20" s="1"/>
  <c r="AG256" i="20" s="1"/>
  <c r="AH256" i="20"/>
  <c r="AI256" i="20"/>
  <c r="AI108" i="20"/>
  <c r="Z108" i="20"/>
  <c r="AA108" i="20" s="1"/>
  <c r="AG108" i="20" s="1"/>
  <c r="AH108" i="20"/>
  <c r="AH156" i="20"/>
  <c r="AI156" i="20"/>
  <c r="Z156" i="20"/>
  <c r="AA156" i="20" s="1"/>
  <c r="AG156" i="20" s="1"/>
  <c r="Z204" i="20"/>
  <c r="AA204" i="20" s="1"/>
  <c r="AG204" i="20" s="1"/>
  <c r="AH204" i="20"/>
  <c r="AI204" i="20"/>
  <c r="AH147" i="20"/>
  <c r="Z147" i="20"/>
  <c r="AA147" i="20" s="1"/>
  <c r="AG147" i="20" s="1"/>
  <c r="AI147" i="20"/>
  <c r="Z112" i="20"/>
  <c r="AA112" i="20" s="1"/>
  <c r="AG112" i="20" s="1"/>
  <c r="AH112" i="20"/>
  <c r="AI112" i="20"/>
  <c r="AI180" i="20"/>
  <c r="Z180" i="20"/>
  <c r="AA180" i="20" s="1"/>
  <c r="AG180" i="20" s="1"/>
  <c r="AH180" i="20"/>
  <c r="Z109" i="20"/>
  <c r="AA109" i="20" s="1"/>
  <c r="AG109" i="20" s="1"/>
  <c r="AH109" i="20"/>
  <c r="AI109" i="20"/>
  <c r="Z164" i="20"/>
  <c r="AA164" i="20" s="1"/>
  <c r="AG164" i="20" s="1"/>
  <c r="AI164" i="20"/>
  <c r="AH164" i="20"/>
  <c r="Z145" i="20"/>
  <c r="AA145" i="20" s="1"/>
  <c r="AG145" i="20" s="1"/>
  <c r="AI145" i="20"/>
  <c r="AH145" i="20"/>
  <c r="Z241" i="20"/>
  <c r="AA241" i="20" s="1"/>
  <c r="AG241" i="20" s="1"/>
  <c r="AH241" i="20"/>
  <c r="AI241" i="20"/>
  <c r="Z258" i="20"/>
  <c r="AA258" i="20" s="1"/>
  <c r="AG258" i="20" s="1"/>
  <c r="AH258" i="20"/>
  <c r="AI258" i="20"/>
  <c r="Z144" i="20"/>
  <c r="AA144" i="20" s="1"/>
  <c r="AG144" i="20" s="1"/>
  <c r="AH144" i="20"/>
  <c r="AI144" i="20"/>
  <c r="Z159" i="20"/>
  <c r="AA159" i="20" s="1"/>
  <c r="AG159" i="20" s="1"/>
  <c r="AH159" i="20"/>
  <c r="AI159" i="20"/>
  <c r="Z231" i="20"/>
  <c r="AA231" i="20" s="1"/>
  <c r="AG231" i="20" s="1"/>
  <c r="AI231" i="20"/>
  <c r="AH231" i="20"/>
  <c r="AI149" i="20"/>
  <c r="Z149" i="20"/>
  <c r="AA149" i="20" s="1"/>
  <c r="AG149" i="20" s="1"/>
  <c r="AH149" i="20"/>
  <c r="Z157" i="20"/>
  <c r="AA157" i="20" s="1"/>
  <c r="AG157" i="20" s="1"/>
  <c r="AI157" i="20"/>
  <c r="AH157" i="20"/>
  <c r="Z193" i="20"/>
  <c r="AA193" i="20" s="1"/>
  <c r="AG193" i="20" s="1"/>
  <c r="AH193" i="20"/>
  <c r="AI193" i="20"/>
  <c r="AH192" i="20"/>
  <c r="Z192" i="20"/>
  <c r="AA192" i="20" s="1"/>
  <c r="AG192" i="20" s="1"/>
  <c r="AI192" i="20"/>
  <c r="AI161" i="20"/>
  <c r="Z161" i="20"/>
  <c r="AA161" i="20" s="1"/>
  <c r="AG161" i="20" s="1"/>
  <c r="AH161" i="20"/>
  <c r="AH151" i="20"/>
  <c r="AI151" i="20"/>
  <c r="Z151" i="20"/>
  <c r="AA151" i="20" s="1"/>
  <c r="AG151" i="20" s="1"/>
  <c r="Z230" i="20"/>
  <c r="AA230" i="20" s="1"/>
  <c r="AG230" i="20" s="1"/>
  <c r="AH230" i="20"/>
  <c r="AI230" i="20"/>
  <c r="AH165" i="20"/>
  <c r="Z165" i="20"/>
  <c r="AA165" i="20" s="1"/>
  <c r="AG165" i="20" s="1"/>
  <c r="AI165" i="20"/>
  <c r="AH153" i="20"/>
  <c r="AI153" i="20"/>
  <c r="Z153" i="20"/>
  <c r="AA153" i="20" s="1"/>
  <c r="AG153" i="20" s="1"/>
  <c r="Z125" i="20"/>
  <c r="AA125" i="20" s="1"/>
  <c r="AG125" i="20" s="1"/>
  <c r="AI125" i="20"/>
  <c r="AH125" i="20"/>
  <c r="Z146" i="20"/>
  <c r="AA146" i="20" s="1"/>
  <c r="AG146" i="20" s="1"/>
  <c r="AH146" i="20"/>
  <c r="AI146" i="20"/>
  <c r="Z218" i="20"/>
  <c r="AA218" i="20" s="1"/>
  <c r="AG218" i="20" s="1"/>
  <c r="AI218" i="20"/>
  <c r="AH218" i="20"/>
  <c r="AH203" i="20"/>
  <c r="AI203" i="20"/>
  <c r="Z203" i="20"/>
  <c r="AA203" i="20" s="1"/>
  <c r="AG203" i="20" s="1"/>
  <c r="Z271" i="20"/>
  <c r="AA271" i="20" s="1"/>
  <c r="AG271" i="20" s="1"/>
  <c r="AI271" i="20"/>
  <c r="AH271" i="20"/>
  <c r="Z274" i="20"/>
  <c r="AA274" i="20" s="1"/>
  <c r="AG274" i="20" s="1"/>
  <c r="AI274" i="20"/>
  <c r="AH274" i="20"/>
  <c r="Z270" i="20"/>
  <c r="AA270" i="20" s="1"/>
  <c r="AG270" i="20" s="1"/>
  <c r="AI270" i="20"/>
  <c r="AH270" i="20"/>
  <c r="AH141" i="20"/>
  <c r="AI141" i="20"/>
  <c r="Z141" i="20"/>
  <c r="AA141" i="20" s="1"/>
  <c r="AG141" i="20" s="1"/>
  <c r="Z257" i="20"/>
  <c r="AA257" i="20" s="1"/>
  <c r="AG257" i="20" s="1"/>
  <c r="AH257" i="20"/>
  <c r="AI257" i="20"/>
  <c r="Z148" i="20"/>
  <c r="AA148" i="20" s="1"/>
  <c r="AG148" i="20" s="1"/>
  <c r="AI148" i="20"/>
  <c r="AH148" i="20"/>
  <c r="Z178" i="20"/>
  <c r="AA178" i="20" s="1"/>
  <c r="AG178" i="20" s="1"/>
  <c r="AH178" i="20"/>
  <c r="AI178" i="20"/>
  <c r="AI114" i="20"/>
  <c r="Z114" i="20"/>
  <c r="AA114" i="20" s="1"/>
  <c r="AG114" i="20" s="1"/>
  <c r="AH114" i="20"/>
  <c r="Z174" i="20"/>
  <c r="AA174" i="20" s="1"/>
  <c r="AG174" i="20" s="1"/>
  <c r="AI174" i="20"/>
  <c r="AH174" i="20"/>
  <c r="Z176" i="20"/>
  <c r="AA176" i="20" s="1"/>
  <c r="AG176" i="20" s="1"/>
  <c r="AH176" i="20"/>
  <c r="AI176" i="20"/>
  <c r="AH206" i="20"/>
  <c r="Z206" i="20"/>
  <c r="AA206" i="20" s="1"/>
  <c r="AG206" i="20" s="1"/>
  <c r="AI206" i="20"/>
  <c r="Z142" i="20"/>
  <c r="AA142" i="20" s="1"/>
  <c r="AG142" i="20" s="1"/>
  <c r="AH142" i="20"/>
  <c r="AI142" i="20"/>
  <c r="Z228" i="20"/>
  <c r="AA228" i="20" s="1"/>
  <c r="AG228" i="20" s="1"/>
  <c r="AH228" i="20"/>
  <c r="AI228" i="20"/>
  <c r="Z117" i="20"/>
  <c r="AA117" i="20" s="1"/>
  <c r="AG117" i="20" s="1"/>
  <c r="AH117" i="20"/>
  <c r="AI117" i="20"/>
  <c r="Z130" i="20"/>
  <c r="AA130" i="20" s="1"/>
  <c r="AG130" i="20" s="1"/>
  <c r="AH130" i="20"/>
  <c r="AI130" i="20"/>
  <c r="AI160" i="20"/>
  <c r="AH160" i="20"/>
  <c r="Z160" i="20"/>
  <c r="AA160" i="20" s="1"/>
  <c r="AG160" i="20" s="1"/>
  <c r="AI188" i="20"/>
  <c r="AH188" i="20"/>
  <c r="Z188" i="20"/>
  <c r="AA188" i="20" s="1"/>
  <c r="AG188" i="20" s="1"/>
  <c r="AI122" i="20"/>
  <c r="Z122" i="20"/>
  <c r="AA122" i="20" s="1"/>
  <c r="AG122" i="20" s="1"/>
  <c r="AH122" i="20"/>
  <c r="AH183" i="20"/>
  <c r="AI183" i="20"/>
  <c r="Z183" i="20"/>
  <c r="AA183" i="20" s="1"/>
  <c r="AG183" i="20" s="1"/>
  <c r="Z243" i="20"/>
  <c r="AA243" i="20" s="1"/>
  <c r="AG243" i="20" s="1"/>
  <c r="AI243" i="20"/>
  <c r="AH243" i="20"/>
  <c r="AI139" i="20"/>
  <c r="Z139" i="20"/>
  <c r="AA139" i="20" s="1"/>
  <c r="AG139" i="20" s="1"/>
  <c r="AH139" i="20"/>
  <c r="Z252" i="20"/>
  <c r="AA252" i="20" s="1"/>
  <c r="AG252" i="20" s="1"/>
  <c r="AH252" i="20"/>
  <c r="AI252" i="20"/>
  <c r="Z106" i="20"/>
  <c r="AA106" i="20" s="1"/>
  <c r="AG106" i="20" s="1"/>
  <c r="AI106" i="20"/>
  <c r="AH106" i="20"/>
  <c r="Z158" i="20"/>
  <c r="AA158" i="20" s="1"/>
  <c r="AG158" i="20" s="1"/>
  <c r="AH158" i="20"/>
  <c r="AI158" i="20"/>
  <c r="AH115" i="20"/>
  <c r="Z115" i="20"/>
  <c r="AA115" i="20" s="1"/>
  <c r="AG115" i="20" s="1"/>
  <c r="AI115" i="20"/>
  <c r="AI199" i="20"/>
  <c r="Z199" i="20"/>
  <c r="AA199" i="20" s="1"/>
  <c r="AG199" i="20" s="1"/>
  <c r="AH199" i="20"/>
  <c r="AH217" i="20"/>
  <c r="AI217" i="20"/>
  <c r="Z217" i="20"/>
  <c r="AA217" i="20" s="1"/>
  <c r="AG217" i="20" s="1"/>
  <c r="AH198" i="20"/>
  <c r="Z198" i="20"/>
  <c r="AA198" i="20" s="1"/>
  <c r="AG198" i="20" s="1"/>
  <c r="AI198" i="20"/>
  <c r="Z166" i="20"/>
  <c r="AA166" i="20" s="1"/>
  <c r="AG166" i="20" s="1"/>
  <c r="AI166" i="20"/>
  <c r="AH166" i="20"/>
  <c r="Z208" i="20"/>
  <c r="AA208" i="20" s="1"/>
  <c r="AG208" i="20" s="1"/>
  <c r="AH208" i="20"/>
  <c r="AI208" i="20"/>
  <c r="Z132" i="20"/>
  <c r="AA132" i="20" s="1"/>
  <c r="AG132" i="20" s="1"/>
  <c r="AH132" i="20"/>
  <c r="AI132" i="20"/>
  <c r="AH131" i="20"/>
  <c r="AI131" i="20"/>
  <c r="Z131" i="20"/>
  <c r="AA131" i="20" s="1"/>
  <c r="AG131" i="20" s="1"/>
  <c r="Z246" i="20"/>
  <c r="AA246" i="20" s="1"/>
  <c r="AG246" i="20" s="1"/>
  <c r="AH246" i="20"/>
  <c r="AI246" i="20"/>
  <c r="AI215" i="20"/>
  <c r="Z215" i="20"/>
  <c r="AA215" i="20" s="1"/>
  <c r="AG215" i="20" s="1"/>
  <c r="AH215" i="20"/>
  <c r="Z137" i="20"/>
  <c r="AA137" i="20" s="1"/>
  <c r="AG137" i="20" s="1"/>
  <c r="AH137" i="20"/>
  <c r="AI137" i="20"/>
  <c r="AI277" i="20"/>
  <c r="AH277" i="20"/>
  <c r="Z277" i="20"/>
  <c r="AA277" i="20" s="1"/>
  <c r="AG277" i="20" s="1"/>
  <c r="Z269" i="20"/>
  <c r="AA269" i="20" s="1"/>
  <c r="AG269" i="20" s="1"/>
  <c r="AI269" i="20"/>
  <c r="AH269" i="20"/>
  <c r="AI225" i="20"/>
  <c r="AH225" i="20"/>
  <c r="Z225" i="20"/>
  <c r="AA225" i="20" s="1"/>
  <c r="AG225" i="20" s="1"/>
  <c r="Z236" i="20"/>
  <c r="AA236" i="20" s="1"/>
  <c r="AG236" i="20" s="1"/>
  <c r="AH236" i="20"/>
  <c r="AI236" i="20"/>
  <c r="Z195" i="20"/>
  <c r="AA195" i="20" s="1"/>
  <c r="AG195" i="20" s="1"/>
  <c r="AI195" i="20"/>
  <c r="AH195" i="20"/>
  <c r="Z260" i="20"/>
  <c r="AA260" i="20" s="1"/>
  <c r="AG260" i="20" s="1"/>
  <c r="AI260" i="20"/>
  <c r="AH260" i="20"/>
  <c r="AI213" i="20"/>
  <c r="Z213" i="20"/>
  <c r="AA213" i="20" s="1"/>
  <c r="AG213" i="20" s="1"/>
  <c r="AH213" i="20"/>
  <c r="Z211" i="20"/>
  <c r="AA211" i="20" s="1"/>
  <c r="AG211" i="20" s="1"/>
  <c r="AH211" i="20"/>
  <c r="AI211" i="20"/>
  <c r="Z267" i="20"/>
  <c r="AA267" i="20" s="1"/>
  <c r="AG267" i="20" s="1"/>
  <c r="AI267" i="20"/>
  <c r="AH267" i="20"/>
  <c r="AH150" i="20"/>
  <c r="Z150" i="20"/>
  <c r="AA150" i="20" s="1"/>
  <c r="AG150" i="20" s="1"/>
  <c r="AI150" i="20"/>
  <c r="AI191" i="20"/>
  <c r="Z191" i="20"/>
  <c r="AA191" i="20" s="1"/>
  <c r="AG191" i="20" s="1"/>
  <c r="AH191" i="20"/>
  <c r="AH135" i="20"/>
  <c r="AI135" i="20"/>
  <c r="Z135" i="20"/>
  <c r="AA135" i="20" s="1"/>
  <c r="AG135" i="20" s="1"/>
  <c r="AI116" i="20"/>
  <c r="Z116" i="20"/>
  <c r="AA116" i="20" s="1"/>
  <c r="AG116" i="20" s="1"/>
  <c r="AH116" i="20"/>
  <c r="Z276" i="20"/>
  <c r="AA276" i="20" s="1"/>
  <c r="AG276" i="20" s="1"/>
  <c r="AH276" i="20"/>
  <c r="AI276" i="20"/>
  <c r="Z134" i="20"/>
  <c r="AA134" i="20" s="1"/>
  <c r="AG134" i="20" s="1"/>
  <c r="AI134" i="20"/>
  <c r="AH134" i="20"/>
  <c r="Z255" i="20"/>
  <c r="AA255" i="20" s="1"/>
  <c r="AG255" i="20" s="1"/>
  <c r="AI255" i="20"/>
  <c r="AH255" i="20"/>
  <c r="Z264" i="20"/>
  <c r="AA264" i="20" s="1"/>
  <c r="AG264" i="20" s="1"/>
  <c r="AI264" i="20"/>
  <c r="AH264" i="20"/>
  <c r="Z219" i="20"/>
  <c r="AA219" i="20" s="1"/>
  <c r="AG219" i="20" s="1"/>
  <c r="AI219" i="20"/>
  <c r="AH219" i="20"/>
  <c r="Z227" i="20"/>
  <c r="AA227" i="20" s="1"/>
  <c r="AG227" i="20" s="1"/>
  <c r="AH227" i="20"/>
  <c r="AI227" i="20"/>
  <c r="Z223" i="20"/>
  <c r="AA223" i="20" s="1"/>
  <c r="AG223" i="20" s="1"/>
  <c r="AH223" i="20"/>
  <c r="AI223" i="20"/>
  <c r="AI120" i="20"/>
  <c r="Z120" i="20"/>
  <c r="AA120" i="20" s="1"/>
  <c r="AG120" i="20" s="1"/>
  <c r="AH120" i="20"/>
  <c r="AH168" i="20"/>
  <c r="Z168" i="20"/>
  <c r="AA168" i="20" s="1"/>
  <c r="AG168" i="20" s="1"/>
  <c r="AI168" i="20"/>
  <c r="Z105" i="20"/>
  <c r="AA105" i="20" s="1"/>
  <c r="AG105" i="20" s="1"/>
  <c r="AI105" i="20"/>
  <c r="AH105" i="20"/>
  <c r="Z128" i="20"/>
  <c r="AA128" i="20" s="1"/>
  <c r="AG128" i="20" s="1"/>
  <c r="AI128" i="20"/>
  <c r="AH128" i="20"/>
  <c r="AI107" i="20"/>
  <c r="Z107" i="20"/>
  <c r="AA107" i="20" s="1"/>
  <c r="AG107" i="20" s="1"/>
  <c r="AH107" i="20"/>
  <c r="AH118" i="20"/>
  <c r="AI118" i="20"/>
  <c r="Z118" i="20"/>
  <c r="AA118" i="20" s="1"/>
  <c r="AG118" i="20" s="1"/>
  <c r="AI182" i="20"/>
  <c r="Z182" i="20"/>
  <c r="AA182" i="20" s="1"/>
  <c r="AG182" i="20" s="1"/>
  <c r="AH182" i="20"/>
  <c r="AI129" i="20"/>
  <c r="Z129" i="20"/>
  <c r="AA129" i="20" s="1"/>
  <c r="AG129" i="20" s="1"/>
  <c r="AH129" i="20"/>
  <c r="Z254" i="20"/>
  <c r="AA254" i="20" s="1"/>
  <c r="AG254" i="20" s="1"/>
  <c r="AH254" i="20"/>
  <c r="AI254" i="20"/>
  <c r="AH163" i="20"/>
  <c r="Z163" i="20"/>
  <c r="AA163" i="20" s="1"/>
  <c r="AG163" i="20" s="1"/>
  <c r="AI163" i="20"/>
  <c r="Z244" i="20"/>
  <c r="AA244" i="20" s="1"/>
  <c r="AG244" i="20" s="1"/>
  <c r="AI244" i="20"/>
  <c r="AH244" i="20"/>
  <c r="Z224" i="20"/>
  <c r="AA224" i="20" s="1"/>
  <c r="AG224" i="20" s="1"/>
  <c r="AI224" i="20"/>
  <c r="AH224" i="20"/>
  <c r="Z249" i="20"/>
  <c r="AA249" i="20" s="1"/>
  <c r="AG249" i="20" s="1"/>
  <c r="AI249" i="20"/>
  <c r="AH249" i="20"/>
  <c r="Z272" i="20"/>
  <c r="AA272" i="20" s="1"/>
  <c r="AG272" i="20" s="1"/>
  <c r="AI272" i="20"/>
  <c r="AH272" i="20"/>
  <c r="AH275" i="20"/>
  <c r="Z275" i="20"/>
  <c r="AA275" i="20" s="1"/>
  <c r="AG275" i="20" s="1"/>
  <c r="AI275" i="20"/>
  <c r="Z229" i="20"/>
  <c r="AA229" i="20" s="1"/>
  <c r="AG229" i="20" s="1"/>
  <c r="AI229" i="20"/>
  <c r="AH229" i="20"/>
  <c r="Z194" i="20"/>
  <c r="AA194" i="20" s="1"/>
  <c r="AG194" i="20" s="1"/>
  <c r="AH194" i="20"/>
  <c r="AI194" i="20"/>
  <c r="AH124" i="20"/>
  <c r="Z124" i="20"/>
  <c r="AA124" i="20" s="1"/>
  <c r="AG124" i="20" s="1"/>
  <c r="AI124" i="20"/>
  <c r="Z263" i="20"/>
  <c r="AA263" i="20" s="1"/>
  <c r="AG263" i="20" s="1"/>
  <c r="AH263" i="20"/>
  <c r="AI263" i="20"/>
  <c r="Z234" i="20"/>
  <c r="AA234" i="20" s="1"/>
  <c r="AG234" i="20" s="1"/>
  <c r="AH234" i="20"/>
  <c r="AI234" i="20"/>
  <c r="Z250" i="20"/>
  <c r="AA250" i="20" s="1"/>
  <c r="AG250" i="20" s="1"/>
  <c r="AI250" i="20"/>
  <c r="AH250" i="20"/>
  <c r="Z205" i="20"/>
  <c r="AA205" i="20" s="1"/>
  <c r="AG205" i="20" s="1"/>
  <c r="AH205" i="20"/>
  <c r="AI205" i="20"/>
  <c r="Z184" i="20"/>
  <c r="AA184" i="20" s="1"/>
  <c r="AG184" i="20" s="1"/>
  <c r="AI184" i="20"/>
  <c r="AH184" i="20"/>
  <c r="AI226" i="20"/>
  <c r="Z226" i="20"/>
  <c r="AA226" i="20" s="1"/>
  <c r="AG226" i="20" s="1"/>
  <c r="AH226" i="20"/>
  <c r="Z102" i="20"/>
  <c r="AA102" i="20" s="1"/>
  <c r="AG102" i="20" s="1"/>
  <c r="AH102" i="20"/>
  <c r="AI102" i="20"/>
  <c r="Z273" i="20"/>
  <c r="AA273" i="20" s="1"/>
  <c r="AG273" i="20" s="1"/>
  <c r="AH273" i="20"/>
  <c r="AI273" i="20"/>
  <c r="Z187" i="20"/>
  <c r="AA187" i="20" s="1"/>
  <c r="AG187" i="20" s="1"/>
  <c r="AI187" i="20"/>
  <c r="AH187" i="20"/>
  <c r="Z268" i="20"/>
  <c r="AA268" i="20" s="1"/>
  <c r="AG268" i="20" s="1"/>
  <c r="AH268" i="20"/>
  <c r="AI268" i="20"/>
  <c r="Z240" i="20"/>
  <c r="AA240" i="20" s="1"/>
  <c r="AG240" i="20" s="1"/>
  <c r="AI240" i="20"/>
  <c r="AH240" i="20"/>
  <c r="Z239" i="20"/>
  <c r="AA239" i="20" s="1"/>
  <c r="AG239" i="20" s="1"/>
  <c r="AH239" i="20"/>
  <c r="AI239" i="20"/>
  <c r="AH173" i="20"/>
  <c r="AI173" i="20"/>
  <c r="Z173" i="20"/>
  <c r="AA173" i="20" s="1"/>
  <c r="AG173" i="20" s="1"/>
  <c r="AH169" i="20"/>
  <c r="Z169" i="20"/>
  <c r="AA169" i="20" s="1"/>
  <c r="AG169" i="20" s="1"/>
  <c r="AI169" i="20"/>
  <c r="Z138" i="20"/>
  <c r="AA138" i="20" s="1"/>
  <c r="AG138" i="20" s="1"/>
  <c r="AH138" i="20"/>
  <c r="AI138" i="20"/>
  <c r="Z253" i="20"/>
  <c r="AA253" i="20" s="1"/>
  <c r="AG253" i="20" s="1"/>
  <c r="AH253" i="20"/>
  <c r="AI253" i="20"/>
  <c r="AH143" i="20"/>
  <c r="AI143" i="20"/>
  <c r="Z143" i="20"/>
  <c r="AA143" i="20" s="1"/>
  <c r="AG143" i="20" s="1"/>
  <c r="AI221" i="20"/>
  <c r="Z221" i="20"/>
  <c r="AA221" i="20" s="1"/>
  <c r="AG221" i="20" s="1"/>
  <c r="AH221" i="20"/>
  <c r="AH171" i="20"/>
  <c r="AI171" i="20"/>
  <c r="Z171" i="20"/>
  <c r="AA171" i="20" s="1"/>
  <c r="AG171" i="20" s="1"/>
  <c r="Z197" i="20"/>
  <c r="AA197" i="20" s="1"/>
  <c r="AG197" i="20" s="1"/>
  <c r="AH197" i="20"/>
  <c r="AI197" i="20"/>
  <c r="Z185" i="20"/>
  <c r="AA185" i="20" s="1"/>
  <c r="AG185" i="20" s="1"/>
  <c r="AI185" i="20"/>
  <c r="AH185" i="20"/>
  <c r="Z126" i="20"/>
  <c r="AA126" i="20" s="1"/>
  <c r="AG126" i="20" s="1"/>
  <c r="AI126" i="20"/>
  <c r="AH126" i="20"/>
  <c r="Z162" i="20"/>
  <c r="AA162" i="20" s="1"/>
  <c r="AG162" i="20" s="1"/>
  <c r="AH162" i="20"/>
  <c r="AI162" i="20"/>
  <c r="Z181" i="20"/>
  <c r="AA181" i="20" s="1"/>
  <c r="AG181" i="20" s="1"/>
  <c r="AI181" i="20"/>
  <c r="AH181" i="20"/>
  <c r="Z189" i="20"/>
  <c r="AA189" i="20" s="1"/>
  <c r="AG189" i="20" s="1"/>
  <c r="AH189" i="20"/>
  <c r="AI189" i="20"/>
  <c r="AI179" i="20"/>
  <c r="Z179" i="20"/>
  <c r="AA179" i="20" s="1"/>
  <c r="AG179" i="20" s="1"/>
  <c r="AH179" i="20"/>
  <c r="AH123" i="20"/>
  <c r="AI123" i="20"/>
  <c r="Z123" i="20"/>
  <c r="AA123" i="20" s="1"/>
  <c r="AG123" i="20" s="1"/>
  <c r="Z202" i="20"/>
  <c r="AA202" i="20" s="1"/>
  <c r="AG202" i="20" s="1"/>
  <c r="AI202" i="20"/>
  <c r="AH202" i="20"/>
  <c r="Z248" i="20"/>
  <c r="AA248" i="20" s="1"/>
  <c r="AG248" i="20" s="1"/>
  <c r="AH248" i="20"/>
  <c r="AI248" i="20"/>
  <c r="Z233" i="20"/>
  <c r="AA233" i="20" s="1"/>
  <c r="AG233" i="20" s="1"/>
  <c r="AI233" i="20"/>
  <c r="AH233" i="20"/>
  <c r="Z222" i="20"/>
  <c r="AA222" i="20" s="1"/>
  <c r="AG222" i="20" s="1"/>
  <c r="AH222" i="20"/>
  <c r="AI222" i="20"/>
  <c r="AI209" i="20"/>
  <c r="Z209" i="20"/>
  <c r="AA209" i="20" s="1"/>
  <c r="AG209" i="20" s="1"/>
  <c r="AH209" i="20"/>
  <c r="Z237" i="20"/>
  <c r="AA237" i="20" s="1"/>
  <c r="AG237" i="20" s="1"/>
  <c r="AH237" i="20"/>
  <c r="AI237" i="20"/>
  <c r="Z278" i="20"/>
  <c r="AA278" i="20" s="1"/>
  <c r="AG278" i="20" s="1"/>
  <c r="AI278" i="20"/>
  <c r="AH278" i="20"/>
  <c r="Z214" i="20"/>
  <c r="AA214" i="20" s="1"/>
  <c r="AG214" i="20" s="1"/>
  <c r="AH214" i="20"/>
  <c r="AI214" i="20"/>
  <c r="Z247" i="20"/>
  <c r="AA247" i="20" s="1"/>
  <c r="AG247" i="20" s="1"/>
  <c r="AI247" i="20"/>
  <c r="AH247" i="20"/>
  <c r="Z235" i="20"/>
  <c r="AA235" i="20" s="1"/>
  <c r="AG235" i="20" s="1"/>
  <c r="AH235" i="20"/>
  <c r="AI235" i="20"/>
  <c r="AH172" i="20"/>
  <c r="AI172" i="20"/>
  <c r="Z172" i="20"/>
  <c r="AA172" i="20" s="1"/>
  <c r="AG172" i="20" s="1"/>
  <c r="Z119" i="20"/>
  <c r="AA119" i="20" s="1"/>
  <c r="AG119" i="20" s="1"/>
  <c r="AH119" i="20"/>
  <c r="AI119" i="20"/>
  <c r="Z259" i="20"/>
  <c r="AA259" i="20" s="1"/>
  <c r="AG259" i="20" s="1"/>
  <c r="AH259" i="20"/>
  <c r="AI259" i="20"/>
  <c r="Z251" i="20"/>
  <c r="AA251" i="20" s="1"/>
  <c r="AG251" i="20" s="1"/>
  <c r="AI251" i="20"/>
  <c r="AH251" i="20"/>
  <c r="Z140" i="20"/>
  <c r="AA140" i="20" s="1"/>
  <c r="AG140" i="20" s="1"/>
  <c r="AH140" i="20"/>
  <c r="AI140" i="20"/>
  <c r="Z216" i="20"/>
  <c r="AA216" i="20" s="1"/>
  <c r="AG216" i="20" s="1"/>
  <c r="AH216" i="20"/>
  <c r="AI216" i="20"/>
  <c r="Z104" i="20"/>
  <c r="AA104" i="20" s="1"/>
  <c r="AG104" i="20" s="1"/>
  <c r="AI104" i="20"/>
  <c r="AH104" i="20"/>
  <c r="Z113" i="20"/>
  <c r="AA113" i="20" s="1"/>
  <c r="AG113" i="20" s="1"/>
  <c r="AH113" i="20"/>
  <c r="AI113" i="20"/>
  <c r="AH266" i="20"/>
  <c r="AI266" i="20"/>
  <c r="Z266" i="20"/>
  <c r="AA266" i="20" s="1"/>
  <c r="AG266" i="20" s="1"/>
  <c r="AH212" i="20"/>
  <c r="AI212" i="20"/>
  <c r="Z212" i="20"/>
  <c r="AA212" i="20" s="1"/>
  <c r="AG212" i="20" s="1"/>
  <c r="Z242" i="20"/>
  <c r="AA242" i="20" s="1"/>
  <c r="AG242" i="20" s="1"/>
  <c r="AI242" i="20"/>
  <c r="AH242" i="20"/>
  <c r="Z238" i="20"/>
  <c r="AA238" i="20" s="1"/>
  <c r="AG238" i="20" s="1"/>
  <c r="AH238" i="20"/>
  <c r="AI238" i="20"/>
  <c r="K89" i="3"/>
  <c r="K88" i="3"/>
  <c r="L88" i="3"/>
  <c r="M88" i="3" s="1"/>
  <c r="K87" i="3"/>
  <c r="L86" i="3"/>
  <c r="M86" i="3" s="1"/>
  <c r="K84" i="3"/>
  <c r="L84" i="3"/>
  <c r="M84" i="3" s="1"/>
  <c r="L82" i="3"/>
  <c r="M82" i="3" s="1"/>
  <c r="E108" i="20"/>
  <c r="E112" i="20"/>
  <c r="E116" i="20"/>
  <c r="E120" i="20"/>
  <c r="E124" i="20"/>
  <c r="E128" i="20"/>
  <c r="E132" i="20"/>
  <c r="E136" i="20"/>
  <c r="E140" i="20"/>
  <c r="E144" i="20"/>
  <c r="E147" i="20"/>
  <c r="E148" i="20"/>
  <c r="E149" i="20"/>
  <c r="E150" i="20"/>
  <c r="E151" i="20"/>
  <c r="E152" i="20"/>
  <c r="E153" i="20"/>
  <c r="B154" i="20"/>
  <c r="B155" i="20"/>
  <c r="C156" i="20"/>
  <c r="C157" i="20"/>
  <c r="B158" i="20"/>
  <c r="AO38" i="25"/>
  <c r="AO39" i="25"/>
  <c r="AO40" i="25"/>
  <c r="AO41" i="25"/>
  <c r="AO42" i="25"/>
  <c r="AO37" i="25"/>
  <c r="D80" i="41" l="1"/>
  <c r="B80" i="41"/>
  <c r="A84" i="41"/>
  <c r="C86" i="41"/>
  <c r="C87" i="41" s="1"/>
  <c r="C88" i="41" s="1"/>
  <c r="C89" i="41" s="1"/>
  <c r="A94" i="41"/>
  <c r="D90" i="41"/>
  <c r="B90" i="41"/>
  <c r="B77" i="41"/>
  <c r="A81" i="41"/>
  <c r="D81" i="41" s="1"/>
  <c r="B83" i="41"/>
  <c r="D83" i="41"/>
  <c r="A87" i="41"/>
  <c r="J34" i="10"/>
  <c r="L33" i="10"/>
  <c r="H33" i="10"/>
  <c r="E155" i="20"/>
  <c r="C155" i="20"/>
  <c r="B157" i="20"/>
  <c r="E154" i="20"/>
  <c r="C154" i="20"/>
  <c r="B156" i="20"/>
  <c r="E158" i="20"/>
  <c r="C158" i="20"/>
  <c r="E157" i="20"/>
  <c r="E156" i="20"/>
  <c r="E143" i="20"/>
  <c r="E139" i="20"/>
  <c r="E135" i="20"/>
  <c r="E131" i="20"/>
  <c r="E127" i="20"/>
  <c r="E123" i="20"/>
  <c r="E119" i="20"/>
  <c r="E115" i="20"/>
  <c r="E111" i="20"/>
  <c r="E107" i="20"/>
  <c r="E103" i="20"/>
  <c r="E146" i="20"/>
  <c r="E142" i="20"/>
  <c r="E138" i="20"/>
  <c r="E134" i="20"/>
  <c r="E130" i="20"/>
  <c r="E126" i="20"/>
  <c r="E122" i="20"/>
  <c r="E118" i="20"/>
  <c r="E114" i="20"/>
  <c r="E110" i="20"/>
  <c r="E106" i="20"/>
  <c r="E102" i="20"/>
  <c r="E145" i="20"/>
  <c r="E141" i="20"/>
  <c r="E137" i="20"/>
  <c r="E133" i="20"/>
  <c r="E129" i="20"/>
  <c r="E125" i="20"/>
  <c r="E121" i="20"/>
  <c r="E117" i="20"/>
  <c r="E113" i="20"/>
  <c r="E109" i="20"/>
  <c r="E105" i="20"/>
  <c r="E104" i="20"/>
  <c r="AQ41" i="25"/>
  <c r="AS41" i="25" s="1"/>
  <c r="AQ40" i="25"/>
  <c r="AS40" i="25" s="1"/>
  <c r="AQ39" i="25"/>
  <c r="AS39" i="25" s="1"/>
  <c r="AQ38" i="25"/>
  <c r="AS38" i="25" s="1"/>
  <c r="AQ37" i="25"/>
  <c r="AS37" i="25" s="1"/>
  <c r="AP41" i="25"/>
  <c r="AR41" i="25" s="1"/>
  <c r="AP40" i="25"/>
  <c r="AR40" i="25" s="1"/>
  <c r="AP39" i="25"/>
  <c r="AR39" i="25" s="1"/>
  <c r="AP38" i="25"/>
  <c r="AR38" i="25" s="1"/>
  <c r="AP37" i="25"/>
  <c r="AR37" i="25" s="1"/>
  <c r="AK36" i="25"/>
  <c r="AJ36" i="25"/>
  <c r="AI36" i="25"/>
  <c r="AH36" i="25"/>
  <c r="C90" i="41" l="1"/>
  <c r="C91" i="41" s="1"/>
  <c r="C92" i="41" s="1"/>
  <c r="C93" i="41" s="1"/>
  <c r="B87" i="41"/>
  <c r="D87" i="41"/>
  <c r="D84" i="41"/>
  <c r="B84" i="41"/>
  <c r="A88" i="41"/>
  <c r="B81" i="41"/>
  <c r="A85" i="41"/>
  <c r="D85" i="41" s="1"/>
  <c r="A98" i="41"/>
  <c r="B94" i="41"/>
  <c r="D94" i="41"/>
  <c r="A91" i="41"/>
  <c r="J35" i="10"/>
  <c r="H34" i="10"/>
  <c r="AO43" i="25"/>
  <c r="AT38" i="25"/>
  <c r="AT40" i="25"/>
  <c r="AS43" i="25"/>
  <c r="AT39" i="25"/>
  <c r="AR43" i="25"/>
  <c r="AT41" i="25"/>
  <c r="AT37" i="25"/>
  <c r="AS296" i="33"/>
  <c r="AS297" i="33"/>
  <c r="AS298" i="33"/>
  <c r="F295" i="33"/>
  <c r="F294" i="33"/>
  <c r="U298" i="33"/>
  <c r="U297" i="33"/>
  <c r="U296" i="33"/>
  <c r="U295" i="33"/>
  <c r="U294" i="33"/>
  <c r="U293" i="33"/>
  <c r="F293" i="33"/>
  <c r="F328" i="33"/>
  <c r="F327" i="33"/>
  <c r="U323" i="33"/>
  <c r="U324" i="33"/>
  <c r="U325" i="33"/>
  <c r="U326" i="33"/>
  <c r="U327" i="33"/>
  <c r="U328" i="33"/>
  <c r="F326" i="33"/>
  <c r="F325" i="33"/>
  <c r="F324" i="33"/>
  <c r="F323" i="33"/>
  <c r="F322" i="33"/>
  <c r="U322" i="33"/>
  <c r="AB348" i="25"/>
  <c r="AC348" i="25"/>
  <c r="AD348" i="25"/>
  <c r="AB349" i="25"/>
  <c r="AC349" i="25"/>
  <c r="AD349" i="25"/>
  <c r="AB350" i="25"/>
  <c r="AC350" i="25"/>
  <c r="AD350" i="25"/>
  <c r="AB351" i="25"/>
  <c r="AC351" i="25"/>
  <c r="AD351" i="25"/>
  <c r="AB352" i="25"/>
  <c r="AC352" i="25"/>
  <c r="AD352" i="25"/>
  <c r="AB353" i="25"/>
  <c r="AC353" i="25"/>
  <c r="AD353" i="25"/>
  <c r="AB354" i="25"/>
  <c r="AC354" i="25"/>
  <c r="AD354" i="25"/>
  <c r="AB355" i="25"/>
  <c r="AC355" i="25"/>
  <c r="AD355" i="25"/>
  <c r="AB356" i="25"/>
  <c r="AC356" i="25"/>
  <c r="AD356" i="25"/>
  <c r="AB357" i="25"/>
  <c r="AC357" i="25"/>
  <c r="AD357" i="25"/>
  <c r="AB358" i="25"/>
  <c r="AC358" i="25"/>
  <c r="AD358" i="25"/>
  <c r="AB359" i="25"/>
  <c r="AC359" i="25"/>
  <c r="AD359" i="25"/>
  <c r="AB360" i="25"/>
  <c r="AC360" i="25"/>
  <c r="AD360" i="25"/>
  <c r="AB361" i="25"/>
  <c r="AC361" i="25"/>
  <c r="AD361" i="25"/>
  <c r="AB362" i="25"/>
  <c r="AC362" i="25"/>
  <c r="AD362" i="25"/>
  <c r="AB363" i="25"/>
  <c r="AC363" i="25"/>
  <c r="AD363" i="25"/>
  <c r="AB364" i="25"/>
  <c r="AC364" i="25"/>
  <c r="AD364" i="25"/>
  <c r="AB365" i="25"/>
  <c r="AC365" i="25"/>
  <c r="AD365" i="25"/>
  <c r="AB366" i="25"/>
  <c r="AC366" i="25"/>
  <c r="AD366" i="25"/>
  <c r="AB367" i="25"/>
  <c r="AC367" i="25"/>
  <c r="AD367" i="25"/>
  <c r="AB368" i="25"/>
  <c r="AC368" i="25"/>
  <c r="AD368" i="25"/>
  <c r="AB369" i="25"/>
  <c r="AC369" i="25"/>
  <c r="AD369" i="25"/>
  <c r="AB370" i="25"/>
  <c r="AC370" i="25"/>
  <c r="AD370" i="25"/>
  <c r="AB371" i="25"/>
  <c r="AC371" i="25"/>
  <c r="AD371" i="25"/>
  <c r="AB372" i="25"/>
  <c r="AC372" i="25"/>
  <c r="AD372" i="25"/>
  <c r="AB373" i="25"/>
  <c r="AC373" i="25"/>
  <c r="AD373" i="25"/>
  <c r="AB374" i="25"/>
  <c r="AC374" i="25"/>
  <c r="AD374" i="25"/>
  <c r="AB375" i="25"/>
  <c r="AC375" i="25"/>
  <c r="AD375" i="25"/>
  <c r="AB376" i="25"/>
  <c r="AC376" i="25"/>
  <c r="AD376" i="25"/>
  <c r="AB377" i="25"/>
  <c r="AC377" i="25"/>
  <c r="AD377" i="25"/>
  <c r="AB378" i="25"/>
  <c r="AC378" i="25"/>
  <c r="AD378" i="25"/>
  <c r="AB379" i="25"/>
  <c r="AC379" i="25"/>
  <c r="AD379" i="25"/>
  <c r="AB380" i="25"/>
  <c r="AC380" i="25"/>
  <c r="AD380" i="25"/>
  <c r="AB381" i="25"/>
  <c r="AC381" i="25"/>
  <c r="AD381" i="25"/>
  <c r="AB382" i="25"/>
  <c r="AC382" i="25"/>
  <c r="AD382" i="25"/>
  <c r="AB383" i="25"/>
  <c r="AC383" i="25"/>
  <c r="AD383" i="25"/>
  <c r="AB384" i="25"/>
  <c r="AC384" i="25"/>
  <c r="AD384" i="25"/>
  <c r="AB385" i="25"/>
  <c r="AC385" i="25"/>
  <c r="AD385" i="25"/>
  <c r="AB386" i="25"/>
  <c r="AC386" i="25"/>
  <c r="AD386" i="25"/>
  <c r="AB387" i="25"/>
  <c r="AC387" i="25"/>
  <c r="AD387" i="25"/>
  <c r="AB388" i="25"/>
  <c r="AC388" i="25"/>
  <c r="AD388" i="25"/>
  <c r="AB389" i="25"/>
  <c r="AC389" i="25"/>
  <c r="AD389" i="25"/>
  <c r="AB390" i="25"/>
  <c r="AC390" i="25"/>
  <c r="AD390" i="25"/>
  <c r="AB391" i="25"/>
  <c r="AC391" i="25"/>
  <c r="AD391" i="25"/>
  <c r="AB392" i="25"/>
  <c r="AC392" i="25"/>
  <c r="AD392" i="25"/>
  <c r="AB393" i="25"/>
  <c r="AC393" i="25"/>
  <c r="AD393" i="25"/>
  <c r="AB394" i="25"/>
  <c r="AC394" i="25"/>
  <c r="AD394" i="25"/>
  <c r="AB395" i="25"/>
  <c r="AC395" i="25"/>
  <c r="AD395" i="25"/>
  <c r="AB396" i="25"/>
  <c r="AC396" i="25"/>
  <c r="AD396" i="25"/>
  <c r="AB397" i="25"/>
  <c r="AC397" i="25"/>
  <c r="AD397" i="25"/>
  <c r="AB398" i="25"/>
  <c r="AC398" i="25"/>
  <c r="AD398" i="25"/>
  <c r="AB399" i="25"/>
  <c r="AC399" i="25"/>
  <c r="AD399" i="25"/>
  <c r="AB400" i="25"/>
  <c r="AC400" i="25"/>
  <c r="AD400" i="25"/>
  <c r="AB401" i="25"/>
  <c r="AC401" i="25"/>
  <c r="AD401" i="25"/>
  <c r="AB402" i="25"/>
  <c r="AC402" i="25"/>
  <c r="AD402" i="25"/>
  <c r="AB403" i="25"/>
  <c r="AC403" i="25"/>
  <c r="AD403" i="25"/>
  <c r="AB404" i="25"/>
  <c r="AC404" i="25"/>
  <c r="AD404" i="25"/>
  <c r="AB405" i="25"/>
  <c r="AC405" i="25"/>
  <c r="AD405" i="25"/>
  <c r="AB406" i="25"/>
  <c r="AC406" i="25"/>
  <c r="AD406" i="25"/>
  <c r="AB407" i="25"/>
  <c r="AC407" i="25"/>
  <c r="AD407" i="25"/>
  <c r="AB408" i="25"/>
  <c r="AC408" i="25"/>
  <c r="AD408" i="25"/>
  <c r="AB409" i="25"/>
  <c r="AC409" i="25"/>
  <c r="AD409" i="25"/>
  <c r="AB410" i="25"/>
  <c r="AC410" i="25"/>
  <c r="AD410" i="25"/>
  <c r="AB411" i="25"/>
  <c r="AC411" i="25"/>
  <c r="AD411" i="25"/>
  <c r="AB412" i="25"/>
  <c r="AC412" i="25"/>
  <c r="AD412" i="25"/>
  <c r="AB413" i="25"/>
  <c r="AC413" i="25"/>
  <c r="AD413" i="25"/>
  <c r="AB414" i="25"/>
  <c r="AC414" i="25"/>
  <c r="AD414" i="25"/>
  <c r="AB415" i="25"/>
  <c r="AC415" i="25"/>
  <c r="AD415" i="25"/>
  <c r="AB416" i="25"/>
  <c r="AC416" i="25"/>
  <c r="AD416" i="25"/>
  <c r="AB417" i="25"/>
  <c r="AC417" i="25"/>
  <c r="AD417" i="25"/>
  <c r="AB418" i="25"/>
  <c r="AC418" i="25"/>
  <c r="AD418" i="25"/>
  <c r="AB419" i="25"/>
  <c r="AC419" i="25"/>
  <c r="AD419" i="25"/>
  <c r="AB420" i="25"/>
  <c r="AC420" i="25"/>
  <c r="AD420" i="25"/>
  <c r="AB421" i="25"/>
  <c r="AC421" i="25"/>
  <c r="AD421" i="25"/>
  <c r="AB422" i="25"/>
  <c r="AC422" i="25"/>
  <c r="AD422" i="25"/>
  <c r="AB423" i="25"/>
  <c r="AC423" i="25"/>
  <c r="AD423" i="25"/>
  <c r="AB424" i="25"/>
  <c r="AC424" i="25"/>
  <c r="AD424" i="25"/>
  <c r="AB425" i="25"/>
  <c r="AC425" i="25"/>
  <c r="AD425" i="25"/>
  <c r="AB426" i="25"/>
  <c r="AC426" i="25"/>
  <c r="AD426" i="25"/>
  <c r="AB427" i="25"/>
  <c r="AC427" i="25"/>
  <c r="AD427" i="25"/>
  <c r="AB428" i="25"/>
  <c r="AC428" i="25"/>
  <c r="AD428" i="25"/>
  <c r="AB429" i="25"/>
  <c r="AC429" i="25"/>
  <c r="AD429" i="25"/>
  <c r="AB430" i="25"/>
  <c r="AC430" i="25"/>
  <c r="AD430" i="25"/>
  <c r="AB431" i="25"/>
  <c r="AC431" i="25"/>
  <c r="AD431" i="25"/>
  <c r="AB432" i="25"/>
  <c r="AC432" i="25"/>
  <c r="AD432" i="25"/>
  <c r="AB433" i="25"/>
  <c r="AC433" i="25"/>
  <c r="AD433" i="25"/>
  <c r="AB434" i="25"/>
  <c r="AC434" i="25"/>
  <c r="AD434" i="25"/>
  <c r="AB435" i="25"/>
  <c r="AC435" i="25"/>
  <c r="AD435" i="25"/>
  <c r="AB436" i="25"/>
  <c r="AC436" i="25"/>
  <c r="AD436" i="25"/>
  <c r="AB437" i="25"/>
  <c r="AC437" i="25"/>
  <c r="AD437" i="25"/>
  <c r="AB438" i="25"/>
  <c r="AC438" i="25"/>
  <c r="AD438" i="25"/>
  <c r="AB439" i="25"/>
  <c r="AC439" i="25"/>
  <c r="AD439" i="25"/>
  <c r="AB440" i="25"/>
  <c r="AC440" i="25"/>
  <c r="AD440" i="25"/>
  <c r="AB441" i="25"/>
  <c r="AC441" i="25"/>
  <c r="AD441" i="25"/>
  <c r="AB442" i="25"/>
  <c r="AC442" i="25"/>
  <c r="AD442" i="25"/>
  <c r="AB443" i="25"/>
  <c r="AC443" i="25"/>
  <c r="AD443" i="25"/>
  <c r="AB444" i="25"/>
  <c r="AC444" i="25"/>
  <c r="AD444" i="25"/>
  <c r="AB445" i="25"/>
  <c r="AC445" i="25"/>
  <c r="AD445" i="25"/>
  <c r="AB446" i="25"/>
  <c r="AC446" i="25"/>
  <c r="AD446" i="25"/>
  <c r="AB447" i="25"/>
  <c r="AC447" i="25"/>
  <c r="AD447" i="25"/>
  <c r="AB448" i="25"/>
  <c r="AC448" i="25"/>
  <c r="AD448" i="25"/>
  <c r="AB449" i="25"/>
  <c r="AC449" i="25"/>
  <c r="AD449" i="25"/>
  <c r="AB450" i="25"/>
  <c r="AC450" i="25"/>
  <c r="AD450" i="25"/>
  <c r="AB451" i="25"/>
  <c r="AC451" i="25"/>
  <c r="AD451" i="25"/>
  <c r="AB452" i="25"/>
  <c r="AC452" i="25"/>
  <c r="AD452" i="25"/>
  <c r="AB453" i="25"/>
  <c r="AC453" i="25"/>
  <c r="AD453" i="25"/>
  <c r="AB454" i="25"/>
  <c r="AC454" i="25"/>
  <c r="AD454" i="25"/>
  <c r="AB455" i="25"/>
  <c r="AC455" i="25"/>
  <c r="AD455" i="25"/>
  <c r="AB456" i="25"/>
  <c r="AC456" i="25"/>
  <c r="AD456" i="25"/>
  <c r="AB457" i="25"/>
  <c r="AC457" i="25"/>
  <c r="AD457" i="25"/>
  <c r="AB458" i="25"/>
  <c r="AC458" i="25"/>
  <c r="AD458" i="25"/>
  <c r="AB459" i="25"/>
  <c r="AC459" i="25"/>
  <c r="AD459" i="25"/>
  <c r="AB460" i="25"/>
  <c r="AC460" i="25"/>
  <c r="AD460" i="25"/>
  <c r="AB461" i="25"/>
  <c r="AC461" i="25"/>
  <c r="AD461" i="25"/>
  <c r="AB462" i="25"/>
  <c r="AC462" i="25"/>
  <c r="AD462" i="25"/>
  <c r="AB463" i="25"/>
  <c r="AC463" i="25"/>
  <c r="AD463" i="25"/>
  <c r="AB464" i="25"/>
  <c r="AC464" i="25"/>
  <c r="AD464" i="25"/>
  <c r="AB465" i="25"/>
  <c r="AC465" i="25"/>
  <c r="AD465" i="25"/>
  <c r="AB466" i="25"/>
  <c r="AC466" i="25"/>
  <c r="AD466" i="25"/>
  <c r="AB467" i="25"/>
  <c r="AC467" i="25"/>
  <c r="AD467" i="25"/>
  <c r="AB468" i="25"/>
  <c r="AC468" i="25"/>
  <c r="AD468" i="25"/>
  <c r="AB469" i="25"/>
  <c r="AC469" i="25"/>
  <c r="AD469" i="25"/>
  <c r="AB470" i="25"/>
  <c r="AC470" i="25"/>
  <c r="AD470" i="25"/>
  <c r="AB471" i="25"/>
  <c r="AC471" i="25"/>
  <c r="AD471" i="25"/>
  <c r="AB472" i="25"/>
  <c r="AC472" i="25"/>
  <c r="AD472" i="25"/>
  <c r="AB473" i="25"/>
  <c r="AC473" i="25"/>
  <c r="AD473" i="25"/>
  <c r="AB474" i="25"/>
  <c r="AC474" i="25"/>
  <c r="AD474" i="25"/>
  <c r="AB475" i="25"/>
  <c r="AC475" i="25"/>
  <c r="AD475" i="25"/>
  <c r="AB476" i="25"/>
  <c r="AC476" i="25"/>
  <c r="AD476" i="25"/>
  <c r="AB477" i="25"/>
  <c r="AC477" i="25"/>
  <c r="AD477" i="25"/>
  <c r="AB478" i="25"/>
  <c r="AC478" i="25"/>
  <c r="AD478" i="25"/>
  <c r="AB479" i="25"/>
  <c r="AC479" i="25"/>
  <c r="AD479" i="25"/>
  <c r="AB480" i="25"/>
  <c r="AC480" i="25"/>
  <c r="AD480" i="25"/>
  <c r="AB481" i="25"/>
  <c r="AC481" i="25"/>
  <c r="AD481" i="25"/>
  <c r="AB482" i="25"/>
  <c r="AC482" i="25"/>
  <c r="AD482" i="25"/>
  <c r="AB483" i="25"/>
  <c r="AC483" i="25"/>
  <c r="AD483" i="25"/>
  <c r="AB484" i="25"/>
  <c r="AC484" i="25"/>
  <c r="AD484" i="25"/>
  <c r="AB485" i="25"/>
  <c r="AC485" i="25"/>
  <c r="AD485" i="25"/>
  <c r="AB486" i="25"/>
  <c r="AC486" i="25"/>
  <c r="AD486" i="25"/>
  <c r="AB487" i="25"/>
  <c r="AC487" i="25"/>
  <c r="AD487" i="25"/>
  <c r="AB488" i="25"/>
  <c r="AC488" i="25"/>
  <c r="AD488" i="25"/>
  <c r="AB489" i="25"/>
  <c r="AC489" i="25"/>
  <c r="AD489" i="25"/>
  <c r="AB490" i="25"/>
  <c r="AC490" i="25"/>
  <c r="AD490" i="25"/>
  <c r="AB491" i="25"/>
  <c r="AC491" i="25"/>
  <c r="AD491" i="25"/>
  <c r="AB492" i="25"/>
  <c r="AC492" i="25"/>
  <c r="AD492" i="25"/>
  <c r="AB493" i="25"/>
  <c r="AC493" i="25"/>
  <c r="AD493" i="25"/>
  <c r="AB494" i="25"/>
  <c r="AC494" i="25"/>
  <c r="AD494" i="25"/>
  <c r="AB495" i="25"/>
  <c r="AC495" i="25"/>
  <c r="AD495" i="25"/>
  <c r="AB496" i="25"/>
  <c r="AC496" i="25"/>
  <c r="AD496" i="25"/>
  <c r="AB497" i="25"/>
  <c r="AC497" i="25"/>
  <c r="AD497" i="25"/>
  <c r="AB498" i="25"/>
  <c r="AC498" i="25"/>
  <c r="AD498" i="25"/>
  <c r="AB499" i="25"/>
  <c r="AC499" i="25"/>
  <c r="AD499" i="25"/>
  <c r="AB500" i="25"/>
  <c r="AC500" i="25"/>
  <c r="AD500" i="25"/>
  <c r="AB501" i="25"/>
  <c r="AC501" i="25"/>
  <c r="AD501" i="25"/>
  <c r="AB502" i="25"/>
  <c r="AC502" i="25"/>
  <c r="AD502" i="25"/>
  <c r="AB503" i="25"/>
  <c r="AC503" i="25"/>
  <c r="AD503" i="25"/>
  <c r="AB504" i="25"/>
  <c r="AC504" i="25"/>
  <c r="AD504" i="25"/>
  <c r="AB505" i="25"/>
  <c r="AC505" i="25"/>
  <c r="AD505" i="25"/>
  <c r="AB506" i="25"/>
  <c r="AC506" i="25"/>
  <c r="AD506" i="25"/>
  <c r="AB507" i="25"/>
  <c r="AC507" i="25"/>
  <c r="AD507" i="25"/>
  <c r="AB508" i="25"/>
  <c r="AC508" i="25"/>
  <c r="AD508" i="25"/>
  <c r="AB509" i="25"/>
  <c r="AC509" i="25"/>
  <c r="AD509" i="25"/>
  <c r="AB510" i="25"/>
  <c r="AC510" i="25"/>
  <c r="AD510" i="25"/>
  <c r="AB511" i="25"/>
  <c r="AC511" i="25"/>
  <c r="AD511" i="25"/>
  <c r="AB512" i="25"/>
  <c r="AC512" i="25"/>
  <c r="AD512" i="25"/>
  <c r="AB513" i="25"/>
  <c r="AC513" i="25"/>
  <c r="AD513" i="25"/>
  <c r="AB514" i="25"/>
  <c r="AC514" i="25"/>
  <c r="AD514" i="25"/>
  <c r="AB515" i="25"/>
  <c r="AC515" i="25"/>
  <c r="AD515" i="25"/>
  <c r="AB516" i="25"/>
  <c r="AC516" i="25"/>
  <c r="AD516" i="25"/>
  <c r="AB517" i="25"/>
  <c r="AC517" i="25"/>
  <c r="AD517" i="25"/>
  <c r="AB518" i="25"/>
  <c r="AC518" i="25"/>
  <c r="AD518" i="25"/>
  <c r="AB519" i="25"/>
  <c r="AC519" i="25"/>
  <c r="AD519" i="25"/>
  <c r="AB520" i="25"/>
  <c r="AC520" i="25"/>
  <c r="AD520" i="25"/>
  <c r="AB521" i="25"/>
  <c r="AC521" i="25"/>
  <c r="AD521" i="25"/>
  <c r="AB522" i="25"/>
  <c r="AC522" i="25"/>
  <c r="AD522" i="25"/>
  <c r="AB523" i="25"/>
  <c r="AC523" i="25"/>
  <c r="AD523" i="25"/>
  <c r="AB524" i="25"/>
  <c r="AC524" i="25"/>
  <c r="AD524" i="25"/>
  <c r="AB525" i="25"/>
  <c r="AC525" i="25"/>
  <c r="AD525" i="25"/>
  <c r="AB526" i="25"/>
  <c r="AC526" i="25"/>
  <c r="AD526" i="25"/>
  <c r="AB527" i="25"/>
  <c r="AC527" i="25"/>
  <c r="AD527" i="25"/>
  <c r="AB528" i="25"/>
  <c r="AC528" i="25"/>
  <c r="AD528" i="25"/>
  <c r="AB529" i="25"/>
  <c r="AC529" i="25"/>
  <c r="AD529" i="25"/>
  <c r="AB530" i="25"/>
  <c r="AC530" i="25"/>
  <c r="AD530" i="25"/>
  <c r="AB531" i="25"/>
  <c r="AC531" i="25"/>
  <c r="AD531" i="25"/>
  <c r="AB532" i="25"/>
  <c r="AC532" i="25"/>
  <c r="AD532" i="25"/>
  <c r="AB533" i="25"/>
  <c r="AC533" i="25"/>
  <c r="AD533" i="25"/>
  <c r="AB534" i="25"/>
  <c r="AC534" i="25"/>
  <c r="AD534" i="25"/>
  <c r="AB535" i="25"/>
  <c r="AC535" i="25"/>
  <c r="AD535" i="25"/>
  <c r="AB536" i="25"/>
  <c r="AC536" i="25"/>
  <c r="AD536" i="25"/>
  <c r="AB537" i="25"/>
  <c r="AC537" i="25"/>
  <c r="AD537" i="25"/>
  <c r="AB538" i="25"/>
  <c r="AC538" i="25"/>
  <c r="AD538" i="25"/>
  <c r="AB539" i="25"/>
  <c r="AC539" i="25"/>
  <c r="AD539" i="25"/>
  <c r="AB540" i="25"/>
  <c r="AC540" i="25"/>
  <c r="AD540" i="25"/>
  <c r="AB541" i="25"/>
  <c r="AC541" i="25"/>
  <c r="AD541" i="25"/>
  <c r="AB542" i="25"/>
  <c r="AC542" i="25"/>
  <c r="AD542" i="25"/>
  <c r="AB543" i="25"/>
  <c r="AC543" i="25"/>
  <c r="AD543" i="25"/>
  <c r="AB544" i="25"/>
  <c r="AC544" i="25"/>
  <c r="AD544" i="25"/>
  <c r="AB545" i="25"/>
  <c r="AC545" i="25"/>
  <c r="AD545" i="25"/>
  <c r="AB546" i="25"/>
  <c r="AC546" i="25"/>
  <c r="AD546" i="25"/>
  <c r="AB547" i="25"/>
  <c r="AC547" i="25"/>
  <c r="AD547" i="25"/>
  <c r="AB548" i="25"/>
  <c r="AC548" i="25"/>
  <c r="AD548" i="25"/>
  <c r="AB549" i="25"/>
  <c r="AC549" i="25"/>
  <c r="AD549" i="25"/>
  <c r="AB550" i="25"/>
  <c r="AC550" i="25"/>
  <c r="AD550" i="25"/>
  <c r="AB551" i="25"/>
  <c r="AC551" i="25"/>
  <c r="AD551" i="25"/>
  <c r="AB552" i="25"/>
  <c r="AC552" i="25"/>
  <c r="AD552" i="25"/>
  <c r="AB553" i="25"/>
  <c r="AC553" i="25"/>
  <c r="AD553" i="25"/>
  <c r="AB554" i="25"/>
  <c r="AC554" i="25"/>
  <c r="AD554" i="25"/>
  <c r="AB555" i="25"/>
  <c r="AC555" i="25"/>
  <c r="AD555" i="25"/>
  <c r="AB556" i="25"/>
  <c r="AC556" i="25"/>
  <c r="AD556" i="25"/>
  <c r="AB557" i="25"/>
  <c r="AC557" i="25"/>
  <c r="AD557" i="25"/>
  <c r="AB558" i="25"/>
  <c r="AC558" i="25"/>
  <c r="AD558" i="25"/>
  <c r="AB559" i="25"/>
  <c r="AC559" i="25"/>
  <c r="AD559" i="25"/>
  <c r="AB560" i="25"/>
  <c r="AC560" i="25"/>
  <c r="AD560" i="25"/>
  <c r="AB561" i="25"/>
  <c r="AC561" i="25"/>
  <c r="AD561" i="25"/>
  <c r="AB562" i="25"/>
  <c r="AC562" i="25"/>
  <c r="AD562" i="25"/>
  <c r="AB563" i="25"/>
  <c r="AC563" i="25"/>
  <c r="AD563" i="25"/>
  <c r="AB564" i="25"/>
  <c r="AC564" i="25"/>
  <c r="AD564" i="25"/>
  <c r="AB565" i="25"/>
  <c r="AC565" i="25"/>
  <c r="AD565" i="25"/>
  <c r="AB566" i="25"/>
  <c r="AC566" i="25"/>
  <c r="AD566" i="25"/>
  <c r="AB567" i="25"/>
  <c r="AC567" i="25"/>
  <c r="AD567" i="25"/>
  <c r="AB568" i="25"/>
  <c r="AC568" i="25"/>
  <c r="AD568" i="25"/>
  <c r="AB569" i="25"/>
  <c r="AC569" i="25"/>
  <c r="AD569" i="25"/>
  <c r="AB570" i="25"/>
  <c r="AC570" i="25"/>
  <c r="AD570" i="25"/>
  <c r="AB571" i="25"/>
  <c r="AC571" i="25"/>
  <c r="AD571" i="25"/>
  <c r="AB572" i="25"/>
  <c r="AC572" i="25"/>
  <c r="AD572" i="25"/>
  <c r="AB573" i="25"/>
  <c r="AC573" i="25"/>
  <c r="AD573" i="25"/>
  <c r="AB574" i="25"/>
  <c r="AC574" i="25"/>
  <c r="AD574" i="25"/>
  <c r="AB575" i="25"/>
  <c r="AC575" i="25"/>
  <c r="AD575" i="25"/>
  <c r="AB576" i="25"/>
  <c r="AC576" i="25"/>
  <c r="AD576" i="25"/>
  <c r="AB577" i="25"/>
  <c r="AC577" i="25"/>
  <c r="AD577" i="25"/>
  <c r="AB578" i="25"/>
  <c r="AC578" i="25"/>
  <c r="AD578" i="25"/>
  <c r="AB579" i="25"/>
  <c r="AC579" i="25"/>
  <c r="AD579" i="25"/>
  <c r="AB580" i="25"/>
  <c r="AC580" i="25"/>
  <c r="AD580" i="25"/>
  <c r="AB581" i="25"/>
  <c r="AC581" i="25"/>
  <c r="AD581" i="25"/>
  <c r="AB582" i="25"/>
  <c r="AC582" i="25"/>
  <c r="AD582" i="25"/>
  <c r="AB583" i="25"/>
  <c r="AC583" i="25"/>
  <c r="AD583" i="25"/>
  <c r="AB584" i="25"/>
  <c r="AC584" i="25"/>
  <c r="AD584" i="25"/>
  <c r="AB585" i="25"/>
  <c r="AC585" i="25"/>
  <c r="AD585" i="25"/>
  <c r="AB586" i="25"/>
  <c r="AC586" i="25"/>
  <c r="AD586" i="25"/>
  <c r="AB587" i="25"/>
  <c r="AC587" i="25"/>
  <c r="AD587" i="25"/>
  <c r="AB588" i="25"/>
  <c r="AC588" i="25"/>
  <c r="AD588" i="25"/>
  <c r="AB589" i="25"/>
  <c r="AC589" i="25"/>
  <c r="AD589" i="25"/>
  <c r="AB590" i="25"/>
  <c r="AC590" i="25"/>
  <c r="AD590" i="25"/>
  <c r="AB591" i="25"/>
  <c r="AC591" i="25"/>
  <c r="AD591" i="25"/>
  <c r="AB592" i="25"/>
  <c r="AC592" i="25"/>
  <c r="AD592" i="25"/>
  <c r="AB593" i="25"/>
  <c r="AC593" i="25"/>
  <c r="AD593" i="25"/>
  <c r="AB594" i="25"/>
  <c r="AC594" i="25"/>
  <c r="AD594" i="25"/>
  <c r="AB595" i="25"/>
  <c r="AC595" i="25"/>
  <c r="AD595" i="25"/>
  <c r="AB596" i="25"/>
  <c r="AC596" i="25"/>
  <c r="AD596" i="25"/>
  <c r="AB597" i="25"/>
  <c r="AC597" i="25"/>
  <c r="AD597" i="25"/>
  <c r="AB598" i="25"/>
  <c r="AC598" i="25"/>
  <c r="AD598" i="25"/>
  <c r="AB599" i="25"/>
  <c r="AC599" i="25"/>
  <c r="AD599" i="25"/>
  <c r="AB600" i="25"/>
  <c r="AC600" i="25"/>
  <c r="AD600" i="25"/>
  <c r="AB601" i="25"/>
  <c r="AC601" i="25"/>
  <c r="AD601" i="25"/>
  <c r="AB602" i="25"/>
  <c r="AC602" i="25"/>
  <c r="AD602" i="25"/>
  <c r="AB603" i="25"/>
  <c r="AC603" i="25"/>
  <c r="AD603" i="25"/>
  <c r="AB604" i="25"/>
  <c r="AC604" i="25"/>
  <c r="AD604" i="25"/>
  <c r="AB605" i="25"/>
  <c r="AC605" i="25"/>
  <c r="AD605" i="25"/>
  <c r="AB606" i="25"/>
  <c r="AC606" i="25"/>
  <c r="AD606" i="25"/>
  <c r="AB607" i="25"/>
  <c r="AC607" i="25"/>
  <c r="AD607" i="25"/>
  <c r="AB608" i="25"/>
  <c r="AC608" i="25"/>
  <c r="AD608" i="25"/>
  <c r="AB609" i="25"/>
  <c r="AC609" i="25"/>
  <c r="AD609" i="25"/>
  <c r="AB610" i="25"/>
  <c r="AC610" i="25"/>
  <c r="AD610" i="25"/>
  <c r="AB611" i="25"/>
  <c r="AC611" i="25"/>
  <c r="AD611" i="25"/>
  <c r="AB612" i="25"/>
  <c r="AC612" i="25"/>
  <c r="AD612" i="25"/>
  <c r="AB613" i="25"/>
  <c r="AC613" i="25"/>
  <c r="AD613" i="25"/>
  <c r="AB614" i="25"/>
  <c r="AC614" i="25"/>
  <c r="AD614" i="25"/>
  <c r="AB615" i="25"/>
  <c r="AC615" i="25"/>
  <c r="AD615" i="25"/>
  <c r="AB616" i="25"/>
  <c r="AC616" i="25"/>
  <c r="AD616" i="25"/>
  <c r="AB617" i="25"/>
  <c r="AC617" i="25"/>
  <c r="AD617" i="25"/>
  <c r="AB618" i="25"/>
  <c r="AC618" i="25"/>
  <c r="AD618" i="25"/>
  <c r="AB619" i="25"/>
  <c r="AC619" i="25"/>
  <c r="AD619" i="25"/>
  <c r="AB620" i="25"/>
  <c r="AC620" i="25"/>
  <c r="AD620" i="25"/>
  <c r="AB621" i="25"/>
  <c r="AC621" i="25"/>
  <c r="AD621" i="25"/>
  <c r="AB622" i="25"/>
  <c r="AC622" i="25"/>
  <c r="AD622" i="25"/>
  <c r="AB623" i="25"/>
  <c r="AC623" i="25"/>
  <c r="AD623" i="25"/>
  <c r="AB624" i="25"/>
  <c r="AC624" i="25"/>
  <c r="AD624" i="25"/>
  <c r="AB625" i="25"/>
  <c r="AC625" i="25"/>
  <c r="AD625" i="25"/>
  <c r="AB626" i="25"/>
  <c r="AC626" i="25"/>
  <c r="AD626" i="25"/>
  <c r="AB627" i="25"/>
  <c r="AC627" i="25"/>
  <c r="AD627" i="25"/>
  <c r="AB628" i="25"/>
  <c r="AC628" i="25"/>
  <c r="AD628" i="25"/>
  <c r="AB629" i="25"/>
  <c r="AC629" i="25"/>
  <c r="AD629" i="25"/>
  <c r="AB630" i="25"/>
  <c r="AC630" i="25"/>
  <c r="AD630" i="25"/>
  <c r="AB631" i="25"/>
  <c r="AC631" i="25"/>
  <c r="AD631" i="25"/>
  <c r="AB632" i="25"/>
  <c r="AC632" i="25"/>
  <c r="AD632" i="25"/>
  <c r="AB633" i="25"/>
  <c r="AC633" i="25"/>
  <c r="AD633" i="25"/>
  <c r="AB634" i="25"/>
  <c r="AC634" i="25"/>
  <c r="AD634" i="25"/>
  <c r="AB635" i="25"/>
  <c r="AC635" i="25"/>
  <c r="AD635" i="25"/>
  <c r="AB636" i="25"/>
  <c r="AC636" i="25"/>
  <c r="AD636" i="25"/>
  <c r="AB637" i="25"/>
  <c r="AC637" i="25"/>
  <c r="AD637" i="25"/>
  <c r="AB638" i="25"/>
  <c r="AC638" i="25"/>
  <c r="AD638" i="25"/>
  <c r="AB639" i="25"/>
  <c r="AC639" i="25"/>
  <c r="AD639" i="25"/>
  <c r="AB640" i="25"/>
  <c r="AC640" i="25"/>
  <c r="AD640" i="25"/>
  <c r="AB641" i="25"/>
  <c r="AC641" i="25"/>
  <c r="AD641" i="25"/>
  <c r="AB642" i="25"/>
  <c r="AC642" i="25"/>
  <c r="AD642" i="25"/>
  <c r="AB643" i="25"/>
  <c r="AC643" i="25"/>
  <c r="AD643" i="25"/>
  <c r="AB644" i="25"/>
  <c r="AC644" i="25"/>
  <c r="AD644" i="25"/>
  <c r="AB645" i="25"/>
  <c r="AC645" i="25"/>
  <c r="AD645" i="25"/>
  <c r="AB646" i="25"/>
  <c r="AC646" i="25"/>
  <c r="AD646" i="25"/>
  <c r="AB647" i="25"/>
  <c r="AC647" i="25"/>
  <c r="AD647" i="25"/>
  <c r="AB648" i="25"/>
  <c r="AC648" i="25"/>
  <c r="AD648" i="25"/>
  <c r="AB649" i="25"/>
  <c r="AC649" i="25"/>
  <c r="AD649" i="25"/>
  <c r="AB650" i="25"/>
  <c r="AC650" i="25"/>
  <c r="AD650" i="25"/>
  <c r="AB651" i="25"/>
  <c r="AC651" i="25"/>
  <c r="AD651" i="25"/>
  <c r="AB652" i="25"/>
  <c r="AC652" i="25"/>
  <c r="AD652" i="25"/>
  <c r="AB653" i="25"/>
  <c r="AC653" i="25"/>
  <c r="AD653" i="25"/>
  <c r="AB654" i="25"/>
  <c r="AC654" i="25"/>
  <c r="AD654" i="25"/>
  <c r="AB655" i="25"/>
  <c r="AC655" i="25"/>
  <c r="AD655" i="25"/>
  <c r="AB656" i="25"/>
  <c r="AC656" i="25"/>
  <c r="AD656" i="25"/>
  <c r="AB657" i="25"/>
  <c r="AC657" i="25"/>
  <c r="AD657" i="25"/>
  <c r="AB658" i="25"/>
  <c r="AC658" i="25"/>
  <c r="AD658" i="25"/>
  <c r="AB659" i="25"/>
  <c r="AC659" i="25"/>
  <c r="AD659" i="25"/>
  <c r="AB660" i="25"/>
  <c r="AC660" i="25"/>
  <c r="AD660" i="25"/>
  <c r="AB661" i="25"/>
  <c r="AC661" i="25"/>
  <c r="AD661" i="25"/>
  <c r="AB662" i="25"/>
  <c r="AC662" i="25"/>
  <c r="AD662" i="25"/>
  <c r="AB663" i="25"/>
  <c r="AC663" i="25"/>
  <c r="AD663" i="25"/>
  <c r="AB664" i="25"/>
  <c r="AC664" i="25"/>
  <c r="AD664" i="25"/>
  <c r="AB665" i="25"/>
  <c r="AC665" i="25"/>
  <c r="AD665" i="25"/>
  <c r="AB666" i="25"/>
  <c r="AC666" i="25"/>
  <c r="AD666" i="25"/>
  <c r="AB667" i="25"/>
  <c r="AC667" i="25"/>
  <c r="AD667" i="25"/>
  <c r="AB668" i="25"/>
  <c r="AC668" i="25"/>
  <c r="AD668" i="25"/>
  <c r="AB669" i="25"/>
  <c r="AC669" i="25"/>
  <c r="AD669" i="25"/>
  <c r="AB670" i="25"/>
  <c r="AC670" i="25"/>
  <c r="AD670" i="25"/>
  <c r="AB671" i="25"/>
  <c r="AC671" i="25"/>
  <c r="AD671" i="25"/>
  <c r="AB672" i="25"/>
  <c r="AC672" i="25"/>
  <c r="AD672" i="25"/>
  <c r="AB673" i="25"/>
  <c r="AC673" i="25"/>
  <c r="AD673" i="25"/>
  <c r="AB674" i="25"/>
  <c r="AC674" i="25"/>
  <c r="AD674" i="25"/>
  <c r="AB675" i="25"/>
  <c r="AC675" i="25"/>
  <c r="AD675" i="25"/>
  <c r="AB676" i="25"/>
  <c r="AC676" i="25"/>
  <c r="AD676" i="25"/>
  <c r="AB677" i="25"/>
  <c r="AC677" i="25"/>
  <c r="AD677" i="25"/>
  <c r="AB678" i="25"/>
  <c r="AC678" i="25"/>
  <c r="AD678" i="25"/>
  <c r="AB679" i="25"/>
  <c r="AC679" i="25"/>
  <c r="AD679" i="25"/>
  <c r="AB680" i="25"/>
  <c r="AC680" i="25"/>
  <c r="AD680" i="25"/>
  <c r="AB681" i="25"/>
  <c r="AC681" i="25"/>
  <c r="AD681" i="25"/>
  <c r="AB682" i="25"/>
  <c r="AC682" i="25"/>
  <c r="AD682" i="25"/>
  <c r="AB683" i="25"/>
  <c r="AC683" i="25"/>
  <c r="AD683" i="25"/>
  <c r="AB684" i="25"/>
  <c r="AC684" i="25"/>
  <c r="AD684" i="25"/>
  <c r="AB685" i="25"/>
  <c r="AC685" i="25"/>
  <c r="AD685" i="25"/>
  <c r="AB686" i="25"/>
  <c r="AC686" i="25"/>
  <c r="AD686" i="25"/>
  <c r="AB687" i="25"/>
  <c r="AC687" i="25"/>
  <c r="AD687" i="25"/>
  <c r="AB688" i="25"/>
  <c r="AC688" i="25"/>
  <c r="AD688" i="25"/>
  <c r="AB689" i="25"/>
  <c r="AC689" i="25"/>
  <c r="AD689" i="25"/>
  <c r="AB690" i="25"/>
  <c r="AC690" i="25"/>
  <c r="AD690" i="25"/>
  <c r="AB691" i="25"/>
  <c r="AC691" i="25"/>
  <c r="AD691" i="25"/>
  <c r="AB692" i="25"/>
  <c r="AC692" i="25"/>
  <c r="AD692" i="25"/>
  <c r="AB693" i="25"/>
  <c r="AC693" i="25"/>
  <c r="AD693" i="25"/>
  <c r="AB694" i="25"/>
  <c r="AC694" i="25"/>
  <c r="AD694" i="25"/>
  <c r="AB695" i="25"/>
  <c r="AC695" i="25"/>
  <c r="AD695" i="25"/>
  <c r="AB696" i="25"/>
  <c r="AC696" i="25"/>
  <c r="AD696" i="25"/>
  <c r="AB697" i="25"/>
  <c r="AC697" i="25"/>
  <c r="AD697" i="25"/>
  <c r="AB698" i="25"/>
  <c r="AC698" i="25"/>
  <c r="AD698" i="25"/>
  <c r="AB699" i="25"/>
  <c r="AC699" i="25"/>
  <c r="AD699" i="25"/>
  <c r="AB700" i="25"/>
  <c r="AC700" i="25"/>
  <c r="AD700" i="25"/>
  <c r="AB701" i="25"/>
  <c r="AC701" i="25"/>
  <c r="AD701" i="25"/>
  <c r="AB702" i="25"/>
  <c r="AC702" i="25"/>
  <c r="AD702" i="25"/>
  <c r="AB703" i="25"/>
  <c r="AC703" i="25"/>
  <c r="AD703" i="25"/>
  <c r="AB704" i="25"/>
  <c r="AC704" i="25"/>
  <c r="AD704" i="25"/>
  <c r="AB705" i="25"/>
  <c r="AC705" i="25"/>
  <c r="AD705" i="25"/>
  <c r="AB706" i="25"/>
  <c r="AC706" i="25"/>
  <c r="AD706" i="25"/>
  <c r="AB707" i="25"/>
  <c r="AC707" i="25"/>
  <c r="AD707" i="25"/>
  <c r="AB708" i="25"/>
  <c r="AC708" i="25"/>
  <c r="AD708" i="25"/>
  <c r="AB709" i="25"/>
  <c r="AC709" i="25"/>
  <c r="AD709" i="25"/>
  <c r="AB710" i="25"/>
  <c r="AC710" i="25"/>
  <c r="AD710" i="25"/>
  <c r="AB711" i="25"/>
  <c r="AC711" i="25"/>
  <c r="AD711" i="25"/>
  <c r="AB712" i="25"/>
  <c r="AC712" i="25"/>
  <c r="AD712" i="25"/>
  <c r="AB713" i="25"/>
  <c r="AC713" i="25"/>
  <c r="AD713" i="25"/>
  <c r="AB714" i="25"/>
  <c r="AC714" i="25"/>
  <c r="AD714" i="25"/>
  <c r="AB715" i="25"/>
  <c r="AC715" i="25"/>
  <c r="AD715" i="25"/>
  <c r="AB716" i="25"/>
  <c r="AC716" i="25"/>
  <c r="AD716" i="25"/>
  <c r="AB717" i="25"/>
  <c r="AC717" i="25"/>
  <c r="AD717" i="25"/>
  <c r="AB718" i="25"/>
  <c r="AC718" i="25"/>
  <c r="AD718" i="25"/>
  <c r="AB719" i="25"/>
  <c r="AC719" i="25"/>
  <c r="AD719" i="25"/>
  <c r="AB720" i="25"/>
  <c r="AC720" i="25"/>
  <c r="AD720" i="25"/>
  <c r="AB721" i="25"/>
  <c r="AC721" i="25"/>
  <c r="AD721" i="25"/>
  <c r="AB722" i="25"/>
  <c r="AC722" i="25"/>
  <c r="AD722" i="25"/>
  <c r="AB723" i="25"/>
  <c r="AC723" i="25"/>
  <c r="AD723" i="25"/>
  <c r="AB724" i="25"/>
  <c r="AC724" i="25"/>
  <c r="AD724" i="25"/>
  <c r="AB725" i="25"/>
  <c r="AC725" i="25"/>
  <c r="AD725" i="25"/>
  <c r="AB726" i="25"/>
  <c r="AC726" i="25"/>
  <c r="AD726" i="25"/>
  <c r="AB727" i="25"/>
  <c r="AC727" i="25"/>
  <c r="AD727" i="25"/>
  <c r="AB728" i="25"/>
  <c r="AC728" i="25"/>
  <c r="AD728" i="25"/>
  <c r="AB729" i="25"/>
  <c r="AC729" i="25"/>
  <c r="AD729" i="25"/>
  <c r="AB730" i="25"/>
  <c r="AC730" i="25"/>
  <c r="AD730" i="25"/>
  <c r="AB731" i="25"/>
  <c r="AC731" i="25"/>
  <c r="AD731" i="25"/>
  <c r="AB732" i="25"/>
  <c r="AC732" i="25"/>
  <c r="AD732" i="25"/>
  <c r="AB733" i="25"/>
  <c r="AC733" i="25"/>
  <c r="AD733" i="25"/>
  <c r="AB734" i="25"/>
  <c r="AC734" i="25"/>
  <c r="AD734" i="25"/>
  <c r="AB735" i="25"/>
  <c r="AC735" i="25"/>
  <c r="AD735" i="25"/>
  <c r="AB736" i="25"/>
  <c r="AC736" i="25"/>
  <c r="AD736" i="25"/>
  <c r="AB737" i="25"/>
  <c r="AC737" i="25"/>
  <c r="AD737" i="25"/>
  <c r="AB738" i="25"/>
  <c r="AC738" i="25"/>
  <c r="AD738" i="25"/>
  <c r="AB739" i="25"/>
  <c r="AC739" i="25"/>
  <c r="AD739" i="25"/>
  <c r="AB740" i="25"/>
  <c r="AC740" i="25"/>
  <c r="AD740" i="25"/>
  <c r="AB741" i="25"/>
  <c r="AC741" i="25"/>
  <c r="AD741" i="25"/>
  <c r="AB742" i="25"/>
  <c r="AC742" i="25"/>
  <c r="AD742" i="25"/>
  <c r="AB743" i="25"/>
  <c r="AC743" i="25"/>
  <c r="AD743" i="25"/>
  <c r="AB744" i="25"/>
  <c r="AC744" i="25"/>
  <c r="AD744" i="25"/>
  <c r="AB745" i="25"/>
  <c r="AC745" i="25"/>
  <c r="AD745" i="25"/>
  <c r="AB746" i="25"/>
  <c r="AC746" i="25"/>
  <c r="AD746" i="25"/>
  <c r="AB747" i="25"/>
  <c r="AC747" i="25"/>
  <c r="AD747" i="25"/>
  <c r="AB748" i="25"/>
  <c r="AC748" i="25"/>
  <c r="AD748" i="25"/>
  <c r="AB749" i="25"/>
  <c r="AC749" i="25"/>
  <c r="AD749" i="25"/>
  <c r="AB750" i="25"/>
  <c r="AC750" i="25"/>
  <c r="AD750" i="25"/>
  <c r="AB751" i="25"/>
  <c r="AC751" i="25"/>
  <c r="AD751" i="25"/>
  <c r="AB752" i="25"/>
  <c r="AC752" i="25"/>
  <c r="AD752" i="25"/>
  <c r="AB753" i="25"/>
  <c r="AC753" i="25"/>
  <c r="AD753" i="25"/>
  <c r="AB754" i="25"/>
  <c r="AC754" i="25"/>
  <c r="AD754" i="25"/>
  <c r="AB755" i="25"/>
  <c r="AC755" i="25"/>
  <c r="AD755" i="25"/>
  <c r="AB756" i="25"/>
  <c r="AC756" i="25"/>
  <c r="AD756" i="25"/>
  <c r="AB757" i="25"/>
  <c r="AC757" i="25"/>
  <c r="AD757" i="25"/>
  <c r="AB758" i="25"/>
  <c r="AC758" i="25"/>
  <c r="AD758" i="25"/>
  <c r="AB759" i="25"/>
  <c r="AC759" i="25"/>
  <c r="AD759" i="25"/>
  <c r="AB760" i="25"/>
  <c r="AC760" i="25"/>
  <c r="AD760" i="25"/>
  <c r="AB761" i="25"/>
  <c r="AC761" i="25"/>
  <c r="AD761" i="25"/>
  <c r="AB762" i="25"/>
  <c r="AC762" i="25"/>
  <c r="AD762" i="25"/>
  <c r="AB763" i="25"/>
  <c r="AC763" i="25"/>
  <c r="AD763" i="25"/>
  <c r="AB764" i="25"/>
  <c r="AC764" i="25"/>
  <c r="AD764" i="25"/>
  <c r="AB765" i="25"/>
  <c r="AC765" i="25"/>
  <c r="AD765" i="25"/>
  <c r="AB766" i="25"/>
  <c r="AC766" i="25"/>
  <c r="AD766" i="25"/>
  <c r="AB767" i="25"/>
  <c r="AC767" i="25"/>
  <c r="AD767" i="25"/>
  <c r="AB768" i="25"/>
  <c r="AC768" i="25"/>
  <c r="AD768" i="25"/>
  <c r="AB769" i="25"/>
  <c r="AC769" i="25"/>
  <c r="AD769" i="25"/>
  <c r="AB770" i="25"/>
  <c r="AC770" i="25"/>
  <c r="AD770" i="25"/>
  <c r="AB771" i="25"/>
  <c r="AC771" i="25"/>
  <c r="AD771" i="25"/>
  <c r="AB772" i="25"/>
  <c r="AC772" i="25"/>
  <c r="AD772" i="25"/>
  <c r="AB773" i="25"/>
  <c r="AC773" i="25"/>
  <c r="AD773" i="25"/>
  <c r="AB774" i="25"/>
  <c r="AC774" i="25"/>
  <c r="AD774" i="25"/>
  <c r="AB775" i="25"/>
  <c r="AC775" i="25"/>
  <c r="AD775" i="25"/>
  <c r="AB776" i="25"/>
  <c r="AC776" i="25"/>
  <c r="AD776" i="25"/>
  <c r="AB777" i="25"/>
  <c r="AC777" i="25"/>
  <c r="AD777" i="25"/>
  <c r="AB778" i="25"/>
  <c r="AC778" i="25"/>
  <c r="AD778" i="25"/>
  <c r="AB779" i="25"/>
  <c r="AC779" i="25"/>
  <c r="AD779" i="25"/>
  <c r="AB780" i="25"/>
  <c r="AC780" i="25"/>
  <c r="AD780" i="25"/>
  <c r="AB781" i="25"/>
  <c r="AC781" i="25"/>
  <c r="AD781" i="25"/>
  <c r="AB782" i="25"/>
  <c r="AC782" i="25"/>
  <c r="AD782" i="25"/>
  <c r="AB783" i="25"/>
  <c r="AC783" i="25"/>
  <c r="AD783" i="25"/>
  <c r="AB784" i="25"/>
  <c r="AC784" i="25"/>
  <c r="AD784" i="25"/>
  <c r="AB785" i="25"/>
  <c r="AC785" i="25"/>
  <c r="AD785" i="25"/>
  <c r="AB786" i="25"/>
  <c r="AC786" i="25"/>
  <c r="AD786" i="25"/>
  <c r="AB787" i="25"/>
  <c r="AC787" i="25"/>
  <c r="AD787" i="25"/>
  <c r="AB788" i="25"/>
  <c r="AC788" i="25"/>
  <c r="AD788" i="25"/>
  <c r="AB789" i="25"/>
  <c r="AC789" i="25"/>
  <c r="AD789" i="25"/>
  <c r="AB790" i="25"/>
  <c r="AC790" i="25"/>
  <c r="AD790" i="25"/>
  <c r="AB791" i="25"/>
  <c r="AC791" i="25"/>
  <c r="AD791" i="25"/>
  <c r="AB792" i="25"/>
  <c r="AC792" i="25"/>
  <c r="AD792" i="25"/>
  <c r="AB793" i="25"/>
  <c r="AC793" i="25"/>
  <c r="AD793" i="25"/>
  <c r="AB794" i="25"/>
  <c r="AC794" i="25"/>
  <c r="AD794" i="25"/>
  <c r="AB795" i="25"/>
  <c r="AC795" i="25"/>
  <c r="AD795" i="25"/>
  <c r="AB796" i="25"/>
  <c r="AC796" i="25"/>
  <c r="AD796" i="25"/>
  <c r="AB797" i="25"/>
  <c r="AC797" i="25"/>
  <c r="AD797" i="25"/>
  <c r="AB798" i="25"/>
  <c r="AC798" i="25"/>
  <c r="AD798" i="25"/>
  <c r="AB799" i="25"/>
  <c r="AC799" i="25"/>
  <c r="AD799" i="25"/>
  <c r="AB800" i="25"/>
  <c r="AC800" i="25"/>
  <c r="AD800" i="25"/>
  <c r="AB801" i="25"/>
  <c r="AC801" i="25"/>
  <c r="AD801" i="25"/>
  <c r="AB802" i="25"/>
  <c r="AC802" i="25"/>
  <c r="AD802" i="25"/>
  <c r="AB803" i="25"/>
  <c r="AC803" i="25"/>
  <c r="AD803" i="25"/>
  <c r="AB804" i="25"/>
  <c r="AC804" i="25"/>
  <c r="AD804" i="25"/>
  <c r="AB805" i="25"/>
  <c r="AC805" i="25"/>
  <c r="AD805" i="25"/>
  <c r="AB806" i="25"/>
  <c r="AC806" i="25"/>
  <c r="AD806" i="25"/>
  <c r="AB807" i="25"/>
  <c r="AC807" i="25"/>
  <c r="AD807" i="25"/>
  <c r="AB808" i="25"/>
  <c r="AC808" i="25"/>
  <c r="AD808" i="25"/>
  <c r="AB809" i="25"/>
  <c r="AC809" i="25"/>
  <c r="AD809" i="25"/>
  <c r="AB810" i="25"/>
  <c r="AC810" i="25"/>
  <c r="AD810" i="25"/>
  <c r="AB811" i="25"/>
  <c r="AC811" i="25"/>
  <c r="AD811" i="25"/>
  <c r="AB812" i="25"/>
  <c r="AC812" i="25"/>
  <c r="AD812" i="25"/>
  <c r="AB813" i="25"/>
  <c r="AC813" i="25"/>
  <c r="AD813" i="25"/>
  <c r="AB814" i="25"/>
  <c r="AC814" i="25"/>
  <c r="AD814" i="25"/>
  <c r="AB815" i="25"/>
  <c r="AC815" i="25"/>
  <c r="AD815" i="25"/>
  <c r="AB816" i="25"/>
  <c r="AC816" i="25"/>
  <c r="AD816" i="25"/>
  <c r="AB817" i="25"/>
  <c r="AC817" i="25"/>
  <c r="AD817" i="25"/>
  <c r="AB818" i="25"/>
  <c r="AC818" i="25"/>
  <c r="AD818" i="25"/>
  <c r="AB819" i="25"/>
  <c r="AC819" i="25"/>
  <c r="AD819" i="25"/>
  <c r="AB820" i="25"/>
  <c r="AC820" i="25"/>
  <c r="AD820" i="25"/>
  <c r="AB821" i="25"/>
  <c r="AC821" i="25"/>
  <c r="AD821" i="25"/>
  <c r="AB822" i="25"/>
  <c r="AC822" i="25"/>
  <c r="AD822" i="25"/>
  <c r="AB823" i="25"/>
  <c r="AC823" i="25"/>
  <c r="AD823" i="25"/>
  <c r="AB824" i="25"/>
  <c r="AC824" i="25"/>
  <c r="AD824" i="25"/>
  <c r="AB825" i="25"/>
  <c r="AC825" i="25"/>
  <c r="AD825" i="25"/>
  <c r="AB826" i="25"/>
  <c r="AC826" i="25"/>
  <c r="AD826" i="25"/>
  <c r="AB827" i="25"/>
  <c r="AC827" i="25"/>
  <c r="AD827" i="25"/>
  <c r="AB828" i="25"/>
  <c r="AC828" i="25"/>
  <c r="AD828" i="25"/>
  <c r="AB829" i="25"/>
  <c r="AC829" i="25"/>
  <c r="AD829" i="25"/>
  <c r="AB830" i="25"/>
  <c r="AC830" i="25"/>
  <c r="AD830" i="25"/>
  <c r="AB831" i="25"/>
  <c r="AC831" i="25"/>
  <c r="AD831" i="25"/>
  <c r="AB832" i="25"/>
  <c r="AC832" i="25"/>
  <c r="AD832" i="25"/>
  <c r="AB833" i="25"/>
  <c r="AC833" i="25"/>
  <c r="AD833" i="25"/>
  <c r="AB834" i="25"/>
  <c r="AC834" i="25"/>
  <c r="AD834" i="25"/>
  <c r="AB835" i="25"/>
  <c r="AC835" i="25"/>
  <c r="AD835" i="25"/>
  <c r="AB836" i="25"/>
  <c r="AC836" i="25"/>
  <c r="AD836" i="25"/>
  <c r="AB837" i="25"/>
  <c r="AC837" i="25"/>
  <c r="AD837" i="25"/>
  <c r="AB838" i="25"/>
  <c r="AC838" i="25"/>
  <c r="AD838" i="25"/>
  <c r="AB839" i="25"/>
  <c r="AC839" i="25"/>
  <c r="AD839" i="25"/>
  <c r="AB840" i="25"/>
  <c r="AC840" i="25"/>
  <c r="AD840" i="25"/>
  <c r="AB841" i="25"/>
  <c r="AC841" i="25"/>
  <c r="AD841" i="25"/>
  <c r="AB842" i="25"/>
  <c r="AC842" i="25"/>
  <c r="AD842" i="25"/>
  <c r="AB843" i="25"/>
  <c r="AC843" i="25"/>
  <c r="AD843" i="25"/>
  <c r="AB844" i="25"/>
  <c r="AC844" i="25"/>
  <c r="AD844" i="25"/>
  <c r="AB845" i="25"/>
  <c r="AC845" i="25"/>
  <c r="AD845" i="25"/>
  <c r="AB846" i="25"/>
  <c r="AC846" i="25"/>
  <c r="AD846" i="25"/>
  <c r="AB847" i="25"/>
  <c r="AC847" i="25"/>
  <c r="AD847" i="25"/>
  <c r="AB848" i="25"/>
  <c r="AC848" i="25"/>
  <c r="AD848" i="25"/>
  <c r="AB849" i="25"/>
  <c r="AC849" i="25"/>
  <c r="AD849" i="25"/>
  <c r="AB850" i="25"/>
  <c r="AC850" i="25"/>
  <c r="AD850" i="25"/>
  <c r="AB851" i="25"/>
  <c r="AC851" i="25"/>
  <c r="AD851" i="25"/>
  <c r="AB852" i="25"/>
  <c r="AC852" i="25"/>
  <c r="AD852" i="25"/>
  <c r="AB853" i="25"/>
  <c r="AC853" i="25"/>
  <c r="AD853" i="25"/>
  <c r="AB854" i="25"/>
  <c r="AC854" i="25"/>
  <c r="AD854" i="25"/>
  <c r="AB855" i="25"/>
  <c r="AC855" i="25"/>
  <c r="AD855" i="25"/>
  <c r="AB856" i="25"/>
  <c r="AC856" i="25"/>
  <c r="AD856" i="25"/>
  <c r="AB857" i="25"/>
  <c r="AC857" i="25"/>
  <c r="AD857" i="25"/>
  <c r="AB858" i="25"/>
  <c r="AC858" i="25"/>
  <c r="AD858" i="25"/>
  <c r="AB859" i="25"/>
  <c r="AC859" i="25"/>
  <c r="AD859" i="25"/>
  <c r="AB860" i="25"/>
  <c r="AC860" i="25"/>
  <c r="AD860" i="25"/>
  <c r="AB861" i="25"/>
  <c r="AC861" i="25"/>
  <c r="AD861" i="25"/>
  <c r="AB862" i="25"/>
  <c r="AC862" i="25"/>
  <c r="AD862" i="25"/>
  <c r="AB863" i="25"/>
  <c r="AC863" i="25"/>
  <c r="AD863" i="25"/>
  <c r="AB864" i="25"/>
  <c r="AC864" i="25"/>
  <c r="AD864" i="25"/>
  <c r="AB865" i="25"/>
  <c r="AC865" i="25"/>
  <c r="AD865" i="25"/>
  <c r="AB866" i="25"/>
  <c r="AC866" i="25"/>
  <c r="AD866" i="25"/>
  <c r="AB867" i="25"/>
  <c r="AC867" i="25"/>
  <c r="AD867" i="25"/>
  <c r="AB868" i="25"/>
  <c r="AC868" i="25"/>
  <c r="AD868" i="25"/>
  <c r="AB869" i="25"/>
  <c r="AC869" i="25"/>
  <c r="AD869" i="25"/>
  <c r="AB870" i="25"/>
  <c r="AC870" i="25"/>
  <c r="AD870" i="25"/>
  <c r="AB871" i="25"/>
  <c r="AC871" i="25"/>
  <c r="AD871" i="25"/>
  <c r="J308" i="25"/>
  <c r="K308" i="25" s="1"/>
  <c r="J309" i="25"/>
  <c r="J310" i="25"/>
  <c r="K310" i="25" s="1"/>
  <c r="J311" i="25"/>
  <c r="K311" i="25" s="1"/>
  <c r="J312" i="25"/>
  <c r="O312" i="25" s="1"/>
  <c r="P312" i="25" s="1"/>
  <c r="Q312" i="25" s="1"/>
  <c r="R312" i="25" s="1"/>
  <c r="S312" i="25" s="1"/>
  <c r="T312" i="25" s="1"/>
  <c r="J313" i="25"/>
  <c r="AE313" i="25" s="1"/>
  <c r="J314" i="25"/>
  <c r="J315" i="25"/>
  <c r="K315" i="25" s="1"/>
  <c r="J316" i="25"/>
  <c r="K316" i="25" s="1"/>
  <c r="J317" i="25"/>
  <c r="J318" i="25"/>
  <c r="K318" i="25" s="1"/>
  <c r="J319" i="25"/>
  <c r="K319" i="25" s="1"/>
  <c r="J320" i="25"/>
  <c r="O320" i="25" s="1"/>
  <c r="P320" i="25" s="1"/>
  <c r="Q320" i="25" s="1"/>
  <c r="R320" i="25" s="1"/>
  <c r="S320" i="25" s="1"/>
  <c r="T320" i="25" s="1"/>
  <c r="J321" i="25"/>
  <c r="AE321" i="25" s="1"/>
  <c r="J322" i="25"/>
  <c r="K322" i="25" s="1"/>
  <c r="J323" i="25"/>
  <c r="K323" i="25" s="1"/>
  <c r="J324" i="25"/>
  <c r="K324" i="25" s="1"/>
  <c r="J325" i="25"/>
  <c r="J326" i="25"/>
  <c r="K326" i="25" s="1"/>
  <c r="J327" i="25"/>
  <c r="K327" i="25" s="1"/>
  <c r="J328" i="25"/>
  <c r="O328" i="25" s="1"/>
  <c r="P328" i="25" s="1"/>
  <c r="Q328" i="25" s="1"/>
  <c r="R328" i="25" s="1"/>
  <c r="S328" i="25" s="1"/>
  <c r="T328" i="25" s="1"/>
  <c r="J329" i="25"/>
  <c r="AE329" i="25" s="1"/>
  <c r="J330" i="25"/>
  <c r="K330" i="25" s="1"/>
  <c r="J331" i="25"/>
  <c r="O331" i="25" s="1"/>
  <c r="P331" i="25" s="1"/>
  <c r="Q331" i="25" s="1"/>
  <c r="R331" i="25" s="1"/>
  <c r="S331" i="25" s="1"/>
  <c r="T331" i="25" s="1"/>
  <c r="J332" i="25"/>
  <c r="K332" i="25" s="1"/>
  <c r="J333" i="25"/>
  <c r="J334" i="25"/>
  <c r="J335" i="25"/>
  <c r="O335" i="25" s="1"/>
  <c r="P335" i="25" s="1"/>
  <c r="Q335" i="25" s="1"/>
  <c r="R335" i="25" s="1"/>
  <c r="S335" i="25" s="1"/>
  <c r="T335" i="25" s="1"/>
  <c r="J336" i="25"/>
  <c r="O336" i="25" s="1"/>
  <c r="P336" i="25" s="1"/>
  <c r="Q336" i="25" s="1"/>
  <c r="R336" i="25" s="1"/>
  <c r="S336" i="25" s="1"/>
  <c r="T336" i="25" s="1"/>
  <c r="J337" i="25"/>
  <c r="AE337" i="25" s="1"/>
  <c r="J338" i="25"/>
  <c r="K338" i="25" s="1"/>
  <c r="J339" i="25"/>
  <c r="K339" i="25" s="1"/>
  <c r="L339" i="25" s="1"/>
  <c r="J340" i="25"/>
  <c r="K340" i="25" s="1"/>
  <c r="J341" i="25"/>
  <c r="J342" i="25"/>
  <c r="K342" i="25" s="1"/>
  <c r="J343" i="25"/>
  <c r="J344" i="25"/>
  <c r="O344" i="25" s="1"/>
  <c r="P344" i="25" s="1"/>
  <c r="Q344" i="25" s="1"/>
  <c r="R344" i="25" s="1"/>
  <c r="S344" i="25" s="1"/>
  <c r="T344" i="25" s="1"/>
  <c r="J345" i="25"/>
  <c r="AE345" i="25" s="1"/>
  <c r="J346" i="25"/>
  <c r="K346" i="25" s="1"/>
  <c r="N346" i="25" s="1"/>
  <c r="A287" i="32" s="1"/>
  <c r="B287" i="32" s="1"/>
  <c r="J347" i="25"/>
  <c r="K347" i="25" s="1"/>
  <c r="L347" i="25" s="1"/>
  <c r="J348" i="25"/>
  <c r="K348" i="25" s="1"/>
  <c r="J349" i="25"/>
  <c r="J350" i="25"/>
  <c r="AE350" i="25" s="1"/>
  <c r="J351" i="25"/>
  <c r="AE351" i="25" s="1"/>
  <c r="J352" i="25"/>
  <c r="O352" i="25" s="1"/>
  <c r="P352" i="25" s="1"/>
  <c r="Q352" i="25" s="1"/>
  <c r="R352" i="25" s="1"/>
  <c r="S352" i="25" s="1"/>
  <c r="T352" i="25" s="1"/>
  <c r="J353" i="25"/>
  <c r="AE353" i="25" s="1"/>
  <c r="J354" i="25"/>
  <c r="AE354" i="25" s="1"/>
  <c r="J355" i="25"/>
  <c r="J356" i="25"/>
  <c r="K356" i="25" s="1"/>
  <c r="J357" i="25"/>
  <c r="J358" i="25"/>
  <c r="K358" i="25" s="1"/>
  <c r="J359" i="25"/>
  <c r="AE359" i="25" s="1"/>
  <c r="J360" i="25"/>
  <c r="O360" i="25" s="1"/>
  <c r="P360" i="25" s="1"/>
  <c r="Q360" i="25" s="1"/>
  <c r="R360" i="25" s="1"/>
  <c r="S360" i="25" s="1"/>
  <c r="T360" i="25" s="1"/>
  <c r="J361" i="25"/>
  <c r="AE361" i="25" s="1"/>
  <c r="J362" i="25"/>
  <c r="AE362" i="25" s="1"/>
  <c r="J363" i="25"/>
  <c r="J364" i="25"/>
  <c r="AE364" i="25" s="1"/>
  <c r="J365" i="25"/>
  <c r="J366" i="25"/>
  <c r="J367" i="25"/>
  <c r="AE367" i="25" s="1"/>
  <c r="J368" i="25"/>
  <c r="AE368" i="25" s="1"/>
  <c r="J369" i="25"/>
  <c r="J370" i="25"/>
  <c r="O370" i="25" s="1"/>
  <c r="P370" i="25" s="1"/>
  <c r="Q370" i="25" s="1"/>
  <c r="R370" i="25" s="1"/>
  <c r="S370" i="25" s="1"/>
  <c r="T370" i="25" s="1"/>
  <c r="J371" i="25"/>
  <c r="AE371" i="25" s="1"/>
  <c r="J372" i="25"/>
  <c r="AE372" i="25" s="1"/>
  <c r="J373" i="25"/>
  <c r="K373" i="25" s="1"/>
  <c r="L373" i="25" s="1"/>
  <c r="J374" i="25"/>
  <c r="J375" i="25"/>
  <c r="AE375" i="25" s="1"/>
  <c r="J376" i="25"/>
  <c r="AE376" i="25" s="1"/>
  <c r="J377" i="25"/>
  <c r="K377" i="25" s="1"/>
  <c r="J378" i="25"/>
  <c r="J379" i="25"/>
  <c r="AE379" i="25" s="1"/>
  <c r="J380" i="25"/>
  <c r="AE380" i="25" s="1"/>
  <c r="J381" i="25"/>
  <c r="K381" i="25" s="1"/>
  <c r="L381" i="25" s="1"/>
  <c r="J382" i="25"/>
  <c r="AE382" i="25" s="1"/>
  <c r="J383" i="25"/>
  <c r="AE383" i="25" s="1"/>
  <c r="J384" i="25"/>
  <c r="AE384" i="25" s="1"/>
  <c r="J385" i="25"/>
  <c r="K385" i="25" s="1"/>
  <c r="M385" i="25" s="1"/>
  <c r="J386" i="25"/>
  <c r="J387" i="25"/>
  <c r="AE387" i="25" s="1"/>
  <c r="J388" i="25"/>
  <c r="AE388" i="25" s="1"/>
  <c r="J389" i="25"/>
  <c r="K389" i="25" s="1"/>
  <c r="L389" i="25" s="1"/>
  <c r="J390" i="25"/>
  <c r="J391" i="25"/>
  <c r="AE391" i="25" s="1"/>
  <c r="J392" i="25"/>
  <c r="AE392" i="25" s="1"/>
  <c r="J393" i="25"/>
  <c r="K393" i="25" s="1"/>
  <c r="J394" i="25"/>
  <c r="J395" i="25"/>
  <c r="AE395" i="25" s="1"/>
  <c r="J396" i="25"/>
  <c r="AE396" i="25" s="1"/>
  <c r="J397" i="25"/>
  <c r="O397" i="25" s="1"/>
  <c r="P397" i="25" s="1"/>
  <c r="Q397" i="25" s="1"/>
  <c r="R397" i="25" s="1"/>
  <c r="S397" i="25" s="1"/>
  <c r="T397" i="25" s="1"/>
  <c r="J398" i="25"/>
  <c r="AE398" i="25" s="1"/>
  <c r="J399" i="25"/>
  <c r="AE399" i="25" s="1"/>
  <c r="J400" i="25"/>
  <c r="AE400" i="25" s="1"/>
  <c r="J401" i="25"/>
  <c r="K401" i="25" s="1"/>
  <c r="M401" i="25" s="1"/>
  <c r="J402" i="25"/>
  <c r="J403" i="25"/>
  <c r="AE403" i="25" s="1"/>
  <c r="J404" i="25"/>
  <c r="O404" i="25" s="1"/>
  <c r="P404" i="25" s="1"/>
  <c r="Q404" i="25" s="1"/>
  <c r="R404" i="25" s="1"/>
  <c r="S404" i="25" s="1"/>
  <c r="T404" i="25" s="1"/>
  <c r="J405" i="25"/>
  <c r="AE405" i="25" s="1"/>
  <c r="J406" i="25"/>
  <c r="J407" i="25"/>
  <c r="K407" i="25" s="1"/>
  <c r="M407" i="25" s="1"/>
  <c r="J408" i="25"/>
  <c r="AE408" i="25" s="1"/>
  <c r="J409" i="25"/>
  <c r="AE409" i="25" s="1"/>
  <c r="J410" i="25"/>
  <c r="AE410" i="25" s="1"/>
  <c r="J411" i="25"/>
  <c r="O411" i="25" s="1"/>
  <c r="P411" i="25" s="1"/>
  <c r="Q411" i="25" s="1"/>
  <c r="R411" i="25" s="1"/>
  <c r="S411" i="25" s="1"/>
  <c r="T411" i="25" s="1"/>
  <c r="J412" i="25"/>
  <c r="O412" i="25" s="1"/>
  <c r="P412" i="25" s="1"/>
  <c r="Q412" i="25" s="1"/>
  <c r="R412" i="25" s="1"/>
  <c r="S412" i="25" s="1"/>
  <c r="T412" i="25" s="1"/>
  <c r="J413" i="25"/>
  <c r="AE413" i="25" s="1"/>
  <c r="J414" i="25"/>
  <c r="J415" i="25"/>
  <c r="K415" i="25" s="1"/>
  <c r="L415" i="25" s="1"/>
  <c r="J416" i="25"/>
  <c r="J417" i="25"/>
  <c r="AE417" i="25" s="1"/>
  <c r="J418" i="25"/>
  <c r="J419" i="25"/>
  <c r="AE419" i="25" s="1"/>
  <c r="J420" i="25"/>
  <c r="J421" i="25"/>
  <c r="AE421" i="25" s="1"/>
  <c r="J422" i="25"/>
  <c r="J423" i="25"/>
  <c r="K423" i="25" s="1"/>
  <c r="J424" i="25"/>
  <c r="AE424" i="25" s="1"/>
  <c r="J425" i="25"/>
  <c r="AE425" i="25" s="1"/>
  <c r="J426" i="25"/>
  <c r="AE426" i="25" s="1"/>
  <c r="J427" i="25"/>
  <c r="J428" i="25"/>
  <c r="J429" i="25"/>
  <c r="AE429" i="25" s="1"/>
  <c r="J430" i="25"/>
  <c r="J431" i="25"/>
  <c r="K431" i="25" s="1"/>
  <c r="J432" i="25"/>
  <c r="AE432" i="25" s="1"/>
  <c r="J433" i="25"/>
  <c r="AE433" i="25" s="1"/>
  <c r="J434" i="25"/>
  <c r="AE434" i="25" s="1"/>
  <c r="J435" i="25"/>
  <c r="AE435" i="25" s="1"/>
  <c r="J436" i="25"/>
  <c r="J437" i="25"/>
  <c r="AE437" i="25" s="1"/>
  <c r="J438" i="25"/>
  <c r="J439" i="25"/>
  <c r="K439" i="25" s="1"/>
  <c r="L439" i="25" s="1"/>
  <c r="J440" i="25"/>
  <c r="AE440" i="25" s="1"/>
  <c r="J441" i="25"/>
  <c r="K441" i="25" s="1"/>
  <c r="M441" i="25" s="1"/>
  <c r="J442" i="25"/>
  <c r="AE442" i="25" s="1"/>
  <c r="J443" i="25"/>
  <c r="AE443" i="25" s="1"/>
  <c r="J444" i="25"/>
  <c r="J445" i="25"/>
  <c r="AE445" i="25" s="1"/>
  <c r="J446" i="25"/>
  <c r="J447" i="25"/>
  <c r="K447" i="25" s="1"/>
  <c r="J448" i="25"/>
  <c r="J449" i="25"/>
  <c r="K449" i="25" s="1"/>
  <c r="M449" i="25" s="1"/>
  <c r="J450" i="25"/>
  <c r="AE450" i="25" s="1"/>
  <c r="J451" i="25"/>
  <c r="K451" i="25" s="1"/>
  <c r="J452" i="25"/>
  <c r="J453" i="25"/>
  <c r="AE453" i="25" s="1"/>
  <c r="J454" i="25"/>
  <c r="AE454" i="25" s="1"/>
  <c r="J455" i="25"/>
  <c r="K455" i="25" s="1"/>
  <c r="J456" i="25"/>
  <c r="J457" i="25"/>
  <c r="O457" i="25" s="1"/>
  <c r="P457" i="25" s="1"/>
  <c r="Q457" i="25" s="1"/>
  <c r="R457" i="25" s="1"/>
  <c r="S457" i="25" s="1"/>
  <c r="T457" i="25" s="1"/>
  <c r="J458" i="25"/>
  <c r="AE458" i="25" s="1"/>
  <c r="J459" i="25"/>
  <c r="J460" i="25"/>
  <c r="J461" i="25"/>
  <c r="AE461" i="25" s="1"/>
  <c r="J462" i="25"/>
  <c r="AE462" i="25" s="1"/>
  <c r="J463" i="25"/>
  <c r="K463" i="25" s="1"/>
  <c r="J464" i="25"/>
  <c r="K464" i="25" s="1"/>
  <c r="J465" i="25"/>
  <c r="K465" i="25" s="1"/>
  <c r="M465" i="25" s="1"/>
  <c r="J466" i="25"/>
  <c r="J467" i="25"/>
  <c r="J468" i="25"/>
  <c r="O468" i="25" s="1"/>
  <c r="P468" i="25" s="1"/>
  <c r="Q468" i="25" s="1"/>
  <c r="R468" i="25" s="1"/>
  <c r="S468" i="25" s="1"/>
  <c r="T468" i="25" s="1"/>
  <c r="J469" i="25"/>
  <c r="AE469" i="25" s="1"/>
  <c r="J470" i="25"/>
  <c r="J471" i="25"/>
  <c r="K471" i="25" s="1"/>
  <c r="J472" i="25"/>
  <c r="J473" i="25"/>
  <c r="J474" i="25"/>
  <c r="O474" i="25" s="1"/>
  <c r="P474" i="25" s="1"/>
  <c r="Q474" i="25" s="1"/>
  <c r="R474" i="25" s="1"/>
  <c r="S474" i="25" s="1"/>
  <c r="T474" i="25" s="1"/>
  <c r="J475" i="25"/>
  <c r="K475" i="25" s="1"/>
  <c r="L475" i="25" s="1"/>
  <c r="J476" i="25"/>
  <c r="AE476" i="25" s="1"/>
  <c r="J477" i="25"/>
  <c r="AE477" i="25" s="1"/>
  <c r="J478" i="25"/>
  <c r="K478" i="25" s="1"/>
  <c r="J479" i="25"/>
  <c r="K479" i="25" s="1"/>
  <c r="N479" i="25" s="1"/>
  <c r="AA479" i="25" s="1"/>
  <c r="J480" i="25"/>
  <c r="AE480" i="25" s="1"/>
  <c r="J481" i="25"/>
  <c r="AE481" i="25" s="1"/>
  <c r="J482" i="25"/>
  <c r="J483" i="25"/>
  <c r="K483" i="25" s="1"/>
  <c r="L483" i="25" s="1"/>
  <c r="J484" i="25"/>
  <c r="AE484" i="25" s="1"/>
  <c r="J485" i="25"/>
  <c r="AE485" i="25" s="1"/>
  <c r="J486" i="25"/>
  <c r="J487" i="25"/>
  <c r="K487" i="25" s="1"/>
  <c r="J488" i="25"/>
  <c r="AE488" i="25" s="1"/>
  <c r="J489" i="25"/>
  <c r="AE489" i="25" s="1"/>
  <c r="J490" i="25"/>
  <c r="AE490" i="25" s="1"/>
  <c r="J491" i="25"/>
  <c r="O491" i="25" s="1"/>
  <c r="P491" i="25" s="1"/>
  <c r="Q491" i="25" s="1"/>
  <c r="R491" i="25" s="1"/>
  <c r="S491" i="25" s="1"/>
  <c r="T491" i="25" s="1"/>
  <c r="J492" i="25"/>
  <c r="AE492" i="25" s="1"/>
  <c r="J493" i="25"/>
  <c r="AE493" i="25" s="1"/>
  <c r="J494" i="25"/>
  <c r="AE494" i="25" s="1"/>
  <c r="J495" i="25"/>
  <c r="O495" i="25" s="1"/>
  <c r="P495" i="25" s="1"/>
  <c r="Q495" i="25" s="1"/>
  <c r="R495" i="25" s="1"/>
  <c r="S495" i="25" s="1"/>
  <c r="T495" i="25" s="1"/>
  <c r="J496" i="25"/>
  <c r="AE496" i="25" s="1"/>
  <c r="J497" i="25"/>
  <c r="AE497" i="25" s="1"/>
  <c r="J498" i="25"/>
  <c r="AE498" i="25" s="1"/>
  <c r="J499" i="25"/>
  <c r="K499" i="25" s="1"/>
  <c r="J500" i="25"/>
  <c r="AE500" i="25" s="1"/>
  <c r="J501" i="25"/>
  <c r="AE501" i="25" s="1"/>
  <c r="J502" i="25"/>
  <c r="AE502" i="25" s="1"/>
  <c r="J503" i="25"/>
  <c r="K503" i="25" s="1"/>
  <c r="M503" i="25" s="1"/>
  <c r="J504" i="25"/>
  <c r="AE504" i="25" s="1"/>
  <c r="J505" i="25"/>
  <c r="AE505" i="25" s="1"/>
  <c r="J506" i="25"/>
  <c r="AE506" i="25" s="1"/>
  <c r="J507" i="25"/>
  <c r="K507" i="25" s="1"/>
  <c r="J508" i="25"/>
  <c r="AE508" i="25" s="1"/>
  <c r="J509" i="25"/>
  <c r="AE509" i="25" s="1"/>
  <c r="J510" i="25"/>
  <c r="AE510" i="25" s="1"/>
  <c r="J511" i="25"/>
  <c r="K511" i="25" s="1"/>
  <c r="M511" i="25" s="1"/>
  <c r="J512" i="25"/>
  <c r="AE512" i="25" s="1"/>
  <c r="J513" i="25"/>
  <c r="AE513" i="25" s="1"/>
  <c r="J514" i="25"/>
  <c r="AE514" i="25" s="1"/>
  <c r="J515" i="25"/>
  <c r="K515" i="25" s="1"/>
  <c r="J516" i="25"/>
  <c r="AE516" i="25" s="1"/>
  <c r="J517" i="25"/>
  <c r="AE517" i="25" s="1"/>
  <c r="J518" i="25"/>
  <c r="AE518" i="25" s="1"/>
  <c r="J519" i="25"/>
  <c r="K519" i="25" s="1"/>
  <c r="M519" i="25" s="1"/>
  <c r="J520" i="25"/>
  <c r="AE520" i="25" s="1"/>
  <c r="J521" i="25"/>
  <c r="AE521" i="25" s="1"/>
  <c r="J522" i="25"/>
  <c r="AE522" i="25" s="1"/>
  <c r="J523" i="25"/>
  <c r="K523" i="25" s="1"/>
  <c r="J524" i="25"/>
  <c r="AE524" i="25" s="1"/>
  <c r="J525" i="25"/>
  <c r="AE525" i="25" s="1"/>
  <c r="J526" i="25"/>
  <c r="AE526" i="25" s="1"/>
  <c r="J527" i="25"/>
  <c r="O527" i="25" s="1"/>
  <c r="P527" i="25" s="1"/>
  <c r="Q527" i="25" s="1"/>
  <c r="R527" i="25" s="1"/>
  <c r="S527" i="25" s="1"/>
  <c r="T527" i="25" s="1"/>
  <c r="J528" i="25"/>
  <c r="J529" i="25"/>
  <c r="AE529" i="25" s="1"/>
  <c r="J530" i="25"/>
  <c r="AE530" i="25" s="1"/>
  <c r="J531" i="25"/>
  <c r="K531" i="25" s="1"/>
  <c r="N531" i="25" s="1"/>
  <c r="AA531" i="25" s="1"/>
  <c r="J532" i="25"/>
  <c r="AE532" i="25" s="1"/>
  <c r="J533" i="25"/>
  <c r="J534" i="25"/>
  <c r="AE534" i="25" s="1"/>
  <c r="J535" i="25"/>
  <c r="K535" i="25" s="1"/>
  <c r="J536" i="25"/>
  <c r="AE536" i="25" s="1"/>
  <c r="J537" i="25"/>
  <c r="AE537" i="25" s="1"/>
  <c r="J538" i="25"/>
  <c r="AE538" i="25" s="1"/>
  <c r="J539" i="25"/>
  <c r="O539" i="25" s="1"/>
  <c r="P539" i="25" s="1"/>
  <c r="Q539" i="25" s="1"/>
  <c r="R539" i="25" s="1"/>
  <c r="S539" i="25" s="1"/>
  <c r="T539" i="25" s="1"/>
  <c r="J540" i="25"/>
  <c r="AE540" i="25" s="1"/>
  <c r="J541" i="25"/>
  <c r="AE541" i="25" s="1"/>
  <c r="J542" i="25"/>
  <c r="AE542" i="25" s="1"/>
  <c r="J543" i="25"/>
  <c r="J544" i="25"/>
  <c r="J545" i="25"/>
  <c r="AE545" i="25" s="1"/>
  <c r="J546" i="25"/>
  <c r="AE546" i="25" s="1"/>
  <c r="J547" i="25"/>
  <c r="J548" i="25"/>
  <c r="AE548" i="25" s="1"/>
  <c r="J549" i="25"/>
  <c r="AE549" i="25" s="1"/>
  <c r="J550" i="25"/>
  <c r="K550" i="25" s="1"/>
  <c r="J551" i="25"/>
  <c r="J552" i="25"/>
  <c r="J553" i="25"/>
  <c r="AE553" i="25" s="1"/>
  <c r="J554" i="25"/>
  <c r="J555" i="25"/>
  <c r="J556" i="25"/>
  <c r="AE556" i="25" s="1"/>
  <c r="J557" i="25"/>
  <c r="AE557" i="25" s="1"/>
  <c r="J558" i="25"/>
  <c r="J559" i="25"/>
  <c r="O559" i="25" s="1"/>
  <c r="P559" i="25" s="1"/>
  <c r="Q559" i="25" s="1"/>
  <c r="R559" i="25" s="1"/>
  <c r="S559" i="25" s="1"/>
  <c r="T559" i="25" s="1"/>
  <c r="J560" i="25"/>
  <c r="AE560" i="25" s="1"/>
  <c r="J561" i="25"/>
  <c r="O561" i="25" s="1"/>
  <c r="P561" i="25" s="1"/>
  <c r="Q561" i="25" s="1"/>
  <c r="R561" i="25" s="1"/>
  <c r="S561" i="25" s="1"/>
  <c r="T561" i="25" s="1"/>
  <c r="J562" i="25"/>
  <c r="J563" i="25"/>
  <c r="O563" i="25" s="1"/>
  <c r="P563" i="25" s="1"/>
  <c r="Q563" i="25" s="1"/>
  <c r="R563" i="25" s="1"/>
  <c r="S563" i="25" s="1"/>
  <c r="T563" i="25" s="1"/>
  <c r="J564" i="25"/>
  <c r="J565" i="25"/>
  <c r="K565" i="25" s="1"/>
  <c r="J566" i="25"/>
  <c r="J567" i="25"/>
  <c r="K567" i="25" s="1"/>
  <c r="N567" i="25" s="1"/>
  <c r="AA567" i="25" s="1"/>
  <c r="J568" i="25"/>
  <c r="AE568" i="25" s="1"/>
  <c r="J569" i="25"/>
  <c r="O569" i="25" s="1"/>
  <c r="P569" i="25" s="1"/>
  <c r="Q569" i="25" s="1"/>
  <c r="R569" i="25" s="1"/>
  <c r="S569" i="25" s="1"/>
  <c r="T569" i="25" s="1"/>
  <c r="J570" i="25"/>
  <c r="J571" i="25"/>
  <c r="O571" i="25" s="1"/>
  <c r="P571" i="25" s="1"/>
  <c r="Q571" i="25" s="1"/>
  <c r="R571" i="25" s="1"/>
  <c r="S571" i="25" s="1"/>
  <c r="T571" i="25" s="1"/>
  <c r="J572" i="25"/>
  <c r="AE572" i="25" s="1"/>
  <c r="J573" i="25"/>
  <c r="K573" i="25" s="1"/>
  <c r="J574" i="25"/>
  <c r="AE574" i="25" s="1"/>
  <c r="J575" i="25"/>
  <c r="J576" i="25"/>
  <c r="AE576" i="25" s="1"/>
  <c r="J577" i="25"/>
  <c r="O577" i="25" s="1"/>
  <c r="P577" i="25" s="1"/>
  <c r="Q577" i="25" s="1"/>
  <c r="R577" i="25" s="1"/>
  <c r="S577" i="25" s="1"/>
  <c r="T577" i="25" s="1"/>
  <c r="J578" i="25"/>
  <c r="AE578" i="25" s="1"/>
  <c r="J579" i="25"/>
  <c r="J580" i="25"/>
  <c r="AE580" i="25" s="1"/>
  <c r="J581" i="25"/>
  <c r="K581" i="25" s="1"/>
  <c r="J582" i="25"/>
  <c r="AE582" i="25" s="1"/>
  <c r="J583" i="25"/>
  <c r="K583" i="25" s="1"/>
  <c r="L583" i="25" s="1"/>
  <c r="J584" i="25"/>
  <c r="AE584" i="25" s="1"/>
  <c r="J585" i="25"/>
  <c r="J586" i="25"/>
  <c r="AE586" i="25" s="1"/>
  <c r="J587" i="25"/>
  <c r="AE587" i="25" s="1"/>
  <c r="J588" i="25"/>
  <c r="K588" i="25" s="1"/>
  <c r="J589" i="25"/>
  <c r="J590" i="25"/>
  <c r="AE590" i="25" s="1"/>
  <c r="J591" i="25"/>
  <c r="J592" i="25"/>
  <c r="J593" i="25"/>
  <c r="J594" i="25"/>
  <c r="AE594" i="25" s="1"/>
  <c r="J595" i="25"/>
  <c r="AE595" i="25" s="1"/>
  <c r="J596" i="25"/>
  <c r="O596" i="25" s="1"/>
  <c r="P596" i="25" s="1"/>
  <c r="Q596" i="25" s="1"/>
  <c r="R596" i="25" s="1"/>
  <c r="S596" i="25" s="1"/>
  <c r="T596" i="25" s="1"/>
  <c r="J597" i="25"/>
  <c r="J598" i="25"/>
  <c r="AE598" i="25" s="1"/>
  <c r="J599" i="25"/>
  <c r="J600" i="25"/>
  <c r="J601" i="25"/>
  <c r="O601" i="25" s="1"/>
  <c r="P601" i="25" s="1"/>
  <c r="Q601" i="25" s="1"/>
  <c r="R601" i="25" s="1"/>
  <c r="S601" i="25" s="1"/>
  <c r="T601" i="25" s="1"/>
  <c r="J602" i="25"/>
  <c r="AE602" i="25" s="1"/>
  <c r="J603" i="25"/>
  <c r="AE603" i="25" s="1"/>
  <c r="J604" i="25"/>
  <c r="J605" i="25"/>
  <c r="J606" i="25"/>
  <c r="AE606" i="25" s="1"/>
  <c r="J607" i="25"/>
  <c r="J608" i="25"/>
  <c r="J609" i="25"/>
  <c r="J610" i="25"/>
  <c r="AE610" i="25" s="1"/>
  <c r="J611" i="25"/>
  <c r="AE611" i="25" s="1"/>
  <c r="J612" i="25"/>
  <c r="AE612" i="25" s="1"/>
  <c r="J613" i="25"/>
  <c r="J614" i="25"/>
  <c r="O614" i="25" s="1"/>
  <c r="P614" i="25" s="1"/>
  <c r="Q614" i="25" s="1"/>
  <c r="R614" i="25" s="1"/>
  <c r="S614" i="25" s="1"/>
  <c r="T614" i="25" s="1"/>
  <c r="J615" i="25"/>
  <c r="K615" i="25" s="1"/>
  <c r="M615" i="25" s="1"/>
  <c r="J616" i="25"/>
  <c r="J617" i="25"/>
  <c r="J618" i="25"/>
  <c r="AE618" i="25" s="1"/>
  <c r="J619" i="25"/>
  <c r="J620" i="25"/>
  <c r="J621" i="25"/>
  <c r="K621" i="25" s="1"/>
  <c r="J622" i="25"/>
  <c r="J623" i="25"/>
  <c r="J624" i="25"/>
  <c r="AE624" i="25" s="1"/>
  <c r="J625" i="25"/>
  <c r="J626" i="25"/>
  <c r="J627" i="25"/>
  <c r="O627" i="25" s="1"/>
  <c r="P627" i="25" s="1"/>
  <c r="Q627" i="25" s="1"/>
  <c r="R627" i="25" s="1"/>
  <c r="S627" i="25" s="1"/>
  <c r="T627" i="25" s="1"/>
  <c r="J628" i="25"/>
  <c r="AE628" i="25" s="1"/>
  <c r="J629" i="25"/>
  <c r="J630" i="25"/>
  <c r="AE630" i="25" s="1"/>
  <c r="J631" i="25"/>
  <c r="AE631" i="25" s="1"/>
  <c r="J632" i="25"/>
  <c r="K632" i="25" s="1"/>
  <c r="M632" i="25" s="1"/>
  <c r="J633" i="25"/>
  <c r="J634" i="25"/>
  <c r="AE634" i="25" s="1"/>
  <c r="J635" i="25"/>
  <c r="O635" i="25" s="1"/>
  <c r="P635" i="25" s="1"/>
  <c r="Q635" i="25" s="1"/>
  <c r="R635" i="25" s="1"/>
  <c r="S635" i="25" s="1"/>
  <c r="T635" i="25" s="1"/>
  <c r="J636" i="25"/>
  <c r="AE636" i="25" s="1"/>
  <c r="J637" i="25"/>
  <c r="AE637" i="25" s="1"/>
  <c r="J638" i="25"/>
  <c r="AE638" i="25" s="1"/>
  <c r="J639" i="25"/>
  <c r="J640" i="25"/>
  <c r="O640" i="25" s="1"/>
  <c r="P640" i="25" s="1"/>
  <c r="Q640" i="25" s="1"/>
  <c r="R640" i="25" s="1"/>
  <c r="S640" i="25" s="1"/>
  <c r="T640" i="25" s="1"/>
  <c r="J641" i="25"/>
  <c r="J642" i="25"/>
  <c r="AE642" i="25" s="1"/>
  <c r="J643" i="25"/>
  <c r="J644" i="25"/>
  <c r="K644" i="25" s="1"/>
  <c r="J645" i="25"/>
  <c r="K645" i="25" s="1"/>
  <c r="J646" i="25"/>
  <c r="K646" i="25" s="1"/>
  <c r="L646" i="25" s="1"/>
  <c r="J647" i="25"/>
  <c r="J648" i="25"/>
  <c r="AE648" i="25" s="1"/>
  <c r="J649" i="25"/>
  <c r="O649" i="25" s="1"/>
  <c r="P649" i="25" s="1"/>
  <c r="Q649" i="25" s="1"/>
  <c r="R649" i="25" s="1"/>
  <c r="S649" i="25" s="1"/>
  <c r="T649" i="25" s="1"/>
  <c r="J650" i="25"/>
  <c r="AE650" i="25" s="1"/>
  <c r="J651" i="25"/>
  <c r="J652" i="25"/>
  <c r="K652" i="25" s="1"/>
  <c r="J653" i="25"/>
  <c r="K653" i="25" s="1"/>
  <c r="J654" i="25"/>
  <c r="K654" i="25" s="1"/>
  <c r="L654" i="25" s="1"/>
  <c r="J655" i="25"/>
  <c r="J656" i="25"/>
  <c r="AE656" i="25" s="1"/>
  <c r="J657" i="25"/>
  <c r="O657" i="25" s="1"/>
  <c r="P657" i="25" s="1"/>
  <c r="Q657" i="25" s="1"/>
  <c r="R657" i="25" s="1"/>
  <c r="S657" i="25" s="1"/>
  <c r="T657" i="25" s="1"/>
  <c r="J658" i="25"/>
  <c r="AE658" i="25" s="1"/>
  <c r="J659" i="25"/>
  <c r="J660" i="25"/>
  <c r="K660" i="25" s="1"/>
  <c r="J661" i="25"/>
  <c r="K661" i="25" s="1"/>
  <c r="J662" i="25"/>
  <c r="K662" i="25" s="1"/>
  <c r="J663" i="25"/>
  <c r="J664" i="25"/>
  <c r="AE664" i="25" s="1"/>
  <c r="J665" i="25"/>
  <c r="O665" i="25" s="1"/>
  <c r="P665" i="25" s="1"/>
  <c r="Q665" i="25" s="1"/>
  <c r="R665" i="25" s="1"/>
  <c r="S665" i="25" s="1"/>
  <c r="T665" i="25" s="1"/>
  <c r="J666" i="25"/>
  <c r="AE666" i="25" s="1"/>
  <c r="J667" i="25"/>
  <c r="J668" i="25"/>
  <c r="K668" i="25" s="1"/>
  <c r="N668" i="25" s="1"/>
  <c r="AA668" i="25" s="1"/>
  <c r="J669" i="25"/>
  <c r="K669" i="25" s="1"/>
  <c r="J670" i="25"/>
  <c r="K670" i="25" s="1"/>
  <c r="M670" i="25" s="1"/>
  <c r="J671" i="25"/>
  <c r="AE671" i="25" s="1"/>
  <c r="J672" i="25"/>
  <c r="O672" i="25" s="1"/>
  <c r="P672" i="25" s="1"/>
  <c r="Q672" i="25" s="1"/>
  <c r="R672" i="25" s="1"/>
  <c r="S672" i="25" s="1"/>
  <c r="T672" i="25" s="1"/>
  <c r="J673" i="25"/>
  <c r="AE673" i="25" s="1"/>
  <c r="J674" i="25"/>
  <c r="AE674" i="25" s="1"/>
  <c r="J675" i="25"/>
  <c r="AE675" i="25" s="1"/>
  <c r="J676" i="25"/>
  <c r="K676" i="25" s="1"/>
  <c r="N676" i="25" s="1"/>
  <c r="AA676" i="25" s="1"/>
  <c r="J677" i="25"/>
  <c r="J678" i="25"/>
  <c r="K678" i="25" s="1"/>
  <c r="M678" i="25" s="1"/>
  <c r="J679" i="25"/>
  <c r="AE679" i="25" s="1"/>
  <c r="J680" i="25"/>
  <c r="K680" i="25" s="1"/>
  <c r="J681" i="25"/>
  <c r="O681" i="25" s="1"/>
  <c r="P681" i="25" s="1"/>
  <c r="Q681" i="25" s="1"/>
  <c r="R681" i="25" s="1"/>
  <c r="S681" i="25" s="1"/>
  <c r="T681" i="25" s="1"/>
  <c r="J682" i="25"/>
  <c r="AE682" i="25" s="1"/>
  <c r="J683" i="25"/>
  <c r="AE683" i="25" s="1"/>
  <c r="J684" i="25"/>
  <c r="K684" i="25" s="1"/>
  <c r="J685" i="25"/>
  <c r="K685" i="25" s="1"/>
  <c r="J686" i="25"/>
  <c r="K686" i="25" s="1"/>
  <c r="J687" i="25"/>
  <c r="AE687" i="25" s="1"/>
  <c r="J688" i="25"/>
  <c r="O688" i="25" s="1"/>
  <c r="P688" i="25" s="1"/>
  <c r="Q688" i="25" s="1"/>
  <c r="R688" i="25" s="1"/>
  <c r="S688" i="25" s="1"/>
  <c r="T688" i="25" s="1"/>
  <c r="J689" i="25"/>
  <c r="J690" i="25"/>
  <c r="AE690" i="25" s="1"/>
  <c r="J691" i="25"/>
  <c r="AE691" i="25" s="1"/>
  <c r="J692" i="25"/>
  <c r="K692" i="25" s="1"/>
  <c r="N692" i="25" s="1"/>
  <c r="AA692" i="25" s="1"/>
  <c r="J693" i="25"/>
  <c r="K693" i="25" s="1"/>
  <c r="M693" i="25" s="1"/>
  <c r="J694" i="25"/>
  <c r="K694" i="25" s="1"/>
  <c r="M694" i="25" s="1"/>
  <c r="J695" i="25"/>
  <c r="AE695" i="25" s="1"/>
  <c r="J696" i="25"/>
  <c r="K696" i="25" s="1"/>
  <c r="M696" i="25" s="1"/>
  <c r="J697" i="25"/>
  <c r="J698" i="25"/>
  <c r="AE698" i="25" s="1"/>
  <c r="J699" i="25"/>
  <c r="AE699" i="25" s="1"/>
  <c r="J700" i="25"/>
  <c r="K700" i="25" s="1"/>
  <c r="N700" i="25" s="1"/>
  <c r="AA700" i="25" s="1"/>
  <c r="J701" i="25"/>
  <c r="K701" i="25" s="1"/>
  <c r="M701" i="25" s="1"/>
  <c r="J702" i="25"/>
  <c r="O702" i="25" s="1"/>
  <c r="P702" i="25" s="1"/>
  <c r="Q702" i="25" s="1"/>
  <c r="R702" i="25" s="1"/>
  <c r="S702" i="25" s="1"/>
  <c r="T702" i="25" s="1"/>
  <c r="J703" i="25"/>
  <c r="J704" i="25"/>
  <c r="AE704" i="25" s="1"/>
  <c r="J705" i="25"/>
  <c r="J706" i="25"/>
  <c r="AE706" i="25" s="1"/>
  <c r="J707" i="25"/>
  <c r="K707" i="25" s="1"/>
  <c r="J708" i="25"/>
  <c r="O708" i="25" s="1"/>
  <c r="P708" i="25" s="1"/>
  <c r="Q708" i="25" s="1"/>
  <c r="R708" i="25" s="1"/>
  <c r="S708" i="25" s="1"/>
  <c r="T708" i="25" s="1"/>
  <c r="J709" i="25"/>
  <c r="J710" i="25"/>
  <c r="K710" i="25" s="1"/>
  <c r="J711" i="25"/>
  <c r="O711" i="25" s="1"/>
  <c r="P711" i="25" s="1"/>
  <c r="Q711" i="25" s="1"/>
  <c r="R711" i="25" s="1"/>
  <c r="S711" i="25" s="1"/>
  <c r="T711" i="25" s="1"/>
  <c r="J712" i="25"/>
  <c r="AE712" i="25" s="1"/>
  <c r="J713" i="25"/>
  <c r="O713" i="25" s="1"/>
  <c r="P713" i="25" s="1"/>
  <c r="Q713" i="25" s="1"/>
  <c r="R713" i="25" s="1"/>
  <c r="S713" i="25" s="1"/>
  <c r="T713" i="25" s="1"/>
  <c r="J714" i="25"/>
  <c r="AE714" i="25" s="1"/>
  <c r="J715" i="25"/>
  <c r="J716" i="25"/>
  <c r="AE716" i="25" s="1"/>
  <c r="J717" i="25"/>
  <c r="AE717" i="25" s="1"/>
  <c r="J718" i="25"/>
  <c r="J719" i="25"/>
  <c r="K719" i="25" s="1"/>
  <c r="L719" i="25" s="1"/>
  <c r="J720" i="25"/>
  <c r="K720" i="25" s="1"/>
  <c r="J721" i="25"/>
  <c r="AE721" i="25" s="1"/>
  <c r="J722" i="25"/>
  <c r="J723" i="25"/>
  <c r="J724" i="25"/>
  <c r="AE724" i="25" s="1"/>
  <c r="J725" i="25"/>
  <c r="AE725" i="25" s="1"/>
  <c r="J726" i="25"/>
  <c r="O726" i="25" s="1"/>
  <c r="P726" i="25" s="1"/>
  <c r="Q726" i="25" s="1"/>
  <c r="R726" i="25" s="1"/>
  <c r="S726" i="25" s="1"/>
  <c r="T726" i="25" s="1"/>
  <c r="J727" i="25"/>
  <c r="K727" i="25" s="1"/>
  <c r="J728" i="25"/>
  <c r="K728" i="25" s="1"/>
  <c r="N728" i="25" s="1"/>
  <c r="AA728" i="25" s="1"/>
  <c r="J729" i="25"/>
  <c r="AE729" i="25" s="1"/>
  <c r="J730" i="25"/>
  <c r="J731" i="25"/>
  <c r="J732" i="25"/>
  <c r="J733" i="25"/>
  <c r="AE733" i="25" s="1"/>
  <c r="J734" i="25"/>
  <c r="J735" i="25"/>
  <c r="K735" i="25" s="1"/>
  <c r="N735" i="25" s="1"/>
  <c r="AA735" i="25" s="1"/>
  <c r="J736" i="25"/>
  <c r="K736" i="25" s="1"/>
  <c r="N736" i="25" s="1"/>
  <c r="AA736" i="25" s="1"/>
  <c r="J737" i="25"/>
  <c r="AE737" i="25" s="1"/>
  <c r="J738" i="25"/>
  <c r="AE738" i="25" s="1"/>
  <c r="J739" i="25"/>
  <c r="AE739" i="25" s="1"/>
  <c r="J740" i="25"/>
  <c r="O740" i="25" s="1"/>
  <c r="P740" i="25" s="1"/>
  <c r="Q740" i="25" s="1"/>
  <c r="R740" i="25" s="1"/>
  <c r="S740" i="25" s="1"/>
  <c r="T740" i="25" s="1"/>
  <c r="J741" i="25"/>
  <c r="AE741" i="25" s="1"/>
  <c r="J742" i="25"/>
  <c r="O742" i="25" s="1"/>
  <c r="P742" i="25" s="1"/>
  <c r="Q742" i="25" s="1"/>
  <c r="R742" i="25" s="1"/>
  <c r="S742" i="25" s="1"/>
  <c r="T742" i="25" s="1"/>
  <c r="J743" i="25"/>
  <c r="K743" i="25" s="1"/>
  <c r="N743" i="25" s="1"/>
  <c r="AA743" i="25" s="1"/>
  <c r="J744" i="25"/>
  <c r="K744" i="25" s="1"/>
  <c r="N744" i="25" s="1"/>
  <c r="AA744" i="25" s="1"/>
  <c r="J745" i="25"/>
  <c r="AE745" i="25" s="1"/>
  <c r="J746" i="25"/>
  <c r="AE746" i="25" s="1"/>
  <c r="J747" i="25"/>
  <c r="AE747" i="25" s="1"/>
  <c r="J748" i="25"/>
  <c r="J749" i="25"/>
  <c r="AE749" i="25" s="1"/>
  <c r="J750" i="25"/>
  <c r="O750" i="25" s="1"/>
  <c r="P750" i="25" s="1"/>
  <c r="Q750" i="25" s="1"/>
  <c r="R750" i="25" s="1"/>
  <c r="S750" i="25" s="1"/>
  <c r="T750" i="25" s="1"/>
  <c r="J751" i="25"/>
  <c r="K751" i="25" s="1"/>
  <c r="N751" i="25" s="1"/>
  <c r="AA751" i="25" s="1"/>
  <c r="J752" i="25"/>
  <c r="K752" i="25" s="1"/>
  <c r="N752" i="25" s="1"/>
  <c r="AA752" i="25" s="1"/>
  <c r="J753" i="25"/>
  <c r="AE753" i="25" s="1"/>
  <c r="J754" i="25"/>
  <c r="AE754" i="25" s="1"/>
  <c r="J755" i="25"/>
  <c r="AE755" i="25" s="1"/>
  <c r="J756" i="25"/>
  <c r="O756" i="25" s="1"/>
  <c r="P756" i="25" s="1"/>
  <c r="Q756" i="25" s="1"/>
  <c r="R756" i="25" s="1"/>
  <c r="S756" i="25" s="1"/>
  <c r="T756" i="25" s="1"/>
  <c r="J757" i="25"/>
  <c r="AE757" i="25" s="1"/>
  <c r="J758" i="25"/>
  <c r="O758" i="25" s="1"/>
  <c r="P758" i="25" s="1"/>
  <c r="Q758" i="25" s="1"/>
  <c r="R758" i="25" s="1"/>
  <c r="S758" i="25" s="1"/>
  <c r="T758" i="25" s="1"/>
  <c r="J759" i="25"/>
  <c r="J760" i="25"/>
  <c r="K760" i="25" s="1"/>
  <c r="N760" i="25" s="1"/>
  <c r="AA760" i="25" s="1"/>
  <c r="J761" i="25"/>
  <c r="AE761" i="25" s="1"/>
  <c r="J762" i="25"/>
  <c r="AE762" i="25" s="1"/>
  <c r="J763" i="25"/>
  <c r="J764" i="25"/>
  <c r="J765" i="25"/>
  <c r="AE765" i="25" s="1"/>
  <c r="J766" i="25"/>
  <c r="J767" i="25"/>
  <c r="K767" i="25" s="1"/>
  <c r="L767" i="25" s="1"/>
  <c r="J768" i="25"/>
  <c r="AE768" i="25" s="1"/>
  <c r="J769" i="25"/>
  <c r="AE769" i="25" s="1"/>
  <c r="J770" i="25"/>
  <c r="J771" i="25"/>
  <c r="AE771" i="25" s="1"/>
  <c r="J772" i="25"/>
  <c r="O772" i="25" s="1"/>
  <c r="P772" i="25" s="1"/>
  <c r="Q772" i="25" s="1"/>
  <c r="R772" i="25" s="1"/>
  <c r="S772" i="25" s="1"/>
  <c r="T772" i="25" s="1"/>
  <c r="J773" i="25"/>
  <c r="AE773" i="25" s="1"/>
  <c r="J774" i="25"/>
  <c r="O774" i="25" s="1"/>
  <c r="P774" i="25" s="1"/>
  <c r="Q774" i="25" s="1"/>
  <c r="R774" i="25" s="1"/>
  <c r="S774" i="25" s="1"/>
  <c r="T774" i="25" s="1"/>
  <c r="J775" i="25"/>
  <c r="J776" i="25"/>
  <c r="AE776" i="25" s="1"/>
  <c r="J777" i="25"/>
  <c r="AE777" i="25" s="1"/>
  <c r="J778" i="25"/>
  <c r="AE778" i="25" s="1"/>
  <c r="J779" i="25"/>
  <c r="AE779" i="25" s="1"/>
  <c r="J780" i="25"/>
  <c r="O780" i="25" s="1"/>
  <c r="P780" i="25" s="1"/>
  <c r="Q780" i="25" s="1"/>
  <c r="R780" i="25" s="1"/>
  <c r="S780" i="25" s="1"/>
  <c r="T780" i="25" s="1"/>
  <c r="J781" i="25"/>
  <c r="AE781" i="25" s="1"/>
  <c r="J782" i="25"/>
  <c r="J783" i="25"/>
  <c r="J784" i="25"/>
  <c r="J785" i="25"/>
  <c r="AE785" i="25" s="1"/>
  <c r="J786" i="25"/>
  <c r="AE786" i="25" s="1"/>
  <c r="J787" i="25"/>
  <c r="AE787" i="25" s="1"/>
  <c r="J788" i="25"/>
  <c r="J789" i="25"/>
  <c r="AE789" i="25" s="1"/>
  <c r="J790" i="25"/>
  <c r="O790" i="25" s="1"/>
  <c r="P790" i="25" s="1"/>
  <c r="Q790" i="25" s="1"/>
  <c r="R790" i="25" s="1"/>
  <c r="S790" i="25" s="1"/>
  <c r="T790" i="25" s="1"/>
  <c r="J791" i="25"/>
  <c r="K791" i="25" s="1"/>
  <c r="J792" i="25"/>
  <c r="J793" i="25"/>
  <c r="AE793" i="25" s="1"/>
  <c r="J794" i="25"/>
  <c r="AE794" i="25" s="1"/>
  <c r="J795" i="25"/>
  <c r="J796" i="25"/>
  <c r="J797" i="25"/>
  <c r="O797" i="25" s="1"/>
  <c r="P797" i="25" s="1"/>
  <c r="Q797" i="25" s="1"/>
  <c r="R797" i="25" s="1"/>
  <c r="S797" i="25" s="1"/>
  <c r="T797" i="25" s="1"/>
  <c r="J798" i="25"/>
  <c r="O798" i="25" s="1"/>
  <c r="P798" i="25" s="1"/>
  <c r="Q798" i="25" s="1"/>
  <c r="R798" i="25" s="1"/>
  <c r="S798" i="25" s="1"/>
  <c r="T798" i="25" s="1"/>
  <c r="J799" i="25"/>
  <c r="K799" i="25" s="1"/>
  <c r="L799" i="25" s="1"/>
  <c r="J800" i="25"/>
  <c r="AE800" i="25" s="1"/>
  <c r="J801" i="25"/>
  <c r="AE801" i="25" s="1"/>
  <c r="J802" i="25"/>
  <c r="J803" i="25"/>
  <c r="J804" i="25"/>
  <c r="J805" i="25"/>
  <c r="AE805" i="25" s="1"/>
  <c r="J806" i="25"/>
  <c r="J807" i="25"/>
  <c r="J808" i="25"/>
  <c r="O808" i="25" s="1"/>
  <c r="P808" i="25" s="1"/>
  <c r="Q808" i="25" s="1"/>
  <c r="R808" i="25" s="1"/>
  <c r="S808" i="25" s="1"/>
  <c r="T808" i="25" s="1"/>
  <c r="J809" i="25"/>
  <c r="AE809" i="25" s="1"/>
  <c r="J810" i="25"/>
  <c r="J811" i="25"/>
  <c r="K811" i="25" s="1"/>
  <c r="L811" i="25" s="1"/>
  <c r="J812" i="25"/>
  <c r="J813" i="25"/>
  <c r="J814" i="25"/>
  <c r="J815" i="25"/>
  <c r="J816" i="25"/>
  <c r="J817" i="25"/>
  <c r="AE817" i="25" s="1"/>
  <c r="J818" i="25"/>
  <c r="J819" i="25"/>
  <c r="J820" i="25"/>
  <c r="AE820" i="25" s="1"/>
  <c r="J821" i="25"/>
  <c r="AE821" i="25" s="1"/>
  <c r="J822" i="25"/>
  <c r="J823" i="25"/>
  <c r="J824" i="25"/>
  <c r="J825" i="25"/>
  <c r="AE825" i="25" s="1"/>
  <c r="J826" i="25"/>
  <c r="J827" i="25"/>
  <c r="J828" i="25"/>
  <c r="AE828" i="25" s="1"/>
  <c r="J829" i="25"/>
  <c r="AE829" i="25" s="1"/>
  <c r="J830" i="25"/>
  <c r="J831" i="25"/>
  <c r="J832" i="25"/>
  <c r="J833" i="25"/>
  <c r="AE833" i="25" s="1"/>
  <c r="J834" i="25"/>
  <c r="J835" i="25"/>
  <c r="J836" i="25"/>
  <c r="AE836" i="25" s="1"/>
  <c r="J837" i="25"/>
  <c r="AE837" i="25" s="1"/>
  <c r="J838" i="25"/>
  <c r="J839" i="25"/>
  <c r="J840" i="25"/>
  <c r="J841" i="25"/>
  <c r="AE841" i="25" s="1"/>
  <c r="J842" i="25"/>
  <c r="J843" i="25"/>
  <c r="J844" i="25"/>
  <c r="AE844" i="25" s="1"/>
  <c r="J845" i="25"/>
  <c r="AE845" i="25" s="1"/>
  <c r="J846" i="25"/>
  <c r="J847" i="25"/>
  <c r="J848" i="25"/>
  <c r="J849" i="25"/>
  <c r="AE849" i="25" s="1"/>
  <c r="J850" i="25"/>
  <c r="J851" i="25"/>
  <c r="J852" i="25"/>
  <c r="AE852" i="25" s="1"/>
  <c r="J853" i="25"/>
  <c r="AE853" i="25" s="1"/>
  <c r="J854" i="25"/>
  <c r="J855" i="25"/>
  <c r="J856" i="25"/>
  <c r="J857" i="25"/>
  <c r="AE857" i="25" s="1"/>
  <c r="J858" i="25"/>
  <c r="J859" i="25"/>
  <c r="J860" i="25"/>
  <c r="AE860" i="25" s="1"/>
  <c r="J861" i="25"/>
  <c r="AE861" i="25" s="1"/>
  <c r="J862" i="25"/>
  <c r="J863" i="25"/>
  <c r="J864" i="25"/>
  <c r="J865" i="25"/>
  <c r="AE865" i="25" s="1"/>
  <c r="J866" i="25"/>
  <c r="J867" i="25"/>
  <c r="J868" i="25"/>
  <c r="AE868" i="25" s="1"/>
  <c r="J869" i="25"/>
  <c r="AE869" i="25" s="1"/>
  <c r="J870" i="25"/>
  <c r="J871" i="25"/>
  <c r="J872" i="25"/>
  <c r="K872" i="25" s="1"/>
  <c r="J873" i="25"/>
  <c r="O873" i="25" s="1"/>
  <c r="P873" i="25" s="1"/>
  <c r="Q873" i="25" s="1"/>
  <c r="R873" i="25" s="1"/>
  <c r="S873" i="25" s="1"/>
  <c r="T873" i="25" s="1"/>
  <c r="J874" i="25"/>
  <c r="O874" i="25" s="1"/>
  <c r="P874" i="25" s="1"/>
  <c r="Q874" i="25" s="1"/>
  <c r="R874" i="25" s="1"/>
  <c r="S874" i="25" s="1"/>
  <c r="T874" i="25" s="1"/>
  <c r="AB308" i="25"/>
  <c r="AC308" i="25"/>
  <c r="AD308" i="25"/>
  <c r="AB309" i="25"/>
  <c r="AC309" i="25"/>
  <c r="AD309" i="25"/>
  <c r="AB310" i="25"/>
  <c r="AC310" i="25"/>
  <c r="AD310" i="25"/>
  <c r="AB311" i="25"/>
  <c r="AC311" i="25"/>
  <c r="AD311" i="25"/>
  <c r="AB312" i="25"/>
  <c r="AC312" i="25"/>
  <c r="AD312" i="25"/>
  <c r="AB313" i="25"/>
  <c r="AC313" i="25"/>
  <c r="AD313" i="25"/>
  <c r="AB314" i="25"/>
  <c r="AC314" i="25"/>
  <c r="AD314" i="25"/>
  <c r="AB315" i="25"/>
  <c r="AC315" i="25"/>
  <c r="AD315" i="25"/>
  <c r="AB316" i="25"/>
  <c r="AC316" i="25"/>
  <c r="AD316" i="25"/>
  <c r="AB317" i="25"/>
  <c r="AC317" i="25"/>
  <c r="AD317" i="25"/>
  <c r="AB318" i="25"/>
  <c r="AC318" i="25"/>
  <c r="AD318" i="25"/>
  <c r="AB319" i="25"/>
  <c r="AC319" i="25"/>
  <c r="AD319" i="25"/>
  <c r="AB320" i="25"/>
  <c r="AC320" i="25"/>
  <c r="AD320" i="25"/>
  <c r="AB321" i="25"/>
  <c r="AC321" i="25"/>
  <c r="AD321" i="25"/>
  <c r="AB322" i="25"/>
  <c r="AC322" i="25"/>
  <c r="AD322" i="25"/>
  <c r="AB323" i="25"/>
  <c r="AC323" i="25"/>
  <c r="AD323" i="25"/>
  <c r="AB324" i="25"/>
  <c r="AC324" i="25"/>
  <c r="AD324" i="25"/>
  <c r="AB325" i="25"/>
  <c r="AC325" i="25"/>
  <c r="AD325" i="25"/>
  <c r="AB326" i="25"/>
  <c r="AC326" i="25"/>
  <c r="AD326" i="25"/>
  <c r="AB327" i="25"/>
  <c r="AC327" i="25"/>
  <c r="AD327" i="25"/>
  <c r="AB328" i="25"/>
  <c r="AC328" i="25"/>
  <c r="AD328" i="25"/>
  <c r="AB329" i="25"/>
  <c r="AC329" i="25"/>
  <c r="AD329" i="25"/>
  <c r="AB330" i="25"/>
  <c r="AC330" i="25"/>
  <c r="AD330" i="25"/>
  <c r="AB331" i="25"/>
  <c r="AC331" i="25"/>
  <c r="AD331" i="25"/>
  <c r="AB332" i="25"/>
  <c r="AC332" i="25"/>
  <c r="AD332" i="25"/>
  <c r="AB333" i="25"/>
  <c r="AC333" i="25"/>
  <c r="AD333" i="25"/>
  <c r="AB334" i="25"/>
  <c r="AC334" i="25"/>
  <c r="AD334" i="25"/>
  <c r="AB335" i="25"/>
  <c r="AC335" i="25"/>
  <c r="AD335" i="25"/>
  <c r="AB336" i="25"/>
  <c r="AC336" i="25"/>
  <c r="AD336" i="25"/>
  <c r="AB337" i="25"/>
  <c r="AC337" i="25"/>
  <c r="AD337" i="25"/>
  <c r="AB338" i="25"/>
  <c r="AC338" i="25"/>
  <c r="AD338" i="25"/>
  <c r="AB339" i="25"/>
  <c r="AC339" i="25"/>
  <c r="AD339" i="25"/>
  <c r="AB340" i="25"/>
  <c r="AC340" i="25"/>
  <c r="AD340" i="25"/>
  <c r="AB341" i="25"/>
  <c r="AC341" i="25"/>
  <c r="AD341" i="25"/>
  <c r="AB342" i="25"/>
  <c r="AC342" i="25"/>
  <c r="AD342" i="25"/>
  <c r="AB343" i="25"/>
  <c r="AC343" i="25"/>
  <c r="AD343" i="25"/>
  <c r="AB344" i="25"/>
  <c r="AC344" i="25"/>
  <c r="AD344" i="25"/>
  <c r="AB345" i="25"/>
  <c r="AC345" i="25"/>
  <c r="AD345" i="25"/>
  <c r="AB346" i="25"/>
  <c r="AC346" i="25"/>
  <c r="AD346" i="25"/>
  <c r="AB347" i="25"/>
  <c r="AC347" i="25"/>
  <c r="AD347" i="25"/>
  <c r="D225" i="32"/>
  <c r="G225" i="32" s="1"/>
  <c r="E225" i="32"/>
  <c r="F225" i="32"/>
  <c r="D226" i="32"/>
  <c r="G226" i="32" s="1"/>
  <c r="E226" i="32"/>
  <c r="F226" i="32"/>
  <c r="D227" i="32"/>
  <c r="G227" i="32" s="1"/>
  <c r="E227" i="32"/>
  <c r="F227" i="32"/>
  <c r="D228" i="32"/>
  <c r="G228" i="32" s="1"/>
  <c r="E228" i="32"/>
  <c r="F228" i="32"/>
  <c r="D229" i="32"/>
  <c r="G229" i="32" s="1"/>
  <c r="E229" i="32"/>
  <c r="F229" i="32"/>
  <c r="D230" i="32"/>
  <c r="G230" i="32" s="1"/>
  <c r="E230" i="32"/>
  <c r="F230" i="32"/>
  <c r="D231" i="32"/>
  <c r="G231" i="32" s="1"/>
  <c r="E231" i="32"/>
  <c r="F231" i="32"/>
  <c r="D232" i="32"/>
  <c r="G232" i="32" s="1"/>
  <c r="E232" i="32"/>
  <c r="F232" i="32"/>
  <c r="D233" i="32"/>
  <c r="G233" i="32" s="1"/>
  <c r="E233" i="32"/>
  <c r="F233" i="32"/>
  <c r="D234" i="32"/>
  <c r="G234" i="32" s="1"/>
  <c r="E234" i="32"/>
  <c r="F234" i="32"/>
  <c r="D235" i="32"/>
  <c r="G235" i="32" s="1"/>
  <c r="E235" i="32"/>
  <c r="F235" i="32"/>
  <c r="D236" i="32"/>
  <c r="G236" i="32" s="1"/>
  <c r="E236" i="32"/>
  <c r="F236" i="32"/>
  <c r="D237" i="32"/>
  <c r="G237" i="32" s="1"/>
  <c r="E237" i="32"/>
  <c r="F237" i="32"/>
  <c r="D238" i="32"/>
  <c r="G238" i="32" s="1"/>
  <c r="E238" i="32"/>
  <c r="F238" i="32"/>
  <c r="D239" i="32"/>
  <c r="G239" i="32" s="1"/>
  <c r="E239" i="32"/>
  <c r="F239" i="32"/>
  <c r="D240" i="32"/>
  <c r="G240" i="32" s="1"/>
  <c r="E240" i="32"/>
  <c r="F240" i="32"/>
  <c r="D241" i="32"/>
  <c r="G241" i="32" s="1"/>
  <c r="E241" i="32"/>
  <c r="F241" i="32"/>
  <c r="D242" i="32"/>
  <c r="G242" i="32" s="1"/>
  <c r="E242" i="32"/>
  <c r="F242" i="32"/>
  <c r="D243" i="32"/>
  <c r="G243" i="32" s="1"/>
  <c r="E243" i="32"/>
  <c r="F243" i="32"/>
  <c r="D244" i="32"/>
  <c r="G244" i="32" s="1"/>
  <c r="E244" i="32"/>
  <c r="F244" i="32"/>
  <c r="D245" i="32"/>
  <c r="G245" i="32" s="1"/>
  <c r="E245" i="32"/>
  <c r="F245" i="32"/>
  <c r="D246" i="32"/>
  <c r="G246" i="32" s="1"/>
  <c r="E246" i="32"/>
  <c r="F246" i="32"/>
  <c r="D247" i="32"/>
  <c r="G247" i="32" s="1"/>
  <c r="E247" i="32"/>
  <c r="F247" i="32"/>
  <c r="D248" i="32"/>
  <c r="G248" i="32" s="1"/>
  <c r="E248" i="32"/>
  <c r="F248" i="32"/>
  <c r="D249" i="32"/>
  <c r="G249" i="32" s="1"/>
  <c r="E249" i="32"/>
  <c r="F249" i="32"/>
  <c r="D250" i="32"/>
  <c r="G250" i="32" s="1"/>
  <c r="E250" i="32"/>
  <c r="F250" i="32"/>
  <c r="D251" i="32"/>
  <c r="G251" i="32" s="1"/>
  <c r="E251" i="32"/>
  <c r="F251" i="32"/>
  <c r="D252" i="32"/>
  <c r="G252" i="32" s="1"/>
  <c r="E252" i="32"/>
  <c r="F252" i="32"/>
  <c r="D253" i="32"/>
  <c r="G253" i="32" s="1"/>
  <c r="E253" i="32"/>
  <c r="F253" i="32"/>
  <c r="D254" i="32"/>
  <c r="G254" i="32" s="1"/>
  <c r="E254" i="32"/>
  <c r="F254" i="32"/>
  <c r="D255" i="32"/>
  <c r="G255" i="32" s="1"/>
  <c r="E255" i="32"/>
  <c r="F255" i="32"/>
  <c r="D256" i="32"/>
  <c r="G256" i="32" s="1"/>
  <c r="E256" i="32"/>
  <c r="F256" i="32"/>
  <c r="D257" i="32"/>
  <c r="G257" i="32" s="1"/>
  <c r="E257" i="32"/>
  <c r="F257" i="32"/>
  <c r="D258" i="32"/>
  <c r="G258" i="32" s="1"/>
  <c r="E258" i="32"/>
  <c r="F258" i="32"/>
  <c r="D259" i="32"/>
  <c r="G259" i="32" s="1"/>
  <c r="E259" i="32"/>
  <c r="F259" i="32"/>
  <c r="D260" i="32"/>
  <c r="G260" i="32" s="1"/>
  <c r="E260" i="32"/>
  <c r="F260" i="32"/>
  <c r="D261" i="32"/>
  <c r="G261" i="32" s="1"/>
  <c r="E261" i="32"/>
  <c r="F261" i="32"/>
  <c r="D262" i="32"/>
  <c r="G262" i="32" s="1"/>
  <c r="E262" i="32"/>
  <c r="F262" i="32"/>
  <c r="D263" i="32"/>
  <c r="G263" i="32" s="1"/>
  <c r="E263" i="32"/>
  <c r="F263" i="32"/>
  <c r="D264" i="32"/>
  <c r="G264" i="32" s="1"/>
  <c r="E264" i="32"/>
  <c r="F264" i="32"/>
  <c r="D265" i="32"/>
  <c r="G265" i="32" s="1"/>
  <c r="E265" i="32"/>
  <c r="F265" i="32"/>
  <c r="D266" i="32"/>
  <c r="G266" i="32" s="1"/>
  <c r="E266" i="32"/>
  <c r="F266" i="32"/>
  <c r="D267" i="32"/>
  <c r="G267" i="32" s="1"/>
  <c r="E267" i="32"/>
  <c r="F267" i="32"/>
  <c r="D268" i="32"/>
  <c r="G268" i="32" s="1"/>
  <c r="E268" i="32"/>
  <c r="F268" i="32"/>
  <c r="D269" i="32"/>
  <c r="G269" i="32" s="1"/>
  <c r="E269" i="32"/>
  <c r="F269" i="32"/>
  <c r="D270" i="32"/>
  <c r="G270" i="32" s="1"/>
  <c r="E270" i="32"/>
  <c r="F270" i="32"/>
  <c r="D271" i="32"/>
  <c r="G271" i="32" s="1"/>
  <c r="E271" i="32"/>
  <c r="F271" i="32"/>
  <c r="D272" i="32"/>
  <c r="G272" i="32" s="1"/>
  <c r="E272" i="32"/>
  <c r="F272" i="32"/>
  <c r="D273" i="32"/>
  <c r="G273" i="32" s="1"/>
  <c r="E273" i="32"/>
  <c r="F273" i="32"/>
  <c r="D274" i="32"/>
  <c r="G274" i="32" s="1"/>
  <c r="E274" i="32"/>
  <c r="F274" i="32"/>
  <c r="D275" i="32"/>
  <c r="G275" i="32" s="1"/>
  <c r="E275" i="32"/>
  <c r="F275" i="32"/>
  <c r="D276" i="32"/>
  <c r="G276" i="32" s="1"/>
  <c r="E276" i="32"/>
  <c r="F276" i="32"/>
  <c r="D277" i="32"/>
  <c r="G277" i="32" s="1"/>
  <c r="E277" i="32"/>
  <c r="F277" i="32"/>
  <c r="D278" i="32"/>
  <c r="G278" i="32" s="1"/>
  <c r="E278" i="32"/>
  <c r="F278" i="32"/>
  <c r="D279" i="32"/>
  <c r="G279" i="32" s="1"/>
  <c r="E279" i="32"/>
  <c r="F279" i="32"/>
  <c r="D280" i="32"/>
  <c r="G280" i="32" s="1"/>
  <c r="E280" i="32"/>
  <c r="F280" i="32"/>
  <c r="D281" i="32"/>
  <c r="G281" i="32" s="1"/>
  <c r="E281" i="32"/>
  <c r="F281" i="32"/>
  <c r="D282" i="32"/>
  <c r="G282" i="32" s="1"/>
  <c r="E282" i="32"/>
  <c r="F282" i="32"/>
  <c r="D283" i="32"/>
  <c r="G283" i="32" s="1"/>
  <c r="E283" i="32"/>
  <c r="F283" i="32"/>
  <c r="D284" i="32"/>
  <c r="G284" i="32" s="1"/>
  <c r="E284" i="32"/>
  <c r="F284" i="32"/>
  <c r="D285" i="32"/>
  <c r="G285" i="32" s="1"/>
  <c r="E285" i="32"/>
  <c r="F285" i="32"/>
  <c r="D286" i="32"/>
  <c r="G286" i="32" s="1"/>
  <c r="E286" i="32"/>
  <c r="F286" i="32"/>
  <c r="D287" i="32"/>
  <c r="G287" i="32" s="1"/>
  <c r="E287" i="32"/>
  <c r="F287" i="32"/>
  <c r="D288" i="32"/>
  <c r="G288" i="32" s="1"/>
  <c r="E288" i="32"/>
  <c r="F288" i="32"/>
  <c r="D289" i="32"/>
  <c r="G289" i="32" s="1"/>
  <c r="E289" i="32"/>
  <c r="F289" i="32"/>
  <c r="D290" i="32"/>
  <c r="G290" i="32" s="1"/>
  <c r="E290" i="32"/>
  <c r="F290" i="32"/>
  <c r="D291" i="32"/>
  <c r="G291" i="32" s="1"/>
  <c r="E291" i="32"/>
  <c r="F291" i="32"/>
  <c r="D292" i="32"/>
  <c r="G292" i="32" s="1"/>
  <c r="E292" i="32"/>
  <c r="F292" i="32"/>
  <c r="D293" i="32"/>
  <c r="G293" i="32" s="1"/>
  <c r="E293" i="32"/>
  <c r="F293" i="32"/>
  <c r="D294" i="32"/>
  <c r="G294" i="32" s="1"/>
  <c r="E294" i="32"/>
  <c r="F294" i="32"/>
  <c r="D295" i="32"/>
  <c r="G295" i="32" s="1"/>
  <c r="E295" i="32"/>
  <c r="F295" i="32"/>
  <c r="D296" i="32"/>
  <c r="G296" i="32" s="1"/>
  <c r="E296" i="32"/>
  <c r="F296" i="32"/>
  <c r="D297" i="32"/>
  <c r="G297" i="32" s="1"/>
  <c r="E297" i="32"/>
  <c r="F297" i="32"/>
  <c r="D298" i="32"/>
  <c r="G298" i="32" s="1"/>
  <c r="E298" i="32"/>
  <c r="F298" i="32"/>
  <c r="D299" i="32"/>
  <c r="G299" i="32" s="1"/>
  <c r="E299" i="32"/>
  <c r="F299" i="32"/>
  <c r="D300" i="32"/>
  <c r="G300" i="32" s="1"/>
  <c r="E300" i="32"/>
  <c r="F300" i="32"/>
  <c r="D301" i="32"/>
  <c r="G301" i="32" s="1"/>
  <c r="E301" i="32"/>
  <c r="F301" i="32"/>
  <c r="D302" i="32"/>
  <c r="G302" i="32" s="1"/>
  <c r="E302" i="32"/>
  <c r="F302" i="32"/>
  <c r="D303" i="32"/>
  <c r="G303" i="32" s="1"/>
  <c r="E303" i="32"/>
  <c r="F303" i="32"/>
  <c r="D304" i="32"/>
  <c r="G304" i="32" s="1"/>
  <c r="E304" i="32"/>
  <c r="F304" i="32"/>
  <c r="D305" i="32"/>
  <c r="G305" i="32" s="1"/>
  <c r="E305" i="32"/>
  <c r="F305" i="32"/>
  <c r="D306" i="32"/>
  <c r="G306" i="32" s="1"/>
  <c r="E306" i="32"/>
  <c r="F306" i="32"/>
  <c r="D307" i="32"/>
  <c r="G307" i="32" s="1"/>
  <c r="E307" i="32"/>
  <c r="F307" i="32"/>
  <c r="D308" i="32"/>
  <c r="G308" i="32" s="1"/>
  <c r="E308" i="32"/>
  <c r="F308" i="32"/>
  <c r="U319" i="33"/>
  <c r="U321" i="33"/>
  <c r="U320" i="33"/>
  <c r="F321" i="33"/>
  <c r="F320" i="33"/>
  <c r="U291" i="33"/>
  <c r="F291" i="33"/>
  <c r="U290" i="33"/>
  <c r="F290" i="33"/>
  <c r="AE318" i="25" l="1"/>
  <c r="O829" i="25"/>
  <c r="P829" i="25" s="1"/>
  <c r="Q829" i="25" s="1"/>
  <c r="R829" i="25" s="1"/>
  <c r="S829" i="25" s="1"/>
  <c r="T829" i="25" s="1"/>
  <c r="O704" i="25"/>
  <c r="P704" i="25" s="1"/>
  <c r="Q704" i="25" s="1"/>
  <c r="R704" i="25" s="1"/>
  <c r="S704" i="25" s="1"/>
  <c r="T704" i="25" s="1"/>
  <c r="O642" i="25"/>
  <c r="P642" i="25" s="1"/>
  <c r="Q642" i="25" s="1"/>
  <c r="R642" i="25" s="1"/>
  <c r="S642" i="25" s="1"/>
  <c r="T642" i="25" s="1"/>
  <c r="K820" i="25"/>
  <c r="L820" i="25" s="1"/>
  <c r="K642" i="25"/>
  <c r="M642" i="25" s="1"/>
  <c r="O806" i="25"/>
  <c r="P806" i="25" s="1"/>
  <c r="Q806" i="25" s="1"/>
  <c r="R806" i="25" s="1"/>
  <c r="S806" i="25" s="1"/>
  <c r="T806" i="25" s="1"/>
  <c r="O622" i="25"/>
  <c r="P622" i="25" s="1"/>
  <c r="Q622" i="25" s="1"/>
  <c r="R622" i="25" s="1"/>
  <c r="S622" i="25" s="1"/>
  <c r="T622" i="25" s="1"/>
  <c r="K548" i="25"/>
  <c r="L548" i="25" s="1"/>
  <c r="O852" i="25"/>
  <c r="P852" i="25" s="1"/>
  <c r="Q852" i="25" s="1"/>
  <c r="R852" i="25" s="1"/>
  <c r="S852" i="25" s="1"/>
  <c r="T852" i="25" s="1"/>
  <c r="K821" i="25"/>
  <c r="L821" i="25" s="1"/>
  <c r="K769" i="25"/>
  <c r="N769" i="25" s="1"/>
  <c r="AA769" i="25" s="1"/>
  <c r="K606" i="25"/>
  <c r="L606" i="25" s="1"/>
  <c r="O820" i="25"/>
  <c r="P820" i="25" s="1"/>
  <c r="Q820" i="25" s="1"/>
  <c r="R820" i="25" s="1"/>
  <c r="S820" i="25" s="1"/>
  <c r="T820" i="25" s="1"/>
  <c r="K775" i="25"/>
  <c r="L775" i="25" s="1"/>
  <c r="O749" i="25"/>
  <c r="P749" i="25" s="1"/>
  <c r="Q749" i="25" s="1"/>
  <c r="R749" i="25" s="1"/>
  <c r="S749" i="25" s="1"/>
  <c r="T749" i="25" s="1"/>
  <c r="K580" i="25"/>
  <c r="N580" i="25" s="1"/>
  <c r="AA580" i="25" s="1"/>
  <c r="O523" i="25"/>
  <c r="P523" i="25" s="1"/>
  <c r="Q523" i="25" s="1"/>
  <c r="R523" i="25" s="1"/>
  <c r="S523" i="25" s="1"/>
  <c r="T523" i="25" s="1"/>
  <c r="D88" i="41"/>
  <c r="B88" i="41"/>
  <c r="A92" i="41"/>
  <c r="B91" i="41"/>
  <c r="D91" i="41"/>
  <c r="A102" i="41"/>
  <c r="D98" i="41"/>
  <c r="B98" i="41"/>
  <c r="B85" i="41"/>
  <c r="A89" i="41"/>
  <c r="D89" i="41" s="1"/>
  <c r="C94" i="41"/>
  <c r="C95" i="41" s="1"/>
  <c r="C96" i="41" s="1"/>
  <c r="C97" i="41" s="1"/>
  <c r="A95" i="41"/>
  <c r="K865" i="25"/>
  <c r="N865" i="25" s="1"/>
  <c r="AA865" i="25" s="1"/>
  <c r="O849" i="25"/>
  <c r="P849" i="25" s="1"/>
  <c r="Q849" i="25" s="1"/>
  <c r="R849" i="25" s="1"/>
  <c r="S849" i="25" s="1"/>
  <c r="T849" i="25" s="1"/>
  <c r="O764" i="25"/>
  <c r="P764" i="25" s="1"/>
  <c r="Q764" i="25" s="1"/>
  <c r="R764" i="25" s="1"/>
  <c r="S764" i="25" s="1"/>
  <c r="T764" i="25" s="1"/>
  <c r="K658" i="25"/>
  <c r="N658" i="25" s="1"/>
  <c r="AA658" i="25" s="1"/>
  <c r="K628" i="25"/>
  <c r="M628" i="25" s="1"/>
  <c r="O606" i="25"/>
  <c r="P606" i="25" s="1"/>
  <c r="Q606" i="25" s="1"/>
  <c r="R606" i="25" s="1"/>
  <c r="S606" i="25" s="1"/>
  <c r="T606" i="25" s="1"/>
  <c r="K557" i="25"/>
  <c r="L557" i="25" s="1"/>
  <c r="K513" i="25"/>
  <c r="N513" i="25" s="1"/>
  <c r="AA513" i="25" s="1"/>
  <c r="O479" i="25"/>
  <c r="P479" i="25" s="1"/>
  <c r="Q479" i="25" s="1"/>
  <c r="R479" i="25" s="1"/>
  <c r="S479" i="25" s="1"/>
  <c r="T479" i="25" s="1"/>
  <c r="O471" i="25"/>
  <c r="P471" i="25" s="1"/>
  <c r="Q471" i="25" s="1"/>
  <c r="R471" i="25" s="1"/>
  <c r="S471" i="25" s="1"/>
  <c r="T471" i="25" s="1"/>
  <c r="K493" i="25"/>
  <c r="M493" i="25" s="1"/>
  <c r="M479" i="25"/>
  <c r="O463" i="25"/>
  <c r="P463" i="25" s="1"/>
  <c r="Q463" i="25" s="1"/>
  <c r="R463" i="25" s="1"/>
  <c r="S463" i="25" s="1"/>
  <c r="T463" i="25" s="1"/>
  <c r="O451" i="25"/>
  <c r="P451" i="25" s="1"/>
  <c r="Q451" i="25" s="1"/>
  <c r="R451" i="25" s="1"/>
  <c r="S451" i="25" s="1"/>
  <c r="T451" i="25" s="1"/>
  <c r="O420" i="25"/>
  <c r="P420" i="25" s="1"/>
  <c r="Q420" i="25" s="1"/>
  <c r="R420" i="25" s="1"/>
  <c r="S420" i="25" s="1"/>
  <c r="T420" i="25" s="1"/>
  <c r="K429" i="25"/>
  <c r="L429" i="25" s="1"/>
  <c r="O821" i="25"/>
  <c r="P821" i="25" s="1"/>
  <c r="Q821" i="25" s="1"/>
  <c r="R821" i="25" s="1"/>
  <c r="S821" i="25" s="1"/>
  <c r="T821" i="25" s="1"/>
  <c r="K805" i="25"/>
  <c r="L805" i="25" s="1"/>
  <c r="O734" i="25"/>
  <c r="P734" i="25" s="1"/>
  <c r="Q734" i="25" s="1"/>
  <c r="R734" i="25" s="1"/>
  <c r="S734" i="25" s="1"/>
  <c r="T734" i="25" s="1"/>
  <c r="O725" i="25"/>
  <c r="P725" i="25" s="1"/>
  <c r="Q725" i="25" s="1"/>
  <c r="R725" i="25" s="1"/>
  <c r="S725" i="25" s="1"/>
  <c r="T725" i="25" s="1"/>
  <c r="O714" i="25"/>
  <c r="P714" i="25" s="1"/>
  <c r="Q714" i="25" s="1"/>
  <c r="R714" i="25" s="1"/>
  <c r="S714" i="25" s="1"/>
  <c r="T714" i="25" s="1"/>
  <c r="K399" i="25"/>
  <c r="M399" i="25" s="1"/>
  <c r="O789" i="25"/>
  <c r="P789" i="25" s="1"/>
  <c r="Q789" i="25" s="1"/>
  <c r="R789" i="25" s="1"/>
  <c r="S789" i="25" s="1"/>
  <c r="T789" i="25" s="1"/>
  <c r="K737" i="25"/>
  <c r="M737" i="25" s="1"/>
  <c r="O732" i="25"/>
  <c r="P732" i="25" s="1"/>
  <c r="Q732" i="25" s="1"/>
  <c r="R732" i="25" s="1"/>
  <c r="S732" i="25" s="1"/>
  <c r="T732" i="25" s="1"/>
  <c r="K717" i="25"/>
  <c r="M717" i="25" s="1"/>
  <c r="K714" i="25"/>
  <c r="N714" i="25" s="1"/>
  <c r="AA714" i="25" s="1"/>
  <c r="O658" i="25"/>
  <c r="P658" i="25" s="1"/>
  <c r="Q658" i="25" s="1"/>
  <c r="R658" i="25" s="1"/>
  <c r="S658" i="25" s="1"/>
  <c r="T658" i="25" s="1"/>
  <c r="K638" i="25"/>
  <c r="L638" i="25" s="1"/>
  <c r="O517" i="25"/>
  <c r="P517" i="25" s="1"/>
  <c r="Q517" i="25" s="1"/>
  <c r="R517" i="25" s="1"/>
  <c r="S517" i="25" s="1"/>
  <c r="T517" i="25" s="1"/>
  <c r="O811" i="25"/>
  <c r="P811" i="25" s="1"/>
  <c r="Q811" i="25" s="1"/>
  <c r="R811" i="25" s="1"/>
  <c r="S811" i="25" s="1"/>
  <c r="T811" i="25" s="1"/>
  <c r="K650" i="25"/>
  <c r="N650" i="25" s="1"/>
  <c r="AA650" i="25" s="1"/>
  <c r="O483" i="25"/>
  <c r="P483" i="25" s="1"/>
  <c r="Q483" i="25" s="1"/>
  <c r="R483" i="25" s="1"/>
  <c r="S483" i="25" s="1"/>
  <c r="T483" i="25" s="1"/>
  <c r="O453" i="25"/>
  <c r="P453" i="25" s="1"/>
  <c r="Q453" i="25" s="1"/>
  <c r="R453" i="25" s="1"/>
  <c r="S453" i="25" s="1"/>
  <c r="T453" i="25" s="1"/>
  <c r="O407" i="25"/>
  <c r="P407" i="25" s="1"/>
  <c r="Q407" i="25" s="1"/>
  <c r="R407" i="25" s="1"/>
  <c r="S407" i="25" s="1"/>
  <c r="T407" i="25" s="1"/>
  <c r="O692" i="25"/>
  <c r="P692" i="25" s="1"/>
  <c r="Q692" i="25" s="1"/>
  <c r="R692" i="25" s="1"/>
  <c r="S692" i="25" s="1"/>
  <c r="T692" i="25" s="1"/>
  <c r="O587" i="25"/>
  <c r="P587" i="25" s="1"/>
  <c r="Q587" i="25" s="1"/>
  <c r="R587" i="25" s="1"/>
  <c r="S587" i="25" s="1"/>
  <c r="T587" i="25" s="1"/>
  <c r="K572" i="25"/>
  <c r="L572" i="25" s="1"/>
  <c r="K453" i="25"/>
  <c r="L453" i="25" s="1"/>
  <c r="K397" i="25"/>
  <c r="L397" i="25" s="1"/>
  <c r="J36" i="10"/>
  <c r="H35" i="10"/>
  <c r="AE332" i="25"/>
  <c r="O393" i="25"/>
  <c r="P393" i="25" s="1"/>
  <c r="Q393" i="25" s="1"/>
  <c r="R393" i="25" s="1"/>
  <c r="S393" i="25" s="1"/>
  <c r="T393" i="25" s="1"/>
  <c r="AA346" i="25"/>
  <c r="AE334" i="25"/>
  <c r="AE341" i="25"/>
  <c r="AE336" i="25"/>
  <c r="AE346" i="25"/>
  <c r="AE324" i="25"/>
  <c r="L463" i="25"/>
  <c r="N463" i="25"/>
  <c r="AA463" i="25" s="1"/>
  <c r="O861" i="25"/>
  <c r="P861" i="25" s="1"/>
  <c r="Q861" i="25" s="1"/>
  <c r="R861" i="25" s="1"/>
  <c r="S861" i="25" s="1"/>
  <c r="T861" i="25" s="1"/>
  <c r="K845" i="25"/>
  <c r="L845" i="25" s="1"/>
  <c r="O787" i="25"/>
  <c r="P787" i="25" s="1"/>
  <c r="Q787" i="25" s="1"/>
  <c r="R787" i="25" s="1"/>
  <c r="S787" i="25" s="1"/>
  <c r="T787" i="25" s="1"/>
  <c r="O437" i="25"/>
  <c r="P437" i="25" s="1"/>
  <c r="Q437" i="25" s="1"/>
  <c r="R437" i="25" s="1"/>
  <c r="S437" i="25" s="1"/>
  <c r="T437" i="25" s="1"/>
  <c r="O403" i="25"/>
  <c r="P403" i="25" s="1"/>
  <c r="Q403" i="25" s="1"/>
  <c r="R403" i="25" s="1"/>
  <c r="S403" i="25" s="1"/>
  <c r="T403" i="25" s="1"/>
  <c r="O853" i="25"/>
  <c r="P853" i="25" s="1"/>
  <c r="Q853" i="25" s="1"/>
  <c r="R853" i="25" s="1"/>
  <c r="S853" i="25" s="1"/>
  <c r="T853" i="25" s="1"/>
  <c r="K852" i="25"/>
  <c r="M852" i="25" s="1"/>
  <c r="O828" i="25"/>
  <c r="P828" i="25" s="1"/>
  <c r="Q828" i="25" s="1"/>
  <c r="R828" i="25" s="1"/>
  <c r="S828" i="25" s="1"/>
  <c r="T828" i="25" s="1"/>
  <c r="K759" i="25"/>
  <c r="N759" i="25" s="1"/>
  <c r="AA759" i="25" s="1"/>
  <c r="O650" i="25"/>
  <c r="P650" i="25" s="1"/>
  <c r="Q650" i="25" s="1"/>
  <c r="R650" i="25" s="1"/>
  <c r="S650" i="25" s="1"/>
  <c r="T650" i="25" s="1"/>
  <c r="O630" i="25"/>
  <c r="P630" i="25" s="1"/>
  <c r="Q630" i="25" s="1"/>
  <c r="R630" i="25" s="1"/>
  <c r="S630" i="25" s="1"/>
  <c r="T630" i="25" s="1"/>
  <c r="O618" i="25"/>
  <c r="P618" i="25" s="1"/>
  <c r="Q618" i="25" s="1"/>
  <c r="R618" i="25" s="1"/>
  <c r="S618" i="25" s="1"/>
  <c r="T618" i="25" s="1"/>
  <c r="K552" i="25"/>
  <c r="N552" i="25" s="1"/>
  <c r="AA552" i="25" s="1"/>
  <c r="O489" i="25"/>
  <c r="P489" i="25" s="1"/>
  <c r="Q489" i="25" s="1"/>
  <c r="R489" i="25" s="1"/>
  <c r="S489" i="25" s="1"/>
  <c r="T489" i="25" s="1"/>
  <c r="K437" i="25"/>
  <c r="L437" i="25" s="1"/>
  <c r="K403" i="25"/>
  <c r="L403" i="25" s="1"/>
  <c r="K853" i="25"/>
  <c r="L853" i="25" s="1"/>
  <c r="O841" i="25"/>
  <c r="P841" i="25" s="1"/>
  <c r="Q841" i="25" s="1"/>
  <c r="R841" i="25" s="1"/>
  <c r="S841" i="25" s="1"/>
  <c r="T841" i="25" s="1"/>
  <c r="K808" i="25"/>
  <c r="L808" i="25" s="1"/>
  <c r="O805" i="25"/>
  <c r="P805" i="25" s="1"/>
  <c r="Q805" i="25" s="1"/>
  <c r="R805" i="25" s="1"/>
  <c r="S805" i="25" s="1"/>
  <c r="T805" i="25" s="1"/>
  <c r="K783" i="25"/>
  <c r="N783" i="25" s="1"/>
  <c r="AA783" i="25" s="1"/>
  <c r="O712" i="25"/>
  <c r="P712" i="25" s="1"/>
  <c r="Q712" i="25" s="1"/>
  <c r="R712" i="25" s="1"/>
  <c r="S712" i="25" s="1"/>
  <c r="T712" i="25" s="1"/>
  <c r="O666" i="25"/>
  <c r="P666" i="25" s="1"/>
  <c r="Q666" i="25" s="1"/>
  <c r="R666" i="25" s="1"/>
  <c r="S666" i="25" s="1"/>
  <c r="T666" i="25" s="1"/>
  <c r="K618" i="25"/>
  <c r="N618" i="25" s="1"/>
  <c r="AA618" i="25" s="1"/>
  <c r="O582" i="25"/>
  <c r="P582" i="25" s="1"/>
  <c r="Q582" i="25" s="1"/>
  <c r="R582" i="25" s="1"/>
  <c r="S582" i="25" s="1"/>
  <c r="T582" i="25" s="1"/>
  <c r="O572" i="25"/>
  <c r="P572" i="25" s="1"/>
  <c r="Q572" i="25" s="1"/>
  <c r="R572" i="25" s="1"/>
  <c r="S572" i="25" s="1"/>
  <c r="T572" i="25" s="1"/>
  <c r="O501" i="25"/>
  <c r="P501" i="25" s="1"/>
  <c r="Q501" i="25" s="1"/>
  <c r="R501" i="25" s="1"/>
  <c r="S501" i="25" s="1"/>
  <c r="T501" i="25" s="1"/>
  <c r="K492" i="25"/>
  <c r="M492" i="25" s="1"/>
  <c r="O475" i="25"/>
  <c r="P475" i="25" s="1"/>
  <c r="Q475" i="25" s="1"/>
  <c r="R475" i="25" s="1"/>
  <c r="S475" i="25" s="1"/>
  <c r="T475" i="25" s="1"/>
  <c r="O466" i="25"/>
  <c r="P466" i="25" s="1"/>
  <c r="Q466" i="25" s="1"/>
  <c r="R466" i="25" s="1"/>
  <c r="S466" i="25" s="1"/>
  <c r="T466" i="25" s="1"/>
  <c r="K424" i="25"/>
  <c r="N424" i="25" s="1"/>
  <c r="AA424" i="25" s="1"/>
  <c r="O417" i="25"/>
  <c r="P417" i="25" s="1"/>
  <c r="Q417" i="25" s="1"/>
  <c r="R417" i="25" s="1"/>
  <c r="S417" i="25" s="1"/>
  <c r="T417" i="25" s="1"/>
  <c r="O779" i="25"/>
  <c r="P779" i="25" s="1"/>
  <c r="Q779" i="25" s="1"/>
  <c r="R779" i="25" s="1"/>
  <c r="S779" i="25" s="1"/>
  <c r="T779" i="25" s="1"/>
  <c r="K753" i="25"/>
  <c r="M753" i="25" s="1"/>
  <c r="O595" i="25"/>
  <c r="P595" i="25" s="1"/>
  <c r="Q595" i="25" s="1"/>
  <c r="R595" i="25" s="1"/>
  <c r="S595" i="25" s="1"/>
  <c r="T595" i="25" s="1"/>
  <c r="K582" i="25"/>
  <c r="L582" i="25" s="1"/>
  <c r="O535" i="25"/>
  <c r="P535" i="25" s="1"/>
  <c r="Q535" i="25" s="1"/>
  <c r="R535" i="25" s="1"/>
  <c r="S535" i="25" s="1"/>
  <c r="T535" i="25" s="1"/>
  <c r="O516" i="25"/>
  <c r="P516" i="25" s="1"/>
  <c r="Q516" i="25" s="1"/>
  <c r="R516" i="25" s="1"/>
  <c r="S516" i="25" s="1"/>
  <c r="T516" i="25" s="1"/>
  <c r="K495" i="25"/>
  <c r="L495" i="25" s="1"/>
  <c r="K489" i="25"/>
  <c r="L489" i="25" s="1"/>
  <c r="K461" i="25"/>
  <c r="M461" i="25" s="1"/>
  <c r="O429" i="25"/>
  <c r="P429" i="25" s="1"/>
  <c r="Q429" i="25" s="1"/>
  <c r="R429" i="25" s="1"/>
  <c r="S429" i="25" s="1"/>
  <c r="T429" i="25" s="1"/>
  <c r="O399" i="25"/>
  <c r="P399" i="25" s="1"/>
  <c r="Q399" i="25" s="1"/>
  <c r="R399" i="25" s="1"/>
  <c r="S399" i="25" s="1"/>
  <c r="T399" i="25" s="1"/>
  <c r="O389" i="25"/>
  <c r="P389" i="25" s="1"/>
  <c r="Q389" i="25" s="1"/>
  <c r="R389" i="25" s="1"/>
  <c r="S389" i="25" s="1"/>
  <c r="T389" i="25" s="1"/>
  <c r="O379" i="25"/>
  <c r="P379" i="25" s="1"/>
  <c r="Q379" i="25" s="1"/>
  <c r="R379" i="25" s="1"/>
  <c r="S379" i="25" s="1"/>
  <c r="T379" i="25" s="1"/>
  <c r="K387" i="25"/>
  <c r="O381" i="25"/>
  <c r="P381" i="25" s="1"/>
  <c r="Q381" i="25" s="1"/>
  <c r="R381" i="25" s="1"/>
  <c r="S381" i="25" s="1"/>
  <c r="T381" i="25" s="1"/>
  <c r="M588" i="25"/>
  <c r="L588" i="25"/>
  <c r="L662" i="25"/>
  <c r="M662" i="25"/>
  <c r="L550" i="25"/>
  <c r="M550" i="25"/>
  <c r="N550" i="25"/>
  <c r="AA550" i="25" s="1"/>
  <c r="M464" i="25"/>
  <c r="N464" i="25"/>
  <c r="AA464" i="25" s="1"/>
  <c r="L727" i="25"/>
  <c r="N727" i="25"/>
  <c r="AA727" i="25" s="1"/>
  <c r="M685" i="25"/>
  <c r="L685" i="25"/>
  <c r="O809" i="25"/>
  <c r="P809" i="25" s="1"/>
  <c r="Q809" i="25" s="1"/>
  <c r="R809" i="25" s="1"/>
  <c r="S809" i="25" s="1"/>
  <c r="T809" i="25" s="1"/>
  <c r="O765" i="25"/>
  <c r="P765" i="25" s="1"/>
  <c r="Q765" i="25" s="1"/>
  <c r="R765" i="25" s="1"/>
  <c r="S765" i="25" s="1"/>
  <c r="T765" i="25" s="1"/>
  <c r="O729" i="25"/>
  <c r="P729" i="25" s="1"/>
  <c r="Q729" i="25" s="1"/>
  <c r="R729" i="25" s="1"/>
  <c r="S729" i="25" s="1"/>
  <c r="T729" i="25" s="1"/>
  <c r="K725" i="25"/>
  <c r="N725" i="25" s="1"/>
  <c r="AA725" i="25" s="1"/>
  <c r="O690" i="25"/>
  <c r="P690" i="25" s="1"/>
  <c r="Q690" i="25" s="1"/>
  <c r="R690" i="25" s="1"/>
  <c r="S690" i="25" s="1"/>
  <c r="T690" i="25" s="1"/>
  <c r="O682" i="25"/>
  <c r="P682" i="25" s="1"/>
  <c r="Q682" i="25" s="1"/>
  <c r="R682" i="25" s="1"/>
  <c r="S682" i="25" s="1"/>
  <c r="T682" i="25" s="1"/>
  <c r="K672" i="25"/>
  <c r="M672" i="25" s="1"/>
  <c r="K666" i="25"/>
  <c r="N666" i="25" s="1"/>
  <c r="AA666" i="25" s="1"/>
  <c r="M654" i="25"/>
  <c r="M646" i="25"/>
  <c r="K553" i="25"/>
  <c r="N553" i="25" s="1"/>
  <c r="AA553" i="25" s="1"/>
  <c r="O549" i="25"/>
  <c r="P549" i="25" s="1"/>
  <c r="Q549" i="25" s="1"/>
  <c r="R549" i="25" s="1"/>
  <c r="S549" i="25" s="1"/>
  <c r="T549" i="25" s="1"/>
  <c r="K539" i="25"/>
  <c r="L539" i="25" s="1"/>
  <c r="O521" i="25"/>
  <c r="P521" i="25" s="1"/>
  <c r="Q521" i="25" s="1"/>
  <c r="R521" i="25" s="1"/>
  <c r="S521" i="25" s="1"/>
  <c r="T521" i="25" s="1"/>
  <c r="O505" i="25"/>
  <c r="P505" i="25" s="1"/>
  <c r="Q505" i="25" s="1"/>
  <c r="R505" i="25" s="1"/>
  <c r="S505" i="25" s="1"/>
  <c r="T505" i="25" s="1"/>
  <c r="O485" i="25"/>
  <c r="P485" i="25" s="1"/>
  <c r="Q485" i="25" s="1"/>
  <c r="R485" i="25" s="1"/>
  <c r="S485" i="25" s="1"/>
  <c r="T485" i="25" s="1"/>
  <c r="K417" i="25"/>
  <c r="L417" i="25" s="1"/>
  <c r="AE347" i="25"/>
  <c r="O757" i="25"/>
  <c r="P757" i="25" s="1"/>
  <c r="Q757" i="25" s="1"/>
  <c r="R757" i="25" s="1"/>
  <c r="S757" i="25" s="1"/>
  <c r="T757" i="25" s="1"/>
  <c r="O634" i="25"/>
  <c r="P634" i="25" s="1"/>
  <c r="Q634" i="25" s="1"/>
  <c r="R634" i="25" s="1"/>
  <c r="S634" i="25" s="1"/>
  <c r="T634" i="25" s="1"/>
  <c r="O612" i="25"/>
  <c r="P612" i="25" s="1"/>
  <c r="Q612" i="25" s="1"/>
  <c r="R612" i="25" s="1"/>
  <c r="S612" i="25" s="1"/>
  <c r="T612" i="25" s="1"/>
  <c r="O574" i="25"/>
  <c r="P574" i="25" s="1"/>
  <c r="Q574" i="25" s="1"/>
  <c r="R574" i="25" s="1"/>
  <c r="S574" i="25" s="1"/>
  <c r="T574" i="25" s="1"/>
  <c r="O477" i="25"/>
  <c r="P477" i="25" s="1"/>
  <c r="Q477" i="25" s="1"/>
  <c r="R477" i="25" s="1"/>
  <c r="S477" i="25" s="1"/>
  <c r="T477" i="25" s="1"/>
  <c r="O476" i="25"/>
  <c r="P476" i="25" s="1"/>
  <c r="Q476" i="25" s="1"/>
  <c r="R476" i="25" s="1"/>
  <c r="S476" i="25" s="1"/>
  <c r="T476" i="25" s="1"/>
  <c r="O385" i="25"/>
  <c r="P385" i="25" s="1"/>
  <c r="Q385" i="25" s="1"/>
  <c r="R385" i="25" s="1"/>
  <c r="S385" i="25" s="1"/>
  <c r="T385" i="25" s="1"/>
  <c r="AE335" i="25"/>
  <c r="AE333" i="25"/>
  <c r="AE331" i="25"/>
  <c r="O857" i="25"/>
  <c r="P857" i="25" s="1"/>
  <c r="Q857" i="25" s="1"/>
  <c r="R857" i="25" s="1"/>
  <c r="S857" i="25" s="1"/>
  <c r="T857" i="25" s="1"/>
  <c r="O785" i="25"/>
  <c r="P785" i="25" s="1"/>
  <c r="Q785" i="25" s="1"/>
  <c r="R785" i="25" s="1"/>
  <c r="S785" i="25" s="1"/>
  <c r="T785" i="25" s="1"/>
  <c r="O773" i="25"/>
  <c r="P773" i="25" s="1"/>
  <c r="Q773" i="25" s="1"/>
  <c r="R773" i="25" s="1"/>
  <c r="S773" i="25" s="1"/>
  <c r="T773" i="25" s="1"/>
  <c r="O721" i="25"/>
  <c r="P721" i="25" s="1"/>
  <c r="Q721" i="25" s="1"/>
  <c r="R721" i="25" s="1"/>
  <c r="S721" i="25" s="1"/>
  <c r="T721" i="25" s="1"/>
  <c r="O718" i="25"/>
  <c r="P718" i="25" s="1"/>
  <c r="Q718" i="25" s="1"/>
  <c r="R718" i="25" s="1"/>
  <c r="S718" i="25" s="1"/>
  <c r="T718" i="25" s="1"/>
  <c r="K690" i="25"/>
  <c r="N690" i="25" s="1"/>
  <c r="AA690" i="25" s="1"/>
  <c r="K682" i="25"/>
  <c r="N682" i="25" s="1"/>
  <c r="AA682" i="25" s="1"/>
  <c r="O668" i="25"/>
  <c r="P668" i="25" s="1"/>
  <c r="Q668" i="25" s="1"/>
  <c r="R668" i="25" s="1"/>
  <c r="S668" i="25" s="1"/>
  <c r="T668" i="25" s="1"/>
  <c r="O652" i="25"/>
  <c r="P652" i="25" s="1"/>
  <c r="Q652" i="25" s="1"/>
  <c r="R652" i="25" s="1"/>
  <c r="S652" i="25" s="1"/>
  <c r="T652" i="25" s="1"/>
  <c r="O644" i="25"/>
  <c r="P644" i="25" s="1"/>
  <c r="Q644" i="25" s="1"/>
  <c r="R644" i="25" s="1"/>
  <c r="S644" i="25" s="1"/>
  <c r="T644" i="25" s="1"/>
  <c r="K634" i="25"/>
  <c r="N634" i="25" s="1"/>
  <c r="AA634" i="25" s="1"/>
  <c r="O598" i="25"/>
  <c r="P598" i="25" s="1"/>
  <c r="Q598" i="25" s="1"/>
  <c r="R598" i="25" s="1"/>
  <c r="S598" i="25" s="1"/>
  <c r="T598" i="25" s="1"/>
  <c r="O580" i="25"/>
  <c r="P580" i="25" s="1"/>
  <c r="Q580" i="25" s="1"/>
  <c r="R580" i="25" s="1"/>
  <c r="S580" i="25" s="1"/>
  <c r="T580" i="25" s="1"/>
  <c r="K574" i="25"/>
  <c r="N574" i="25" s="1"/>
  <c r="AA574" i="25" s="1"/>
  <c r="O536" i="25"/>
  <c r="P536" i="25" s="1"/>
  <c r="Q536" i="25" s="1"/>
  <c r="R536" i="25" s="1"/>
  <c r="S536" i="25" s="1"/>
  <c r="T536" i="25" s="1"/>
  <c r="O499" i="25"/>
  <c r="P499" i="25" s="1"/>
  <c r="Q499" i="25" s="1"/>
  <c r="R499" i="25" s="1"/>
  <c r="S499" i="25" s="1"/>
  <c r="T499" i="25" s="1"/>
  <c r="K491" i="25"/>
  <c r="L491" i="25" s="1"/>
  <c r="K477" i="25"/>
  <c r="M477" i="25" s="1"/>
  <c r="K472" i="25"/>
  <c r="M472" i="25" s="1"/>
  <c r="K457" i="25"/>
  <c r="M457" i="25" s="1"/>
  <c r="O447" i="25"/>
  <c r="P447" i="25" s="1"/>
  <c r="Q447" i="25" s="1"/>
  <c r="R447" i="25" s="1"/>
  <c r="S447" i="25" s="1"/>
  <c r="T447" i="25" s="1"/>
  <c r="O431" i="25"/>
  <c r="P431" i="25" s="1"/>
  <c r="Q431" i="25" s="1"/>
  <c r="R431" i="25" s="1"/>
  <c r="S431" i="25" s="1"/>
  <c r="T431" i="25" s="1"/>
  <c r="O375" i="25"/>
  <c r="P375" i="25" s="1"/>
  <c r="Q375" i="25" s="1"/>
  <c r="R375" i="25" s="1"/>
  <c r="S375" i="25" s="1"/>
  <c r="T375" i="25" s="1"/>
  <c r="O860" i="25"/>
  <c r="P860" i="25" s="1"/>
  <c r="Q860" i="25" s="1"/>
  <c r="R860" i="25" s="1"/>
  <c r="S860" i="25" s="1"/>
  <c r="T860" i="25" s="1"/>
  <c r="K857" i="25"/>
  <c r="N857" i="25" s="1"/>
  <c r="AA857" i="25" s="1"/>
  <c r="K844" i="25"/>
  <c r="L844" i="25" s="1"/>
  <c r="O825" i="25"/>
  <c r="P825" i="25" s="1"/>
  <c r="Q825" i="25" s="1"/>
  <c r="R825" i="25" s="1"/>
  <c r="S825" i="25" s="1"/>
  <c r="T825" i="25" s="1"/>
  <c r="K785" i="25"/>
  <c r="M785" i="25" s="1"/>
  <c r="O782" i="25"/>
  <c r="P782" i="25" s="1"/>
  <c r="Q782" i="25" s="1"/>
  <c r="R782" i="25" s="1"/>
  <c r="S782" i="25" s="1"/>
  <c r="T782" i="25" s="1"/>
  <c r="K757" i="25"/>
  <c r="N757" i="25" s="1"/>
  <c r="AA757" i="25" s="1"/>
  <c r="O733" i="25"/>
  <c r="P733" i="25" s="1"/>
  <c r="Q733" i="25" s="1"/>
  <c r="R733" i="25" s="1"/>
  <c r="S733" i="25" s="1"/>
  <c r="T733" i="25" s="1"/>
  <c r="K721" i="25"/>
  <c r="L721" i="25" s="1"/>
  <c r="O710" i="25"/>
  <c r="P710" i="25" s="1"/>
  <c r="Q710" i="25" s="1"/>
  <c r="R710" i="25" s="1"/>
  <c r="S710" i="25" s="1"/>
  <c r="T710" i="25" s="1"/>
  <c r="O680" i="25"/>
  <c r="P680" i="25" s="1"/>
  <c r="Q680" i="25" s="1"/>
  <c r="R680" i="25" s="1"/>
  <c r="S680" i="25" s="1"/>
  <c r="T680" i="25" s="1"/>
  <c r="K677" i="25"/>
  <c r="N677" i="25" s="1"/>
  <c r="AA677" i="25" s="1"/>
  <c r="O660" i="25"/>
  <c r="P660" i="25" s="1"/>
  <c r="Q660" i="25" s="1"/>
  <c r="R660" i="25" s="1"/>
  <c r="S660" i="25" s="1"/>
  <c r="T660" i="25" s="1"/>
  <c r="O632" i="25"/>
  <c r="P632" i="25" s="1"/>
  <c r="Q632" i="25" s="1"/>
  <c r="R632" i="25" s="1"/>
  <c r="S632" i="25" s="1"/>
  <c r="T632" i="25" s="1"/>
  <c r="K613" i="25"/>
  <c r="L613" i="25" s="1"/>
  <c r="K612" i="25"/>
  <c r="M612" i="25" s="1"/>
  <c r="K598" i="25"/>
  <c r="L598" i="25" s="1"/>
  <c r="K540" i="25"/>
  <c r="M540" i="25" s="1"/>
  <c r="O537" i="25"/>
  <c r="P537" i="25" s="1"/>
  <c r="Q537" i="25" s="1"/>
  <c r="R537" i="25" s="1"/>
  <c r="S537" i="25" s="1"/>
  <c r="T537" i="25" s="1"/>
  <c r="O529" i="25"/>
  <c r="P529" i="25" s="1"/>
  <c r="Q529" i="25" s="1"/>
  <c r="R529" i="25" s="1"/>
  <c r="S529" i="25" s="1"/>
  <c r="T529" i="25" s="1"/>
  <c r="O515" i="25"/>
  <c r="P515" i="25" s="1"/>
  <c r="Q515" i="25" s="1"/>
  <c r="R515" i="25" s="1"/>
  <c r="S515" i="25" s="1"/>
  <c r="T515" i="25" s="1"/>
  <c r="O481" i="25"/>
  <c r="P481" i="25" s="1"/>
  <c r="Q481" i="25" s="1"/>
  <c r="R481" i="25" s="1"/>
  <c r="S481" i="25" s="1"/>
  <c r="T481" i="25" s="1"/>
  <c r="K476" i="25"/>
  <c r="L476" i="25" s="1"/>
  <c r="O455" i="25"/>
  <c r="P455" i="25" s="1"/>
  <c r="Q455" i="25" s="1"/>
  <c r="R455" i="25" s="1"/>
  <c r="S455" i="25" s="1"/>
  <c r="T455" i="25" s="1"/>
  <c r="O441" i="25"/>
  <c r="P441" i="25" s="1"/>
  <c r="Q441" i="25" s="1"/>
  <c r="R441" i="25" s="1"/>
  <c r="S441" i="25" s="1"/>
  <c r="T441" i="25" s="1"/>
  <c r="O428" i="25"/>
  <c r="P428" i="25" s="1"/>
  <c r="Q428" i="25" s="1"/>
  <c r="R428" i="25" s="1"/>
  <c r="S428" i="25" s="1"/>
  <c r="T428" i="25" s="1"/>
  <c r="K421" i="25"/>
  <c r="L421" i="25" s="1"/>
  <c r="K413" i="25"/>
  <c r="L413" i="25" s="1"/>
  <c r="K383" i="25"/>
  <c r="M383" i="25" s="1"/>
  <c r="O373" i="25"/>
  <c r="P373" i="25" s="1"/>
  <c r="Q373" i="25" s="1"/>
  <c r="R373" i="25" s="1"/>
  <c r="S373" i="25" s="1"/>
  <c r="T373" i="25" s="1"/>
  <c r="K833" i="25"/>
  <c r="M833" i="25" s="1"/>
  <c r="K825" i="25"/>
  <c r="N825" i="25" s="1"/>
  <c r="AA825" i="25" s="1"/>
  <c r="O777" i="25"/>
  <c r="P777" i="25" s="1"/>
  <c r="Q777" i="25" s="1"/>
  <c r="R777" i="25" s="1"/>
  <c r="S777" i="25" s="1"/>
  <c r="T777" i="25" s="1"/>
  <c r="K773" i="25"/>
  <c r="L773" i="25" s="1"/>
  <c r="O755" i="25"/>
  <c r="P755" i="25" s="1"/>
  <c r="Q755" i="25" s="1"/>
  <c r="R755" i="25" s="1"/>
  <c r="S755" i="25" s="1"/>
  <c r="T755" i="25" s="1"/>
  <c r="N719" i="25"/>
  <c r="AA719" i="25" s="1"/>
  <c r="K708" i="25"/>
  <c r="L708" i="25" s="1"/>
  <c r="O603" i="25"/>
  <c r="P603" i="25" s="1"/>
  <c r="Q603" i="25" s="1"/>
  <c r="R603" i="25" s="1"/>
  <c r="S603" i="25" s="1"/>
  <c r="T603" i="25" s="1"/>
  <c r="K559" i="25"/>
  <c r="L559" i="25" s="1"/>
  <c r="K545" i="25"/>
  <c r="N545" i="25" s="1"/>
  <c r="AA545" i="25" s="1"/>
  <c r="K537" i="25"/>
  <c r="N537" i="25" s="1"/>
  <c r="AA537" i="25" s="1"/>
  <c r="K532" i="25"/>
  <c r="M532" i="25" s="1"/>
  <c r="K527" i="25"/>
  <c r="M527" i="25" s="1"/>
  <c r="K497" i="25"/>
  <c r="N497" i="25" s="1"/>
  <c r="AA497" i="25" s="1"/>
  <c r="K341" i="25"/>
  <c r="L341" i="25" s="1"/>
  <c r="N341" i="25" s="1"/>
  <c r="A282" i="32" s="1"/>
  <c r="B282" i="32" s="1"/>
  <c r="AE311" i="25"/>
  <c r="AE325" i="25"/>
  <c r="AE323" i="25"/>
  <c r="L791" i="25"/>
  <c r="N791" i="25"/>
  <c r="AA791" i="25" s="1"/>
  <c r="L660" i="25"/>
  <c r="N660" i="25"/>
  <c r="AA660" i="25" s="1"/>
  <c r="M669" i="25"/>
  <c r="L669" i="25"/>
  <c r="N669" i="25"/>
  <c r="AA669" i="25" s="1"/>
  <c r="L720" i="25"/>
  <c r="N720" i="25"/>
  <c r="AA720" i="25" s="1"/>
  <c r="M707" i="25"/>
  <c r="L707" i="25"/>
  <c r="L652" i="25"/>
  <c r="N652" i="25"/>
  <c r="AA652" i="25" s="1"/>
  <c r="L644" i="25"/>
  <c r="N644" i="25"/>
  <c r="AA644" i="25" s="1"/>
  <c r="K873" i="25"/>
  <c r="O863" i="25"/>
  <c r="P863" i="25" s="1"/>
  <c r="Q863" i="25" s="1"/>
  <c r="R863" i="25" s="1"/>
  <c r="S863" i="25" s="1"/>
  <c r="T863" i="25" s="1"/>
  <c r="AE863" i="25"/>
  <c r="K851" i="25"/>
  <c r="L851" i="25" s="1"/>
  <c r="AE851" i="25"/>
  <c r="O844" i="25"/>
  <c r="P844" i="25" s="1"/>
  <c r="Q844" i="25" s="1"/>
  <c r="R844" i="25" s="1"/>
  <c r="S844" i="25" s="1"/>
  <c r="T844" i="25" s="1"/>
  <c r="O837" i="25"/>
  <c r="P837" i="25" s="1"/>
  <c r="Q837" i="25" s="1"/>
  <c r="R837" i="25" s="1"/>
  <c r="S837" i="25" s="1"/>
  <c r="T837" i="25" s="1"/>
  <c r="O833" i="25"/>
  <c r="P833" i="25" s="1"/>
  <c r="Q833" i="25" s="1"/>
  <c r="R833" i="25" s="1"/>
  <c r="S833" i="25" s="1"/>
  <c r="T833" i="25" s="1"/>
  <c r="K832" i="25"/>
  <c r="M832" i="25" s="1"/>
  <c r="AE832" i="25"/>
  <c r="K829" i="25"/>
  <c r="L829" i="25" s="1"/>
  <c r="K828" i="25"/>
  <c r="M828" i="25" s="1"/>
  <c r="K822" i="25"/>
  <c r="L822" i="25" s="1"/>
  <c r="AE822" i="25"/>
  <c r="K809" i="25"/>
  <c r="L809" i="25" s="1"/>
  <c r="K804" i="25"/>
  <c r="L804" i="25" s="1"/>
  <c r="AE804" i="25"/>
  <c r="O802" i="25"/>
  <c r="P802" i="25" s="1"/>
  <c r="Q802" i="25" s="1"/>
  <c r="R802" i="25" s="1"/>
  <c r="S802" i="25" s="1"/>
  <c r="T802" i="25" s="1"/>
  <c r="AE802" i="25"/>
  <c r="K801" i="25"/>
  <c r="O793" i="25"/>
  <c r="P793" i="25" s="1"/>
  <c r="Q793" i="25" s="1"/>
  <c r="R793" i="25" s="1"/>
  <c r="S793" i="25" s="1"/>
  <c r="T793" i="25" s="1"/>
  <c r="K784" i="25"/>
  <c r="M784" i="25" s="1"/>
  <c r="AE784" i="25"/>
  <c r="O783" i="25"/>
  <c r="P783" i="25" s="1"/>
  <c r="Q783" i="25" s="1"/>
  <c r="R783" i="25" s="1"/>
  <c r="S783" i="25" s="1"/>
  <c r="T783" i="25" s="1"/>
  <c r="AE783" i="25"/>
  <c r="O775" i="25"/>
  <c r="P775" i="25" s="1"/>
  <c r="Q775" i="25" s="1"/>
  <c r="R775" i="25" s="1"/>
  <c r="S775" i="25" s="1"/>
  <c r="T775" i="25" s="1"/>
  <c r="AE775" i="25"/>
  <c r="K774" i="25"/>
  <c r="L774" i="25" s="1"/>
  <c r="AE774" i="25"/>
  <c r="K765" i="25"/>
  <c r="N765" i="25" s="1"/>
  <c r="AA765" i="25" s="1"/>
  <c r="K758" i="25"/>
  <c r="AE758" i="25"/>
  <c r="K749" i="25"/>
  <c r="N749" i="25" s="1"/>
  <c r="AA749" i="25" s="1"/>
  <c r="O731" i="25"/>
  <c r="P731" i="25" s="1"/>
  <c r="Q731" i="25" s="1"/>
  <c r="R731" i="25" s="1"/>
  <c r="S731" i="25" s="1"/>
  <c r="T731" i="25" s="1"/>
  <c r="AE731" i="25"/>
  <c r="AE727" i="25"/>
  <c r="K726" i="25"/>
  <c r="L726" i="25" s="1"/>
  <c r="AE726" i="25"/>
  <c r="O723" i="25"/>
  <c r="P723" i="25" s="1"/>
  <c r="Q723" i="25" s="1"/>
  <c r="R723" i="25" s="1"/>
  <c r="S723" i="25" s="1"/>
  <c r="T723" i="25" s="1"/>
  <c r="AE723" i="25"/>
  <c r="AE719" i="25"/>
  <c r="O715" i="25"/>
  <c r="P715" i="25" s="1"/>
  <c r="Q715" i="25" s="1"/>
  <c r="R715" i="25" s="1"/>
  <c r="S715" i="25" s="1"/>
  <c r="T715" i="25" s="1"/>
  <c r="AE715" i="25"/>
  <c r="K704" i="25"/>
  <c r="N704" i="25" s="1"/>
  <c r="AA704" i="25" s="1"/>
  <c r="K698" i="25"/>
  <c r="O684" i="25"/>
  <c r="P684" i="25" s="1"/>
  <c r="Q684" i="25" s="1"/>
  <c r="R684" i="25" s="1"/>
  <c r="S684" i="25" s="1"/>
  <c r="T684" i="25" s="1"/>
  <c r="O676" i="25"/>
  <c r="P676" i="25" s="1"/>
  <c r="Q676" i="25" s="1"/>
  <c r="R676" i="25" s="1"/>
  <c r="S676" i="25" s="1"/>
  <c r="T676" i="25" s="1"/>
  <c r="K674" i="25"/>
  <c r="AE662" i="25"/>
  <c r="AE654" i="25"/>
  <c r="AE646" i="25"/>
  <c r="AE632" i="25"/>
  <c r="O628" i="25"/>
  <c r="P628" i="25" s="1"/>
  <c r="Q628" i="25" s="1"/>
  <c r="R628" i="25" s="1"/>
  <c r="S628" i="25" s="1"/>
  <c r="T628" i="25" s="1"/>
  <c r="K626" i="25"/>
  <c r="L626" i="25" s="1"/>
  <c r="AE626" i="25"/>
  <c r="K624" i="25"/>
  <c r="M624" i="25" s="1"/>
  <c r="O617" i="25"/>
  <c r="P617" i="25" s="1"/>
  <c r="Q617" i="25" s="1"/>
  <c r="R617" i="25" s="1"/>
  <c r="S617" i="25" s="1"/>
  <c r="T617" i="25" s="1"/>
  <c r="AE617" i="25"/>
  <c r="AE596" i="25"/>
  <c r="K596" i="25"/>
  <c r="O581" i="25"/>
  <c r="P581" i="25" s="1"/>
  <c r="Q581" i="25" s="1"/>
  <c r="R581" i="25" s="1"/>
  <c r="S581" i="25" s="1"/>
  <c r="T581" i="25" s="1"/>
  <c r="AE581" i="25"/>
  <c r="L455" i="25"/>
  <c r="N455" i="25" s="1"/>
  <c r="AA455" i="25" s="1"/>
  <c r="M455" i="25"/>
  <c r="O871" i="25"/>
  <c r="P871" i="25" s="1"/>
  <c r="Q871" i="25" s="1"/>
  <c r="R871" i="25" s="1"/>
  <c r="S871" i="25" s="1"/>
  <c r="T871" i="25" s="1"/>
  <c r="AE871" i="25"/>
  <c r="K859" i="25"/>
  <c r="L859" i="25" s="1"/>
  <c r="AE859" i="25"/>
  <c r="O845" i="25"/>
  <c r="P845" i="25" s="1"/>
  <c r="Q845" i="25" s="1"/>
  <c r="R845" i="25" s="1"/>
  <c r="S845" i="25" s="1"/>
  <c r="T845" i="25" s="1"/>
  <c r="K840" i="25"/>
  <c r="M840" i="25" s="1"/>
  <c r="AE840" i="25"/>
  <c r="K837" i="25"/>
  <c r="L837" i="25" s="1"/>
  <c r="K836" i="25"/>
  <c r="M836" i="25" s="1"/>
  <c r="K830" i="25"/>
  <c r="N830" i="25" s="1"/>
  <c r="AA830" i="25" s="1"/>
  <c r="AE830" i="25"/>
  <c r="O818" i="25"/>
  <c r="P818" i="25" s="1"/>
  <c r="Q818" i="25" s="1"/>
  <c r="R818" i="25" s="1"/>
  <c r="S818" i="25" s="1"/>
  <c r="T818" i="25" s="1"/>
  <c r="AE818" i="25"/>
  <c r="K817" i="25"/>
  <c r="O810" i="25"/>
  <c r="P810" i="25" s="1"/>
  <c r="Q810" i="25" s="1"/>
  <c r="R810" i="25" s="1"/>
  <c r="S810" i="25" s="1"/>
  <c r="T810" i="25" s="1"/>
  <c r="AE810" i="25"/>
  <c r="K793" i="25"/>
  <c r="M793" i="25" s="1"/>
  <c r="K776" i="25"/>
  <c r="M776" i="25" s="1"/>
  <c r="O767" i="25"/>
  <c r="P767" i="25" s="1"/>
  <c r="Q767" i="25" s="1"/>
  <c r="R767" i="25" s="1"/>
  <c r="S767" i="25" s="1"/>
  <c r="T767" i="25" s="1"/>
  <c r="AE767" i="25"/>
  <c r="K764" i="25"/>
  <c r="AE764" i="25"/>
  <c r="K761" i="25"/>
  <c r="M761" i="25" s="1"/>
  <c r="O760" i="25"/>
  <c r="P760" i="25" s="1"/>
  <c r="Q760" i="25" s="1"/>
  <c r="R760" i="25" s="1"/>
  <c r="S760" i="25" s="1"/>
  <c r="T760" i="25" s="1"/>
  <c r="AE760" i="25"/>
  <c r="K750" i="25"/>
  <c r="M750" i="25" s="1"/>
  <c r="AE750" i="25"/>
  <c r="O747" i="25"/>
  <c r="P747" i="25" s="1"/>
  <c r="Q747" i="25" s="1"/>
  <c r="R747" i="25" s="1"/>
  <c r="S747" i="25" s="1"/>
  <c r="T747" i="25" s="1"/>
  <c r="K741" i="25"/>
  <c r="N741" i="25" s="1"/>
  <c r="AA741" i="25" s="1"/>
  <c r="O709" i="25"/>
  <c r="P709" i="25" s="1"/>
  <c r="Q709" i="25" s="1"/>
  <c r="R709" i="25" s="1"/>
  <c r="S709" i="25" s="1"/>
  <c r="T709" i="25" s="1"/>
  <c r="AE709" i="25"/>
  <c r="L701" i="25"/>
  <c r="AE692" i="25"/>
  <c r="N685" i="25"/>
  <c r="AA685" i="25" s="1"/>
  <c r="K643" i="25"/>
  <c r="L643" i="25" s="1"/>
  <c r="AE643" i="25"/>
  <c r="O636" i="25"/>
  <c r="P636" i="25" s="1"/>
  <c r="Q636" i="25" s="1"/>
  <c r="R636" i="25" s="1"/>
  <c r="S636" i="25" s="1"/>
  <c r="T636" i="25" s="1"/>
  <c r="AE620" i="25"/>
  <c r="K620" i="25"/>
  <c r="O620" i="25"/>
  <c r="P620" i="25" s="1"/>
  <c r="Q620" i="25" s="1"/>
  <c r="R620" i="25" s="1"/>
  <c r="S620" i="25" s="1"/>
  <c r="T620" i="25" s="1"/>
  <c r="K601" i="25"/>
  <c r="M601" i="25" s="1"/>
  <c r="AE601" i="25"/>
  <c r="O597" i="25"/>
  <c r="P597" i="25" s="1"/>
  <c r="Q597" i="25" s="1"/>
  <c r="R597" i="25" s="1"/>
  <c r="S597" i="25" s="1"/>
  <c r="T597" i="25" s="1"/>
  <c r="AE597" i="25"/>
  <c r="K597" i="25"/>
  <c r="L597" i="25" s="1"/>
  <c r="K592" i="25"/>
  <c r="L592" i="25" s="1"/>
  <c r="AE592" i="25"/>
  <c r="N588" i="25"/>
  <c r="AA588" i="25" s="1"/>
  <c r="K585" i="25"/>
  <c r="M585" i="25" s="1"/>
  <c r="AE585" i="25"/>
  <c r="O585" i="25"/>
  <c r="P585" i="25" s="1"/>
  <c r="Q585" i="25" s="1"/>
  <c r="R585" i="25" s="1"/>
  <c r="S585" i="25" s="1"/>
  <c r="T585" i="25" s="1"/>
  <c r="AE533" i="25"/>
  <c r="K533" i="25"/>
  <c r="O533" i="25"/>
  <c r="P533" i="25" s="1"/>
  <c r="Q533" i="25" s="1"/>
  <c r="R533" i="25" s="1"/>
  <c r="S533" i="25" s="1"/>
  <c r="T533" i="25" s="1"/>
  <c r="K528" i="25"/>
  <c r="L528" i="25" s="1"/>
  <c r="AE528" i="25"/>
  <c r="K867" i="25"/>
  <c r="N867" i="25" s="1"/>
  <c r="AA867" i="25" s="1"/>
  <c r="AE867" i="25"/>
  <c r="K848" i="25"/>
  <c r="N848" i="25" s="1"/>
  <c r="AA848" i="25" s="1"/>
  <c r="AE848" i="25"/>
  <c r="K838" i="25"/>
  <c r="L838" i="25" s="1"/>
  <c r="AE838" i="25"/>
  <c r="O826" i="25"/>
  <c r="P826" i="25" s="1"/>
  <c r="Q826" i="25" s="1"/>
  <c r="R826" i="25" s="1"/>
  <c r="S826" i="25" s="1"/>
  <c r="T826" i="25" s="1"/>
  <c r="AE826" i="25"/>
  <c r="O815" i="25"/>
  <c r="P815" i="25" s="1"/>
  <c r="Q815" i="25" s="1"/>
  <c r="R815" i="25" s="1"/>
  <c r="S815" i="25" s="1"/>
  <c r="T815" i="25" s="1"/>
  <c r="AE815" i="25"/>
  <c r="AE797" i="25"/>
  <c r="K796" i="25"/>
  <c r="AE796" i="25"/>
  <c r="K766" i="25"/>
  <c r="AE766" i="25"/>
  <c r="O751" i="25"/>
  <c r="P751" i="25" s="1"/>
  <c r="Q751" i="25" s="1"/>
  <c r="R751" i="25" s="1"/>
  <c r="S751" i="25" s="1"/>
  <c r="T751" i="25" s="1"/>
  <c r="AE751" i="25"/>
  <c r="K742" i="25"/>
  <c r="M742" i="25" s="1"/>
  <c r="AE742" i="25"/>
  <c r="O728" i="25"/>
  <c r="P728" i="25" s="1"/>
  <c r="Q728" i="25" s="1"/>
  <c r="R728" i="25" s="1"/>
  <c r="S728" i="25" s="1"/>
  <c r="T728" i="25" s="1"/>
  <c r="AE728" i="25"/>
  <c r="O720" i="25"/>
  <c r="P720" i="25" s="1"/>
  <c r="Q720" i="25" s="1"/>
  <c r="R720" i="25" s="1"/>
  <c r="S720" i="25" s="1"/>
  <c r="T720" i="25" s="1"/>
  <c r="AE720" i="25"/>
  <c r="AE705" i="25"/>
  <c r="AE700" i="25"/>
  <c r="AE688" i="25"/>
  <c r="AE684" i="25"/>
  <c r="AE676" i="25"/>
  <c r="K667" i="25"/>
  <c r="N667" i="25" s="1"/>
  <c r="AA667" i="25" s="1"/>
  <c r="AE667" i="25"/>
  <c r="K665" i="25"/>
  <c r="M665" i="25" s="1"/>
  <c r="AE665" i="25"/>
  <c r="O663" i="25"/>
  <c r="P663" i="25" s="1"/>
  <c r="Q663" i="25" s="1"/>
  <c r="R663" i="25" s="1"/>
  <c r="S663" i="25" s="1"/>
  <c r="T663" i="25" s="1"/>
  <c r="AE663" i="25"/>
  <c r="K659" i="25"/>
  <c r="M659" i="25" s="1"/>
  <c r="AE659" i="25"/>
  <c r="K657" i="25"/>
  <c r="M657" i="25" s="1"/>
  <c r="AE657" i="25"/>
  <c r="O655" i="25"/>
  <c r="P655" i="25" s="1"/>
  <c r="Q655" i="25" s="1"/>
  <c r="R655" i="25" s="1"/>
  <c r="S655" i="25" s="1"/>
  <c r="T655" i="25" s="1"/>
  <c r="AE655" i="25"/>
  <c r="K651" i="25"/>
  <c r="M651" i="25" s="1"/>
  <c r="AE651" i="25"/>
  <c r="K649" i="25"/>
  <c r="M649" i="25" s="1"/>
  <c r="AE649" i="25"/>
  <c r="O647" i="25"/>
  <c r="P647" i="25" s="1"/>
  <c r="Q647" i="25" s="1"/>
  <c r="R647" i="25" s="1"/>
  <c r="S647" i="25" s="1"/>
  <c r="T647" i="25" s="1"/>
  <c r="AE647" i="25"/>
  <c r="AE640" i="25"/>
  <c r="K633" i="25"/>
  <c r="AE633" i="25"/>
  <c r="O621" i="25"/>
  <c r="P621" i="25" s="1"/>
  <c r="Q621" i="25" s="1"/>
  <c r="R621" i="25" s="1"/>
  <c r="S621" i="25" s="1"/>
  <c r="T621" i="25" s="1"/>
  <c r="AE621" i="25"/>
  <c r="AE614" i="25"/>
  <c r="K614" i="25"/>
  <c r="N614" i="25" s="1"/>
  <c r="AA614" i="25" s="1"/>
  <c r="AE608" i="25"/>
  <c r="K608" i="25"/>
  <c r="M608" i="25" s="1"/>
  <c r="AE604" i="25"/>
  <c r="K604" i="25"/>
  <c r="O604" i="25"/>
  <c r="P604" i="25" s="1"/>
  <c r="Q604" i="25" s="1"/>
  <c r="R604" i="25" s="1"/>
  <c r="S604" i="25" s="1"/>
  <c r="T604" i="25" s="1"/>
  <c r="O583" i="25"/>
  <c r="P583" i="25" s="1"/>
  <c r="Q583" i="25" s="1"/>
  <c r="R583" i="25" s="1"/>
  <c r="S583" i="25" s="1"/>
  <c r="T583" i="25" s="1"/>
  <c r="AE583" i="25"/>
  <c r="AE566" i="25"/>
  <c r="K566" i="25"/>
  <c r="M566" i="25" s="1"/>
  <c r="O566" i="25"/>
  <c r="P566" i="25" s="1"/>
  <c r="Q566" i="25" s="1"/>
  <c r="R566" i="25" s="1"/>
  <c r="S566" i="25" s="1"/>
  <c r="T566" i="25" s="1"/>
  <c r="O547" i="25"/>
  <c r="P547" i="25" s="1"/>
  <c r="Q547" i="25" s="1"/>
  <c r="R547" i="25" s="1"/>
  <c r="S547" i="25" s="1"/>
  <c r="T547" i="25" s="1"/>
  <c r="AE547" i="25"/>
  <c r="O868" i="25"/>
  <c r="P868" i="25" s="1"/>
  <c r="Q868" i="25" s="1"/>
  <c r="R868" i="25" s="1"/>
  <c r="S868" i="25" s="1"/>
  <c r="T868" i="25" s="1"/>
  <c r="K856" i="25"/>
  <c r="M856" i="25" s="1"/>
  <c r="AE856" i="25"/>
  <c r="K846" i="25"/>
  <c r="M846" i="25" s="1"/>
  <c r="AE846" i="25"/>
  <c r="O834" i="25"/>
  <c r="P834" i="25" s="1"/>
  <c r="Q834" i="25" s="1"/>
  <c r="R834" i="25" s="1"/>
  <c r="S834" i="25" s="1"/>
  <c r="T834" i="25" s="1"/>
  <c r="AE834" i="25"/>
  <c r="O823" i="25"/>
  <c r="P823" i="25" s="1"/>
  <c r="Q823" i="25" s="1"/>
  <c r="R823" i="25" s="1"/>
  <c r="S823" i="25" s="1"/>
  <c r="T823" i="25" s="1"/>
  <c r="AE823" i="25"/>
  <c r="K813" i="25"/>
  <c r="N813" i="25" s="1"/>
  <c r="AA813" i="25" s="1"/>
  <c r="AE813" i="25"/>
  <c r="N799" i="25"/>
  <c r="AA799" i="25" s="1"/>
  <c r="K788" i="25"/>
  <c r="AE788" i="25"/>
  <c r="K780" i="25"/>
  <c r="M780" i="25" s="1"/>
  <c r="AE780" i="25"/>
  <c r="O743" i="25"/>
  <c r="P743" i="25" s="1"/>
  <c r="Q743" i="25" s="1"/>
  <c r="R743" i="25" s="1"/>
  <c r="S743" i="25" s="1"/>
  <c r="T743" i="25" s="1"/>
  <c r="AE743" i="25"/>
  <c r="O706" i="25"/>
  <c r="P706" i="25" s="1"/>
  <c r="Q706" i="25" s="1"/>
  <c r="R706" i="25" s="1"/>
  <c r="S706" i="25" s="1"/>
  <c r="T706" i="25" s="1"/>
  <c r="AE702" i="25"/>
  <c r="O701" i="25"/>
  <c r="P701" i="25" s="1"/>
  <c r="Q701" i="25" s="1"/>
  <c r="R701" i="25" s="1"/>
  <c r="S701" i="25" s="1"/>
  <c r="T701" i="25" s="1"/>
  <c r="AE701" i="25"/>
  <c r="AE696" i="25"/>
  <c r="O693" i="25"/>
  <c r="P693" i="25" s="1"/>
  <c r="Q693" i="25" s="1"/>
  <c r="R693" i="25" s="1"/>
  <c r="S693" i="25" s="1"/>
  <c r="T693" i="25" s="1"/>
  <c r="AE693" i="25"/>
  <c r="AE686" i="25"/>
  <c r="AE672" i="25"/>
  <c r="O629" i="25"/>
  <c r="P629" i="25" s="1"/>
  <c r="Q629" i="25" s="1"/>
  <c r="R629" i="25" s="1"/>
  <c r="S629" i="25" s="1"/>
  <c r="T629" i="25" s="1"/>
  <c r="AE629" i="25"/>
  <c r="K627" i="25"/>
  <c r="N627" i="25" s="1"/>
  <c r="AA627" i="25" s="1"/>
  <c r="AE627" i="25"/>
  <c r="N615" i="25"/>
  <c r="AA615" i="25" s="1"/>
  <c r="L615" i="25"/>
  <c r="O599" i="25"/>
  <c r="P599" i="25" s="1"/>
  <c r="Q599" i="25" s="1"/>
  <c r="R599" i="25" s="1"/>
  <c r="S599" i="25" s="1"/>
  <c r="T599" i="25" s="1"/>
  <c r="AE599" i="25"/>
  <c r="K599" i="25"/>
  <c r="K571" i="25"/>
  <c r="L571" i="25" s="1"/>
  <c r="AE571" i="25"/>
  <c r="AE564" i="25"/>
  <c r="K564" i="25"/>
  <c r="O564" i="25"/>
  <c r="P564" i="25" s="1"/>
  <c r="Q564" i="25" s="1"/>
  <c r="R564" i="25" s="1"/>
  <c r="S564" i="25" s="1"/>
  <c r="T564" i="25" s="1"/>
  <c r="K554" i="25"/>
  <c r="AE554" i="25"/>
  <c r="O554" i="25"/>
  <c r="P554" i="25" s="1"/>
  <c r="Q554" i="25" s="1"/>
  <c r="R554" i="25" s="1"/>
  <c r="S554" i="25" s="1"/>
  <c r="T554" i="25" s="1"/>
  <c r="O869" i="25"/>
  <c r="P869" i="25" s="1"/>
  <c r="Q869" i="25" s="1"/>
  <c r="R869" i="25" s="1"/>
  <c r="S869" i="25" s="1"/>
  <c r="T869" i="25" s="1"/>
  <c r="O865" i="25"/>
  <c r="P865" i="25" s="1"/>
  <c r="Q865" i="25" s="1"/>
  <c r="R865" i="25" s="1"/>
  <c r="S865" i="25" s="1"/>
  <c r="T865" i="25" s="1"/>
  <c r="K864" i="25"/>
  <c r="M864" i="25" s="1"/>
  <c r="AE864" i="25"/>
  <c r="K861" i="25"/>
  <c r="L861" i="25" s="1"/>
  <c r="K860" i="25"/>
  <c r="M860" i="25" s="1"/>
  <c r="K854" i="25"/>
  <c r="N854" i="25" s="1"/>
  <c r="AA854" i="25" s="1"/>
  <c r="AE854" i="25"/>
  <c r="O842" i="25"/>
  <c r="P842" i="25" s="1"/>
  <c r="Q842" i="25" s="1"/>
  <c r="R842" i="25" s="1"/>
  <c r="S842" i="25" s="1"/>
  <c r="T842" i="25" s="1"/>
  <c r="AE842" i="25"/>
  <c r="K841" i="25"/>
  <c r="O831" i="25"/>
  <c r="P831" i="25" s="1"/>
  <c r="Q831" i="25" s="1"/>
  <c r="R831" i="25" s="1"/>
  <c r="S831" i="25" s="1"/>
  <c r="T831" i="25" s="1"/>
  <c r="AE831" i="25"/>
  <c r="K819" i="25"/>
  <c r="N819" i="25" s="1"/>
  <c r="AA819" i="25" s="1"/>
  <c r="AE819" i="25"/>
  <c r="O807" i="25"/>
  <c r="P807" i="25" s="1"/>
  <c r="Q807" i="25" s="1"/>
  <c r="R807" i="25" s="1"/>
  <c r="S807" i="25" s="1"/>
  <c r="T807" i="25" s="1"/>
  <c r="AE807" i="25"/>
  <c r="K806" i="25"/>
  <c r="AE806" i="25"/>
  <c r="O803" i="25"/>
  <c r="P803" i="25" s="1"/>
  <c r="Q803" i="25" s="1"/>
  <c r="R803" i="25" s="1"/>
  <c r="S803" i="25" s="1"/>
  <c r="T803" i="25" s="1"/>
  <c r="AE803" i="25"/>
  <c r="M799" i="25"/>
  <c r="K789" i="25"/>
  <c r="L789" i="25" s="1"/>
  <c r="O781" i="25"/>
  <c r="P781" i="25" s="1"/>
  <c r="Q781" i="25" s="1"/>
  <c r="R781" i="25" s="1"/>
  <c r="S781" i="25" s="1"/>
  <c r="T781" i="25" s="1"/>
  <c r="K777" i="25"/>
  <c r="M777" i="25" s="1"/>
  <c r="O752" i="25"/>
  <c r="P752" i="25" s="1"/>
  <c r="Q752" i="25" s="1"/>
  <c r="R752" i="25" s="1"/>
  <c r="S752" i="25" s="1"/>
  <c r="T752" i="25" s="1"/>
  <c r="AE752" i="25"/>
  <c r="O745" i="25"/>
  <c r="P745" i="25" s="1"/>
  <c r="Q745" i="25" s="1"/>
  <c r="R745" i="25" s="1"/>
  <c r="S745" i="25" s="1"/>
  <c r="T745" i="25" s="1"/>
  <c r="O744" i="25"/>
  <c r="P744" i="25" s="1"/>
  <c r="Q744" i="25" s="1"/>
  <c r="R744" i="25" s="1"/>
  <c r="S744" i="25" s="1"/>
  <c r="T744" i="25" s="1"/>
  <c r="AE744" i="25"/>
  <c r="K733" i="25"/>
  <c r="N733" i="25" s="1"/>
  <c r="AA733" i="25" s="1"/>
  <c r="K732" i="25"/>
  <c r="L732" i="25" s="1"/>
  <c r="AE732" i="25"/>
  <c r="K729" i="25"/>
  <c r="L729" i="25" s="1"/>
  <c r="K722" i="25"/>
  <c r="L722" i="25" s="1"/>
  <c r="AE722" i="25"/>
  <c r="O717" i="25"/>
  <c r="P717" i="25" s="1"/>
  <c r="Q717" i="25" s="1"/>
  <c r="R717" i="25" s="1"/>
  <c r="S717" i="25" s="1"/>
  <c r="T717" i="25" s="1"/>
  <c r="K712" i="25"/>
  <c r="N712" i="25" s="1"/>
  <c r="AA712" i="25" s="1"/>
  <c r="O698" i="25"/>
  <c r="P698" i="25" s="1"/>
  <c r="Q698" i="25" s="1"/>
  <c r="R698" i="25" s="1"/>
  <c r="S698" i="25" s="1"/>
  <c r="T698" i="25" s="1"/>
  <c r="AE694" i="25"/>
  <c r="O685" i="25"/>
  <c r="P685" i="25" s="1"/>
  <c r="Q685" i="25" s="1"/>
  <c r="R685" i="25" s="1"/>
  <c r="S685" i="25" s="1"/>
  <c r="T685" i="25" s="1"/>
  <c r="AE685" i="25"/>
  <c r="AE680" i="25"/>
  <c r="O677" i="25"/>
  <c r="P677" i="25" s="1"/>
  <c r="Q677" i="25" s="1"/>
  <c r="R677" i="25" s="1"/>
  <c r="S677" i="25" s="1"/>
  <c r="T677" i="25" s="1"/>
  <c r="AE677" i="25"/>
  <c r="O674" i="25"/>
  <c r="P674" i="25" s="1"/>
  <c r="Q674" i="25" s="1"/>
  <c r="R674" i="25" s="1"/>
  <c r="S674" i="25" s="1"/>
  <c r="T674" i="25" s="1"/>
  <c r="AE668" i="25"/>
  <c r="O638" i="25"/>
  <c r="P638" i="25" s="1"/>
  <c r="Q638" i="25" s="1"/>
  <c r="R638" i="25" s="1"/>
  <c r="S638" i="25" s="1"/>
  <c r="T638" i="25" s="1"/>
  <c r="K635" i="25"/>
  <c r="M635" i="25" s="1"/>
  <c r="AE635" i="25"/>
  <c r="O625" i="25"/>
  <c r="P625" i="25" s="1"/>
  <c r="Q625" i="25" s="1"/>
  <c r="R625" i="25" s="1"/>
  <c r="S625" i="25" s="1"/>
  <c r="T625" i="25" s="1"/>
  <c r="AE625" i="25"/>
  <c r="AE622" i="25"/>
  <c r="K622" i="25"/>
  <c r="L622" i="25" s="1"/>
  <c r="K616" i="25"/>
  <c r="N616" i="25" s="1"/>
  <c r="AA616" i="25" s="1"/>
  <c r="AE616" i="25"/>
  <c r="O615" i="25"/>
  <c r="P615" i="25" s="1"/>
  <c r="Q615" i="25" s="1"/>
  <c r="R615" i="25" s="1"/>
  <c r="S615" i="25" s="1"/>
  <c r="T615" i="25" s="1"/>
  <c r="AE615" i="25"/>
  <c r="O605" i="25"/>
  <c r="P605" i="25" s="1"/>
  <c r="Q605" i="25" s="1"/>
  <c r="R605" i="25" s="1"/>
  <c r="S605" i="25" s="1"/>
  <c r="T605" i="25" s="1"/>
  <c r="AE605" i="25"/>
  <c r="K605" i="25"/>
  <c r="L605" i="25" s="1"/>
  <c r="O590" i="25"/>
  <c r="P590" i="25" s="1"/>
  <c r="Q590" i="25" s="1"/>
  <c r="R590" i="25" s="1"/>
  <c r="S590" i="25" s="1"/>
  <c r="T590" i="25" s="1"/>
  <c r="O589" i="25"/>
  <c r="P589" i="25" s="1"/>
  <c r="Q589" i="25" s="1"/>
  <c r="R589" i="25" s="1"/>
  <c r="S589" i="25" s="1"/>
  <c r="T589" i="25" s="1"/>
  <c r="AE589" i="25"/>
  <c r="K589" i="25"/>
  <c r="L589" i="25" s="1"/>
  <c r="AE588" i="25"/>
  <c r="O588" i="25"/>
  <c r="P588" i="25" s="1"/>
  <c r="Q588" i="25" s="1"/>
  <c r="R588" i="25" s="1"/>
  <c r="S588" i="25" s="1"/>
  <c r="T588" i="25" s="1"/>
  <c r="O562" i="25"/>
  <c r="P562" i="25" s="1"/>
  <c r="Q562" i="25" s="1"/>
  <c r="R562" i="25" s="1"/>
  <c r="S562" i="25" s="1"/>
  <c r="T562" i="25" s="1"/>
  <c r="AE562" i="25"/>
  <c r="N487" i="25"/>
  <c r="AA487" i="25" s="1"/>
  <c r="M487" i="25"/>
  <c r="L471" i="25"/>
  <c r="M471" i="25"/>
  <c r="N471" i="25"/>
  <c r="AA471" i="25" s="1"/>
  <c r="K869" i="25"/>
  <c r="L869" i="25" s="1"/>
  <c r="K868" i="25"/>
  <c r="M868" i="25" s="1"/>
  <c r="K862" i="25"/>
  <c r="N862" i="25" s="1"/>
  <c r="AA862" i="25" s="1"/>
  <c r="AE862" i="25"/>
  <c r="O850" i="25"/>
  <c r="P850" i="25" s="1"/>
  <c r="Q850" i="25" s="1"/>
  <c r="R850" i="25" s="1"/>
  <c r="S850" i="25" s="1"/>
  <c r="T850" i="25" s="1"/>
  <c r="AE850" i="25"/>
  <c r="K849" i="25"/>
  <c r="O839" i="25"/>
  <c r="P839" i="25" s="1"/>
  <c r="Q839" i="25" s="1"/>
  <c r="R839" i="25" s="1"/>
  <c r="S839" i="25" s="1"/>
  <c r="T839" i="25" s="1"/>
  <c r="AE839" i="25"/>
  <c r="K827" i="25"/>
  <c r="L827" i="25" s="1"/>
  <c r="AE827" i="25"/>
  <c r="AE811" i="25"/>
  <c r="O801" i="25"/>
  <c r="P801" i="25" s="1"/>
  <c r="Q801" i="25" s="1"/>
  <c r="R801" i="25" s="1"/>
  <c r="S801" i="25" s="1"/>
  <c r="T801" i="25" s="1"/>
  <c r="K800" i="25"/>
  <c r="L800" i="25" s="1"/>
  <c r="K798" i="25"/>
  <c r="M798" i="25" s="1"/>
  <c r="AE798" i="25"/>
  <c r="O791" i="25"/>
  <c r="P791" i="25" s="1"/>
  <c r="Q791" i="25" s="1"/>
  <c r="R791" i="25" s="1"/>
  <c r="S791" i="25" s="1"/>
  <c r="T791" i="25" s="1"/>
  <c r="AE791" i="25"/>
  <c r="K781" i="25"/>
  <c r="L781" i="25" s="1"/>
  <c r="O769" i="25"/>
  <c r="P769" i="25" s="1"/>
  <c r="Q769" i="25" s="1"/>
  <c r="R769" i="25" s="1"/>
  <c r="S769" i="25" s="1"/>
  <c r="T769" i="25" s="1"/>
  <c r="O763" i="25"/>
  <c r="P763" i="25" s="1"/>
  <c r="Q763" i="25" s="1"/>
  <c r="R763" i="25" s="1"/>
  <c r="S763" i="25" s="1"/>
  <c r="T763" i="25" s="1"/>
  <c r="AE763" i="25"/>
  <c r="O753" i="25"/>
  <c r="P753" i="25" s="1"/>
  <c r="Q753" i="25" s="1"/>
  <c r="R753" i="25" s="1"/>
  <c r="S753" i="25" s="1"/>
  <c r="T753" i="25" s="1"/>
  <c r="K748" i="25"/>
  <c r="L748" i="25" s="1"/>
  <c r="AE748" i="25"/>
  <c r="K745" i="25"/>
  <c r="M745" i="25" s="1"/>
  <c r="O737" i="25"/>
  <c r="P737" i="25" s="1"/>
  <c r="Q737" i="25" s="1"/>
  <c r="R737" i="25" s="1"/>
  <c r="S737" i="25" s="1"/>
  <c r="T737" i="25" s="1"/>
  <c r="O735" i="25"/>
  <c r="P735" i="25" s="1"/>
  <c r="Q735" i="25" s="1"/>
  <c r="R735" i="25" s="1"/>
  <c r="S735" i="25" s="1"/>
  <c r="T735" i="25" s="1"/>
  <c r="AE735" i="25"/>
  <c r="K734" i="25"/>
  <c r="L734" i="25" s="1"/>
  <c r="AE734" i="25"/>
  <c r="K730" i="25"/>
  <c r="M730" i="25" s="1"/>
  <c r="AE730" i="25"/>
  <c r="AE710" i="25"/>
  <c r="K706" i="25"/>
  <c r="M706" i="25" s="1"/>
  <c r="K697" i="25"/>
  <c r="L697" i="25" s="1"/>
  <c r="AE697" i="25"/>
  <c r="K689" i="25"/>
  <c r="L689" i="25" s="1"/>
  <c r="AE689" i="25"/>
  <c r="AE678" i="25"/>
  <c r="AE670" i="25"/>
  <c r="O669" i="25"/>
  <c r="P669" i="25" s="1"/>
  <c r="Q669" i="25" s="1"/>
  <c r="R669" i="25" s="1"/>
  <c r="S669" i="25" s="1"/>
  <c r="T669" i="25" s="1"/>
  <c r="AE669" i="25"/>
  <c r="AE660" i="25"/>
  <c r="AE652" i="25"/>
  <c r="AE644" i="25"/>
  <c r="K641" i="25"/>
  <c r="M641" i="25" s="1"/>
  <c r="AE641" i="25"/>
  <c r="K636" i="25"/>
  <c r="K630" i="25"/>
  <c r="O623" i="25"/>
  <c r="P623" i="25" s="1"/>
  <c r="Q623" i="25" s="1"/>
  <c r="R623" i="25" s="1"/>
  <c r="S623" i="25" s="1"/>
  <c r="T623" i="25" s="1"/>
  <c r="AE623" i="25"/>
  <c r="K623" i="25"/>
  <c r="L623" i="25" s="1"/>
  <c r="K619" i="25"/>
  <c r="L619" i="25" s="1"/>
  <c r="AE619" i="25"/>
  <c r="N606" i="25"/>
  <c r="AA606" i="25" s="1"/>
  <c r="K600" i="25"/>
  <c r="L600" i="25" s="1"/>
  <c r="AE600" i="25"/>
  <c r="K593" i="25"/>
  <c r="M593" i="25" s="1"/>
  <c r="AE593" i="25"/>
  <c r="O593" i="25"/>
  <c r="P593" i="25" s="1"/>
  <c r="Q593" i="25" s="1"/>
  <c r="R593" i="25" s="1"/>
  <c r="S593" i="25" s="1"/>
  <c r="T593" i="25" s="1"/>
  <c r="K590" i="25"/>
  <c r="M590" i="25" s="1"/>
  <c r="K579" i="25"/>
  <c r="M579" i="25" s="1"/>
  <c r="AE579" i="25"/>
  <c r="O579" i="25"/>
  <c r="P579" i="25" s="1"/>
  <c r="Q579" i="25" s="1"/>
  <c r="R579" i="25" s="1"/>
  <c r="S579" i="25" s="1"/>
  <c r="T579" i="25" s="1"/>
  <c r="K870" i="25"/>
  <c r="M870" i="25" s="1"/>
  <c r="AE870" i="25"/>
  <c r="O858" i="25"/>
  <c r="P858" i="25" s="1"/>
  <c r="Q858" i="25" s="1"/>
  <c r="R858" i="25" s="1"/>
  <c r="S858" i="25" s="1"/>
  <c r="T858" i="25" s="1"/>
  <c r="AE858" i="25"/>
  <c r="O847" i="25"/>
  <c r="P847" i="25" s="1"/>
  <c r="Q847" i="25" s="1"/>
  <c r="R847" i="25" s="1"/>
  <c r="S847" i="25" s="1"/>
  <c r="T847" i="25" s="1"/>
  <c r="AE847" i="25"/>
  <c r="K835" i="25"/>
  <c r="N835" i="25" s="1"/>
  <c r="AA835" i="25" s="1"/>
  <c r="AE835" i="25"/>
  <c r="O817" i="25"/>
  <c r="P817" i="25" s="1"/>
  <c r="Q817" i="25" s="1"/>
  <c r="R817" i="25" s="1"/>
  <c r="S817" i="25" s="1"/>
  <c r="T817" i="25" s="1"/>
  <c r="K816" i="25"/>
  <c r="M816" i="25" s="1"/>
  <c r="AE816" i="25"/>
  <c r="O795" i="25"/>
  <c r="P795" i="25" s="1"/>
  <c r="Q795" i="25" s="1"/>
  <c r="R795" i="25" s="1"/>
  <c r="S795" i="25" s="1"/>
  <c r="T795" i="25" s="1"/>
  <c r="AE795" i="25"/>
  <c r="K792" i="25"/>
  <c r="L792" i="25" s="1"/>
  <c r="AE792" i="25"/>
  <c r="K790" i="25"/>
  <c r="AE790" i="25"/>
  <c r="K756" i="25"/>
  <c r="L756" i="25" s="1"/>
  <c r="AE756" i="25"/>
  <c r="O736" i="25"/>
  <c r="P736" i="25" s="1"/>
  <c r="Q736" i="25" s="1"/>
  <c r="R736" i="25" s="1"/>
  <c r="S736" i="25" s="1"/>
  <c r="T736" i="25" s="1"/>
  <c r="AE736" i="25"/>
  <c r="K713" i="25"/>
  <c r="M713" i="25" s="1"/>
  <c r="AE713" i="25"/>
  <c r="O707" i="25"/>
  <c r="P707" i="25" s="1"/>
  <c r="Q707" i="25" s="1"/>
  <c r="R707" i="25" s="1"/>
  <c r="S707" i="25" s="1"/>
  <c r="T707" i="25" s="1"/>
  <c r="AE707" i="25"/>
  <c r="K703" i="25"/>
  <c r="M703" i="25" s="1"/>
  <c r="AE703" i="25"/>
  <c r="K681" i="25"/>
  <c r="L681" i="25" s="1"/>
  <c r="AE681" i="25"/>
  <c r="O661" i="25"/>
  <c r="P661" i="25" s="1"/>
  <c r="Q661" i="25" s="1"/>
  <c r="R661" i="25" s="1"/>
  <c r="S661" i="25" s="1"/>
  <c r="T661" i="25" s="1"/>
  <c r="AE661" i="25"/>
  <c r="O653" i="25"/>
  <c r="P653" i="25" s="1"/>
  <c r="Q653" i="25" s="1"/>
  <c r="R653" i="25" s="1"/>
  <c r="S653" i="25" s="1"/>
  <c r="T653" i="25" s="1"/>
  <c r="AE653" i="25"/>
  <c r="O645" i="25"/>
  <c r="P645" i="25" s="1"/>
  <c r="Q645" i="25" s="1"/>
  <c r="R645" i="25" s="1"/>
  <c r="S645" i="25" s="1"/>
  <c r="T645" i="25" s="1"/>
  <c r="AE645" i="25"/>
  <c r="O609" i="25"/>
  <c r="P609" i="25" s="1"/>
  <c r="Q609" i="25" s="1"/>
  <c r="R609" i="25" s="1"/>
  <c r="S609" i="25" s="1"/>
  <c r="T609" i="25" s="1"/>
  <c r="AE609" i="25"/>
  <c r="L423" i="25"/>
  <c r="N423" i="25" s="1"/>
  <c r="AA423" i="25" s="1"/>
  <c r="O866" i="25"/>
  <c r="P866" i="25" s="1"/>
  <c r="Q866" i="25" s="1"/>
  <c r="R866" i="25" s="1"/>
  <c r="S866" i="25" s="1"/>
  <c r="T866" i="25" s="1"/>
  <c r="AE866" i="25"/>
  <c r="O855" i="25"/>
  <c r="P855" i="25" s="1"/>
  <c r="Q855" i="25" s="1"/>
  <c r="R855" i="25" s="1"/>
  <c r="S855" i="25" s="1"/>
  <c r="T855" i="25" s="1"/>
  <c r="AE855" i="25"/>
  <c r="K843" i="25"/>
  <c r="M843" i="25" s="1"/>
  <c r="AE843" i="25"/>
  <c r="O836" i="25"/>
  <c r="P836" i="25" s="1"/>
  <c r="Q836" i="25" s="1"/>
  <c r="R836" i="25" s="1"/>
  <c r="S836" i="25" s="1"/>
  <c r="T836" i="25" s="1"/>
  <c r="K824" i="25"/>
  <c r="L824" i="25" s="1"/>
  <c r="AE824" i="25"/>
  <c r="K814" i="25"/>
  <c r="M814" i="25" s="1"/>
  <c r="AE814" i="25"/>
  <c r="O812" i="25"/>
  <c r="P812" i="25" s="1"/>
  <c r="Q812" i="25" s="1"/>
  <c r="R812" i="25" s="1"/>
  <c r="S812" i="25" s="1"/>
  <c r="T812" i="25" s="1"/>
  <c r="AE812" i="25"/>
  <c r="AE808" i="25"/>
  <c r="O799" i="25"/>
  <c r="P799" i="25" s="1"/>
  <c r="Q799" i="25" s="1"/>
  <c r="R799" i="25" s="1"/>
  <c r="S799" i="25" s="1"/>
  <c r="T799" i="25" s="1"/>
  <c r="AE799" i="25"/>
  <c r="O796" i="25"/>
  <c r="P796" i="25" s="1"/>
  <c r="Q796" i="25" s="1"/>
  <c r="R796" i="25" s="1"/>
  <c r="S796" i="25" s="1"/>
  <c r="T796" i="25" s="1"/>
  <c r="K782" i="25"/>
  <c r="M782" i="25" s="1"/>
  <c r="AE782" i="25"/>
  <c r="K772" i="25"/>
  <c r="L772" i="25" s="1"/>
  <c r="AE772" i="25"/>
  <c r="AE770" i="25"/>
  <c r="O766" i="25"/>
  <c r="P766" i="25" s="1"/>
  <c r="Q766" i="25" s="1"/>
  <c r="R766" i="25" s="1"/>
  <c r="S766" i="25" s="1"/>
  <c r="T766" i="25" s="1"/>
  <c r="O761" i="25"/>
  <c r="P761" i="25" s="1"/>
  <c r="Q761" i="25" s="1"/>
  <c r="R761" i="25" s="1"/>
  <c r="S761" i="25" s="1"/>
  <c r="T761" i="25" s="1"/>
  <c r="O759" i="25"/>
  <c r="P759" i="25" s="1"/>
  <c r="Q759" i="25" s="1"/>
  <c r="R759" i="25" s="1"/>
  <c r="S759" i="25" s="1"/>
  <c r="T759" i="25" s="1"/>
  <c r="AE759" i="25"/>
  <c r="O741" i="25"/>
  <c r="P741" i="25" s="1"/>
  <c r="Q741" i="25" s="1"/>
  <c r="R741" i="25" s="1"/>
  <c r="S741" i="25" s="1"/>
  <c r="T741" i="25" s="1"/>
  <c r="K740" i="25"/>
  <c r="L740" i="25" s="1"/>
  <c r="AE740" i="25"/>
  <c r="K718" i="25"/>
  <c r="L718" i="25" s="1"/>
  <c r="AE718" i="25"/>
  <c r="K711" i="25"/>
  <c r="AE711" i="25"/>
  <c r="AE708" i="25"/>
  <c r="O700" i="25"/>
  <c r="P700" i="25" s="1"/>
  <c r="Q700" i="25" s="1"/>
  <c r="R700" i="25" s="1"/>
  <c r="S700" i="25" s="1"/>
  <c r="T700" i="25" s="1"/>
  <c r="O639" i="25"/>
  <c r="P639" i="25" s="1"/>
  <c r="Q639" i="25" s="1"/>
  <c r="R639" i="25" s="1"/>
  <c r="S639" i="25" s="1"/>
  <c r="T639" i="25" s="1"/>
  <c r="AE639" i="25"/>
  <c r="O607" i="25"/>
  <c r="P607" i="25" s="1"/>
  <c r="Q607" i="25" s="1"/>
  <c r="R607" i="25" s="1"/>
  <c r="S607" i="25" s="1"/>
  <c r="T607" i="25" s="1"/>
  <c r="AE607" i="25"/>
  <c r="K607" i="25"/>
  <c r="O591" i="25"/>
  <c r="P591" i="25" s="1"/>
  <c r="Q591" i="25" s="1"/>
  <c r="R591" i="25" s="1"/>
  <c r="S591" i="25" s="1"/>
  <c r="T591" i="25" s="1"/>
  <c r="AE591" i="25"/>
  <c r="K591" i="25"/>
  <c r="K577" i="25"/>
  <c r="M577" i="25" s="1"/>
  <c r="AE577" i="25"/>
  <c r="O575" i="25"/>
  <c r="P575" i="25" s="1"/>
  <c r="Q575" i="25" s="1"/>
  <c r="R575" i="25" s="1"/>
  <c r="S575" i="25" s="1"/>
  <c r="T575" i="25" s="1"/>
  <c r="AE575" i="25"/>
  <c r="K575" i="25"/>
  <c r="M575" i="25" s="1"/>
  <c r="O558" i="25"/>
  <c r="P558" i="25" s="1"/>
  <c r="Q558" i="25" s="1"/>
  <c r="R558" i="25" s="1"/>
  <c r="S558" i="25" s="1"/>
  <c r="T558" i="25" s="1"/>
  <c r="AE558" i="25"/>
  <c r="K558" i="25"/>
  <c r="L558" i="25" s="1"/>
  <c r="L447" i="25"/>
  <c r="N447" i="25" s="1"/>
  <c r="AA447" i="25" s="1"/>
  <c r="M447" i="25"/>
  <c r="L431" i="25"/>
  <c r="N431" i="25" s="1"/>
  <c r="AA431" i="25" s="1"/>
  <c r="M431" i="25"/>
  <c r="O613" i="25"/>
  <c r="P613" i="25" s="1"/>
  <c r="Q613" i="25" s="1"/>
  <c r="R613" i="25" s="1"/>
  <c r="S613" i="25" s="1"/>
  <c r="T613" i="25" s="1"/>
  <c r="AE613" i="25"/>
  <c r="O573" i="25"/>
  <c r="P573" i="25" s="1"/>
  <c r="Q573" i="25" s="1"/>
  <c r="R573" i="25" s="1"/>
  <c r="S573" i="25" s="1"/>
  <c r="T573" i="25" s="1"/>
  <c r="AE573" i="25"/>
  <c r="AE551" i="25"/>
  <c r="O548" i="25"/>
  <c r="P548" i="25" s="1"/>
  <c r="Q548" i="25" s="1"/>
  <c r="R548" i="25" s="1"/>
  <c r="S548" i="25" s="1"/>
  <c r="T548" i="25" s="1"/>
  <c r="O525" i="25"/>
  <c r="P525" i="25" s="1"/>
  <c r="Q525" i="25" s="1"/>
  <c r="R525" i="25" s="1"/>
  <c r="S525" i="25" s="1"/>
  <c r="T525" i="25" s="1"/>
  <c r="K521" i="25"/>
  <c r="K517" i="25"/>
  <c r="N517" i="25" s="1"/>
  <c r="AA517" i="25" s="1"/>
  <c r="O482" i="25"/>
  <c r="P482" i="25" s="1"/>
  <c r="Q482" i="25" s="1"/>
  <c r="R482" i="25" s="1"/>
  <c r="S482" i="25" s="1"/>
  <c r="T482" i="25" s="1"/>
  <c r="AE482" i="25"/>
  <c r="K481" i="25"/>
  <c r="AE475" i="25"/>
  <c r="O472" i="25"/>
  <c r="P472" i="25" s="1"/>
  <c r="Q472" i="25" s="1"/>
  <c r="R472" i="25" s="1"/>
  <c r="S472" i="25" s="1"/>
  <c r="T472" i="25" s="1"/>
  <c r="AE472" i="25"/>
  <c r="L464" i="25"/>
  <c r="M463" i="25"/>
  <c r="AE451" i="25"/>
  <c r="K440" i="25"/>
  <c r="N440" i="25" s="1"/>
  <c r="AA440" i="25" s="1"/>
  <c r="O425" i="25"/>
  <c r="P425" i="25" s="1"/>
  <c r="Q425" i="25" s="1"/>
  <c r="R425" i="25" s="1"/>
  <c r="S425" i="25" s="1"/>
  <c r="T425" i="25" s="1"/>
  <c r="K416" i="25"/>
  <c r="M416" i="25" s="1"/>
  <c r="AE416" i="25"/>
  <c r="AE415" i="25"/>
  <c r="K406" i="25"/>
  <c r="N406" i="25" s="1"/>
  <c r="AA406" i="25" s="1"/>
  <c r="AE406" i="25"/>
  <c r="M389" i="25"/>
  <c r="AE381" i="25"/>
  <c r="AE373" i="25"/>
  <c r="K335" i="25"/>
  <c r="L335" i="25" s="1"/>
  <c r="O322" i="25"/>
  <c r="P322" i="25" s="1"/>
  <c r="Q322" i="25" s="1"/>
  <c r="R322" i="25" s="1"/>
  <c r="S322" i="25" s="1"/>
  <c r="T322" i="25" s="1"/>
  <c r="K569" i="25"/>
  <c r="M569" i="25" s="1"/>
  <c r="AE569" i="25"/>
  <c r="O541" i="25"/>
  <c r="P541" i="25" s="1"/>
  <c r="Q541" i="25" s="1"/>
  <c r="R541" i="25" s="1"/>
  <c r="S541" i="25" s="1"/>
  <c r="T541" i="25" s="1"/>
  <c r="AE535" i="25"/>
  <c r="O524" i="25"/>
  <c r="P524" i="25" s="1"/>
  <c r="Q524" i="25" s="1"/>
  <c r="R524" i="25" s="1"/>
  <c r="S524" i="25" s="1"/>
  <c r="T524" i="25" s="1"/>
  <c r="AE515" i="25"/>
  <c r="AE511" i="25"/>
  <c r="O500" i="25"/>
  <c r="P500" i="25" s="1"/>
  <c r="Q500" i="25" s="1"/>
  <c r="R500" i="25" s="1"/>
  <c r="S500" i="25" s="1"/>
  <c r="T500" i="25" s="1"/>
  <c r="O484" i="25"/>
  <c r="P484" i="25" s="1"/>
  <c r="Q484" i="25" s="1"/>
  <c r="R484" i="25" s="1"/>
  <c r="S484" i="25" s="1"/>
  <c r="T484" i="25" s="1"/>
  <c r="AE471" i="25"/>
  <c r="AE455" i="25"/>
  <c r="O448" i="25"/>
  <c r="P448" i="25" s="1"/>
  <c r="Q448" i="25" s="1"/>
  <c r="R448" i="25" s="1"/>
  <c r="S448" i="25" s="1"/>
  <c r="T448" i="25" s="1"/>
  <c r="AE448" i="25"/>
  <c r="AE447" i="25"/>
  <c r="AE393" i="25"/>
  <c r="K378" i="25"/>
  <c r="L378" i="25" s="1"/>
  <c r="AE378" i="25"/>
  <c r="O374" i="25"/>
  <c r="P374" i="25" s="1"/>
  <c r="Q374" i="25" s="1"/>
  <c r="R374" i="25" s="1"/>
  <c r="S374" i="25" s="1"/>
  <c r="T374" i="25" s="1"/>
  <c r="AE374" i="25"/>
  <c r="M567" i="25"/>
  <c r="K563" i="25"/>
  <c r="L563" i="25" s="1"/>
  <c r="AE563" i="25"/>
  <c r="O550" i="25"/>
  <c r="P550" i="25" s="1"/>
  <c r="Q550" i="25" s="1"/>
  <c r="R550" i="25" s="1"/>
  <c r="S550" i="25" s="1"/>
  <c r="T550" i="25" s="1"/>
  <c r="AE550" i="25"/>
  <c r="K549" i="25"/>
  <c r="O545" i="25"/>
  <c r="P545" i="25" s="1"/>
  <c r="Q545" i="25" s="1"/>
  <c r="R545" i="25" s="1"/>
  <c r="S545" i="25" s="1"/>
  <c r="T545" i="25" s="1"/>
  <c r="K544" i="25"/>
  <c r="M544" i="25" s="1"/>
  <c r="AE544" i="25"/>
  <c r="O540" i="25"/>
  <c r="P540" i="25" s="1"/>
  <c r="Q540" i="25" s="1"/>
  <c r="R540" i="25" s="1"/>
  <c r="S540" i="25" s="1"/>
  <c r="T540" i="25" s="1"/>
  <c r="K536" i="25"/>
  <c r="M536" i="25" s="1"/>
  <c r="O531" i="25"/>
  <c r="P531" i="25" s="1"/>
  <c r="Q531" i="25" s="1"/>
  <c r="R531" i="25" s="1"/>
  <c r="S531" i="25" s="1"/>
  <c r="T531" i="25" s="1"/>
  <c r="K529" i="25"/>
  <c r="K525" i="25"/>
  <c r="M525" i="25" s="1"/>
  <c r="O519" i="25"/>
  <c r="P519" i="25" s="1"/>
  <c r="Q519" i="25" s="1"/>
  <c r="R519" i="25" s="1"/>
  <c r="S519" i="25" s="1"/>
  <c r="T519" i="25" s="1"/>
  <c r="K516" i="25"/>
  <c r="O513" i="25"/>
  <c r="P513" i="25" s="1"/>
  <c r="Q513" i="25" s="1"/>
  <c r="R513" i="25" s="1"/>
  <c r="S513" i="25" s="1"/>
  <c r="T513" i="25" s="1"/>
  <c r="K505" i="25"/>
  <c r="K501" i="25"/>
  <c r="M501" i="25" s="1"/>
  <c r="AE495" i="25"/>
  <c r="K485" i="25"/>
  <c r="M485" i="25" s="1"/>
  <c r="K474" i="25"/>
  <c r="AE474" i="25"/>
  <c r="AE465" i="25"/>
  <c r="O464" i="25"/>
  <c r="P464" i="25" s="1"/>
  <c r="Q464" i="25" s="1"/>
  <c r="R464" i="25" s="1"/>
  <c r="S464" i="25" s="1"/>
  <c r="T464" i="25" s="1"/>
  <c r="AE464" i="25"/>
  <c r="AE463" i="25"/>
  <c r="AE459" i="25"/>
  <c r="AE456" i="25"/>
  <c r="K452" i="25"/>
  <c r="L452" i="25" s="1"/>
  <c r="AE452" i="25"/>
  <c r="O449" i="25"/>
  <c r="P449" i="25" s="1"/>
  <c r="Q449" i="25" s="1"/>
  <c r="R449" i="25" s="1"/>
  <c r="S449" i="25" s="1"/>
  <c r="T449" i="25" s="1"/>
  <c r="K436" i="25"/>
  <c r="N436" i="25" s="1"/>
  <c r="AA436" i="25" s="1"/>
  <c r="AE436" i="25"/>
  <c r="O433" i="25"/>
  <c r="P433" i="25" s="1"/>
  <c r="Q433" i="25" s="1"/>
  <c r="R433" i="25" s="1"/>
  <c r="S433" i="25" s="1"/>
  <c r="T433" i="25" s="1"/>
  <c r="K432" i="25"/>
  <c r="N432" i="25" s="1"/>
  <c r="AA432" i="25" s="1"/>
  <c r="K430" i="25"/>
  <c r="AE430" i="25"/>
  <c r="K428" i="25"/>
  <c r="AE428" i="25"/>
  <c r="K425" i="25"/>
  <c r="M425" i="25" s="1"/>
  <c r="O421" i="25"/>
  <c r="P421" i="25" s="1"/>
  <c r="Q421" i="25" s="1"/>
  <c r="R421" i="25" s="1"/>
  <c r="S421" i="25" s="1"/>
  <c r="T421" i="25" s="1"/>
  <c r="AE407" i="25"/>
  <c r="O401" i="25"/>
  <c r="P401" i="25" s="1"/>
  <c r="Q401" i="25" s="1"/>
  <c r="R401" i="25" s="1"/>
  <c r="S401" i="25" s="1"/>
  <c r="T401" i="25" s="1"/>
  <c r="AE397" i="25"/>
  <c r="AE389" i="25"/>
  <c r="AE385" i="25"/>
  <c r="K379" i="25"/>
  <c r="K375" i="25"/>
  <c r="M375" i="25" s="1"/>
  <c r="O325" i="25"/>
  <c r="P325" i="25" s="1"/>
  <c r="Q325" i="25" s="1"/>
  <c r="R325" i="25" s="1"/>
  <c r="S325" i="25" s="1"/>
  <c r="T325" i="25" s="1"/>
  <c r="O565" i="25"/>
  <c r="P565" i="25" s="1"/>
  <c r="Q565" i="25" s="1"/>
  <c r="R565" i="25" s="1"/>
  <c r="S565" i="25" s="1"/>
  <c r="T565" i="25" s="1"/>
  <c r="AE565" i="25"/>
  <c r="O557" i="25"/>
  <c r="P557" i="25" s="1"/>
  <c r="Q557" i="25" s="1"/>
  <c r="R557" i="25" s="1"/>
  <c r="S557" i="25" s="1"/>
  <c r="T557" i="25" s="1"/>
  <c r="AE523" i="25"/>
  <c r="O509" i="25"/>
  <c r="P509" i="25" s="1"/>
  <c r="Q509" i="25" s="1"/>
  <c r="R509" i="25" s="1"/>
  <c r="S509" i="25" s="1"/>
  <c r="T509" i="25" s="1"/>
  <c r="O508" i="25"/>
  <c r="P508" i="25" s="1"/>
  <c r="Q508" i="25" s="1"/>
  <c r="R508" i="25" s="1"/>
  <c r="S508" i="25" s="1"/>
  <c r="T508" i="25" s="1"/>
  <c r="O507" i="25"/>
  <c r="P507" i="25" s="1"/>
  <c r="Q507" i="25" s="1"/>
  <c r="R507" i="25" s="1"/>
  <c r="S507" i="25" s="1"/>
  <c r="T507" i="25" s="1"/>
  <c r="AE499" i="25"/>
  <c r="K486" i="25"/>
  <c r="L486" i="25" s="1"/>
  <c r="AE486" i="25"/>
  <c r="AE483" i="25"/>
  <c r="AE431" i="25"/>
  <c r="K420" i="25"/>
  <c r="N420" i="25" s="1"/>
  <c r="AA420" i="25" s="1"/>
  <c r="AE420" i="25"/>
  <c r="AE418" i="25"/>
  <c r="O413" i="25"/>
  <c r="P413" i="25" s="1"/>
  <c r="Q413" i="25" s="1"/>
  <c r="R413" i="25" s="1"/>
  <c r="S413" i="25" s="1"/>
  <c r="T413" i="25" s="1"/>
  <c r="K411" i="25"/>
  <c r="M411" i="25" s="1"/>
  <c r="AE411" i="25"/>
  <c r="O395" i="25"/>
  <c r="P395" i="25" s="1"/>
  <c r="Q395" i="25" s="1"/>
  <c r="R395" i="25" s="1"/>
  <c r="S395" i="25" s="1"/>
  <c r="T395" i="25" s="1"/>
  <c r="K394" i="25"/>
  <c r="L394" i="25" s="1"/>
  <c r="AE394" i="25"/>
  <c r="O391" i="25"/>
  <c r="P391" i="25" s="1"/>
  <c r="Q391" i="25" s="1"/>
  <c r="R391" i="25" s="1"/>
  <c r="S391" i="25" s="1"/>
  <c r="T391" i="25" s="1"/>
  <c r="O390" i="25"/>
  <c r="P390" i="25" s="1"/>
  <c r="Q390" i="25" s="1"/>
  <c r="R390" i="25" s="1"/>
  <c r="S390" i="25" s="1"/>
  <c r="T390" i="25" s="1"/>
  <c r="AE390" i="25"/>
  <c r="O387" i="25"/>
  <c r="P387" i="25" s="1"/>
  <c r="Q387" i="25" s="1"/>
  <c r="R387" i="25" s="1"/>
  <c r="S387" i="25" s="1"/>
  <c r="T387" i="25" s="1"/>
  <c r="O369" i="25"/>
  <c r="P369" i="25" s="1"/>
  <c r="Q369" i="25" s="1"/>
  <c r="R369" i="25" s="1"/>
  <c r="S369" i="25" s="1"/>
  <c r="T369" i="25" s="1"/>
  <c r="K351" i="25"/>
  <c r="L351" i="25" s="1"/>
  <c r="K314" i="25"/>
  <c r="N314" i="25" s="1"/>
  <c r="O314" i="25"/>
  <c r="P314" i="25" s="1"/>
  <c r="Q314" i="25" s="1"/>
  <c r="R314" i="25" s="1"/>
  <c r="S314" i="25" s="1"/>
  <c r="T314" i="25" s="1"/>
  <c r="O570" i="25"/>
  <c r="P570" i="25" s="1"/>
  <c r="Q570" i="25" s="1"/>
  <c r="R570" i="25" s="1"/>
  <c r="S570" i="25" s="1"/>
  <c r="T570" i="25" s="1"/>
  <c r="AE570" i="25"/>
  <c r="O567" i="25"/>
  <c r="P567" i="25" s="1"/>
  <c r="Q567" i="25" s="1"/>
  <c r="R567" i="25" s="1"/>
  <c r="S567" i="25" s="1"/>
  <c r="T567" i="25" s="1"/>
  <c r="AE567" i="25"/>
  <c r="K561" i="25"/>
  <c r="N561" i="25" s="1"/>
  <c r="AA561" i="25" s="1"/>
  <c r="AE561" i="25"/>
  <c r="O553" i="25"/>
  <c r="P553" i="25" s="1"/>
  <c r="Q553" i="25" s="1"/>
  <c r="R553" i="25" s="1"/>
  <c r="S553" i="25" s="1"/>
  <c r="T553" i="25" s="1"/>
  <c r="O552" i="25"/>
  <c r="P552" i="25" s="1"/>
  <c r="Q552" i="25" s="1"/>
  <c r="R552" i="25" s="1"/>
  <c r="S552" i="25" s="1"/>
  <c r="T552" i="25" s="1"/>
  <c r="AE552" i="25"/>
  <c r="K541" i="25"/>
  <c r="O532" i="25"/>
  <c r="P532" i="25" s="1"/>
  <c r="Q532" i="25" s="1"/>
  <c r="R532" i="25" s="1"/>
  <c r="S532" i="25" s="1"/>
  <c r="T532" i="25" s="1"/>
  <c r="K524" i="25"/>
  <c r="K509" i="25"/>
  <c r="M509" i="25" s="1"/>
  <c r="O503" i="25"/>
  <c r="P503" i="25" s="1"/>
  <c r="Q503" i="25" s="1"/>
  <c r="R503" i="25" s="1"/>
  <c r="S503" i="25" s="1"/>
  <c r="T503" i="25" s="1"/>
  <c r="K500" i="25"/>
  <c r="O497" i="25"/>
  <c r="P497" i="25" s="1"/>
  <c r="Q497" i="25" s="1"/>
  <c r="R497" i="25" s="1"/>
  <c r="S497" i="25" s="1"/>
  <c r="T497" i="25" s="1"/>
  <c r="O493" i="25"/>
  <c r="P493" i="25" s="1"/>
  <c r="Q493" i="25" s="1"/>
  <c r="R493" i="25" s="1"/>
  <c r="S493" i="25" s="1"/>
  <c r="T493" i="25" s="1"/>
  <c r="O492" i="25"/>
  <c r="P492" i="25" s="1"/>
  <c r="Q492" i="25" s="1"/>
  <c r="R492" i="25" s="1"/>
  <c r="S492" i="25" s="1"/>
  <c r="T492" i="25" s="1"/>
  <c r="O487" i="25"/>
  <c r="P487" i="25" s="1"/>
  <c r="Q487" i="25" s="1"/>
  <c r="R487" i="25" s="1"/>
  <c r="S487" i="25" s="1"/>
  <c r="T487" i="25" s="1"/>
  <c r="K484" i="25"/>
  <c r="AE479" i="25"/>
  <c r="O469" i="25"/>
  <c r="P469" i="25" s="1"/>
  <c r="Q469" i="25" s="1"/>
  <c r="R469" i="25" s="1"/>
  <c r="S469" i="25" s="1"/>
  <c r="T469" i="25" s="1"/>
  <c r="O467" i="25"/>
  <c r="P467" i="25" s="1"/>
  <c r="Q467" i="25" s="1"/>
  <c r="R467" i="25" s="1"/>
  <c r="S467" i="25" s="1"/>
  <c r="T467" i="25" s="1"/>
  <c r="AE467" i="25"/>
  <c r="K466" i="25"/>
  <c r="AE466" i="25"/>
  <c r="O461" i="25"/>
  <c r="P461" i="25" s="1"/>
  <c r="Q461" i="25" s="1"/>
  <c r="R461" i="25" s="1"/>
  <c r="S461" i="25" s="1"/>
  <c r="T461" i="25" s="1"/>
  <c r="O445" i="25"/>
  <c r="P445" i="25" s="1"/>
  <c r="Q445" i="25" s="1"/>
  <c r="R445" i="25" s="1"/>
  <c r="S445" i="25" s="1"/>
  <c r="T445" i="25" s="1"/>
  <c r="K444" i="25"/>
  <c r="L444" i="25" s="1"/>
  <c r="AE444" i="25"/>
  <c r="AE441" i="25"/>
  <c r="K433" i="25"/>
  <c r="M433" i="25" s="1"/>
  <c r="O423" i="25"/>
  <c r="P423" i="25" s="1"/>
  <c r="Q423" i="25" s="1"/>
  <c r="R423" i="25" s="1"/>
  <c r="S423" i="25" s="1"/>
  <c r="T423" i="25" s="1"/>
  <c r="O415" i="25"/>
  <c r="P415" i="25" s="1"/>
  <c r="Q415" i="25" s="1"/>
  <c r="R415" i="25" s="1"/>
  <c r="S415" i="25" s="1"/>
  <c r="T415" i="25" s="1"/>
  <c r="O409" i="25"/>
  <c r="P409" i="25" s="1"/>
  <c r="Q409" i="25" s="1"/>
  <c r="R409" i="25" s="1"/>
  <c r="S409" i="25" s="1"/>
  <c r="T409" i="25" s="1"/>
  <c r="AE401" i="25"/>
  <c r="K395" i="25"/>
  <c r="L395" i="25" s="1"/>
  <c r="K391" i="25"/>
  <c r="M391" i="25" s="1"/>
  <c r="K386" i="25"/>
  <c r="L386" i="25" s="1"/>
  <c r="AE386" i="25"/>
  <c r="O383" i="25"/>
  <c r="P383" i="25" s="1"/>
  <c r="Q383" i="25" s="1"/>
  <c r="R383" i="25" s="1"/>
  <c r="S383" i="25" s="1"/>
  <c r="T383" i="25" s="1"/>
  <c r="O349" i="25"/>
  <c r="P349" i="25" s="1"/>
  <c r="Q349" i="25" s="1"/>
  <c r="R349" i="25" s="1"/>
  <c r="S349" i="25" s="1"/>
  <c r="T349" i="25" s="1"/>
  <c r="AE531" i="25"/>
  <c r="AE519" i="25"/>
  <c r="AE507" i="25"/>
  <c r="AE449" i="25"/>
  <c r="O439" i="25"/>
  <c r="P439" i="25" s="1"/>
  <c r="Q439" i="25" s="1"/>
  <c r="R439" i="25" s="1"/>
  <c r="S439" i="25" s="1"/>
  <c r="T439" i="25" s="1"/>
  <c r="K438" i="25"/>
  <c r="N438" i="25" s="1"/>
  <c r="AA438" i="25" s="1"/>
  <c r="AE438" i="25"/>
  <c r="K422" i="25"/>
  <c r="N422" i="25" s="1"/>
  <c r="AA422" i="25" s="1"/>
  <c r="AE422" i="25"/>
  <c r="N415" i="25"/>
  <c r="AA415" i="25" s="1"/>
  <c r="O405" i="25"/>
  <c r="P405" i="25" s="1"/>
  <c r="Q405" i="25" s="1"/>
  <c r="R405" i="25" s="1"/>
  <c r="S405" i="25" s="1"/>
  <c r="T405" i="25" s="1"/>
  <c r="O377" i="25"/>
  <c r="P377" i="25" s="1"/>
  <c r="Q377" i="25" s="1"/>
  <c r="R377" i="25" s="1"/>
  <c r="S377" i="25" s="1"/>
  <c r="T377" i="25" s="1"/>
  <c r="O365" i="25"/>
  <c r="P365" i="25" s="1"/>
  <c r="Q365" i="25" s="1"/>
  <c r="R365" i="25" s="1"/>
  <c r="S365" i="25" s="1"/>
  <c r="T365" i="25" s="1"/>
  <c r="O354" i="25"/>
  <c r="P354" i="25" s="1"/>
  <c r="Q354" i="25" s="1"/>
  <c r="R354" i="25" s="1"/>
  <c r="S354" i="25" s="1"/>
  <c r="T354" i="25" s="1"/>
  <c r="K349" i="25"/>
  <c r="L349" i="25" s="1"/>
  <c r="AE559" i="25"/>
  <c r="O555" i="25"/>
  <c r="P555" i="25" s="1"/>
  <c r="Q555" i="25" s="1"/>
  <c r="R555" i="25" s="1"/>
  <c r="S555" i="25" s="1"/>
  <c r="T555" i="25" s="1"/>
  <c r="AE555" i="25"/>
  <c r="AE543" i="25"/>
  <c r="AE539" i="25"/>
  <c r="AE527" i="25"/>
  <c r="O511" i="25"/>
  <c r="P511" i="25" s="1"/>
  <c r="Q511" i="25" s="1"/>
  <c r="R511" i="25" s="1"/>
  <c r="S511" i="25" s="1"/>
  <c r="T511" i="25" s="1"/>
  <c r="K508" i="25"/>
  <c r="AE491" i="25"/>
  <c r="K469" i="25"/>
  <c r="N469" i="25" s="1"/>
  <c r="AA469" i="25" s="1"/>
  <c r="K460" i="25"/>
  <c r="N460" i="25" s="1"/>
  <c r="AA460" i="25" s="1"/>
  <c r="AE460" i="25"/>
  <c r="AE457" i="25"/>
  <c r="K445" i="25"/>
  <c r="L445" i="25" s="1"/>
  <c r="O435" i="25"/>
  <c r="P435" i="25" s="1"/>
  <c r="Q435" i="25" s="1"/>
  <c r="R435" i="25" s="1"/>
  <c r="S435" i="25" s="1"/>
  <c r="T435" i="25" s="1"/>
  <c r="O427" i="25"/>
  <c r="P427" i="25" s="1"/>
  <c r="Q427" i="25" s="1"/>
  <c r="R427" i="25" s="1"/>
  <c r="S427" i="25" s="1"/>
  <c r="T427" i="25" s="1"/>
  <c r="AE427" i="25"/>
  <c r="M415" i="25"/>
  <c r="K414" i="25"/>
  <c r="N414" i="25" s="1"/>
  <c r="AA414" i="25" s="1"/>
  <c r="AE414" i="25"/>
  <c r="K412" i="25"/>
  <c r="AE412" i="25"/>
  <c r="K409" i="25"/>
  <c r="K405" i="25"/>
  <c r="M405" i="25" s="1"/>
  <c r="K402" i="25"/>
  <c r="L402" i="25" s="1"/>
  <c r="AE402" i="25"/>
  <c r="M373" i="25"/>
  <c r="K365" i="25"/>
  <c r="L365" i="25" s="1"/>
  <c r="AE478" i="25"/>
  <c r="AE503" i="25"/>
  <c r="AE487" i="25"/>
  <c r="O473" i="25"/>
  <c r="P473" i="25" s="1"/>
  <c r="Q473" i="25" s="1"/>
  <c r="R473" i="25" s="1"/>
  <c r="S473" i="25" s="1"/>
  <c r="T473" i="25" s="1"/>
  <c r="AE473" i="25"/>
  <c r="O470" i="25"/>
  <c r="P470" i="25" s="1"/>
  <c r="Q470" i="25" s="1"/>
  <c r="R470" i="25" s="1"/>
  <c r="S470" i="25" s="1"/>
  <c r="T470" i="25" s="1"/>
  <c r="AE470" i="25"/>
  <c r="K468" i="25"/>
  <c r="AE468" i="25"/>
  <c r="K446" i="25"/>
  <c r="L446" i="25" s="1"/>
  <c r="AE446" i="25"/>
  <c r="AE439" i="25"/>
  <c r="AE423" i="25"/>
  <c r="K404" i="25"/>
  <c r="AE404" i="25"/>
  <c r="AE377" i="25"/>
  <c r="K370" i="25"/>
  <c r="M370" i="25" s="1"/>
  <c r="AE370" i="25"/>
  <c r="AT45" i="25"/>
  <c r="AT43" i="25"/>
  <c r="AE344" i="25"/>
  <c r="AE343" i="25"/>
  <c r="AE316" i="25"/>
  <c r="AE315" i="25"/>
  <c r="O362" i="25"/>
  <c r="P362" i="25" s="1"/>
  <c r="Q362" i="25" s="1"/>
  <c r="R362" i="25" s="1"/>
  <c r="S362" i="25" s="1"/>
  <c r="T362" i="25" s="1"/>
  <c r="K359" i="25"/>
  <c r="L359" i="25" s="1"/>
  <c r="O346" i="25"/>
  <c r="P346" i="25" s="1"/>
  <c r="Q346" i="25" s="1"/>
  <c r="R346" i="25" s="1"/>
  <c r="S346" i="25" s="1"/>
  <c r="T346" i="25" s="1"/>
  <c r="K334" i="25"/>
  <c r="L334" i="25" s="1"/>
  <c r="K325" i="25"/>
  <c r="L325" i="25" s="1"/>
  <c r="N325" i="25" s="1"/>
  <c r="AA325" i="25" s="1"/>
  <c r="O318" i="25"/>
  <c r="P318" i="25" s="1"/>
  <c r="Q318" i="25" s="1"/>
  <c r="R318" i="25" s="1"/>
  <c r="S318" i="25" s="1"/>
  <c r="T318" i="25" s="1"/>
  <c r="AE330" i="25"/>
  <c r="AE328" i="25"/>
  <c r="AE322" i="25"/>
  <c r="AE320" i="25"/>
  <c r="AE319" i="25"/>
  <c r="K367" i="25"/>
  <c r="M367" i="25" s="1"/>
  <c r="O355" i="25"/>
  <c r="P355" i="25" s="1"/>
  <c r="Q355" i="25" s="1"/>
  <c r="R355" i="25" s="1"/>
  <c r="S355" i="25" s="1"/>
  <c r="T355" i="25" s="1"/>
  <c r="O343" i="25"/>
  <c r="P343" i="25" s="1"/>
  <c r="Q343" i="25" s="1"/>
  <c r="R343" i="25" s="1"/>
  <c r="S343" i="25" s="1"/>
  <c r="T343" i="25" s="1"/>
  <c r="O330" i="25"/>
  <c r="P330" i="25" s="1"/>
  <c r="Q330" i="25" s="1"/>
  <c r="R330" i="25" s="1"/>
  <c r="S330" i="25" s="1"/>
  <c r="T330" i="25" s="1"/>
  <c r="O309" i="25"/>
  <c r="P309" i="25" s="1"/>
  <c r="Q309" i="25" s="1"/>
  <c r="R309" i="25" s="1"/>
  <c r="S309" i="25" s="1"/>
  <c r="T309" i="25" s="1"/>
  <c r="AE342" i="25"/>
  <c r="AE340" i="25"/>
  <c r="AE339" i="25"/>
  <c r="O339" i="25"/>
  <c r="P339" i="25" s="1"/>
  <c r="Q339" i="25" s="1"/>
  <c r="R339" i="25" s="1"/>
  <c r="S339" i="25" s="1"/>
  <c r="T339" i="25" s="1"/>
  <c r="AE314" i="25"/>
  <c r="AE312" i="25"/>
  <c r="AE310" i="25"/>
  <c r="AE309" i="25"/>
  <c r="AE308" i="25"/>
  <c r="O367" i="25"/>
  <c r="P367" i="25" s="1"/>
  <c r="Q367" i="25" s="1"/>
  <c r="R367" i="25" s="1"/>
  <c r="S367" i="25" s="1"/>
  <c r="T367" i="25" s="1"/>
  <c r="O363" i="25"/>
  <c r="P363" i="25" s="1"/>
  <c r="Q363" i="25" s="1"/>
  <c r="R363" i="25" s="1"/>
  <c r="S363" i="25" s="1"/>
  <c r="T363" i="25" s="1"/>
  <c r="O323" i="25"/>
  <c r="P323" i="25" s="1"/>
  <c r="Q323" i="25" s="1"/>
  <c r="R323" i="25" s="1"/>
  <c r="S323" i="25" s="1"/>
  <c r="T323" i="25" s="1"/>
  <c r="O319" i="25"/>
  <c r="P319" i="25" s="1"/>
  <c r="Q319" i="25" s="1"/>
  <c r="R319" i="25" s="1"/>
  <c r="S319" i="25" s="1"/>
  <c r="T319" i="25" s="1"/>
  <c r="O310" i="25"/>
  <c r="P310" i="25" s="1"/>
  <c r="Q310" i="25" s="1"/>
  <c r="R310" i="25" s="1"/>
  <c r="S310" i="25" s="1"/>
  <c r="T310" i="25" s="1"/>
  <c r="L327" i="25"/>
  <c r="N327" i="25" s="1"/>
  <c r="M327" i="25"/>
  <c r="L319" i="25"/>
  <c r="N319" i="25" s="1"/>
  <c r="M319" i="25"/>
  <c r="L315" i="25"/>
  <c r="N315" i="25" s="1"/>
  <c r="M315" i="25"/>
  <c r="L323" i="25"/>
  <c r="N323" i="25" s="1"/>
  <c r="M323" i="25"/>
  <c r="L311" i="25"/>
  <c r="N311" i="25" s="1"/>
  <c r="M311" i="25"/>
  <c r="AE317" i="25"/>
  <c r="O371" i="25"/>
  <c r="P371" i="25" s="1"/>
  <c r="Q371" i="25" s="1"/>
  <c r="R371" i="25" s="1"/>
  <c r="S371" i="25" s="1"/>
  <c r="T371" i="25" s="1"/>
  <c r="K369" i="25"/>
  <c r="M369" i="25" s="1"/>
  <c r="O359" i="25"/>
  <c r="P359" i="25" s="1"/>
  <c r="Q359" i="25" s="1"/>
  <c r="R359" i="25" s="1"/>
  <c r="S359" i="25" s="1"/>
  <c r="T359" i="25" s="1"/>
  <c r="O351" i="25"/>
  <c r="P351" i="25" s="1"/>
  <c r="Q351" i="25" s="1"/>
  <c r="R351" i="25" s="1"/>
  <c r="S351" i="25" s="1"/>
  <c r="T351" i="25" s="1"/>
  <c r="O347" i="25"/>
  <c r="P347" i="25" s="1"/>
  <c r="Q347" i="25" s="1"/>
  <c r="R347" i="25" s="1"/>
  <c r="S347" i="25" s="1"/>
  <c r="T347" i="25" s="1"/>
  <c r="K343" i="25"/>
  <c r="L343" i="25" s="1"/>
  <c r="K331" i="25"/>
  <c r="O315" i="25"/>
  <c r="P315" i="25" s="1"/>
  <c r="Q315" i="25" s="1"/>
  <c r="R315" i="25" s="1"/>
  <c r="S315" i="25" s="1"/>
  <c r="T315" i="25" s="1"/>
  <c r="O311" i="25"/>
  <c r="P311" i="25" s="1"/>
  <c r="Q311" i="25" s="1"/>
  <c r="R311" i="25" s="1"/>
  <c r="S311" i="25" s="1"/>
  <c r="T311" i="25" s="1"/>
  <c r="K309" i="25"/>
  <c r="L309" i="25" s="1"/>
  <c r="N309" i="25" s="1"/>
  <c r="AE365" i="25"/>
  <c r="AE357" i="25"/>
  <c r="AE349" i="25"/>
  <c r="AE338" i="25"/>
  <c r="O333" i="25"/>
  <c r="P333" i="25" s="1"/>
  <c r="Q333" i="25" s="1"/>
  <c r="R333" i="25" s="1"/>
  <c r="S333" i="25" s="1"/>
  <c r="T333" i="25" s="1"/>
  <c r="AE360" i="25"/>
  <c r="AE352" i="25"/>
  <c r="AE326" i="25"/>
  <c r="K371" i="25"/>
  <c r="L371" i="25" s="1"/>
  <c r="K363" i="25"/>
  <c r="L363" i="25" s="1"/>
  <c r="K355" i="25"/>
  <c r="L355" i="25" s="1"/>
  <c r="O341" i="25"/>
  <c r="P341" i="25" s="1"/>
  <c r="Q341" i="25" s="1"/>
  <c r="R341" i="25" s="1"/>
  <c r="S341" i="25" s="1"/>
  <c r="T341" i="25" s="1"/>
  <c r="AE363" i="25"/>
  <c r="AE355" i="25"/>
  <c r="O357" i="25"/>
  <c r="P357" i="25" s="1"/>
  <c r="Q357" i="25" s="1"/>
  <c r="R357" i="25" s="1"/>
  <c r="S357" i="25" s="1"/>
  <c r="T357" i="25" s="1"/>
  <c r="K333" i="25"/>
  <c r="AE366" i="25"/>
  <c r="AE358" i="25"/>
  <c r="O327" i="25"/>
  <c r="P327" i="25" s="1"/>
  <c r="Q327" i="25" s="1"/>
  <c r="R327" i="25" s="1"/>
  <c r="S327" i="25" s="1"/>
  <c r="T327" i="25" s="1"/>
  <c r="AE369" i="25"/>
  <c r="O326" i="25"/>
  <c r="P326" i="25" s="1"/>
  <c r="Q326" i="25" s="1"/>
  <c r="R326" i="25" s="1"/>
  <c r="S326" i="25" s="1"/>
  <c r="T326" i="25" s="1"/>
  <c r="O317" i="25"/>
  <c r="P317" i="25" s="1"/>
  <c r="Q317" i="25" s="1"/>
  <c r="R317" i="25" s="1"/>
  <c r="S317" i="25" s="1"/>
  <c r="T317" i="25" s="1"/>
  <c r="AE356" i="25"/>
  <c r="AE348" i="25"/>
  <c r="AE327" i="25"/>
  <c r="K357" i="25"/>
  <c r="O338" i="25"/>
  <c r="P338" i="25" s="1"/>
  <c r="Q338" i="25" s="1"/>
  <c r="R338" i="25" s="1"/>
  <c r="S338" i="25" s="1"/>
  <c r="T338" i="25" s="1"/>
  <c r="K317" i="25"/>
  <c r="L317" i="25" s="1"/>
  <c r="N317" i="25" s="1"/>
  <c r="AA317" i="25" s="1"/>
  <c r="N840" i="25"/>
  <c r="AA840" i="25" s="1"/>
  <c r="L872" i="25"/>
  <c r="M872" i="25"/>
  <c r="N872" i="25"/>
  <c r="L358" i="25"/>
  <c r="M358" i="25"/>
  <c r="N358" i="25"/>
  <c r="AA358" i="25" s="1"/>
  <c r="O350" i="25"/>
  <c r="P350" i="25" s="1"/>
  <c r="Q350" i="25" s="1"/>
  <c r="R350" i="25" s="1"/>
  <c r="S350" i="25" s="1"/>
  <c r="T350" i="25" s="1"/>
  <c r="K350" i="25"/>
  <c r="K874" i="25"/>
  <c r="O870" i="25"/>
  <c r="P870" i="25" s="1"/>
  <c r="Q870" i="25" s="1"/>
  <c r="R870" i="25" s="1"/>
  <c r="S870" i="25" s="1"/>
  <c r="T870" i="25" s="1"/>
  <c r="K866" i="25"/>
  <c r="O862" i="25"/>
  <c r="P862" i="25" s="1"/>
  <c r="Q862" i="25" s="1"/>
  <c r="R862" i="25" s="1"/>
  <c r="S862" i="25" s="1"/>
  <c r="T862" i="25" s="1"/>
  <c r="K858" i="25"/>
  <c r="O854" i="25"/>
  <c r="P854" i="25" s="1"/>
  <c r="Q854" i="25" s="1"/>
  <c r="R854" i="25" s="1"/>
  <c r="S854" i="25" s="1"/>
  <c r="T854" i="25" s="1"/>
  <c r="K850" i="25"/>
  <c r="O846" i="25"/>
  <c r="P846" i="25" s="1"/>
  <c r="Q846" i="25" s="1"/>
  <c r="R846" i="25" s="1"/>
  <c r="S846" i="25" s="1"/>
  <c r="T846" i="25" s="1"/>
  <c r="K842" i="25"/>
  <c r="O838" i="25"/>
  <c r="P838" i="25" s="1"/>
  <c r="Q838" i="25" s="1"/>
  <c r="R838" i="25" s="1"/>
  <c r="S838" i="25" s="1"/>
  <c r="T838" i="25" s="1"/>
  <c r="K834" i="25"/>
  <c r="O830" i="25"/>
  <c r="P830" i="25" s="1"/>
  <c r="Q830" i="25" s="1"/>
  <c r="R830" i="25" s="1"/>
  <c r="S830" i="25" s="1"/>
  <c r="T830" i="25" s="1"/>
  <c r="K826" i="25"/>
  <c r="O822" i="25"/>
  <c r="P822" i="25" s="1"/>
  <c r="Q822" i="25" s="1"/>
  <c r="R822" i="25" s="1"/>
  <c r="S822" i="25" s="1"/>
  <c r="T822" i="25" s="1"/>
  <c r="K818" i="25"/>
  <c r="O814" i="25"/>
  <c r="P814" i="25" s="1"/>
  <c r="Q814" i="25" s="1"/>
  <c r="R814" i="25" s="1"/>
  <c r="S814" i="25" s="1"/>
  <c r="T814" i="25" s="1"/>
  <c r="N811" i="25"/>
  <c r="AA811" i="25" s="1"/>
  <c r="K807" i="25"/>
  <c r="O800" i="25"/>
  <c r="P800" i="25" s="1"/>
  <c r="Q800" i="25" s="1"/>
  <c r="R800" i="25" s="1"/>
  <c r="S800" i="25" s="1"/>
  <c r="T800" i="25" s="1"/>
  <c r="M791" i="25"/>
  <c r="O788" i="25"/>
  <c r="P788" i="25" s="1"/>
  <c r="Q788" i="25" s="1"/>
  <c r="R788" i="25" s="1"/>
  <c r="S788" i="25" s="1"/>
  <c r="T788" i="25" s="1"/>
  <c r="K779" i="25"/>
  <c r="K778" i="25"/>
  <c r="O778" i="25"/>
  <c r="P778" i="25" s="1"/>
  <c r="Q778" i="25" s="1"/>
  <c r="R778" i="25" s="1"/>
  <c r="S778" i="25" s="1"/>
  <c r="T778" i="25" s="1"/>
  <c r="O776" i="25"/>
  <c r="P776" i="25" s="1"/>
  <c r="Q776" i="25" s="1"/>
  <c r="R776" i="25" s="1"/>
  <c r="S776" i="25" s="1"/>
  <c r="T776" i="25" s="1"/>
  <c r="L743" i="25"/>
  <c r="M743" i="25"/>
  <c r="K724" i="25"/>
  <c r="O724" i="25"/>
  <c r="P724" i="25" s="1"/>
  <c r="Q724" i="25" s="1"/>
  <c r="R724" i="25" s="1"/>
  <c r="S724" i="25" s="1"/>
  <c r="T724" i="25" s="1"/>
  <c r="L680" i="25"/>
  <c r="N680" i="25"/>
  <c r="AA680" i="25" s="1"/>
  <c r="M680" i="25"/>
  <c r="O768" i="25"/>
  <c r="P768" i="25" s="1"/>
  <c r="Q768" i="25" s="1"/>
  <c r="R768" i="25" s="1"/>
  <c r="S768" i="25" s="1"/>
  <c r="T768" i="25" s="1"/>
  <c r="K871" i="25"/>
  <c r="O867" i="25"/>
  <c r="P867" i="25" s="1"/>
  <c r="Q867" i="25" s="1"/>
  <c r="R867" i="25" s="1"/>
  <c r="S867" i="25" s="1"/>
  <c r="T867" i="25" s="1"/>
  <c r="K863" i="25"/>
  <c r="O859" i="25"/>
  <c r="P859" i="25" s="1"/>
  <c r="Q859" i="25" s="1"/>
  <c r="R859" i="25" s="1"/>
  <c r="S859" i="25" s="1"/>
  <c r="T859" i="25" s="1"/>
  <c r="K855" i="25"/>
  <c r="O851" i="25"/>
  <c r="P851" i="25" s="1"/>
  <c r="Q851" i="25" s="1"/>
  <c r="R851" i="25" s="1"/>
  <c r="S851" i="25" s="1"/>
  <c r="T851" i="25" s="1"/>
  <c r="K847" i="25"/>
  <c r="O843" i="25"/>
  <c r="P843" i="25" s="1"/>
  <c r="Q843" i="25" s="1"/>
  <c r="R843" i="25" s="1"/>
  <c r="S843" i="25" s="1"/>
  <c r="T843" i="25" s="1"/>
  <c r="K839" i="25"/>
  <c r="O835" i="25"/>
  <c r="P835" i="25" s="1"/>
  <c r="Q835" i="25" s="1"/>
  <c r="R835" i="25" s="1"/>
  <c r="S835" i="25" s="1"/>
  <c r="T835" i="25" s="1"/>
  <c r="K831" i="25"/>
  <c r="O827" i="25"/>
  <c r="P827" i="25" s="1"/>
  <c r="Q827" i="25" s="1"/>
  <c r="R827" i="25" s="1"/>
  <c r="S827" i="25" s="1"/>
  <c r="T827" i="25" s="1"/>
  <c r="K823" i="25"/>
  <c r="O819" i="25"/>
  <c r="P819" i="25" s="1"/>
  <c r="Q819" i="25" s="1"/>
  <c r="R819" i="25" s="1"/>
  <c r="S819" i="25" s="1"/>
  <c r="T819" i="25" s="1"/>
  <c r="K815" i="25"/>
  <c r="K812" i="25"/>
  <c r="M811" i="25"/>
  <c r="O804" i="25"/>
  <c r="P804" i="25" s="1"/>
  <c r="Q804" i="25" s="1"/>
  <c r="R804" i="25" s="1"/>
  <c r="S804" i="25" s="1"/>
  <c r="T804" i="25" s="1"/>
  <c r="K797" i="25"/>
  <c r="K787" i="25"/>
  <c r="K786" i="25"/>
  <c r="O786" i="25"/>
  <c r="P786" i="25" s="1"/>
  <c r="Q786" i="25" s="1"/>
  <c r="R786" i="25" s="1"/>
  <c r="S786" i="25" s="1"/>
  <c r="T786" i="25" s="1"/>
  <c r="O784" i="25"/>
  <c r="P784" i="25" s="1"/>
  <c r="Q784" i="25" s="1"/>
  <c r="R784" i="25" s="1"/>
  <c r="S784" i="25" s="1"/>
  <c r="T784" i="25" s="1"/>
  <c r="K755" i="25"/>
  <c r="L744" i="25"/>
  <c r="M744" i="25"/>
  <c r="K754" i="25"/>
  <c r="O754" i="25"/>
  <c r="P754" i="25" s="1"/>
  <c r="Q754" i="25" s="1"/>
  <c r="R754" i="25" s="1"/>
  <c r="S754" i="25" s="1"/>
  <c r="T754" i="25" s="1"/>
  <c r="O856" i="25"/>
  <c r="P856" i="25" s="1"/>
  <c r="Q856" i="25" s="1"/>
  <c r="R856" i="25" s="1"/>
  <c r="S856" i="25" s="1"/>
  <c r="T856" i="25" s="1"/>
  <c r="O848" i="25"/>
  <c r="P848" i="25" s="1"/>
  <c r="Q848" i="25" s="1"/>
  <c r="R848" i="25" s="1"/>
  <c r="S848" i="25" s="1"/>
  <c r="T848" i="25" s="1"/>
  <c r="O840" i="25"/>
  <c r="P840" i="25" s="1"/>
  <c r="Q840" i="25" s="1"/>
  <c r="R840" i="25" s="1"/>
  <c r="S840" i="25" s="1"/>
  <c r="T840" i="25" s="1"/>
  <c r="O832" i="25"/>
  <c r="P832" i="25" s="1"/>
  <c r="Q832" i="25" s="1"/>
  <c r="R832" i="25" s="1"/>
  <c r="S832" i="25" s="1"/>
  <c r="T832" i="25" s="1"/>
  <c r="O824" i="25"/>
  <c r="P824" i="25" s="1"/>
  <c r="Q824" i="25" s="1"/>
  <c r="R824" i="25" s="1"/>
  <c r="S824" i="25" s="1"/>
  <c r="T824" i="25" s="1"/>
  <c r="O816" i="25"/>
  <c r="P816" i="25" s="1"/>
  <c r="Q816" i="25" s="1"/>
  <c r="R816" i="25" s="1"/>
  <c r="S816" i="25" s="1"/>
  <c r="T816" i="25" s="1"/>
  <c r="K795" i="25"/>
  <c r="K794" i="25"/>
  <c r="O794" i="25"/>
  <c r="P794" i="25" s="1"/>
  <c r="Q794" i="25" s="1"/>
  <c r="R794" i="25" s="1"/>
  <c r="S794" i="25" s="1"/>
  <c r="T794" i="25" s="1"/>
  <c r="O792" i="25"/>
  <c r="P792" i="25" s="1"/>
  <c r="Q792" i="25" s="1"/>
  <c r="R792" i="25" s="1"/>
  <c r="S792" i="25" s="1"/>
  <c r="T792" i="25" s="1"/>
  <c r="K746" i="25"/>
  <c r="O746" i="25"/>
  <c r="P746" i="25" s="1"/>
  <c r="Q746" i="25" s="1"/>
  <c r="R746" i="25" s="1"/>
  <c r="S746" i="25" s="1"/>
  <c r="T746" i="25" s="1"/>
  <c r="K731" i="25"/>
  <c r="K716" i="25"/>
  <c r="O716" i="25"/>
  <c r="P716" i="25" s="1"/>
  <c r="Q716" i="25" s="1"/>
  <c r="R716" i="25" s="1"/>
  <c r="S716" i="25" s="1"/>
  <c r="T716" i="25" s="1"/>
  <c r="K673" i="25"/>
  <c r="O673" i="25"/>
  <c r="P673" i="25" s="1"/>
  <c r="Q673" i="25" s="1"/>
  <c r="R673" i="25" s="1"/>
  <c r="S673" i="25" s="1"/>
  <c r="T673" i="25" s="1"/>
  <c r="L565" i="25"/>
  <c r="M565" i="25"/>
  <c r="N565" i="25"/>
  <c r="AA565" i="25" s="1"/>
  <c r="K739" i="25"/>
  <c r="L686" i="25"/>
  <c r="N686" i="25"/>
  <c r="AA686" i="25" s="1"/>
  <c r="M686" i="25"/>
  <c r="O872" i="25"/>
  <c r="P872" i="25" s="1"/>
  <c r="Q872" i="25" s="1"/>
  <c r="R872" i="25" s="1"/>
  <c r="S872" i="25" s="1"/>
  <c r="T872" i="25" s="1"/>
  <c r="O864" i="25"/>
  <c r="P864" i="25" s="1"/>
  <c r="Q864" i="25" s="1"/>
  <c r="R864" i="25" s="1"/>
  <c r="S864" i="25" s="1"/>
  <c r="T864" i="25" s="1"/>
  <c r="O813" i="25"/>
  <c r="P813" i="25" s="1"/>
  <c r="Q813" i="25" s="1"/>
  <c r="R813" i="25" s="1"/>
  <c r="S813" i="25" s="1"/>
  <c r="T813" i="25" s="1"/>
  <c r="L760" i="25"/>
  <c r="M760" i="25"/>
  <c r="L735" i="25"/>
  <c r="M735" i="25"/>
  <c r="K683" i="25"/>
  <c r="O683" i="25"/>
  <c r="P683" i="25" s="1"/>
  <c r="Q683" i="25" s="1"/>
  <c r="R683" i="25" s="1"/>
  <c r="S683" i="25" s="1"/>
  <c r="T683" i="25" s="1"/>
  <c r="K664" i="25"/>
  <c r="O664" i="25"/>
  <c r="P664" i="25" s="1"/>
  <c r="Q664" i="25" s="1"/>
  <c r="R664" i="25" s="1"/>
  <c r="S664" i="25" s="1"/>
  <c r="T664" i="25" s="1"/>
  <c r="K770" i="25"/>
  <c r="O770" i="25"/>
  <c r="P770" i="25" s="1"/>
  <c r="Q770" i="25" s="1"/>
  <c r="R770" i="25" s="1"/>
  <c r="S770" i="25" s="1"/>
  <c r="T770" i="25" s="1"/>
  <c r="K810" i="25"/>
  <c r="N767" i="25"/>
  <c r="AA767" i="25" s="1"/>
  <c r="K762" i="25"/>
  <c r="O762" i="25"/>
  <c r="P762" i="25" s="1"/>
  <c r="Q762" i="25" s="1"/>
  <c r="R762" i="25" s="1"/>
  <c r="S762" i="25" s="1"/>
  <c r="T762" i="25" s="1"/>
  <c r="O748" i="25"/>
  <c r="P748" i="25" s="1"/>
  <c r="Q748" i="25" s="1"/>
  <c r="R748" i="25" s="1"/>
  <c r="S748" i="25" s="1"/>
  <c r="T748" i="25" s="1"/>
  <c r="K747" i="25"/>
  <c r="L736" i="25"/>
  <c r="M736" i="25"/>
  <c r="L710" i="25"/>
  <c r="N710" i="25"/>
  <c r="AA710" i="25" s="1"/>
  <c r="M710" i="25"/>
  <c r="K705" i="25"/>
  <c r="O705" i="25"/>
  <c r="P705" i="25" s="1"/>
  <c r="Q705" i="25" s="1"/>
  <c r="R705" i="25" s="1"/>
  <c r="S705" i="25" s="1"/>
  <c r="T705" i="25" s="1"/>
  <c r="K771" i="25"/>
  <c r="O771" i="25"/>
  <c r="P771" i="25" s="1"/>
  <c r="Q771" i="25" s="1"/>
  <c r="R771" i="25" s="1"/>
  <c r="S771" i="25" s="1"/>
  <c r="T771" i="25" s="1"/>
  <c r="M767" i="25"/>
  <c r="L751" i="25"/>
  <c r="M751" i="25"/>
  <c r="O739" i="25"/>
  <c r="P739" i="25" s="1"/>
  <c r="Q739" i="25" s="1"/>
  <c r="R739" i="25" s="1"/>
  <c r="S739" i="25" s="1"/>
  <c r="T739" i="25" s="1"/>
  <c r="K738" i="25"/>
  <c r="O738" i="25"/>
  <c r="P738" i="25" s="1"/>
  <c r="Q738" i="25" s="1"/>
  <c r="R738" i="25" s="1"/>
  <c r="S738" i="25" s="1"/>
  <c r="T738" i="25" s="1"/>
  <c r="L728" i="25"/>
  <c r="M728" i="25"/>
  <c r="O679" i="25"/>
  <c r="P679" i="25" s="1"/>
  <c r="Q679" i="25" s="1"/>
  <c r="R679" i="25" s="1"/>
  <c r="S679" i="25" s="1"/>
  <c r="T679" i="25" s="1"/>
  <c r="K679" i="25"/>
  <c r="K803" i="25"/>
  <c r="K802" i="25"/>
  <c r="K768" i="25"/>
  <c r="K763" i="25"/>
  <c r="L752" i="25"/>
  <c r="M752" i="25"/>
  <c r="L684" i="25"/>
  <c r="M684" i="25"/>
  <c r="N684" i="25"/>
  <c r="AA684" i="25" s="1"/>
  <c r="O730" i="25"/>
  <c r="P730" i="25" s="1"/>
  <c r="Q730" i="25" s="1"/>
  <c r="R730" i="25" s="1"/>
  <c r="S730" i="25" s="1"/>
  <c r="T730" i="25" s="1"/>
  <c r="O722" i="25"/>
  <c r="P722" i="25" s="1"/>
  <c r="Q722" i="25" s="1"/>
  <c r="R722" i="25" s="1"/>
  <c r="S722" i="25" s="1"/>
  <c r="T722" i="25" s="1"/>
  <c r="M720" i="25"/>
  <c r="K715" i="25"/>
  <c r="N701" i="25"/>
  <c r="AA701" i="25" s="1"/>
  <c r="N693" i="25"/>
  <c r="AA693" i="25" s="1"/>
  <c r="L661" i="25"/>
  <c r="M661" i="25"/>
  <c r="N661" i="25"/>
  <c r="AA661" i="25" s="1"/>
  <c r="O727" i="25"/>
  <c r="P727" i="25" s="1"/>
  <c r="Q727" i="25" s="1"/>
  <c r="R727" i="25" s="1"/>
  <c r="S727" i="25" s="1"/>
  <c r="T727" i="25" s="1"/>
  <c r="K723" i="25"/>
  <c r="O719" i="25"/>
  <c r="P719" i="25" s="1"/>
  <c r="Q719" i="25" s="1"/>
  <c r="R719" i="25" s="1"/>
  <c r="S719" i="25" s="1"/>
  <c r="T719" i="25" s="1"/>
  <c r="K709" i="25"/>
  <c r="N707" i="25"/>
  <c r="AA707" i="25" s="1"/>
  <c r="K702" i="25"/>
  <c r="O696" i="25"/>
  <c r="P696" i="25" s="1"/>
  <c r="Q696" i="25" s="1"/>
  <c r="R696" i="25" s="1"/>
  <c r="S696" i="25" s="1"/>
  <c r="T696" i="25" s="1"/>
  <c r="L694" i="25"/>
  <c r="N694" i="25"/>
  <c r="AA694" i="25" s="1"/>
  <c r="L693" i="25"/>
  <c r="L692" i="25"/>
  <c r="M692" i="25"/>
  <c r="K691" i="25"/>
  <c r="O691" i="25"/>
  <c r="P691" i="25" s="1"/>
  <c r="Q691" i="25" s="1"/>
  <c r="R691" i="25" s="1"/>
  <c r="S691" i="25" s="1"/>
  <c r="T691" i="25" s="1"/>
  <c r="O689" i="25"/>
  <c r="P689" i="25" s="1"/>
  <c r="Q689" i="25" s="1"/>
  <c r="R689" i="25" s="1"/>
  <c r="S689" i="25" s="1"/>
  <c r="T689" i="25" s="1"/>
  <c r="K688" i="25"/>
  <c r="O687" i="25"/>
  <c r="P687" i="25" s="1"/>
  <c r="Q687" i="25" s="1"/>
  <c r="R687" i="25" s="1"/>
  <c r="S687" i="25" s="1"/>
  <c r="T687" i="25" s="1"/>
  <c r="K687" i="25"/>
  <c r="K656" i="25"/>
  <c r="O656" i="25"/>
  <c r="P656" i="25" s="1"/>
  <c r="Q656" i="25" s="1"/>
  <c r="R656" i="25" s="1"/>
  <c r="S656" i="25" s="1"/>
  <c r="T656" i="25" s="1"/>
  <c r="O594" i="25"/>
  <c r="P594" i="25" s="1"/>
  <c r="Q594" i="25" s="1"/>
  <c r="R594" i="25" s="1"/>
  <c r="S594" i="25" s="1"/>
  <c r="T594" i="25" s="1"/>
  <c r="K594" i="25"/>
  <c r="L653" i="25"/>
  <c r="M653" i="25"/>
  <c r="N653" i="25"/>
  <c r="AA653" i="25" s="1"/>
  <c r="K611" i="25"/>
  <c r="O611" i="25"/>
  <c r="P611" i="25" s="1"/>
  <c r="Q611" i="25" s="1"/>
  <c r="R611" i="25" s="1"/>
  <c r="S611" i="25" s="1"/>
  <c r="T611" i="25" s="1"/>
  <c r="M727" i="25"/>
  <c r="M719" i="25"/>
  <c r="L700" i="25"/>
  <c r="M700" i="25"/>
  <c r="K699" i="25"/>
  <c r="O699" i="25"/>
  <c r="P699" i="25" s="1"/>
  <c r="Q699" i="25" s="1"/>
  <c r="R699" i="25" s="1"/>
  <c r="S699" i="25" s="1"/>
  <c r="T699" i="25" s="1"/>
  <c r="O697" i="25"/>
  <c r="P697" i="25" s="1"/>
  <c r="Q697" i="25" s="1"/>
  <c r="R697" i="25" s="1"/>
  <c r="S697" i="25" s="1"/>
  <c r="T697" i="25" s="1"/>
  <c r="L696" i="25"/>
  <c r="N696" i="25"/>
  <c r="AA696" i="25" s="1"/>
  <c r="O695" i="25"/>
  <c r="P695" i="25" s="1"/>
  <c r="Q695" i="25" s="1"/>
  <c r="R695" i="25" s="1"/>
  <c r="S695" i="25" s="1"/>
  <c r="T695" i="25" s="1"/>
  <c r="K695" i="25"/>
  <c r="L670" i="25"/>
  <c r="N670" i="25"/>
  <c r="AA670" i="25" s="1"/>
  <c r="L668" i="25"/>
  <c r="M668" i="25"/>
  <c r="K648" i="25"/>
  <c r="O648" i="25"/>
  <c r="P648" i="25" s="1"/>
  <c r="Q648" i="25" s="1"/>
  <c r="R648" i="25" s="1"/>
  <c r="S648" i="25" s="1"/>
  <c r="T648" i="25" s="1"/>
  <c r="O637" i="25"/>
  <c r="P637" i="25" s="1"/>
  <c r="Q637" i="25" s="1"/>
  <c r="R637" i="25" s="1"/>
  <c r="S637" i="25" s="1"/>
  <c r="T637" i="25" s="1"/>
  <c r="K637" i="25"/>
  <c r="O631" i="25"/>
  <c r="P631" i="25" s="1"/>
  <c r="Q631" i="25" s="1"/>
  <c r="R631" i="25" s="1"/>
  <c r="S631" i="25" s="1"/>
  <c r="T631" i="25" s="1"/>
  <c r="K631" i="25"/>
  <c r="L645" i="25"/>
  <c r="M645" i="25"/>
  <c r="N645" i="25"/>
  <c r="AA645" i="25" s="1"/>
  <c r="M621" i="25"/>
  <c r="L621" i="25"/>
  <c r="N621" i="25"/>
  <c r="AA621" i="25" s="1"/>
  <c r="L678" i="25"/>
  <c r="N678" i="25"/>
  <c r="AA678" i="25" s="1"/>
  <c r="L676" i="25"/>
  <c r="M676" i="25"/>
  <c r="K675" i="25"/>
  <c r="O675" i="25"/>
  <c r="P675" i="25" s="1"/>
  <c r="Q675" i="25" s="1"/>
  <c r="R675" i="25" s="1"/>
  <c r="S675" i="25" s="1"/>
  <c r="T675" i="25" s="1"/>
  <c r="O671" i="25"/>
  <c r="P671" i="25" s="1"/>
  <c r="Q671" i="25" s="1"/>
  <c r="R671" i="25" s="1"/>
  <c r="S671" i="25" s="1"/>
  <c r="T671" i="25" s="1"/>
  <c r="K671" i="25"/>
  <c r="O703" i="25"/>
  <c r="P703" i="25" s="1"/>
  <c r="Q703" i="25" s="1"/>
  <c r="R703" i="25" s="1"/>
  <c r="S703" i="25" s="1"/>
  <c r="T703" i="25" s="1"/>
  <c r="K610" i="25"/>
  <c r="O610" i="25"/>
  <c r="P610" i="25" s="1"/>
  <c r="Q610" i="25" s="1"/>
  <c r="R610" i="25" s="1"/>
  <c r="S610" i="25" s="1"/>
  <c r="T610" i="25" s="1"/>
  <c r="O584" i="25"/>
  <c r="P584" i="25" s="1"/>
  <c r="Q584" i="25" s="1"/>
  <c r="R584" i="25" s="1"/>
  <c r="S584" i="25" s="1"/>
  <c r="T584" i="25" s="1"/>
  <c r="K584" i="25"/>
  <c r="O694" i="25"/>
  <c r="P694" i="25" s="1"/>
  <c r="Q694" i="25" s="1"/>
  <c r="R694" i="25" s="1"/>
  <c r="S694" i="25" s="1"/>
  <c r="T694" i="25" s="1"/>
  <c r="O686" i="25"/>
  <c r="P686" i="25" s="1"/>
  <c r="Q686" i="25" s="1"/>
  <c r="R686" i="25" s="1"/>
  <c r="S686" i="25" s="1"/>
  <c r="T686" i="25" s="1"/>
  <c r="O678" i="25"/>
  <c r="P678" i="25" s="1"/>
  <c r="Q678" i="25" s="1"/>
  <c r="R678" i="25" s="1"/>
  <c r="S678" i="25" s="1"/>
  <c r="T678" i="25" s="1"/>
  <c r="O670" i="25"/>
  <c r="P670" i="25" s="1"/>
  <c r="Q670" i="25" s="1"/>
  <c r="R670" i="25" s="1"/>
  <c r="S670" i="25" s="1"/>
  <c r="T670" i="25" s="1"/>
  <c r="O662" i="25"/>
  <c r="P662" i="25" s="1"/>
  <c r="Q662" i="25" s="1"/>
  <c r="R662" i="25" s="1"/>
  <c r="S662" i="25" s="1"/>
  <c r="T662" i="25" s="1"/>
  <c r="M660" i="25"/>
  <c r="O654" i="25"/>
  <c r="P654" i="25" s="1"/>
  <c r="Q654" i="25" s="1"/>
  <c r="R654" i="25" s="1"/>
  <c r="S654" i="25" s="1"/>
  <c r="T654" i="25" s="1"/>
  <c r="M652" i="25"/>
  <c r="O646" i="25"/>
  <c r="P646" i="25" s="1"/>
  <c r="Q646" i="25" s="1"/>
  <c r="R646" i="25" s="1"/>
  <c r="S646" i="25" s="1"/>
  <c r="T646" i="25" s="1"/>
  <c r="M644" i="25"/>
  <c r="O619" i="25"/>
  <c r="P619" i="25" s="1"/>
  <c r="Q619" i="25" s="1"/>
  <c r="R619" i="25" s="1"/>
  <c r="S619" i="25" s="1"/>
  <c r="T619" i="25" s="1"/>
  <c r="K595" i="25"/>
  <c r="K556" i="25"/>
  <c r="O556" i="25"/>
  <c r="P556" i="25" s="1"/>
  <c r="Q556" i="25" s="1"/>
  <c r="R556" i="25" s="1"/>
  <c r="S556" i="25" s="1"/>
  <c r="T556" i="25" s="1"/>
  <c r="O667" i="25"/>
  <c r="P667" i="25" s="1"/>
  <c r="Q667" i="25" s="1"/>
  <c r="R667" i="25" s="1"/>
  <c r="S667" i="25" s="1"/>
  <c r="T667" i="25" s="1"/>
  <c r="K663" i="25"/>
  <c r="N662" i="25"/>
  <c r="AA662" i="25" s="1"/>
  <c r="O659" i="25"/>
  <c r="P659" i="25" s="1"/>
  <c r="Q659" i="25" s="1"/>
  <c r="R659" i="25" s="1"/>
  <c r="S659" i="25" s="1"/>
  <c r="T659" i="25" s="1"/>
  <c r="K655" i="25"/>
  <c r="N654" i="25"/>
  <c r="AA654" i="25" s="1"/>
  <c r="O651" i="25"/>
  <c r="P651" i="25" s="1"/>
  <c r="Q651" i="25" s="1"/>
  <c r="R651" i="25" s="1"/>
  <c r="S651" i="25" s="1"/>
  <c r="T651" i="25" s="1"/>
  <c r="K647" i="25"/>
  <c r="N646" i="25"/>
  <c r="AA646" i="25" s="1"/>
  <c r="O643" i="25"/>
  <c r="P643" i="25" s="1"/>
  <c r="Q643" i="25" s="1"/>
  <c r="R643" i="25" s="1"/>
  <c r="S643" i="25" s="1"/>
  <c r="T643" i="25" s="1"/>
  <c r="K640" i="25"/>
  <c r="O633" i="25"/>
  <c r="P633" i="25" s="1"/>
  <c r="Q633" i="25" s="1"/>
  <c r="R633" i="25" s="1"/>
  <c r="S633" i="25" s="1"/>
  <c r="T633" i="25" s="1"/>
  <c r="K629" i="25"/>
  <c r="O600" i="25"/>
  <c r="P600" i="25" s="1"/>
  <c r="Q600" i="25" s="1"/>
  <c r="R600" i="25" s="1"/>
  <c r="S600" i="25" s="1"/>
  <c r="T600" i="25" s="1"/>
  <c r="O514" i="25"/>
  <c r="P514" i="25" s="1"/>
  <c r="Q514" i="25" s="1"/>
  <c r="R514" i="25" s="1"/>
  <c r="S514" i="25" s="1"/>
  <c r="T514" i="25" s="1"/>
  <c r="K514" i="25"/>
  <c r="O626" i="25"/>
  <c r="P626" i="25" s="1"/>
  <c r="Q626" i="25" s="1"/>
  <c r="R626" i="25" s="1"/>
  <c r="S626" i="25" s="1"/>
  <c r="T626" i="25" s="1"/>
  <c r="O616" i="25"/>
  <c r="P616" i="25" s="1"/>
  <c r="Q616" i="25" s="1"/>
  <c r="R616" i="25" s="1"/>
  <c r="S616" i="25" s="1"/>
  <c r="T616" i="25" s="1"/>
  <c r="O586" i="25"/>
  <c r="P586" i="25" s="1"/>
  <c r="Q586" i="25" s="1"/>
  <c r="R586" i="25" s="1"/>
  <c r="S586" i="25" s="1"/>
  <c r="T586" i="25" s="1"/>
  <c r="K586" i="25"/>
  <c r="K568" i="25"/>
  <c r="O568" i="25"/>
  <c r="P568" i="25" s="1"/>
  <c r="Q568" i="25" s="1"/>
  <c r="R568" i="25" s="1"/>
  <c r="S568" i="25" s="1"/>
  <c r="T568" i="25" s="1"/>
  <c r="L535" i="25"/>
  <c r="M535" i="25"/>
  <c r="N535" i="25"/>
  <c r="AA535" i="25" s="1"/>
  <c r="K639" i="25"/>
  <c r="K617" i="25"/>
  <c r="K587" i="25"/>
  <c r="O578" i="25"/>
  <c r="P578" i="25" s="1"/>
  <c r="Q578" i="25" s="1"/>
  <c r="R578" i="25" s="1"/>
  <c r="S578" i="25" s="1"/>
  <c r="T578" i="25" s="1"/>
  <c r="K578" i="25"/>
  <c r="L573" i="25"/>
  <c r="M573" i="25"/>
  <c r="N573" i="25"/>
  <c r="AA573" i="25" s="1"/>
  <c r="L632" i="25"/>
  <c r="N632" i="25"/>
  <c r="AA632" i="25" s="1"/>
  <c r="O602" i="25"/>
  <c r="P602" i="25" s="1"/>
  <c r="Q602" i="25" s="1"/>
  <c r="R602" i="25" s="1"/>
  <c r="S602" i="25" s="1"/>
  <c r="T602" i="25" s="1"/>
  <c r="K602" i="25"/>
  <c r="O592" i="25"/>
  <c r="P592" i="25" s="1"/>
  <c r="Q592" i="25" s="1"/>
  <c r="R592" i="25" s="1"/>
  <c r="S592" i="25" s="1"/>
  <c r="T592" i="25" s="1"/>
  <c r="N583" i="25"/>
  <c r="AA583" i="25" s="1"/>
  <c r="L515" i="25"/>
  <c r="M515" i="25"/>
  <c r="N515" i="25"/>
  <c r="AA515" i="25" s="1"/>
  <c r="K454" i="25"/>
  <c r="O454" i="25"/>
  <c r="P454" i="25" s="1"/>
  <c r="Q454" i="25" s="1"/>
  <c r="R454" i="25" s="1"/>
  <c r="S454" i="25" s="1"/>
  <c r="T454" i="25" s="1"/>
  <c r="O624" i="25"/>
  <c r="P624" i="25" s="1"/>
  <c r="Q624" i="25" s="1"/>
  <c r="R624" i="25" s="1"/>
  <c r="S624" i="25" s="1"/>
  <c r="T624" i="25" s="1"/>
  <c r="O608" i="25"/>
  <c r="P608" i="25" s="1"/>
  <c r="Q608" i="25" s="1"/>
  <c r="R608" i="25" s="1"/>
  <c r="S608" i="25" s="1"/>
  <c r="T608" i="25" s="1"/>
  <c r="K603" i="25"/>
  <c r="M583" i="25"/>
  <c r="L581" i="25"/>
  <c r="M581" i="25"/>
  <c r="N581" i="25"/>
  <c r="AA581" i="25" s="1"/>
  <c r="K542" i="25"/>
  <c r="O542" i="25"/>
  <c r="P542" i="25" s="1"/>
  <c r="Q542" i="25" s="1"/>
  <c r="R542" i="25" s="1"/>
  <c r="S542" i="25" s="1"/>
  <c r="T542" i="25" s="1"/>
  <c r="K518" i="25"/>
  <c r="O518" i="25"/>
  <c r="P518" i="25" s="1"/>
  <c r="Q518" i="25" s="1"/>
  <c r="R518" i="25" s="1"/>
  <c r="S518" i="25" s="1"/>
  <c r="T518" i="25" s="1"/>
  <c r="O641" i="25"/>
  <c r="P641" i="25" s="1"/>
  <c r="Q641" i="25" s="1"/>
  <c r="R641" i="25" s="1"/>
  <c r="S641" i="25" s="1"/>
  <c r="T641" i="25" s="1"/>
  <c r="K625" i="25"/>
  <c r="K609" i="25"/>
  <c r="K576" i="25"/>
  <c r="O576" i="25"/>
  <c r="P576" i="25" s="1"/>
  <c r="Q576" i="25" s="1"/>
  <c r="R576" i="25" s="1"/>
  <c r="S576" i="25" s="1"/>
  <c r="T576" i="25" s="1"/>
  <c r="K560" i="25"/>
  <c r="O560" i="25"/>
  <c r="P560" i="25" s="1"/>
  <c r="Q560" i="25" s="1"/>
  <c r="R560" i="25" s="1"/>
  <c r="S560" i="25" s="1"/>
  <c r="T560" i="25" s="1"/>
  <c r="K512" i="25"/>
  <c r="O512" i="25"/>
  <c r="P512" i="25" s="1"/>
  <c r="Q512" i="25" s="1"/>
  <c r="R512" i="25" s="1"/>
  <c r="S512" i="25" s="1"/>
  <c r="T512" i="25" s="1"/>
  <c r="K570" i="25"/>
  <c r="L567" i="25"/>
  <c r="K562" i="25"/>
  <c r="K555" i="25"/>
  <c r="K551" i="25"/>
  <c r="K547" i="25"/>
  <c r="N519" i="25"/>
  <c r="AA519" i="25" s="1"/>
  <c r="L519" i="25"/>
  <c r="O442" i="25"/>
  <c r="P442" i="25" s="1"/>
  <c r="Q442" i="25" s="1"/>
  <c r="R442" i="25" s="1"/>
  <c r="S442" i="25" s="1"/>
  <c r="T442" i="25" s="1"/>
  <c r="K442" i="25"/>
  <c r="K534" i="25"/>
  <c r="O534" i="25"/>
  <c r="P534" i="25" s="1"/>
  <c r="Q534" i="25" s="1"/>
  <c r="R534" i="25" s="1"/>
  <c r="S534" i="25" s="1"/>
  <c r="T534" i="25" s="1"/>
  <c r="K502" i="25"/>
  <c r="O502" i="25"/>
  <c r="P502" i="25" s="1"/>
  <c r="Q502" i="25" s="1"/>
  <c r="R502" i="25" s="1"/>
  <c r="S502" i="25" s="1"/>
  <c r="T502" i="25" s="1"/>
  <c r="L499" i="25"/>
  <c r="M499" i="25"/>
  <c r="N499" i="25"/>
  <c r="AA499" i="25" s="1"/>
  <c r="O498" i="25"/>
  <c r="P498" i="25" s="1"/>
  <c r="Q498" i="25" s="1"/>
  <c r="R498" i="25" s="1"/>
  <c r="S498" i="25" s="1"/>
  <c r="T498" i="25" s="1"/>
  <c r="K498" i="25"/>
  <c r="K496" i="25"/>
  <c r="O496" i="25"/>
  <c r="P496" i="25" s="1"/>
  <c r="Q496" i="25" s="1"/>
  <c r="R496" i="25" s="1"/>
  <c r="S496" i="25" s="1"/>
  <c r="T496" i="25" s="1"/>
  <c r="L451" i="25"/>
  <c r="N451" i="25" s="1"/>
  <c r="AA451" i="25" s="1"/>
  <c r="M451" i="25"/>
  <c r="O546" i="25"/>
  <c r="P546" i="25" s="1"/>
  <c r="Q546" i="25" s="1"/>
  <c r="R546" i="25" s="1"/>
  <c r="S546" i="25" s="1"/>
  <c r="T546" i="25" s="1"/>
  <c r="K546" i="25"/>
  <c r="O544" i="25"/>
  <c r="P544" i="25" s="1"/>
  <c r="Q544" i="25" s="1"/>
  <c r="R544" i="25" s="1"/>
  <c r="S544" i="25" s="1"/>
  <c r="T544" i="25" s="1"/>
  <c r="O543" i="25"/>
  <c r="P543" i="25" s="1"/>
  <c r="Q543" i="25" s="1"/>
  <c r="R543" i="25" s="1"/>
  <c r="S543" i="25" s="1"/>
  <c r="T543" i="25" s="1"/>
  <c r="O528" i="25"/>
  <c r="P528" i="25" s="1"/>
  <c r="Q528" i="25" s="1"/>
  <c r="R528" i="25" s="1"/>
  <c r="S528" i="25" s="1"/>
  <c r="T528" i="25" s="1"/>
  <c r="K526" i="25"/>
  <c r="O526" i="25"/>
  <c r="P526" i="25" s="1"/>
  <c r="Q526" i="25" s="1"/>
  <c r="R526" i="25" s="1"/>
  <c r="S526" i="25" s="1"/>
  <c r="T526" i="25" s="1"/>
  <c r="L523" i="25"/>
  <c r="M523" i="25"/>
  <c r="N523" i="25"/>
  <c r="AA523" i="25" s="1"/>
  <c r="O522" i="25"/>
  <c r="P522" i="25" s="1"/>
  <c r="Q522" i="25" s="1"/>
  <c r="R522" i="25" s="1"/>
  <c r="S522" i="25" s="1"/>
  <c r="T522" i="25" s="1"/>
  <c r="K522" i="25"/>
  <c r="K520" i="25"/>
  <c r="O520" i="25"/>
  <c r="P520" i="25" s="1"/>
  <c r="Q520" i="25" s="1"/>
  <c r="R520" i="25" s="1"/>
  <c r="S520" i="25" s="1"/>
  <c r="T520" i="25" s="1"/>
  <c r="N503" i="25"/>
  <c r="AA503" i="25" s="1"/>
  <c r="L503" i="25"/>
  <c r="K480" i="25"/>
  <c r="O480" i="25"/>
  <c r="P480" i="25" s="1"/>
  <c r="Q480" i="25" s="1"/>
  <c r="R480" i="25" s="1"/>
  <c r="S480" i="25" s="1"/>
  <c r="T480" i="25" s="1"/>
  <c r="L531" i="25"/>
  <c r="M531" i="25"/>
  <c r="O530" i="25"/>
  <c r="P530" i="25" s="1"/>
  <c r="Q530" i="25" s="1"/>
  <c r="R530" i="25" s="1"/>
  <c r="S530" i="25" s="1"/>
  <c r="T530" i="25" s="1"/>
  <c r="K530" i="25"/>
  <c r="K488" i="25"/>
  <c r="O488" i="25"/>
  <c r="P488" i="25" s="1"/>
  <c r="Q488" i="25" s="1"/>
  <c r="R488" i="25" s="1"/>
  <c r="S488" i="25" s="1"/>
  <c r="T488" i="25" s="1"/>
  <c r="O538" i="25"/>
  <c r="P538" i="25" s="1"/>
  <c r="Q538" i="25" s="1"/>
  <c r="R538" i="25" s="1"/>
  <c r="S538" i="25" s="1"/>
  <c r="T538" i="25" s="1"/>
  <c r="K538" i="25"/>
  <c r="K510" i="25"/>
  <c r="O510" i="25"/>
  <c r="P510" i="25" s="1"/>
  <c r="Q510" i="25" s="1"/>
  <c r="R510" i="25" s="1"/>
  <c r="S510" i="25" s="1"/>
  <c r="T510" i="25" s="1"/>
  <c r="L507" i="25"/>
  <c r="M507" i="25"/>
  <c r="N507" i="25"/>
  <c r="AA507" i="25" s="1"/>
  <c r="O506" i="25"/>
  <c r="P506" i="25" s="1"/>
  <c r="Q506" i="25" s="1"/>
  <c r="R506" i="25" s="1"/>
  <c r="S506" i="25" s="1"/>
  <c r="T506" i="25" s="1"/>
  <c r="K506" i="25"/>
  <c r="K504" i="25"/>
  <c r="O504" i="25"/>
  <c r="P504" i="25" s="1"/>
  <c r="Q504" i="25" s="1"/>
  <c r="R504" i="25" s="1"/>
  <c r="S504" i="25" s="1"/>
  <c r="T504" i="25" s="1"/>
  <c r="O456" i="25"/>
  <c r="P456" i="25" s="1"/>
  <c r="Q456" i="25" s="1"/>
  <c r="R456" i="25" s="1"/>
  <c r="S456" i="25" s="1"/>
  <c r="T456" i="25" s="1"/>
  <c r="K456" i="25"/>
  <c r="K443" i="25"/>
  <c r="O443" i="25"/>
  <c r="P443" i="25" s="1"/>
  <c r="Q443" i="25" s="1"/>
  <c r="R443" i="25" s="1"/>
  <c r="S443" i="25" s="1"/>
  <c r="T443" i="25" s="1"/>
  <c r="O551" i="25"/>
  <c r="P551" i="25" s="1"/>
  <c r="Q551" i="25" s="1"/>
  <c r="R551" i="25" s="1"/>
  <c r="S551" i="25" s="1"/>
  <c r="T551" i="25" s="1"/>
  <c r="K543" i="25"/>
  <c r="N511" i="25"/>
  <c r="AA511" i="25" s="1"/>
  <c r="L511" i="25"/>
  <c r="O490" i="25"/>
  <c r="P490" i="25" s="1"/>
  <c r="Q490" i="25" s="1"/>
  <c r="R490" i="25" s="1"/>
  <c r="S490" i="25" s="1"/>
  <c r="T490" i="25" s="1"/>
  <c r="K490" i="25"/>
  <c r="K494" i="25"/>
  <c r="O494" i="25"/>
  <c r="P494" i="25" s="1"/>
  <c r="Q494" i="25" s="1"/>
  <c r="R494" i="25" s="1"/>
  <c r="S494" i="25" s="1"/>
  <c r="T494" i="25" s="1"/>
  <c r="L478" i="25"/>
  <c r="M478" i="25"/>
  <c r="N478" i="25"/>
  <c r="AA478" i="25" s="1"/>
  <c r="K419" i="25"/>
  <c r="O419" i="25"/>
  <c r="P419" i="25" s="1"/>
  <c r="Q419" i="25" s="1"/>
  <c r="R419" i="25" s="1"/>
  <c r="S419" i="25" s="1"/>
  <c r="T419" i="25" s="1"/>
  <c r="O410" i="25"/>
  <c r="P410" i="25" s="1"/>
  <c r="Q410" i="25" s="1"/>
  <c r="R410" i="25" s="1"/>
  <c r="S410" i="25" s="1"/>
  <c r="T410" i="25" s="1"/>
  <c r="K410" i="25"/>
  <c r="L487" i="25"/>
  <c r="O486" i="25"/>
  <c r="P486" i="25" s="1"/>
  <c r="Q486" i="25" s="1"/>
  <c r="R486" i="25" s="1"/>
  <c r="S486" i="25" s="1"/>
  <c r="T486" i="25" s="1"/>
  <c r="K482" i="25"/>
  <c r="L479" i="25"/>
  <c r="O478" i="25"/>
  <c r="P478" i="25" s="1"/>
  <c r="Q478" i="25" s="1"/>
  <c r="R478" i="25" s="1"/>
  <c r="S478" i="25" s="1"/>
  <c r="T478" i="25" s="1"/>
  <c r="K473" i="25"/>
  <c r="K467" i="25"/>
  <c r="O465" i="25"/>
  <c r="P465" i="25" s="1"/>
  <c r="Q465" i="25" s="1"/>
  <c r="R465" i="25" s="1"/>
  <c r="S465" i="25" s="1"/>
  <c r="T465" i="25" s="1"/>
  <c r="L449" i="25"/>
  <c r="N449" i="25" s="1"/>
  <c r="AA449" i="25" s="1"/>
  <c r="K448" i="25"/>
  <c r="M423" i="25"/>
  <c r="L338" i="25"/>
  <c r="M338" i="25"/>
  <c r="N338" i="25"/>
  <c r="O450" i="25"/>
  <c r="P450" i="25" s="1"/>
  <c r="Q450" i="25" s="1"/>
  <c r="R450" i="25" s="1"/>
  <c r="S450" i="25" s="1"/>
  <c r="T450" i="25" s="1"/>
  <c r="K450" i="25"/>
  <c r="O398" i="25"/>
  <c r="P398" i="25" s="1"/>
  <c r="Q398" i="25" s="1"/>
  <c r="R398" i="25" s="1"/>
  <c r="S398" i="25" s="1"/>
  <c r="T398" i="25" s="1"/>
  <c r="K398" i="25"/>
  <c r="O382" i="25"/>
  <c r="P382" i="25" s="1"/>
  <c r="Q382" i="25" s="1"/>
  <c r="R382" i="25" s="1"/>
  <c r="S382" i="25" s="1"/>
  <c r="T382" i="25" s="1"/>
  <c r="K382" i="25"/>
  <c r="N483" i="25"/>
  <c r="AA483" i="25" s="1"/>
  <c r="N475" i="25"/>
  <c r="AA475" i="25" s="1"/>
  <c r="L465" i="25"/>
  <c r="N465" i="25"/>
  <c r="AA465" i="25" s="1"/>
  <c r="O459" i="25"/>
  <c r="P459" i="25" s="1"/>
  <c r="Q459" i="25" s="1"/>
  <c r="R459" i="25" s="1"/>
  <c r="S459" i="25" s="1"/>
  <c r="T459" i="25" s="1"/>
  <c r="K427" i="25"/>
  <c r="O426" i="25"/>
  <c r="P426" i="25" s="1"/>
  <c r="Q426" i="25" s="1"/>
  <c r="R426" i="25" s="1"/>
  <c r="S426" i="25" s="1"/>
  <c r="T426" i="25" s="1"/>
  <c r="K426" i="25"/>
  <c r="O424" i="25"/>
  <c r="P424" i="25" s="1"/>
  <c r="Q424" i="25" s="1"/>
  <c r="R424" i="25" s="1"/>
  <c r="S424" i="25" s="1"/>
  <c r="T424" i="25" s="1"/>
  <c r="L407" i="25"/>
  <c r="N407" i="25" s="1"/>
  <c r="AA407" i="25" s="1"/>
  <c r="M483" i="25"/>
  <c r="M475" i="25"/>
  <c r="O460" i="25"/>
  <c r="P460" i="25" s="1"/>
  <c r="Q460" i="25" s="1"/>
  <c r="R460" i="25" s="1"/>
  <c r="S460" i="25" s="1"/>
  <c r="T460" i="25" s="1"/>
  <c r="N439" i="25"/>
  <c r="AA439" i="25" s="1"/>
  <c r="O436" i="25"/>
  <c r="P436" i="25" s="1"/>
  <c r="Q436" i="25" s="1"/>
  <c r="R436" i="25" s="1"/>
  <c r="S436" i="25" s="1"/>
  <c r="T436" i="25" s="1"/>
  <c r="K396" i="25"/>
  <c r="O396" i="25"/>
  <c r="P396" i="25" s="1"/>
  <c r="Q396" i="25" s="1"/>
  <c r="R396" i="25" s="1"/>
  <c r="S396" i="25" s="1"/>
  <c r="T396" i="25" s="1"/>
  <c r="K380" i="25"/>
  <c r="O380" i="25"/>
  <c r="P380" i="25" s="1"/>
  <c r="Q380" i="25" s="1"/>
  <c r="R380" i="25" s="1"/>
  <c r="S380" i="25" s="1"/>
  <c r="T380" i="25" s="1"/>
  <c r="O366" i="25"/>
  <c r="P366" i="25" s="1"/>
  <c r="Q366" i="25" s="1"/>
  <c r="R366" i="25" s="1"/>
  <c r="S366" i="25" s="1"/>
  <c r="T366" i="25" s="1"/>
  <c r="K366" i="25"/>
  <c r="K470" i="25"/>
  <c r="K462" i="25"/>
  <c r="O462" i="25"/>
  <c r="P462" i="25" s="1"/>
  <c r="Q462" i="25" s="1"/>
  <c r="R462" i="25" s="1"/>
  <c r="S462" i="25" s="1"/>
  <c r="T462" i="25" s="1"/>
  <c r="K459" i="25"/>
  <c r="M439" i="25"/>
  <c r="K435" i="25"/>
  <c r="O434" i="25"/>
  <c r="P434" i="25" s="1"/>
  <c r="Q434" i="25" s="1"/>
  <c r="R434" i="25" s="1"/>
  <c r="S434" i="25" s="1"/>
  <c r="T434" i="25" s="1"/>
  <c r="K434" i="25"/>
  <c r="O432" i="25"/>
  <c r="P432" i="25" s="1"/>
  <c r="Q432" i="25" s="1"/>
  <c r="R432" i="25" s="1"/>
  <c r="S432" i="25" s="1"/>
  <c r="T432" i="25" s="1"/>
  <c r="K408" i="25"/>
  <c r="O408" i="25"/>
  <c r="P408" i="25" s="1"/>
  <c r="Q408" i="25" s="1"/>
  <c r="R408" i="25" s="1"/>
  <c r="S408" i="25" s="1"/>
  <c r="T408" i="25" s="1"/>
  <c r="O416" i="25"/>
  <c r="P416" i="25" s="1"/>
  <c r="Q416" i="25" s="1"/>
  <c r="R416" i="25" s="1"/>
  <c r="S416" i="25" s="1"/>
  <c r="T416" i="25" s="1"/>
  <c r="L393" i="25"/>
  <c r="N393" i="25" s="1"/>
  <c r="AA393" i="25" s="1"/>
  <c r="M393" i="25"/>
  <c r="L377" i="25"/>
  <c r="N377" i="25" s="1"/>
  <c r="AA377" i="25" s="1"/>
  <c r="M377" i="25"/>
  <c r="K364" i="25"/>
  <c r="O364" i="25"/>
  <c r="P364" i="25" s="1"/>
  <c r="Q364" i="25" s="1"/>
  <c r="R364" i="25" s="1"/>
  <c r="S364" i="25" s="1"/>
  <c r="T364" i="25" s="1"/>
  <c r="M356" i="25"/>
  <c r="N356" i="25"/>
  <c r="AA356" i="25" s="1"/>
  <c r="L356" i="25"/>
  <c r="K345" i="25"/>
  <c r="O345" i="25"/>
  <c r="P345" i="25" s="1"/>
  <c r="Q345" i="25" s="1"/>
  <c r="R345" i="25" s="1"/>
  <c r="S345" i="25" s="1"/>
  <c r="T345" i="25" s="1"/>
  <c r="O458" i="25"/>
  <c r="P458" i="25" s="1"/>
  <c r="Q458" i="25" s="1"/>
  <c r="R458" i="25" s="1"/>
  <c r="S458" i="25" s="1"/>
  <c r="T458" i="25" s="1"/>
  <c r="K458" i="25"/>
  <c r="O452" i="25"/>
  <c r="P452" i="25" s="1"/>
  <c r="Q452" i="25" s="1"/>
  <c r="R452" i="25" s="1"/>
  <c r="S452" i="25" s="1"/>
  <c r="T452" i="25" s="1"/>
  <c r="O444" i="25"/>
  <c r="P444" i="25" s="1"/>
  <c r="Q444" i="25" s="1"/>
  <c r="R444" i="25" s="1"/>
  <c r="S444" i="25" s="1"/>
  <c r="T444" i="25" s="1"/>
  <c r="L441" i="25"/>
  <c r="N441" i="25" s="1"/>
  <c r="AA441" i="25" s="1"/>
  <c r="O440" i="25"/>
  <c r="P440" i="25" s="1"/>
  <c r="Q440" i="25" s="1"/>
  <c r="R440" i="25" s="1"/>
  <c r="S440" i="25" s="1"/>
  <c r="T440" i="25" s="1"/>
  <c r="O418" i="25"/>
  <c r="P418" i="25" s="1"/>
  <c r="Q418" i="25" s="1"/>
  <c r="R418" i="25" s="1"/>
  <c r="S418" i="25" s="1"/>
  <c r="T418" i="25" s="1"/>
  <c r="K418" i="25"/>
  <c r="O446" i="25"/>
  <c r="P446" i="25" s="1"/>
  <c r="Q446" i="25" s="1"/>
  <c r="R446" i="25" s="1"/>
  <c r="S446" i="25" s="1"/>
  <c r="T446" i="25" s="1"/>
  <c r="O438" i="25"/>
  <c r="P438" i="25" s="1"/>
  <c r="Q438" i="25" s="1"/>
  <c r="R438" i="25" s="1"/>
  <c r="S438" i="25" s="1"/>
  <c r="T438" i="25" s="1"/>
  <c r="O430" i="25"/>
  <c r="P430" i="25" s="1"/>
  <c r="Q430" i="25" s="1"/>
  <c r="R430" i="25" s="1"/>
  <c r="S430" i="25" s="1"/>
  <c r="T430" i="25" s="1"/>
  <c r="O422" i="25"/>
  <c r="P422" i="25" s="1"/>
  <c r="Q422" i="25" s="1"/>
  <c r="R422" i="25" s="1"/>
  <c r="S422" i="25" s="1"/>
  <c r="T422" i="25" s="1"/>
  <c r="O414" i="25"/>
  <c r="P414" i="25" s="1"/>
  <c r="Q414" i="25" s="1"/>
  <c r="R414" i="25" s="1"/>
  <c r="S414" i="25" s="1"/>
  <c r="T414" i="25" s="1"/>
  <c r="O406" i="25"/>
  <c r="P406" i="25" s="1"/>
  <c r="Q406" i="25" s="1"/>
  <c r="R406" i="25" s="1"/>
  <c r="S406" i="25" s="1"/>
  <c r="T406" i="25" s="1"/>
  <c r="N389" i="25"/>
  <c r="AA389" i="25" s="1"/>
  <c r="N373" i="25"/>
  <c r="AA373" i="25" s="1"/>
  <c r="O358" i="25"/>
  <c r="P358" i="25" s="1"/>
  <c r="Q358" i="25" s="1"/>
  <c r="R358" i="25" s="1"/>
  <c r="S358" i="25" s="1"/>
  <c r="T358" i="25" s="1"/>
  <c r="M339" i="25"/>
  <c r="N339" i="25"/>
  <c r="O392" i="25"/>
  <c r="P392" i="25" s="1"/>
  <c r="Q392" i="25" s="1"/>
  <c r="R392" i="25" s="1"/>
  <c r="S392" i="25" s="1"/>
  <c r="T392" i="25" s="1"/>
  <c r="K392" i="25"/>
  <c r="O376" i="25"/>
  <c r="P376" i="25" s="1"/>
  <c r="Q376" i="25" s="1"/>
  <c r="R376" i="25" s="1"/>
  <c r="S376" i="25" s="1"/>
  <c r="T376" i="25" s="1"/>
  <c r="K376" i="25"/>
  <c r="L340" i="25"/>
  <c r="M340" i="25"/>
  <c r="N340" i="25"/>
  <c r="L330" i="25"/>
  <c r="M330" i="25"/>
  <c r="N330" i="25"/>
  <c r="K321" i="25"/>
  <c r="O321" i="25"/>
  <c r="P321" i="25" s="1"/>
  <c r="Q321" i="25" s="1"/>
  <c r="R321" i="25" s="1"/>
  <c r="S321" i="25" s="1"/>
  <c r="T321" i="25" s="1"/>
  <c r="O402" i="25"/>
  <c r="P402" i="25" s="1"/>
  <c r="Q402" i="25" s="1"/>
  <c r="R402" i="25" s="1"/>
  <c r="S402" i="25" s="1"/>
  <c r="T402" i="25" s="1"/>
  <c r="K390" i="25"/>
  <c r="O386" i="25"/>
  <c r="P386" i="25" s="1"/>
  <c r="Q386" i="25" s="1"/>
  <c r="R386" i="25" s="1"/>
  <c r="S386" i="25" s="1"/>
  <c r="T386" i="25" s="1"/>
  <c r="K374" i="25"/>
  <c r="K361" i="25"/>
  <c r="O361" i="25"/>
  <c r="P361" i="25" s="1"/>
  <c r="Q361" i="25" s="1"/>
  <c r="R361" i="25" s="1"/>
  <c r="S361" i="25" s="1"/>
  <c r="T361" i="25" s="1"/>
  <c r="K353" i="25"/>
  <c r="O353" i="25"/>
  <c r="P353" i="25" s="1"/>
  <c r="Q353" i="25" s="1"/>
  <c r="R353" i="25" s="1"/>
  <c r="S353" i="25" s="1"/>
  <c r="T353" i="25" s="1"/>
  <c r="L342" i="25"/>
  <c r="M342" i="25"/>
  <c r="N342" i="25"/>
  <c r="L326" i="25"/>
  <c r="M326" i="25"/>
  <c r="N326" i="25"/>
  <c r="L316" i="25"/>
  <c r="M316" i="25"/>
  <c r="N316" i="25"/>
  <c r="L310" i="25"/>
  <c r="M310" i="25"/>
  <c r="N310" i="25"/>
  <c r="L401" i="25"/>
  <c r="N401" i="25" s="1"/>
  <c r="AA401" i="25" s="1"/>
  <c r="K388" i="25"/>
  <c r="O388" i="25"/>
  <c r="P388" i="25" s="1"/>
  <c r="Q388" i="25" s="1"/>
  <c r="R388" i="25" s="1"/>
  <c r="S388" i="25" s="1"/>
  <c r="T388" i="25" s="1"/>
  <c r="L385" i="25"/>
  <c r="N385" i="25" s="1"/>
  <c r="AA385" i="25" s="1"/>
  <c r="K372" i="25"/>
  <c r="O372" i="25"/>
  <c r="P372" i="25" s="1"/>
  <c r="Q372" i="25" s="1"/>
  <c r="R372" i="25" s="1"/>
  <c r="S372" i="25" s="1"/>
  <c r="T372" i="25" s="1"/>
  <c r="L346" i="25"/>
  <c r="M346" i="25"/>
  <c r="O342" i="25"/>
  <c r="P342" i="25" s="1"/>
  <c r="Q342" i="25" s="1"/>
  <c r="R342" i="25" s="1"/>
  <c r="S342" i="25" s="1"/>
  <c r="T342" i="25" s="1"/>
  <c r="K337" i="25"/>
  <c r="O337" i="25"/>
  <c r="P337" i="25" s="1"/>
  <c r="Q337" i="25" s="1"/>
  <c r="R337" i="25" s="1"/>
  <c r="S337" i="25" s="1"/>
  <c r="T337" i="25" s="1"/>
  <c r="N381" i="25"/>
  <c r="AA381" i="25" s="1"/>
  <c r="M347" i="25"/>
  <c r="N347" i="25"/>
  <c r="L332" i="25"/>
  <c r="M332" i="25"/>
  <c r="N332" i="25"/>
  <c r="O400" i="25"/>
  <c r="P400" i="25" s="1"/>
  <c r="Q400" i="25" s="1"/>
  <c r="R400" i="25" s="1"/>
  <c r="S400" i="25" s="1"/>
  <c r="T400" i="25" s="1"/>
  <c r="K400" i="25"/>
  <c r="O384" i="25"/>
  <c r="P384" i="25" s="1"/>
  <c r="Q384" i="25" s="1"/>
  <c r="R384" i="25" s="1"/>
  <c r="S384" i="25" s="1"/>
  <c r="T384" i="25" s="1"/>
  <c r="K384" i="25"/>
  <c r="M381" i="25"/>
  <c r="O368" i="25"/>
  <c r="P368" i="25" s="1"/>
  <c r="Q368" i="25" s="1"/>
  <c r="R368" i="25" s="1"/>
  <c r="S368" i="25" s="1"/>
  <c r="T368" i="25" s="1"/>
  <c r="K368" i="25"/>
  <c r="K362" i="25"/>
  <c r="K354" i="25"/>
  <c r="L348" i="25"/>
  <c r="M348" i="25"/>
  <c r="N348" i="25"/>
  <c r="AA348" i="25" s="1"/>
  <c r="K329" i="25"/>
  <c r="O329" i="25"/>
  <c r="P329" i="25" s="1"/>
  <c r="Q329" i="25" s="1"/>
  <c r="R329" i="25" s="1"/>
  <c r="S329" i="25" s="1"/>
  <c r="T329" i="25" s="1"/>
  <c r="L322" i="25"/>
  <c r="M322" i="25"/>
  <c r="N322" i="25"/>
  <c r="K313" i="25"/>
  <c r="O313" i="25"/>
  <c r="P313" i="25" s="1"/>
  <c r="Q313" i="25" s="1"/>
  <c r="R313" i="25" s="1"/>
  <c r="S313" i="25" s="1"/>
  <c r="T313" i="25" s="1"/>
  <c r="O394" i="25"/>
  <c r="P394" i="25" s="1"/>
  <c r="Q394" i="25" s="1"/>
  <c r="R394" i="25" s="1"/>
  <c r="S394" i="25" s="1"/>
  <c r="T394" i="25" s="1"/>
  <c r="O378" i="25"/>
  <c r="P378" i="25" s="1"/>
  <c r="Q378" i="25" s="1"/>
  <c r="R378" i="25" s="1"/>
  <c r="S378" i="25" s="1"/>
  <c r="T378" i="25" s="1"/>
  <c r="L324" i="25"/>
  <c r="M324" i="25"/>
  <c r="N324" i="25"/>
  <c r="L318" i="25"/>
  <c r="M318" i="25"/>
  <c r="N318" i="25"/>
  <c r="L308" i="25"/>
  <c r="M308" i="25"/>
  <c r="N308" i="25"/>
  <c r="K360" i="25"/>
  <c r="O356" i="25"/>
  <c r="P356" i="25" s="1"/>
  <c r="Q356" i="25" s="1"/>
  <c r="R356" i="25" s="1"/>
  <c r="S356" i="25" s="1"/>
  <c r="T356" i="25" s="1"/>
  <c r="K352" i="25"/>
  <c r="O348" i="25"/>
  <c r="P348" i="25" s="1"/>
  <c r="Q348" i="25" s="1"/>
  <c r="R348" i="25" s="1"/>
  <c r="S348" i="25" s="1"/>
  <c r="T348" i="25" s="1"/>
  <c r="K344" i="25"/>
  <c r="O340" i="25"/>
  <c r="P340" i="25" s="1"/>
  <c r="Q340" i="25" s="1"/>
  <c r="R340" i="25" s="1"/>
  <c r="S340" i="25" s="1"/>
  <c r="T340" i="25" s="1"/>
  <c r="K336" i="25"/>
  <c r="O332" i="25"/>
  <c r="P332" i="25" s="1"/>
  <c r="Q332" i="25" s="1"/>
  <c r="R332" i="25" s="1"/>
  <c r="S332" i="25" s="1"/>
  <c r="T332" i="25" s="1"/>
  <c r="K328" i="25"/>
  <c r="O324" i="25"/>
  <c r="P324" i="25" s="1"/>
  <c r="Q324" i="25" s="1"/>
  <c r="R324" i="25" s="1"/>
  <c r="S324" i="25" s="1"/>
  <c r="T324" i="25" s="1"/>
  <c r="K320" i="25"/>
  <c r="O316" i="25"/>
  <c r="P316" i="25" s="1"/>
  <c r="Q316" i="25" s="1"/>
  <c r="R316" i="25" s="1"/>
  <c r="S316" i="25" s="1"/>
  <c r="T316" i="25" s="1"/>
  <c r="K312" i="25"/>
  <c r="O308" i="25"/>
  <c r="P308" i="25" s="1"/>
  <c r="Q308" i="25" s="1"/>
  <c r="R308" i="25" s="1"/>
  <c r="S308" i="25" s="1"/>
  <c r="T308" i="25" s="1"/>
  <c r="O334" i="25"/>
  <c r="P334" i="25" s="1"/>
  <c r="Q334" i="25" s="1"/>
  <c r="R334" i="25" s="1"/>
  <c r="S334" i="25" s="1"/>
  <c r="T334" i="25" s="1"/>
  <c r="C287" i="32"/>
  <c r="U127" i="33"/>
  <c r="U126" i="33"/>
  <c r="U125" i="33"/>
  <c r="U124" i="33"/>
  <c r="U123" i="33"/>
  <c r="U122" i="33"/>
  <c r="F127" i="33"/>
  <c r="F126" i="33"/>
  <c r="F125" i="33"/>
  <c r="F124" i="33"/>
  <c r="F123" i="33"/>
  <c r="F122" i="33"/>
  <c r="M548" i="25" l="1"/>
  <c r="L614" i="25"/>
  <c r="N657" i="25"/>
  <c r="AA657" i="25" s="1"/>
  <c r="N745" i="25"/>
  <c r="AA745" i="25" s="1"/>
  <c r="L532" i="25"/>
  <c r="L814" i="25"/>
  <c r="N528" i="25"/>
  <c r="AA528" i="25" s="1"/>
  <c r="N845" i="25"/>
  <c r="AA845" i="25" s="1"/>
  <c r="M539" i="25"/>
  <c r="N548" i="25"/>
  <c r="AA548" i="25" s="1"/>
  <c r="N773" i="25"/>
  <c r="AA773" i="25" s="1"/>
  <c r="M820" i="25"/>
  <c r="N540" i="25"/>
  <c r="AA540" i="25" s="1"/>
  <c r="L717" i="25"/>
  <c r="N572" i="25"/>
  <c r="AA572" i="25" s="1"/>
  <c r="N820" i="25"/>
  <c r="AA820" i="25" s="1"/>
  <c r="L825" i="25"/>
  <c r="N844" i="25"/>
  <c r="AA844" i="25" s="1"/>
  <c r="L776" i="25"/>
  <c r="M844" i="25"/>
  <c r="N775" i="25"/>
  <c r="AA775" i="25" s="1"/>
  <c r="N761" i="25"/>
  <c r="AA761" i="25" s="1"/>
  <c r="N856" i="25"/>
  <c r="AA856" i="25" s="1"/>
  <c r="M789" i="25"/>
  <c r="L769" i="25"/>
  <c r="M561" i="25"/>
  <c r="M598" i="25"/>
  <c r="L785" i="25"/>
  <c r="L862" i="25"/>
  <c r="M513" i="25"/>
  <c r="N851" i="25"/>
  <c r="AA851" i="25" s="1"/>
  <c r="L579" i="25"/>
  <c r="N672" i="25"/>
  <c r="AA672" i="25" s="1"/>
  <c r="M769" i="25"/>
  <c r="M756" i="25"/>
  <c r="M721" i="25"/>
  <c r="L780" i="25"/>
  <c r="N780" i="25"/>
  <c r="AA780" i="25" s="1"/>
  <c r="N721" i="25"/>
  <c r="AA721" i="25" s="1"/>
  <c r="L634" i="25"/>
  <c r="M634" i="25"/>
  <c r="L713" i="25"/>
  <c r="N713" i="25"/>
  <c r="AA713" i="25" s="1"/>
  <c r="M722" i="25"/>
  <c r="N729" i="25"/>
  <c r="AA729" i="25" s="1"/>
  <c r="N816" i="25"/>
  <c r="AA816" i="25" s="1"/>
  <c r="N472" i="25"/>
  <c r="AA472" i="25" s="1"/>
  <c r="L509" i="25"/>
  <c r="N821" i="25"/>
  <c r="AA821" i="25" s="1"/>
  <c r="M835" i="25"/>
  <c r="L608" i="25"/>
  <c r="N804" i="25"/>
  <c r="AA804" i="25" s="1"/>
  <c r="M851" i="25"/>
  <c r="L540" i="25"/>
  <c r="N569" i="25"/>
  <c r="AA569" i="25" s="1"/>
  <c r="L517" i="25"/>
  <c r="M571" i="25"/>
  <c r="L601" i="25"/>
  <c r="M748" i="25"/>
  <c r="N737" i="25"/>
  <c r="AA737" i="25" s="1"/>
  <c r="N853" i="25"/>
  <c r="AA853" i="25" s="1"/>
  <c r="M804" i="25"/>
  <c r="L840" i="25"/>
  <c r="N598" i="25"/>
  <c r="AA598" i="25" s="1"/>
  <c r="N532" i="25"/>
  <c r="AA532" i="25" s="1"/>
  <c r="M582" i="25"/>
  <c r="M773" i="25"/>
  <c r="N777" i="25"/>
  <c r="AA777" i="25" s="1"/>
  <c r="L569" i="25"/>
  <c r="M697" i="25"/>
  <c r="M800" i="25"/>
  <c r="M759" i="25"/>
  <c r="M740" i="25"/>
  <c r="N785" i="25"/>
  <c r="AA785" i="25" s="1"/>
  <c r="N814" i="25"/>
  <c r="AA814" i="25" s="1"/>
  <c r="M859" i="25"/>
  <c r="N539" i="25"/>
  <c r="AA539" i="25" s="1"/>
  <c r="M600" i="25"/>
  <c r="M622" i="25"/>
  <c r="M824" i="25"/>
  <c r="L575" i="25"/>
  <c r="L651" i="25"/>
  <c r="N843" i="25"/>
  <c r="AA843" i="25" s="1"/>
  <c r="M580" i="25"/>
  <c r="N624" i="25"/>
  <c r="AA624" i="25" s="1"/>
  <c r="N589" i="25"/>
  <c r="AA589" i="25" s="1"/>
  <c r="N750" i="25"/>
  <c r="AA750" i="25" s="1"/>
  <c r="M732" i="25"/>
  <c r="L832" i="25"/>
  <c r="L843" i="25"/>
  <c r="M819" i="25"/>
  <c r="M848" i="25"/>
  <c r="M517" i="25"/>
  <c r="L624" i="25"/>
  <c r="M559" i="25"/>
  <c r="N638" i="25"/>
  <c r="AA638" i="25" s="1"/>
  <c r="L577" i="25"/>
  <c r="N622" i="25"/>
  <c r="AA622" i="25" s="1"/>
  <c r="N748" i="25"/>
  <c r="AA748" i="25" s="1"/>
  <c r="N800" i="25"/>
  <c r="AA800" i="25" s="1"/>
  <c r="L742" i="25"/>
  <c r="L753" i="25"/>
  <c r="L816" i="25"/>
  <c r="M862" i="25"/>
  <c r="N859" i="25"/>
  <c r="AA859" i="25" s="1"/>
  <c r="L813" i="25"/>
  <c r="M865" i="25"/>
  <c r="M589" i="25"/>
  <c r="L635" i="25"/>
  <c r="N635" i="25"/>
  <c r="AA635" i="25" s="1"/>
  <c r="L657" i="25"/>
  <c r="N665" i="25"/>
  <c r="AA665" i="25" s="1"/>
  <c r="N681" i="25"/>
  <c r="AA681" i="25" s="1"/>
  <c r="N626" i="25"/>
  <c r="AA626" i="25" s="1"/>
  <c r="M563" i="25"/>
  <c r="N651" i="25"/>
  <c r="AA651" i="25" s="1"/>
  <c r="M792" i="25"/>
  <c r="L856" i="25"/>
  <c r="M838" i="25"/>
  <c r="N582" i="25"/>
  <c r="AA582" i="25" s="1"/>
  <c r="N509" i="25"/>
  <c r="AA509" i="25" s="1"/>
  <c r="N527" i="25"/>
  <c r="AA527" i="25" s="1"/>
  <c r="M606" i="25"/>
  <c r="M605" i="25"/>
  <c r="M486" i="25"/>
  <c r="N619" i="25"/>
  <c r="AA619" i="25" s="1"/>
  <c r="N577" i="25"/>
  <c r="AA577" i="25" s="1"/>
  <c r="L618" i="25"/>
  <c r="N717" i="25"/>
  <c r="AA717" i="25" s="1"/>
  <c r="M821" i="25"/>
  <c r="M845" i="25"/>
  <c r="N563" i="25"/>
  <c r="AA563" i="25" s="1"/>
  <c r="N722" i="25"/>
  <c r="AA722" i="25" s="1"/>
  <c r="L777" i="25"/>
  <c r="N753" i="25"/>
  <c r="AA753" i="25" s="1"/>
  <c r="N792" i="25"/>
  <c r="AA792" i="25" s="1"/>
  <c r="L835" i="25"/>
  <c r="L513" i="25"/>
  <c r="M572" i="25"/>
  <c r="M614" i="25"/>
  <c r="M618" i="25"/>
  <c r="L672" i="25"/>
  <c r="N592" i="25"/>
  <c r="AA592" i="25" s="1"/>
  <c r="L737" i="25"/>
  <c r="M853" i="25"/>
  <c r="M765" i="25"/>
  <c r="L761" i="25"/>
  <c r="N756" i="25"/>
  <c r="AA756" i="25" s="1"/>
  <c r="N789" i="25"/>
  <c r="AA789" i="25" s="1"/>
  <c r="N740" i="25"/>
  <c r="AA740" i="25" s="1"/>
  <c r="L782" i="25"/>
  <c r="N782" i="25"/>
  <c r="AA782" i="25" s="1"/>
  <c r="N832" i="25"/>
  <c r="AA832" i="25" s="1"/>
  <c r="L650" i="25"/>
  <c r="M650" i="25"/>
  <c r="L492" i="25"/>
  <c r="N493" i="25"/>
  <c r="AA493" i="25" s="1"/>
  <c r="L477" i="25"/>
  <c r="N605" i="25"/>
  <c r="AA605" i="25" s="1"/>
  <c r="N575" i="25"/>
  <c r="AA575" i="25" s="1"/>
  <c r="N559" i="25"/>
  <c r="AA559" i="25" s="1"/>
  <c r="L561" i="25"/>
  <c r="N600" i="25"/>
  <c r="AA600" i="25" s="1"/>
  <c r="L750" i="25"/>
  <c r="M775" i="25"/>
  <c r="N861" i="25"/>
  <c r="AA861" i="25" s="1"/>
  <c r="L759" i="25"/>
  <c r="N824" i="25"/>
  <c r="AA824" i="25" s="1"/>
  <c r="N870" i="25"/>
  <c r="AA870" i="25" s="1"/>
  <c r="L819" i="25"/>
  <c r="L848" i="25"/>
  <c r="M638" i="25"/>
  <c r="L628" i="25"/>
  <c r="L865" i="25"/>
  <c r="M528" i="25"/>
  <c r="L553" i="25"/>
  <c r="L527" i="25"/>
  <c r="M623" i="25"/>
  <c r="N623" i="25"/>
  <c r="AA623" i="25" s="1"/>
  <c r="L585" i="25"/>
  <c r="L659" i="25"/>
  <c r="N697" i="25"/>
  <c r="AA697" i="25" s="1"/>
  <c r="M861" i="25"/>
  <c r="N732" i="25"/>
  <c r="AA732" i="25" s="1"/>
  <c r="N742" i="25"/>
  <c r="AA742" i="25" s="1"/>
  <c r="N649" i="25"/>
  <c r="AA649" i="25" s="1"/>
  <c r="L784" i="25"/>
  <c r="N822" i="25"/>
  <c r="AA822" i="25" s="1"/>
  <c r="N864" i="25"/>
  <c r="AA864" i="25" s="1"/>
  <c r="L846" i="25"/>
  <c r="N628" i="25"/>
  <c r="AA628" i="25" s="1"/>
  <c r="N485" i="25"/>
  <c r="AA485" i="25" s="1"/>
  <c r="L485" i="25"/>
  <c r="N593" i="25"/>
  <c r="AA593" i="25" s="1"/>
  <c r="M597" i="25"/>
  <c r="L642" i="25"/>
  <c r="L712" i="25"/>
  <c r="N726" i="25"/>
  <c r="AA726" i="25" s="1"/>
  <c r="L793" i="25"/>
  <c r="L730" i="25"/>
  <c r="N798" i="25"/>
  <c r="AA798" i="25" s="1"/>
  <c r="L649" i="25"/>
  <c r="N784" i="25"/>
  <c r="AA784" i="25" s="1"/>
  <c r="L864" i="25"/>
  <c r="L870" i="25"/>
  <c r="M830" i="25"/>
  <c r="M854" i="25"/>
  <c r="N846" i="25"/>
  <c r="AA846" i="25" s="1"/>
  <c r="M867" i="25"/>
  <c r="L391" i="25"/>
  <c r="N391" i="25" s="1"/>
  <c r="AA391" i="25" s="1"/>
  <c r="N579" i="25"/>
  <c r="AA579" i="25" s="1"/>
  <c r="N544" i="25"/>
  <c r="AA544" i="25" s="1"/>
  <c r="M552" i="25"/>
  <c r="L616" i="25"/>
  <c r="N659" i="25"/>
  <c r="AA659" i="25" s="1"/>
  <c r="L665" i="25"/>
  <c r="M537" i="25"/>
  <c r="L593" i="25"/>
  <c r="N571" i="25"/>
  <c r="AA571" i="25" s="1"/>
  <c r="N601" i="25"/>
  <c r="AA601" i="25" s="1"/>
  <c r="N585" i="25"/>
  <c r="AA585" i="25" s="1"/>
  <c r="N642" i="25"/>
  <c r="AA642" i="25" s="1"/>
  <c r="M718" i="25"/>
  <c r="M809" i="25"/>
  <c r="M829" i="25"/>
  <c r="M726" i="25"/>
  <c r="N809" i="25"/>
  <c r="AA809" i="25" s="1"/>
  <c r="L830" i="25"/>
  <c r="M813" i="25"/>
  <c r="N838" i="25"/>
  <c r="AA838" i="25" s="1"/>
  <c r="L867" i="25"/>
  <c r="L574" i="25"/>
  <c r="N597" i="25"/>
  <c r="AA597" i="25" s="1"/>
  <c r="N829" i="25"/>
  <c r="AA829" i="25" s="1"/>
  <c r="N793" i="25"/>
  <c r="AA793" i="25" s="1"/>
  <c r="L798" i="25"/>
  <c r="N730" i="25"/>
  <c r="AA730" i="25" s="1"/>
  <c r="M403" i="25"/>
  <c r="L461" i="25"/>
  <c r="L537" i="25"/>
  <c r="N453" i="25"/>
  <c r="AA453" i="25" s="1"/>
  <c r="M825" i="25"/>
  <c r="L493" i="25"/>
  <c r="L552" i="25"/>
  <c r="M619" i="25"/>
  <c r="N689" i="25"/>
  <c r="AA689" i="25" s="1"/>
  <c r="M592" i="25"/>
  <c r="M681" i="25"/>
  <c r="N643" i="25"/>
  <c r="AA643" i="25" s="1"/>
  <c r="L765" i="25"/>
  <c r="N776" i="25"/>
  <c r="AA776" i="25" s="1"/>
  <c r="M837" i="25"/>
  <c r="M869" i="25"/>
  <c r="M808" i="25"/>
  <c r="M704" i="25"/>
  <c r="L745" i="25"/>
  <c r="N781" i="25"/>
  <c r="AA781" i="25" s="1"/>
  <c r="M729" i="25"/>
  <c r="M822" i="25"/>
  <c r="N827" i="25"/>
  <c r="AA827" i="25" s="1"/>
  <c r="L854" i="25"/>
  <c r="L497" i="25"/>
  <c r="M545" i="25"/>
  <c r="M857" i="25"/>
  <c r="N525" i="25"/>
  <c r="AA525" i="25" s="1"/>
  <c r="N501" i="25"/>
  <c r="AA501" i="25" s="1"/>
  <c r="N536" i="25"/>
  <c r="AA536" i="25" s="1"/>
  <c r="L544" i="25"/>
  <c r="N477" i="25"/>
  <c r="AA477" i="25" s="1"/>
  <c r="L525" i="25"/>
  <c r="M553" i="25"/>
  <c r="L501" i="25"/>
  <c r="L536" i="25"/>
  <c r="M616" i="25"/>
  <c r="M689" i="25"/>
  <c r="M712" i="25"/>
  <c r="M708" i="25"/>
  <c r="M626" i="25"/>
  <c r="M643" i="25"/>
  <c r="N708" i="25"/>
  <c r="AA708" i="25" s="1"/>
  <c r="N808" i="25"/>
  <c r="AA808" i="25" s="1"/>
  <c r="N805" i="25"/>
  <c r="AA805" i="25" s="1"/>
  <c r="L704" i="25"/>
  <c r="M781" i="25"/>
  <c r="M827" i="25"/>
  <c r="N557" i="25"/>
  <c r="AA557" i="25" s="1"/>
  <c r="L580" i="25"/>
  <c r="L399" i="25"/>
  <c r="N399" i="25" s="1"/>
  <c r="AA399" i="25" s="1"/>
  <c r="M557" i="25"/>
  <c r="M574" i="25"/>
  <c r="N608" i="25"/>
  <c r="AA608" i="25" s="1"/>
  <c r="N718" i="25"/>
  <c r="AA718" i="25" s="1"/>
  <c r="N837" i="25"/>
  <c r="AA837" i="25" s="1"/>
  <c r="N869" i="25"/>
  <c r="AA869" i="25" s="1"/>
  <c r="M805" i="25"/>
  <c r="M497" i="25"/>
  <c r="L545" i="25"/>
  <c r="L857" i="25"/>
  <c r="N461" i="25"/>
  <c r="AA461" i="25" s="1"/>
  <c r="C98" i="41"/>
  <c r="C99" i="41" s="1"/>
  <c r="C100" i="41" s="1"/>
  <c r="C101" i="41" s="1"/>
  <c r="D92" i="41"/>
  <c r="B92" i="41"/>
  <c r="A96" i="41"/>
  <c r="B89" i="41"/>
  <c r="A93" i="41"/>
  <c r="D93" i="41" s="1"/>
  <c r="A106" i="41"/>
  <c r="D102" i="41"/>
  <c r="B102" i="41"/>
  <c r="D95" i="41"/>
  <c r="B95" i="41"/>
  <c r="A99" i="41"/>
  <c r="M658" i="25"/>
  <c r="L658" i="25"/>
  <c r="N416" i="25"/>
  <c r="AA416" i="25" s="1"/>
  <c r="M429" i="25"/>
  <c r="L416" i="25"/>
  <c r="N417" i="25"/>
  <c r="AA417" i="25" s="1"/>
  <c r="N437" i="25"/>
  <c r="AA437" i="25" s="1"/>
  <c r="N492" i="25"/>
  <c r="AA492" i="25" s="1"/>
  <c r="M437" i="25"/>
  <c r="M491" i="25"/>
  <c r="L425" i="25"/>
  <c r="N425" i="25" s="1"/>
  <c r="AA425" i="25" s="1"/>
  <c r="N491" i="25"/>
  <c r="AA491" i="25" s="1"/>
  <c r="M445" i="25"/>
  <c r="L472" i="25"/>
  <c r="L457" i="25"/>
  <c r="N457" i="25" s="1"/>
  <c r="AA457" i="25" s="1"/>
  <c r="M453" i="25"/>
  <c r="N486" i="25"/>
  <c r="AA486" i="25" s="1"/>
  <c r="N495" i="25"/>
  <c r="AA495" i="25" s="1"/>
  <c r="L433" i="25"/>
  <c r="N433" i="25" s="1"/>
  <c r="AA433" i="25" s="1"/>
  <c r="M495" i="25"/>
  <c r="N421" i="25"/>
  <c r="AA421" i="25" s="1"/>
  <c r="L440" i="25"/>
  <c r="N429" i="25"/>
  <c r="AA429" i="25" s="1"/>
  <c r="L406" i="25"/>
  <c r="N445" i="25"/>
  <c r="AA445" i="25" s="1"/>
  <c r="M417" i="25"/>
  <c r="M440" i="25"/>
  <c r="M406" i="25"/>
  <c r="N403" i="25"/>
  <c r="AA403" i="25" s="1"/>
  <c r="L405" i="25"/>
  <c r="N405" i="25" s="1"/>
  <c r="AA405" i="25" s="1"/>
  <c r="L411" i="25"/>
  <c r="N411" i="25" s="1"/>
  <c r="AA411" i="25" s="1"/>
  <c r="L424" i="25"/>
  <c r="M714" i="25"/>
  <c r="L714" i="25"/>
  <c r="N413" i="25"/>
  <c r="AA413" i="25" s="1"/>
  <c r="M414" i="25"/>
  <c r="M413" i="25"/>
  <c r="M432" i="25"/>
  <c r="M421" i="25"/>
  <c r="M397" i="25"/>
  <c r="L414" i="25"/>
  <c r="L432" i="25"/>
  <c r="M395" i="25"/>
  <c r="M424" i="25"/>
  <c r="M334" i="25"/>
  <c r="N334" i="25"/>
  <c r="A275" i="32" s="1"/>
  <c r="M365" i="25"/>
  <c r="L383" i="25"/>
  <c r="N383" i="25" s="1"/>
  <c r="AA383" i="25" s="1"/>
  <c r="N397" i="25"/>
  <c r="AA397" i="25" s="1"/>
  <c r="J37" i="10"/>
  <c r="H36" i="10"/>
  <c r="C282" i="32"/>
  <c r="L379" i="25"/>
  <c r="N379" i="25" s="1"/>
  <c r="AA379" i="25" s="1"/>
  <c r="M351" i="25"/>
  <c r="L375" i="25"/>
  <c r="N375" i="25" s="1"/>
  <c r="AA375" i="25" s="1"/>
  <c r="N395" i="25"/>
  <c r="AA395" i="25" s="1"/>
  <c r="M387" i="25"/>
  <c r="N351" i="25"/>
  <c r="AA351" i="25" s="1"/>
  <c r="L387" i="25"/>
  <c r="N387" i="25" s="1"/>
  <c r="AA387" i="25" s="1"/>
  <c r="M314" i="25"/>
  <c r="N489" i="25"/>
  <c r="AA489" i="25" s="1"/>
  <c r="M489" i="25"/>
  <c r="L852" i="25"/>
  <c r="N852" i="25"/>
  <c r="AA852" i="25" s="1"/>
  <c r="L783" i="25"/>
  <c r="M783" i="25"/>
  <c r="L367" i="25"/>
  <c r="N367" i="25" s="1"/>
  <c r="AA367" i="25" s="1"/>
  <c r="L314" i="25"/>
  <c r="M379" i="25"/>
  <c r="M335" i="25"/>
  <c r="N335" i="25"/>
  <c r="A276" i="32" s="1"/>
  <c r="L370" i="25"/>
  <c r="M341" i="25"/>
  <c r="N370" i="25"/>
  <c r="AA370" i="25" s="1"/>
  <c r="N359" i="25"/>
  <c r="AA359" i="25" s="1"/>
  <c r="M613" i="25"/>
  <c r="N613" i="25"/>
  <c r="AA613" i="25" s="1"/>
  <c r="M757" i="25"/>
  <c r="L757" i="25"/>
  <c r="M349" i="25"/>
  <c r="M666" i="25"/>
  <c r="L666" i="25"/>
  <c r="M677" i="25"/>
  <c r="L677" i="25"/>
  <c r="M725" i="25"/>
  <c r="L725" i="25"/>
  <c r="M682" i="25"/>
  <c r="L682" i="25"/>
  <c r="N833" i="25"/>
  <c r="AA833" i="25" s="1"/>
  <c r="L833" i="25"/>
  <c r="M476" i="25"/>
  <c r="N476" i="25"/>
  <c r="AA476" i="25" s="1"/>
  <c r="L612" i="25"/>
  <c r="N612" i="25"/>
  <c r="AA612" i="25" s="1"/>
  <c r="M690" i="25"/>
  <c r="L690" i="25"/>
  <c r="AA341" i="25"/>
  <c r="M359" i="25"/>
  <c r="N365" i="25"/>
  <c r="AA365" i="25" s="1"/>
  <c r="M438" i="25"/>
  <c r="L438" i="25"/>
  <c r="N505" i="25"/>
  <c r="AA505" i="25" s="1"/>
  <c r="L505" i="25"/>
  <c r="M505" i="25"/>
  <c r="N529" i="25"/>
  <c r="AA529" i="25" s="1"/>
  <c r="L529" i="25"/>
  <c r="M529" i="25"/>
  <c r="N558" i="25"/>
  <c r="AA558" i="25" s="1"/>
  <c r="M558" i="25"/>
  <c r="L711" i="25"/>
  <c r="M711" i="25"/>
  <c r="N711" i="25"/>
  <c r="AA711" i="25" s="1"/>
  <c r="M627" i="25"/>
  <c r="L627" i="25"/>
  <c r="N796" i="25"/>
  <c r="AA796" i="25" s="1"/>
  <c r="L796" i="25"/>
  <c r="M796" i="25"/>
  <c r="N533" i="25"/>
  <c r="AA533" i="25" s="1"/>
  <c r="L533" i="25"/>
  <c r="M533" i="25"/>
  <c r="N873" i="25"/>
  <c r="L873" i="25"/>
  <c r="M873" i="25"/>
  <c r="M402" i="25"/>
  <c r="N402" i="25"/>
  <c r="AA402" i="25" s="1"/>
  <c r="M460" i="25"/>
  <c r="L460" i="25"/>
  <c r="M508" i="25"/>
  <c r="L508" i="25"/>
  <c r="N508" i="25"/>
  <c r="AA508" i="25" s="1"/>
  <c r="M394" i="25"/>
  <c r="N394" i="25"/>
  <c r="AA394" i="25" s="1"/>
  <c r="M549" i="25"/>
  <c r="L549" i="25"/>
  <c r="N549" i="25"/>
  <c r="AA549" i="25" s="1"/>
  <c r="L591" i="25"/>
  <c r="N591" i="25"/>
  <c r="AA591" i="25" s="1"/>
  <c r="M591" i="25"/>
  <c r="L703" i="25"/>
  <c r="N703" i="25"/>
  <c r="AA703" i="25" s="1"/>
  <c r="L590" i="25"/>
  <c r="N590" i="25"/>
  <c r="AA590" i="25" s="1"/>
  <c r="L641" i="25"/>
  <c r="N641" i="25"/>
  <c r="AA641" i="25" s="1"/>
  <c r="N806" i="25"/>
  <c r="AA806" i="25" s="1"/>
  <c r="L806" i="25"/>
  <c r="M806" i="25"/>
  <c r="N841" i="25"/>
  <c r="AA841" i="25" s="1"/>
  <c r="L841" i="25"/>
  <c r="M841" i="25"/>
  <c r="L860" i="25"/>
  <c r="N860" i="25"/>
  <c r="AA860" i="25" s="1"/>
  <c r="L599" i="25"/>
  <c r="M599" i="25"/>
  <c r="N599" i="25"/>
  <c r="AA599" i="25" s="1"/>
  <c r="L698" i="25"/>
  <c r="M698" i="25"/>
  <c r="N698" i="25"/>
  <c r="AA698" i="25" s="1"/>
  <c r="M446" i="25"/>
  <c r="N446" i="25"/>
  <c r="AA446" i="25" s="1"/>
  <c r="N541" i="25"/>
  <c r="AA541" i="25" s="1"/>
  <c r="L541" i="25"/>
  <c r="M541" i="25"/>
  <c r="M420" i="25"/>
  <c r="L420" i="25"/>
  <c r="N474" i="25"/>
  <c r="AA474" i="25" s="1"/>
  <c r="L474" i="25"/>
  <c r="M474" i="25"/>
  <c r="M516" i="25"/>
  <c r="L516" i="25"/>
  <c r="N516" i="25"/>
  <c r="AA516" i="25" s="1"/>
  <c r="M378" i="25"/>
  <c r="N378" i="25"/>
  <c r="AA378" i="25" s="1"/>
  <c r="L630" i="25"/>
  <c r="M630" i="25"/>
  <c r="N630" i="25"/>
  <c r="AA630" i="25" s="1"/>
  <c r="L868" i="25"/>
  <c r="N868" i="25"/>
  <c r="AA868" i="25" s="1"/>
  <c r="M733" i="25"/>
  <c r="L733" i="25"/>
  <c r="L554" i="25"/>
  <c r="N554" i="25"/>
  <c r="AA554" i="25" s="1"/>
  <c r="M554" i="25"/>
  <c r="M667" i="25"/>
  <c r="L667" i="25"/>
  <c r="M774" i="25"/>
  <c r="N774" i="25"/>
  <c r="AA774" i="25" s="1"/>
  <c r="M469" i="25"/>
  <c r="L469" i="25"/>
  <c r="M444" i="25"/>
  <c r="N444" i="25"/>
  <c r="AA444" i="25" s="1"/>
  <c r="M436" i="25"/>
  <c r="L436" i="25"/>
  <c r="N481" i="25"/>
  <c r="AA481" i="25" s="1"/>
  <c r="L481" i="25"/>
  <c r="M481" i="25"/>
  <c r="M790" i="25"/>
  <c r="L790" i="25"/>
  <c r="N790" i="25"/>
  <c r="AA790" i="25" s="1"/>
  <c r="N849" i="25"/>
  <c r="AA849" i="25" s="1"/>
  <c r="L849" i="25"/>
  <c r="M849" i="25"/>
  <c r="M749" i="25"/>
  <c r="L749" i="25"/>
  <c r="N349" i="25"/>
  <c r="AA349" i="25" s="1"/>
  <c r="M404" i="25"/>
  <c r="L404" i="25"/>
  <c r="N404" i="25"/>
  <c r="AA404" i="25" s="1"/>
  <c r="M468" i="25"/>
  <c r="L468" i="25"/>
  <c r="N468" i="25"/>
  <c r="AA468" i="25" s="1"/>
  <c r="L409" i="25"/>
  <c r="N409" i="25" s="1"/>
  <c r="AA409" i="25" s="1"/>
  <c r="M409" i="25"/>
  <c r="L607" i="25"/>
  <c r="N607" i="25"/>
  <c r="AA607" i="25" s="1"/>
  <c r="M607" i="25"/>
  <c r="L566" i="25"/>
  <c r="N566" i="25"/>
  <c r="AA566" i="25" s="1"/>
  <c r="L801" i="25"/>
  <c r="M801" i="25"/>
  <c r="N801" i="25"/>
  <c r="AA801" i="25" s="1"/>
  <c r="M386" i="25"/>
  <c r="N386" i="25"/>
  <c r="AA386" i="25" s="1"/>
  <c r="M500" i="25"/>
  <c r="L500" i="25"/>
  <c r="N500" i="25"/>
  <c r="AA500" i="25" s="1"/>
  <c r="M524" i="25"/>
  <c r="L524" i="25"/>
  <c r="N524" i="25"/>
  <c r="AA524" i="25" s="1"/>
  <c r="M428" i="25"/>
  <c r="L428" i="25"/>
  <c r="N428" i="25"/>
  <c r="AA428" i="25" s="1"/>
  <c r="L636" i="25"/>
  <c r="M636" i="25"/>
  <c r="N636" i="25"/>
  <c r="AA636" i="25" s="1"/>
  <c r="L564" i="25"/>
  <c r="M564" i="25"/>
  <c r="N564" i="25"/>
  <c r="AA564" i="25" s="1"/>
  <c r="M604" i="25"/>
  <c r="L604" i="25"/>
  <c r="N604" i="25"/>
  <c r="AA604" i="25" s="1"/>
  <c r="L674" i="25"/>
  <c r="M674" i="25"/>
  <c r="N674" i="25"/>
  <c r="AA674" i="25" s="1"/>
  <c r="L828" i="25"/>
  <c r="N828" i="25"/>
  <c r="AA828" i="25" s="1"/>
  <c r="M412" i="25"/>
  <c r="L412" i="25"/>
  <c r="N412" i="25"/>
  <c r="AA412" i="25" s="1"/>
  <c r="M422" i="25"/>
  <c r="L422" i="25"/>
  <c r="M484" i="25"/>
  <c r="L484" i="25"/>
  <c r="N484" i="25"/>
  <c r="AA484" i="25" s="1"/>
  <c r="M452" i="25"/>
  <c r="N452" i="25"/>
  <c r="AA452" i="25" s="1"/>
  <c r="M772" i="25"/>
  <c r="N772" i="25"/>
  <c r="AA772" i="25" s="1"/>
  <c r="M734" i="25"/>
  <c r="N734" i="25"/>
  <c r="AA734" i="25" s="1"/>
  <c r="M633" i="25"/>
  <c r="L633" i="25"/>
  <c r="N633" i="25"/>
  <c r="AA633" i="25" s="1"/>
  <c r="M766" i="25"/>
  <c r="L766" i="25"/>
  <c r="N766" i="25"/>
  <c r="AA766" i="25" s="1"/>
  <c r="L836" i="25"/>
  <c r="N836" i="25"/>
  <c r="AA836" i="25" s="1"/>
  <c r="M758" i="25"/>
  <c r="L758" i="25"/>
  <c r="N758" i="25"/>
  <c r="AA758" i="25" s="1"/>
  <c r="N466" i="25"/>
  <c r="AA466" i="25" s="1"/>
  <c r="L466" i="25"/>
  <c r="M466" i="25"/>
  <c r="M430" i="25"/>
  <c r="L430" i="25"/>
  <c r="N430" i="25"/>
  <c r="AA430" i="25" s="1"/>
  <c r="N521" i="25"/>
  <c r="AA521" i="25" s="1"/>
  <c r="M521" i="25"/>
  <c r="L521" i="25"/>
  <c r="L706" i="25"/>
  <c r="N706" i="25"/>
  <c r="AA706" i="25" s="1"/>
  <c r="M788" i="25"/>
  <c r="L788" i="25"/>
  <c r="N788" i="25"/>
  <c r="AA788" i="25" s="1"/>
  <c r="M620" i="25"/>
  <c r="N620" i="25"/>
  <c r="AA620" i="25" s="1"/>
  <c r="L620" i="25"/>
  <c r="M741" i="25"/>
  <c r="L741" i="25"/>
  <c r="M764" i="25"/>
  <c r="N764" i="25"/>
  <c r="AA764" i="25" s="1"/>
  <c r="L764" i="25"/>
  <c r="N817" i="25"/>
  <c r="AA817" i="25" s="1"/>
  <c r="M817" i="25"/>
  <c r="L817" i="25"/>
  <c r="M596" i="25"/>
  <c r="L596" i="25"/>
  <c r="N596" i="25"/>
  <c r="AA596" i="25" s="1"/>
  <c r="M325" i="25"/>
  <c r="A266" i="32"/>
  <c r="M343" i="25"/>
  <c r="N343" i="25"/>
  <c r="A284" i="32" s="1"/>
  <c r="M317" i="25"/>
  <c r="M363" i="25"/>
  <c r="L369" i="25"/>
  <c r="N369" i="25" s="1"/>
  <c r="AA369" i="25" s="1"/>
  <c r="A258" i="32"/>
  <c r="N355" i="25"/>
  <c r="AA355" i="25" s="1"/>
  <c r="M355" i="25"/>
  <c r="M309" i="25"/>
  <c r="N363" i="25"/>
  <c r="AA363" i="25" s="1"/>
  <c r="AA323" i="25"/>
  <c r="A264" i="32"/>
  <c r="AA309" i="25"/>
  <c r="A250" i="32"/>
  <c r="L357" i="25"/>
  <c r="N357" i="25" s="1"/>
  <c r="M357" i="25"/>
  <c r="M331" i="25"/>
  <c r="L331" i="25"/>
  <c r="N331" i="25" s="1"/>
  <c r="AA331" i="25" s="1"/>
  <c r="L333" i="25"/>
  <c r="N333" i="25" s="1"/>
  <c r="M333" i="25"/>
  <c r="N371" i="25"/>
  <c r="AA371" i="25" s="1"/>
  <c r="M371" i="25"/>
  <c r="AA342" i="25"/>
  <c r="A283" i="32"/>
  <c r="L361" i="25"/>
  <c r="N361" i="25" s="1"/>
  <c r="AA361" i="25" s="1"/>
  <c r="M361" i="25"/>
  <c r="A255" i="32"/>
  <c r="AA314" i="25"/>
  <c r="M366" i="25"/>
  <c r="L366" i="25"/>
  <c r="N366" i="25"/>
  <c r="AA366" i="25" s="1"/>
  <c r="N426" i="25"/>
  <c r="AA426" i="25" s="1"/>
  <c r="L426" i="25"/>
  <c r="M426" i="25"/>
  <c r="L494" i="25"/>
  <c r="M494" i="25"/>
  <c r="N494" i="25"/>
  <c r="AA494" i="25" s="1"/>
  <c r="L547" i="25"/>
  <c r="N547" i="25"/>
  <c r="AA547" i="25" s="1"/>
  <c r="M547" i="25"/>
  <c r="L603" i="25"/>
  <c r="M603" i="25"/>
  <c r="N603" i="25"/>
  <c r="AA603" i="25" s="1"/>
  <c r="L639" i="25"/>
  <c r="M639" i="25"/>
  <c r="N639" i="25"/>
  <c r="AA639" i="25" s="1"/>
  <c r="L568" i="25"/>
  <c r="M568" i="25"/>
  <c r="N568" i="25"/>
  <c r="AA568" i="25" s="1"/>
  <c r="N655" i="25"/>
  <c r="AA655" i="25" s="1"/>
  <c r="L655" i="25"/>
  <c r="M655" i="25"/>
  <c r="M637" i="25"/>
  <c r="L637" i="25"/>
  <c r="N637" i="25"/>
  <c r="AA637" i="25" s="1"/>
  <c r="L738" i="25"/>
  <c r="N738" i="25"/>
  <c r="AA738" i="25" s="1"/>
  <c r="M738" i="25"/>
  <c r="L664" i="25"/>
  <c r="M664" i="25"/>
  <c r="N664" i="25"/>
  <c r="AA664" i="25" s="1"/>
  <c r="N815" i="25"/>
  <c r="AA815" i="25" s="1"/>
  <c r="M815" i="25"/>
  <c r="L815" i="25"/>
  <c r="N847" i="25"/>
  <c r="AA847" i="25" s="1"/>
  <c r="M847" i="25"/>
  <c r="L847" i="25"/>
  <c r="M834" i="25"/>
  <c r="N834" i="25"/>
  <c r="AA834" i="25" s="1"/>
  <c r="L834" i="25"/>
  <c r="M850" i="25"/>
  <c r="N850" i="25"/>
  <c r="AA850" i="25" s="1"/>
  <c r="L850" i="25"/>
  <c r="M866" i="25"/>
  <c r="N866" i="25"/>
  <c r="AA866" i="25" s="1"/>
  <c r="L866" i="25"/>
  <c r="N320" i="25"/>
  <c r="L320" i="25"/>
  <c r="M320" i="25"/>
  <c r="AA318" i="25"/>
  <c r="A259" i="32"/>
  <c r="A289" i="32"/>
  <c r="AA315" i="25"/>
  <c r="A256" i="32"/>
  <c r="AA340" i="25"/>
  <c r="A281" i="32"/>
  <c r="N376" i="25"/>
  <c r="AA376" i="25" s="1"/>
  <c r="L376" i="25"/>
  <c r="M376" i="25"/>
  <c r="M364" i="25"/>
  <c r="L364" i="25"/>
  <c r="N364" i="25"/>
  <c r="AA364" i="25" s="1"/>
  <c r="N467" i="25"/>
  <c r="AA467" i="25" s="1"/>
  <c r="M467" i="25"/>
  <c r="L467" i="25"/>
  <c r="M410" i="25"/>
  <c r="N410" i="25"/>
  <c r="AA410" i="25" s="1"/>
  <c r="L410" i="25"/>
  <c r="L443" i="25"/>
  <c r="N443" i="25" s="1"/>
  <c r="AA443" i="25" s="1"/>
  <c r="M443" i="25"/>
  <c r="L488" i="25"/>
  <c r="M488" i="25"/>
  <c r="N488" i="25"/>
  <c r="AA488" i="25" s="1"/>
  <c r="M520" i="25"/>
  <c r="N520" i="25"/>
  <c r="AA520" i="25" s="1"/>
  <c r="L520" i="25"/>
  <c r="L551" i="25"/>
  <c r="N551" i="25"/>
  <c r="AA551" i="25" s="1"/>
  <c r="M551" i="25"/>
  <c r="L625" i="25"/>
  <c r="M625" i="25"/>
  <c r="N625" i="25"/>
  <c r="AA625" i="25" s="1"/>
  <c r="M454" i="25"/>
  <c r="L454" i="25"/>
  <c r="N454" i="25"/>
  <c r="AA454" i="25" s="1"/>
  <c r="M578" i="25"/>
  <c r="N578" i="25"/>
  <c r="AA578" i="25" s="1"/>
  <c r="L578" i="25"/>
  <c r="N586" i="25"/>
  <c r="AA586" i="25" s="1"/>
  <c r="L586" i="25"/>
  <c r="M586" i="25"/>
  <c r="M514" i="25"/>
  <c r="L514" i="25"/>
  <c r="N514" i="25"/>
  <c r="AA514" i="25" s="1"/>
  <c r="L640" i="25"/>
  <c r="N640" i="25"/>
  <c r="AA640" i="25" s="1"/>
  <c r="M640" i="25"/>
  <c r="N594" i="25"/>
  <c r="AA594" i="25" s="1"/>
  <c r="L594" i="25"/>
  <c r="M594" i="25"/>
  <c r="M705" i="25"/>
  <c r="L705" i="25"/>
  <c r="N705" i="25"/>
  <c r="AA705" i="25" s="1"/>
  <c r="N794" i="25"/>
  <c r="AA794" i="25" s="1"/>
  <c r="L794" i="25"/>
  <c r="M794" i="25"/>
  <c r="L724" i="25"/>
  <c r="M724" i="25"/>
  <c r="N724" i="25"/>
  <c r="AA724" i="25" s="1"/>
  <c r="N778" i="25"/>
  <c r="AA778" i="25" s="1"/>
  <c r="M778" i="25"/>
  <c r="L778" i="25"/>
  <c r="A260" i="32"/>
  <c r="AA319" i="25"/>
  <c r="L329" i="25"/>
  <c r="N329" i="25" s="1"/>
  <c r="M329" i="25"/>
  <c r="L384" i="25"/>
  <c r="M384" i="25"/>
  <c r="N384" i="25"/>
  <c r="AA384" i="25" s="1"/>
  <c r="L502" i="25"/>
  <c r="M502" i="25"/>
  <c r="N502" i="25"/>
  <c r="AA502" i="25" s="1"/>
  <c r="L679" i="25"/>
  <c r="M679" i="25"/>
  <c r="N679" i="25"/>
  <c r="AA679" i="25" s="1"/>
  <c r="N770" i="25"/>
  <c r="AA770" i="25" s="1"/>
  <c r="L770" i="25"/>
  <c r="M770" i="25"/>
  <c r="N786" i="25"/>
  <c r="AA786" i="25" s="1"/>
  <c r="M786" i="25"/>
  <c r="L786" i="25"/>
  <c r="M818" i="25"/>
  <c r="N818" i="25"/>
  <c r="AA818" i="25" s="1"/>
  <c r="L818" i="25"/>
  <c r="N344" i="25"/>
  <c r="L344" i="25"/>
  <c r="M344" i="25"/>
  <c r="L313" i="25"/>
  <c r="N313" i="25" s="1"/>
  <c r="M313" i="25"/>
  <c r="A288" i="32"/>
  <c r="AA347" i="25"/>
  <c r="AA316" i="25"/>
  <c r="A257" i="32"/>
  <c r="M374" i="25"/>
  <c r="L374" i="25"/>
  <c r="N374" i="25"/>
  <c r="AA374" i="25" s="1"/>
  <c r="L473" i="25"/>
  <c r="N473" i="25"/>
  <c r="AA473" i="25" s="1"/>
  <c r="M473" i="25"/>
  <c r="M456" i="25"/>
  <c r="L456" i="25"/>
  <c r="N456" i="25"/>
  <c r="AA456" i="25" s="1"/>
  <c r="L538" i="25"/>
  <c r="M538" i="25"/>
  <c r="N538" i="25"/>
  <c r="AA538" i="25" s="1"/>
  <c r="M522" i="25"/>
  <c r="L522" i="25"/>
  <c r="N522" i="25"/>
  <c r="AA522" i="25" s="1"/>
  <c r="L546" i="25"/>
  <c r="M546" i="25"/>
  <c r="N546" i="25"/>
  <c r="AA546" i="25" s="1"/>
  <c r="N534" i="25"/>
  <c r="AA534" i="25" s="1"/>
  <c r="L534" i="25"/>
  <c r="M534" i="25"/>
  <c r="M555" i="25"/>
  <c r="N555" i="25"/>
  <c r="AA555" i="25" s="1"/>
  <c r="L555" i="25"/>
  <c r="M512" i="25"/>
  <c r="N512" i="25"/>
  <c r="AA512" i="25" s="1"/>
  <c r="L512" i="25"/>
  <c r="L687" i="25"/>
  <c r="M687" i="25"/>
  <c r="N687" i="25"/>
  <c r="AA687" i="25" s="1"/>
  <c r="N709" i="25"/>
  <c r="AA709" i="25" s="1"/>
  <c r="L709" i="25"/>
  <c r="M709" i="25"/>
  <c r="N802" i="25"/>
  <c r="AA802" i="25" s="1"/>
  <c r="L802" i="25"/>
  <c r="M802" i="25"/>
  <c r="N731" i="25"/>
  <c r="AA731" i="25" s="1"/>
  <c r="L731" i="25"/>
  <c r="M731" i="25"/>
  <c r="N787" i="25"/>
  <c r="AA787" i="25" s="1"/>
  <c r="L787" i="25"/>
  <c r="M787" i="25"/>
  <c r="N823" i="25"/>
  <c r="AA823" i="25" s="1"/>
  <c r="L823" i="25"/>
  <c r="M823" i="25"/>
  <c r="N855" i="25"/>
  <c r="AA855" i="25" s="1"/>
  <c r="M855" i="25"/>
  <c r="L855" i="25"/>
  <c r="A299" i="32"/>
  <c r="A268" i="32"/>
  <c r="AA327" i="25"/>
  <c r="A263" i="32"/>
  <c r="AA322" i="25"/>
  <c r="L368" i="25"/>
  <c r="M368" i="25"/>
  <c r="N368" i="25"/>
  <c r="AA368" i="25" s="1"/>
  <c r="M388" i="25"/>
  <c r="L388" i="25"/>
  <c r="N388" i="25"/>
  <c r="AA388" i="25" s="1"/>
  <c r="L345" i="25"/>
  <c r="N345" i="25" s="1"/>
  <c r="M345" i="25"/>
  <c r="N434" i="25"/>
  <c r="AA434" i="25" s="1"/>
  <c r="L434" i="25"/>
  <c r="M434" i="25"/>
  <c r="L459" i="25"/>
  <c r="N459" i="25" s="1"/>
  <c r="AA459" i="25" s="1"/>
  <c r="M459" i="25"/>
  <c r="L427" i="25"/>
  <c r="N427" i="25" s="1"/>
  <c r="AA427" i="25" s="1"/>
  <c r="M427" i="25"/>
  <c r="L526" i="25"/>
  <c r="M526" i="25"/>
  <c r="N526" i="25"/>
  <c r="AA526" i="25" s="1"/>
  <c r="L576" i="25"/>
  <c r="M576" i="25"/>
  <c r="N576" i="25"/>
  <c r="AA576" i="25" s="1"/>
  <c r="L617" i="25"/>
  <c r="M617" i="25"/>
  <c r="N617" i="25"/>
  <c r="AA617" i="25" s="1"/>
  <c r="N663" i="25"/>
  <c r="AA663" i="25" s="1"/>
  <c r="L663" i="25"/>
  <c r="M663" i="25"/>
  <c r="M715" i="25"/>
  <c r="N715" i="25"/>
  <c r="AA715" i="25" s="1"/>
  <c r="L715" i="25"/>
  <c r="N763" i="25"/>
  <c r="AA763" i="25" s="1"/>
  <c r="L763" i="25"/>
  <c r="M763" i="25"/>
  <c r="L762" i="25"/>
  <c r="N762" i="25"/>
  <c r="AA762" i="25" s="1"/>
  <c r="M762" i="25"/>
  <c r="M683" i="25"/>
  <c r="L683" i="25"/>
  <c r="N683" i="25"/>
  <c r="AA683" i="25" s="1"/>
  <c r="N795" i="25"/>
  <c r="AA795" i="25" s="1"/>
  <c r="L795" i="25"/>
  <c r="M795" i="25"/>
  <c r="M797" i="25"/>
  <c r="N797" i="25"/>
  <c r="AA797" i="25" s="1"/>
  <c r="L797" i="25"/>
  <c r="N779" i="25"/>
  <c r="AA779" i="25" s="1"/>
  <c r="L779" i="25"/>
  <c r="M779" i="25"/>
  <c r="M807" i="25"/>
  <c r="N807" i="25"/>
  <c r="AA807" i="25" s="1"/>
  <c r="L807" i="25"/>
  <c r="N328" i="25"/>
  <c r="L328" i="25"/>
  <c r="M328" i="25"/>
  <c r="AA324" i="25"/>
  <c r="A265" i="32"/>
  <c r="L408" i="25"/>
  <c r="M408" i="25"/>
  <c r="N408" i="25"/>
  <c r="AA408" i="25" s="1"/>
  <c r="M380" i="25"/>
  <c r="L380" i="25"/>
  <c r="N380" i="25"/>
  <c r="AA380" i="25" s="1"/>
  <c r="M398" i="25"/>
  <c r="L398" i="25"/>
  <c r="N398" i="25"/>
  <c r="AA398" i="25" s="1"/>
  <c r="L448" i="25"/>
  <c r="M448" i="25"/>
  <c r="N448" i="25"/>
  <c r="AA448" i="25" s="1"/>
  <c r="L543" i="25"/>
  <c r="M543" i="25"/>
  <c r="N543" i="25"/>
  <c r="AA543" i="25" s="1"/>
  <c r="M530" i="25"/>
  <c r="L530" i="25"/>
  <c r="N530" i="25"/>
  <c r="AA530" i="25" s="1"/>
  <c r="N442" i="25"/>
  <c r="AA442" i="25" s="1"/>
  <c r="L442" i="25"/>
  <c r="M442" i="25"/>
  <c r="N602" i="25"/>
  <c r="AA602" i="25" s="1"/>
  <c r="L602" i="25"/>
  <c r="M602" i="25"/>
  <c r="L587" i="25"/>
  <c r="M587" i="25"/>
  <c r="N587" i="25"/>
  <c r="AA587" i="25" s="1"/>
  <c r="L584" i="25"/>
  <c r="M584" i="25"/>
  <c r="N584" i="25"/>
  <c r="AA584" i="25" s="1"/>
  <c r="N610" i="25"/>
  <c r="AA610" i="25" s="1"/>
  <c r="L610" i="25"/>
  <c r="M610" i="25"/>
  <c r="M675" i="25"/>
  <c r="L675" i="25"/>
  <c r="N675" i="25"/>
  <c r="AA675" i="25" s="1"/>
  <c r="L648" i="25"/>
  <c r="M648" i="25"/>
  <c r="N648" i="25"/>
  <c r="AA648" i="25" s="1"/>
  <c r="M611" i="25"/>
  <c r="N611" i="25"/>
  <c r="AA611" i="25" s="1"/>
  <c r="L611" i="25"/>
  <c r="L688" i="25"/>
  <c r="N688" i="25"/>
  <c r="AA688" i="25" s="1"/>
  <c r="M688" i="25"/>
  <c r="L803" i="25"/>
  <c r="M803" i="25"/>
  <c r="N803" i="25"/>
  <c r="AA803" i="25" s="1"/>
  <c r="L754" i="25"/>
  <c r="N754" i="25"/>
  <c r="AA754" i="25" s="1"/>
  <c r="M754" i="25"/>
  <c r="N831" i="25"/>
  <c r="AA831" i="25" s="1"/>
  <c r="M831" i="25"/>
  <c r="L831" i="25"/>
  <c r="N863" i="25"/>
  <c r="AA863" i="25" s="1"/>
  <c r="M863" i="25"/>
  <c r="L863" i="25"/>
  <c r="M826" i="25"/>
  <c r="N826" i="25"/>
  <c r="AA826" i="25" s="1"/>
  <c r="L826" i="25"/>
  <c r="M842" i="25"/>
  <c r="N842" i="25"/>
  <c r="AA842" i="25" s="1"/>
  <c r="L842" i="25"/>
  <c r="M858" i="25"/>
  <c r="L858" i="25"/>
  <c r="N858" i="25"/>
  <c r="AA858" i="25" s="1"/>
  <c r="M874" i="25"/>
  <c r="N874" i="25"/>
  <c r="L874" i="25"/>
  <c r="A252" i="32"/>
  <c r="AA311" i="25"/>
  <c r="N352" i="25"/>
  <c r="AA352" i="25" s="1"/>
  <c r="L352" i="25"/>
  <c r="M352" i="25"/>
  <c r="L354" i="25"/>
  <c r="M354" i="25"/>
  <c r="N354" i="25"/>
  <c r="AA354" i="25" s="1"/>
  <c r="L400" i="25"/>
  <c r="M400" i="25"/>
  <c r="N400" i="25"/>
  <c r="AA400" i="25" s="1"/>
  <c r="AA326" i="25"/>
  <c r="A267" i="32"/>
  <c r="L353" i="25"/>
  <c r="N353" i="25" s="1"/>
  <c r="AA353" i="25" s="1"/>
  <c r="M353" i="25"/>
  <c r="M390" i="25"/>
  <c r="L390" i="25"/>
  <c r="N390" i="25"/>
  <c r="AA390" i="25" s="1"/>
  <c r="L321" i="25"/>
  <c r="N321" i="25" s="1"/>
  <c r="M321" i="25"/>
  <c r="N392" i="25"/>
  <c r="AA392" i="25" s="1"/>
  <c r="L392" i="25"/>
  <c r="M392" i="25"/>
  <c r="A297" i="32"/>
  <c r="N450" i="25"/>
  <c r="AA450" i="25" s="1"/>
  <c r="L450" i="25"/>
  <c r="M450" i="25"/>
  <c r="M482" i="25"/>
  <c r="N482" i="25"/>
  <c r="AA482" i="25" s="1"/>
  <c r="L482" i="25"/>
  <c r="L419" i="25"/>
  <c r="N419" i="25" s="1"/>
  <c r="AA419" i="25" s="1"/>
  <c r="M419" i="25"/>
  <c r="M504" i="25"/>
  <c r="N504" i="25"/>
  <c r="AA504" i="25" s="1"/>
  <c r="L504" i="25"/>
  <c r="L480" i="25"/>
  <c r="M480" i="25"/>
  <c r="N480" i="25"/>
  <c r="AA480" i="25" s="1"/>
  <c r="M562" i="25"/>
  <c r="N562" i="25"/>
  <c r="AA562" i="25" s="1"/>
  <c r="L562" i="25"/>
  <c r="L560" i="25"/>
  <c r="M560" i="25"/>
  <c r="N560" i="25"/>
  <c r="AA560" i="25" s="1"/>
  <c r="L518" i="25"/>
  <c r="M518" i="25"/>
  <c r="N518" i="25"/>
  <c r="AA518" i="25" s="1"/>
  <c r="M629" i="25"/>
  <c r="L629" i="25"/>
  <c r="N629" i="25"/>
  <c r="AA629" i="25" s="1"/>
  <c r="N647" i="25"/>
  <c r="AA647" i="25" s="1"/>
  <c r="L647" i="25"/>
  <c r="M647" i="25"/>
  <c r="M556" i="25"/>
  <c r="L556" i="25"/>
  <c r="N556" i="25"/>
  <c r="AA556" i="25" s="1"/>
  <c r="M699" i="25"/>
  <c r="L699" i="25"/>
  <c r="N699" i="25"/>
  <c r="AA699" i="25" s="1"/>
  <c r="L656" i="25"/>
  <c r="M656" i="25"/>
  <c r="N656" i="25"/>
  <c r="AA656" i="25" s="1"/>
  <c r="L768" i="25"/>
  <c r="M768" i="25"/>
  <c r="N768" i="25"/>
  <c r="AA768" i="25" s="1"/>
  <c r="N771" i="25"/>
  <c r="AA771" i="25" s="1"/>
  <c r="L771" i="25"/>
  <c r="M771" i="25"/>
  <c r="N747" i="25"/>
  <c r="AA747" i="25" s="1"/>
  <c r="L747" i="25"/>
  <c r="M747" i="25"/>
  <c r="L716" i="25"/>
  <c r="M716" i="25"/>
  <c r="N716" i="25"/>
  <c r="AA716" i="25" s="1"/>
  <c r="N312" i="25"/>
  <c r="L312" i="25"/>
  <c r="M312" i="25"/>
  <c r="AA308" i="25"/>
  <c r="A249" i="32"/>
  <c r="A251" i="32"/>
  <c r="AA310" i="25"/>
  <c r="A271" i="32"/>
  <c r="AA330" i="25"/>
  <c r="L435" i="25"/>
  <c r="N435" i="25" s="1"/>
  <c r="AA435" i="25" s="1"/>
  <c r="M435" i="25"/>
  <c r="M462" i="25"/>
  <c r="L462" i="25"/>
  <c r="N462" i="25"/>
  <c r="AA462" i="25" s="1"/>
  <c r="M506" i="25"/>
  <c r="L506" i="25"/>
  <c r="N506" i="25"/>
  <c r="AA506" i="25" s="1"/>
  <c r="M496" i="25"/>
  <c r="N496" i="25"/>
  <c r="AA496" i="25" s="1"/>
  <c r="L496" i="25"/>
  <c r="L631" i="25"/>
  <c r="M631" i="25"/>
  <c r="N631" i="25"/>
  <c r="AA631" i="25" s="1"/>
  <c r="L702" i="25"/>
  <c r="N702" i="25"/>
  <c r="AA702" i="25" s="1"/>
  <c r="M702" i="25"/>
  <c r="N723" i="25"/>
  <c r="AA723" i="25" s="1"/>
  <c r="L723" i="25"/>
  <c r="M723" i="25"/>
  <c r="N739" i="25"/>
  <c r="AA739" i="25" s="1"/>
  <c r="L739" i="25"/>
  <c r="M739" i="25"/>
  <c r="N755" i="25"/>
  <c r="AA755" i="25" s="1"/>
  <c r="L755" i="25"/>
  <c r="M755" i="25"/>
  <c r="N839" i="25"/>
  <c r="AA839" i="25" s="1"/>
  <c r="L839" i="25"/>
  <c r="M839" i="25"/>
  <c r="N871" i="25"/>
  <c r="AA871" i="25" s="1"/>
  <c r="M871" i="25"/>
  <c r="L871" i="25"/>
  <c r="N336" i="25"/>
  <c r="L336" i="25"/>
  <c r="M336" i="25"/>
  <c r="N360" i="25"/>
  <c r="AA360" i="25" s="1"/>
  <c r="L360" i="25"/>
  <c r="M360" i="25"/>
  <c r="L362" i="25"/>
  <c r="M362" i="25"/>
  <c r="N362" i="25"/>
  <c r="AA362" i="25" s="1"/>
  <c r="AA332" i="25"/>
  <c r="A273" i="32"/>
  <c r="L337" i="25"/>
  <c r="N337" i="25" s="1"/>
  <c r="M337" i="25"/>
  <c r="M372" i="25"/>
  <c r="L372" i="25"/>
  <c r="N372" i="25"/>
  <c r="AA372" i="25" s="1"/>
  <c r="AA339" i="25"/>
  <c r="A280" i="32"/>
  <c r="N418" i="25"/>
  <c r="AA418" i="25" s="1"/>
  <c r="L418" i="25"/>
  <c r="M418" i="25"/>
  <c r="L458" i="25"/>
  <c r="M458" i="25"/>
  <c r="N458" i="25"/>
  <c r="AA458" i="25" s="1"/>
  <c r="M470" i="25"/>
  <c r="L470" i="25"/>
  <c r="N470" i="25"/>
  <c r="AA470" i="25" s="1"/>
  <c r="M396" i="25"/>
  <c r="L396" i="25"/>
  <c r="N396" i="25"/>
  <c r="AA396" i="25" s="1"/>
  <c r="M382" i="25"/>
  <c r="L382" i="25"/>
  <c r="N382" i="25"/>
  <c r="AA382" i="25" s="1"/>
  <c r="A279" i="32"/>
  <c r="AA338" i="25"/>
  <c r="M490" i="25"/>
  <c r="N490" i="25"/>
  <c r="AA490" i="25" s="1"/>
  <c r="L490" i="25"/>
  <c r="L510" i="25"/>
  <c r="M510" i="25"/>
  <c r="N510" i="25"/>
  <c r="AA510" i="25" s="1"/>
  <c r="M498" i="25"/>
  <c r="L498" i="25"/>
  <c r="N498" i="25"/>
  <c r="AA498" i="25" s="1"/>
  <c r="M570" i="25"/>
  <c r="N570" i="25"/>
  <c r="AA570" i="25" s="1"/>
  <c r="L570" i="25"/>
  <c r="L609" i="25"/>
  <c r="N609" i="25"/>
  <c r="AA609" i="25" s="1"/>
  <c r="M609" i="25"/>
  <c r="L542" i="25"/>
  <c r="M542" i="25"/>
  <c r="N542" i="25"/>
  <c r="AA542" i="25" s="1"/>
  <c r="L595" i="25"/>
  <c r="M595" i="25"/>
  <c r="N595" i="25"/>
  <c r="AA595" i="25" s="1"/>
  <c r="L671" i="25"/>
  <c r="M671" i="25"/>
  <c r="N671" i="25"/>
  <c r="AA671" i="25" s="1"/>
  <c r="L695" i="25"/>
  <c r="M695" i="25"/>
  <c r="N695" i="25"/>
  <c r="AA695" i="25" s="1"/>
  <c r="M691" i="25"/>
  <c r="L691" i="25"/>
  <c r="N691" i="25"/>
  <c r="AA691" i="25" s="1"/>
  <c r="L810" i="25"/>
  <c r="M810" i="25"/>
  <c r="N810" i="25"/>
  <c r="AA810" i="25" s="1"/>
  <c r="M673" i="25"/>
  <c r="N673" i="25"/>
  <c r="AA673" i="25" s="1"/>
  <c r="L673" i="25"/>
  <c r="L746" i="25"/>
  <c r="N746" i="25"/>
  <c r="AA746" i="25" s="1"/>
  <c r="M746" i="25"/>
  <c r="N812" i="25"/>
  <c r="AA812" i="25" s="1"/>
  <c r="M812" i="25"/>
  <c r="L812" i="25"/>
  <c r="L350" i="25"/>
  <c r="M350" i="25"/>
  <c r="N350" i="25"/>
  <c r="AA350" i="25" s="1"/>
  <c r="F145" i="33"/>
  <c r="F142" i="33"/>
  <c r="F139" i="33"/>
  <c r="F136" i="33"/>
  <c r="F133" i="33"/>
  <c r="F130" i="33"/>
  <c r="F144" i="33"/>
  <c r="F143" i="33"/>
  <c r="F141" i="33"/>
  <c r="F140" i="33"/>
  <c r="F138" i="33"/>
  <c r="F137" i="33"/>
  <c r="F135" i="33"/>
  <c r="F134" i="33"/>
  <c r="F132" i="33"/>
  <c r="F131" i="33"/>
  <c r="F129" i="33"/>
  <c r="F128" i="33"/>
  <c r="U108" i="33"/>
  <c r="U109" i="33"/>
  <c r="U110" i="33"/>
  <c r="U111" i="33"/>
  <c r="U112" i="33"/>
  <c r="U113" i="33"/>
  <c r="U114" i="33"/>
  <c r="U115" i="33"/>
  <c r="U116" i="33"/>
  <c r="U117" i="33"/>
  <c r="U118" i="33"/>
  <c r="U119" i="33"/>
  <c r="U120" i="33"/>
  <c r="U121" i="33"/>
  <c r="F121" i="33"/>
  <c r="F120" i="33"/>
  <c r="F119" i="33"/>
  <c r="F118" i="33"/>
  <c r="F117" i="33"/>
  <c r="F116" i="33"/>
  <c r="F115" i="33"/>
  <c r="F114" i="33"/>
  <c r="F113" i="33"/>
  <c r="F112" i="33"/>
  <c r="F111" i="33"/>
  <c r="F110" i="33"/>
  <c r="F109" i="33"/>
  <c r="F108" i="33"/>
  <c r="F107" i="33"/>
  <c r="U107" i="33"/>
  <c r="B93" i="41" l="1"/>
  <c r="A97" i="41"/>
  <c r="D97" i="41" s="1"/>
  <c r="A110" i="41"/>
  <c r="D106" i="41"/>
  <c r="B106" i="41"/>
  <c r="B99" i="41"/>
  <c r="D99" i="41"/>
  <c r="D96" i="41"/>
  <c r="B96" i="41"/>
  <c r="A100" i="41"/>
  <c r="C102" i="41"/>
  <c r="C103" i="41" s="1"/>
  <c r="C104" i="41" s="1"/>
  <c r="C105" i="41" s="1"/>
  <c r="A103" i="41"/>
  <c r="AA334" i="25"/>
  <c r="A292" i="32"/>
  <c r="C292" i="32" s="1"/>
  <c r="J38" i="10"/>
  <c r="H37" i="10"/>
  <c r="AA335" i="25"/>
  <c r="A300" i="32"/>
  <c r="C300" i="32" s="1"/>
  <c r="A306" i="32"/>
  <c r="B306" i="32" s="1"/>
  <c r="AA343" i="25"/>
  <c r="A290" i="32"/>
  <c r="B290" i="32" s="1"/>
  <c r="A304" i="32"/>
  <c r="B304" i="32" s="1"/>
  <c r="B258" i="32"/>
  <c r="C258" i="32"/>
  <c r="B266" i="32"/>
  <c r="C266" i="32"/>
  <c r="A308" i="32"/>
  <c r="C308" i="32" s="1"/>
  <c r="A296" i="32"/>
  <c r="C296" i="32" s="1"/>
  <c r="A272" i="32"/>
  <c r="B272" i="32" s="1"/>
  <c r="AA357" i="25"/>
  <c r="A298" i="32"/>
  <c r="B250" i="32"/>
  <c r="C250" i="32"/>
  <c r="AA333" i="25"/>
  <c r="A274" i="32"/>
  <c r="C264" i="32"/>
  <c r="B264" i="32"/>
  <c r="AA337" i="25"/>
  <c r="A278" i="32"/>
  <c r="AA329" i="25"/>
  <c r="A270" i="32"/>
  <c r="AA345" i="25"/>
  <c r="A286" i="32"/>
  <c r="AA321" i="25"/>
  <c r="A262" i="32"/>
  <c r="A291" i="32"/>
  <c r="B281" i="32"/>
  <c r="C281" i="32"/>
  <c r="A277" i="32"/>
  <c r="AA336" i="25"/>
  <c r="B297" i="32"/>
  <c r="C297" i="32"/>
  <c r="A293" i="32"/>
  <c r="B299" i="32"/>
  <c r="C299" i="32"/>
  <c r="A305" i="32"/>
  <c r="C256" i="32"/>
  <c r="B256" i="32"/>
  <c r="B255" i="32"/>
  <c r="C255" i="32"/>
  <c r="A303" i="32"/>
  <c r="B275" i="32"/>
  <c r="C275" i="32"/>
  <c r="B276" i="32"/>
  <c r="C276" i="32"/>
  <c r="B284" i="32"/>
  <c r="C284" i="32"/>
  <c r="C249" i="32"/>
  <c r="B249" i="32"/>
  <c r="B252" i="32"/>
  <c r="C252" i="32"/>
  <c r="B257" i="32"/>
  <c r="C257" i="32"/>
  <c r="A302" i="32"/>
  <c r="B271" i="32"/>
  <c r="C271" i="32"/>
  <c r="A295" i="32"/>
  <c r="B279" i="32"/>
  <c r="C279" i="32"/>
  <c r="B280" i="32"/>
  <c r="C280" i="32"/>
  <c r="B273" i="32"/>
  <c r="C273" i="32"/>
  <c r="A253" i="32"/>
  <c r="AA312" i="25"/>
  <c r="A294" i="32"/>
  <c r="B260" i="32"/>
  <c r="C260" i="32"/>
  <c r="B289" i="32"/>
  <c r="C289" i="32"/>
  <c r="A261" i="32"/>
  <c r="AA320" i="25"/>
  <c r="A307" i="32"/>
  <c r="B283" i="32"/>
  <c r="C283" i="32"/>
  <c r="C267" i="32"/>
  <c r="B267" i="32"/>
  <c r="AA313" i="25"/>
  <c r="A254" i="32"/>
  <c r="B259" i="32"/>
  <c r="C259" i="32"/>
  <c r="B265" i="32"/>
  <c r="C265" i="32"/>
  <c r="B268" i="32"/>
  <c r="C268" i="32"/>
  <c r="A301" i="32"/>
  <c r="B251" i="32"/>
  <c r="C251" i="32"/>
  <c r="A269" i="32"/>
  <c r="AA328" i="25"/>
  <c r="B263" i="32"/>
  <c r="C263" i="32"/>
  <c r="B288" i="32"/>
  <c r="C288" i="32"/>
  <c r="A285" i="32"/>
  <c r="AA344" i="25"/>
  <c r="I65" i="35"/>
  <c r="J64" i="35" s="1"/>
  <c r="I66" i="35"/>
  <c r="J65" i="35" s="1"/>
  <c r="I67" i="35"/>
  <c r="J66" i="35" s="1"/>
  <c r="I68" i="35"/>
  <c r="J67" i="35" s="1"/>
  <c r="I69" i="35"/>
  <c r="J68" i="35" s="1"/>
  <c r="I70" i="35"/>
  <c r="J69" i="35" s="1"/>
  <c r="I71" i="35"/>
  <c r="J70" i="35" s="1"/>
  <c r="I72" i="35"/>
  <c r="J71" i="35" s="1"/>
  <c r="I73" i="35"/>
  <c r="J72" i="35" s="1"/>
  <c r="I74" i="35"/>
  <c r="J73" i="35" s="1"/>
  <c r="I75" i="35"/>
  <c r="J74" i="35" s="1"/>
  <c r="I76" i="35"/>
  <c r="J75" i="35" s="1"/>
  <c r="I77" i="35"/>
  <c r="J76" i="35" s="1"/>
  <c r="I78" i="35"/>
  <c r="J77" i="35" s="1"/>
  <c r="I79" i="35"/>
  <c r="J78" i="35" s="1"/>
  <c r="I80" i="35"/>
  <c r="J79" i="35" s="1"/>
  <c r="I81" i="35"/>
  <c r="J80" i="35" s="1"/>
  <c r="I82" i="35"/>
  <c r="J81" i="35" s="1"/>
  <c r="I83" i="35"/>
  <c r="J82" i="35" s="1"/>
  <c r="I84" i="35"/>
  <c r="J83" i="35" s="1"/>
  <c r="I85" i="35"/>
  <c r="J84" i="35" s="1"/>
  <c r="I86" i="35"/>
  <c r="J85" i="35" s="1"/>
  <c r="I87" i="35"/>
  <c r="J86" i="35" s="1"/>
  <c r="I88" i="35"/>
  <c r="J87" i="35" s="1"/>
  <c r="I89" i="35"/>
  <c r="J88" i="35" s="1"/>
  <c r="I90" i="35"/>
  <c r="J89" i="35" s="1"/>
  <c r="I91" i="35"/>
  <c r="J90" i="35" s="1"/>
  <c r="I92" i="35"/>
  <c r="J91" i="35" s="1"/>
  <c r="I93" i="35"/>
  <c r="J92" i="35" s="1"/>
  <c r="I94" i="35"/>
  <c r="J93" i="35" s="1"/>
  <c r="I95" i="35"/>
  <c r="J94" i="35" s="1"/>
  <c r="I96" i="35"/>
  <c r="J95" i="35" s="1"/>
  <c r="I97" i="35"/>
  <c r="J96" i="35" s="1"/>
  <c r="I98" i="35"/>
  <c r="J97" i="35" s="1"/>
  <c r="I99" i="35"/>
  <c r="J98" i="35" s="1"/>
  <c r="I100" i="35"/>
  <c r="J99" i="35" s="1"/>
  <c r="I101" i="35"/>
  <c r="J100" i="35" s="1"/>
  <c r="I102" i="35"/>
  <c r="J101" i="35" s="1"/>
  <c r="I103" i="35"/>
  <c r="J102" i="35" s="1"/>
  <c r="I104" i="35"/>
  <c r="J103" i="35" s="1"/>
  <c r="I105" i="35"/>
  <c r="J104" i="35" s="1"/>
  <c r="I106" i="35"/>
  <c r="J105" i="35" s="1"/>
  <c r="I107" i="35"/>
  <c r="J106" i="35" s="1"/>
  <c r="I108" i="35"/>
  <c r="J107" i="35" s="1"/>
  <c r="I109" i="35"/>
  <c r="J108" i="35" s="1"/>
  <c r="I110" i="35"/>
  <c r="J109" i="35" s="1"/>
  <c r="I111" i="35"/>
  <c r="J110" i="35" s="1"/>
  <c r="I112" i="35"/>
  <c r="J111" i="35" s="1"/>
  <c r="I113" i="35"/>
  <c r="J112" i="35" s="1"/>
  <c r="I114" i="35"/>
  <c r="J113" i="35" s="1"/>
  <c r="I115" i="35"/>
  <c r="J114" i="35" s="1"/>
  <c r="I116" i="35"/>
  <c r="J115" i="35" s="1"/>
  <c r="I117" i="35"/>
  <c r="J116" i="35" s="1"/>
  <c r="I118" i="35"/>
  <c r="J117" i="35" s="1"/>
  <c r="I119" i="35"/>
  <c r="J118" i="35" s="1"/>
  <c r="I120" i="35"/>
  <c r="J119" i="35" s="1"/>
  <c r="I121" i="35"/>
  <c r="J120" i="35" s="1"/>
  <c r="I122" i="35"/>
  <c r="J121" i="35" s="1"/>
  <c r="I123" i="35"/>
  <c r="J122" i="35" s="1"/>
  <c r="I124" i="35"/>
  <c r="J123" i="35" s="1"/>
  <c r="I125" i="35"/>
  <c r="J124" i="35" s="1"/>
  <c r="I126" i="35"/>
  <c r="J125" i="35" s="1"/>
  <c r="I127" i="35"/>
  <c r="J126" i="35" s="1"/>
  <c r="I128" i="35"/>
  <c r="J127" i="35" s="1"/>
  <c r="I129" i="35"/>
  <c r="J128" i="35" s="1"/>
  <c r="I130" i="35"/>
  <c r="J129" i="35" s="1"/>
  <c r="I131" i="35"/>
  <c r="J130" i="35" s="1"/>
  <c r="I132" i="35"/>
  <c r="J131" i="35" s="1"/>
  <c r="I133" i="35"/>
  <c r="J132" i="35" s="1"/>
  <c r="I134" i="35"/>
  <c r="J133" i="35" s="1"/>
  <c r="I135" i="35"/>
  <c r="J134" i="35" s="1"/>
  <c r="I136" i="35"/>
  <c r="J135" i="35" s="1"/>
  <c r="I137" i="35"/>
  <c r="J136" i="35" s="1"/>
  <c r="I138" i="35"/>
  <c r="J137" i="35" s="1"/>
  <c r="I139" i="35"/>
  <c r="I140" i="35"/>
  <c r="I141" i="35"/>
  <c r="I64" i="35"/>
  <c r="B292" i="32" l="1"/>
  <c r="C106" i="41"/>
  <c r="C107" i="41" s="1"/>
  <c r="C108" i="41" s="1"/>
  <c r="C109" i="41" s="1"/>
  <c r="A114" i="41"/>
  <c r="B110" i="41"/>
  <c r="D110" i="41"/>
  <c r="D100" i="41"/>
  <c r="B100" i="41"/>
  <c r="A104" i="41"/>
  <c r="B97" i="41"/>
  <c r="A101" i="41"/>
  <c r="D101" i="41" s="1"/>
  <c r="B103" i="41"/>
  <c r="D103" i="41"/>
  <c r="A107" i="41"/>
  <c r="B300" i="32"/>
  <c r="J39" i="10"/>
  <c r="H38" i="10"/>
  <c r="C306" i="32"/>
  <c r="C290" i="32"/>
  <c r="C272" i="32"/>
  <c r="C304" i="32"/>
  <c r="B296" i="32"/>
  <c r="B308" i="32"/>
  <c r="B274" i="32"/>
  <c r="C274" i="32"/>
  <c r="B298" i="32"/>
  <c r="C298" i="32"/>
  <c r="C262" i="32"/>
  <c r="B262" i="32"/>
  <c r="B301" i="32"/>
  <c r="C301" i="32"/>
  <c r="B261" i="32"/>
  <c r="C261" i="32"/>
  <c r="B253" i="32"/>
  <c r="C253" i="32"/>
  <c r="B254" i="32"/>
  <c r="C254" i="32"/>
  <c r="C286" i="32"/>
  <c r="B286" i="32"/>
  <c r="B269" i="32"/>
  <c r="C269" i="32"/>
  <c r="B295" i="32"/>
  <c r="C295" i="32"/>
  <c r="C277" i="32"/>
  <c r="B277" i="32"/>
  <c r="B270" i="32"/>
  <c r="C270" i="32"/>
  <c r="B285" i="32"/>
  <c r="C285" i="32"/>
  <c r="B303" i="32"/>
  <c r="C303" i="32"/>
  <c r="C294" i="32"/>
  <c r="B294" i="32"/>
  <c r="C302" i="32"/>
  <c r="B302" i="32"/>
  <c r="C278" i="32"/>
  <c r="B278" i="32"/>
  <c r="C305" i="32"/>
  <c r="B305" i="32"/>
  <c r="B307" i="32"/>
  <c r="C307" i="32"/>
  <c r="B293" i="32"/>
  <c r="C293" i="32"/>
  <c r="B291" i="32"/>
  <c r="C291" i="32"/>
  <c r="U29" i="33"/>
  <c r="U30" i="33"/>
  <c r="U31" i="33"/>
  <c r="U32" i="33"/>
  <c r="U33" i="33"/>
  <c r="U34" i="33"/>
  <c r="L32" i="33"/>
  <c r="M32" i="33" s="1"/>
  <c r="L29" i="33"/>
  <c r="M29" i="33" s="1"/>
  <c r="U26" i="33"/>
  <c r="U27" i="33"/>
  <c r="U28" i="33"/>
  <c r="L26" i="33"/>
  <c r="M26" i="33" s="1"/>
  <c r="U23" i="33"/>
  <c r="U24" i="33"/>
  <c r="U25" i="33"/>
  <c r="L23" i="33"/>
  <c r="M23" i="33" s="1"/>
  <c r="U20" i="33"/>
  <c r="U21" i="33"/>
  <c r="U22" i="33"/>
  <c r="L20" i="33"/>
  <c r="M20" i="33" s="1"/>
  <c r="U19" i="33"/>
  <c r="U18" i="33"/>
  <c r="U17" i="33"/>
  <c r="D104" i="41" l="1"/>
  <c r="B104" i="41"/>
  <c r="A108" i="41"/>
  <c r="B107" i="41"/>
  <c r="D107" i="41"/>
  <c r="A118" i="41"/>
  <c r="D114" i="41"/>
  <c r="B114" i="41"/>
  <c r="B101" i="41"/>
  <c r="A105" i="41"/>
  <c r="D105" i="41" s="1"/>
  <c r="C110" i="41"/>
  <c r="C111" i="41" s="1"/>
  <c r="C112" i="41" s="1"/>
  <c r="C113" i="41" s="1"/>
  <c r="A111" i="41"/>
  <c r="J40" i="10"/>
  <c r="H39" i="10"/>
  <c r="C114" i="41" l="1"/>
  <c r="C115" i="41" s="1"/>
  <c r="C116" i="41" s="1"/>
  <c r="C117" i="41" s="1"/>
  <c r="D108" i="41"/>
  <c r="B108" i="41"/>
  <c r="A112" i="41"/>
  <c r="D111" i="41"/>
  <c r="B111" i="41"/>
  <c r="B105" i="41"/>
  <c r="A109" i="41"/>
  <c r="D109" i="41" s="1"/>
  <c r="A122" i="41"/>
  <c r="D118" i="41"/>
  <c r="B118" i="41"/>
  <c r="A115" i="41"/>
  <c r="J41" i="10"/>
  <c r="H40" i="10"/>
  <c r="L17" i="33"/>
  <c r="M17" i="33" s="1"/>
  <c r="L16" i="33"/>
  <c r="L15" i="33"/>
  <c r="J45" i="26"/>
  <c r="Q45" i="26"/>
  <c r="J46" i="26"/>
  <c r="Q46" i="26"/>
  <c r="J47" i="26"/>
  <c r="Q47" i="26"/>
  <c r="J48" i="26"/>
  <c r="Q48" i="26"/>
  <c r="J49" i="26"/>
  <c r="Q49" i="26"/>
  <c r="J50" i="26"/>
  <c r="Q50" i="26"/>
  <c r="J51" i="26"/>
  <c r="Q51" i="26"/>
  <c r="J52" i="26"/>
  <c r="Q52" i="26"/>
  <c r="J53" i="26"/>
  <c r="Q53" i="26"/>
  <c r="J54" i="26"/>
  <c r="Q54" i="26"/>
  <c r="J55" i="26"/>
  <c r="Q55" i="26"/>
  <c r="J56" i="26"/>
  <c r="Q56" i="26"/>
  <c r="J57" i="26"/>
  <c r="Q57" i="26"/>
  <c r="J58" i="26"/>
  <c r="Q58" i="26"/>
  <c r="J59" i="26"/>
  <c r="Q59" i="26"/>
  <c r="J60" i="26"/>
  <c r="Q60" i="26"/>
  <c r="J61" i="26"/>
  <c r="Q61" i="26"/>
  <c r="J62" i="26"/>
  <c r="Q62" i="26"/>
  <c r="J63" i="26"/>
  <c r="Q63" i="26"/>
  <c r="J64" i="26"/>
  <c r="Q64" i="26"/>
  <c r="J65" i="26"/>
  <c r="Q65" i="26"/>
  <c r="J66" i="26"/>
  <c r="Q66" i="26"/>
  <c r="J67" i="26"/>
  <c r="Q67" i="26"/>
  <c r="J68" i="26"/>
  <c r="Q68" i="26"/>
  <c r="J69" i="26"/>
  <c r="Q69" i="26"/>
  <c r="J70" i="26"/>
  <c r="Q70" i="26"/>
  <c r="J71" i="26"/>
  <c r="Q71" i="26"/>
  <c r="J72" i="26"/>
  <c r="Q72" i="26"/>
  <c r="J73" i="26"/>
  <c r="Q73" i="26"/>
  <c r="J74" i="26"/>
  <c r="Q74" i="26"/>
  <c r="J75" i="26"/>
  <c r="Q75" i="26"/>
  <c r="J76" i="26"/>
  <c r="Q76" i="26"/>
  <c r="J77" i="26"/>
  <c r="Q77" i="26"/>
  <c r="J78" i="26"/>
  <c r="Q78" i="26"/>
  <c r="J79" i="26"/>
  <c r="Q79" i="26"/>
  <c r="J80" i="26"/>
  <c r="Q80" i="26"/>
  <c r="J81" i="26"/>
  <c r="Q81" i="26"/>
  <c r="J82" i="26"/>
  <c r="Q82" i="26"/>
  <c r="J83" i="26"/>
  <c r="Q83" i="26"/>
  <c r="J84" i="26"/>
  <c r="Q84" i="26"/>
  <c r="J85" i="26"/>
  <c r="Q85" i="26"/>
  <c r="J86" i="26"/>
  <c r="Q86" i="26"/>
  <c r="J87" i="26"/>
  <c r="Q87" i="26"/>
  <c r="J88" i="26"/>
  <c r="Q88" i="26"/>
  <c r="J89" i="26"/>
  <c r="Q89" i="26"/>
  <c r="J90" i="26"/>
  <c r="Q90" i="26"/>
  <c r="J91" i="26"/>
  <c r="Q91" i="26"/>
  <c r="J92" i="26"/>
  <c r="Q92" i="26"/>
  <c r="J93" i="26"/>
  <c r="Q93" i="26"/>
  <c r="J94" i="26"/>
  <c r="Q94" i="26"/>
  <c r="J95" i="26"/>
  <c r="Q95" i="26"/>
  <c r="J96" i="26"/>
  <c r="Q96" i="26"/>
  <c r="J97" i="26"/>
  <c r="Q97" i="26"/>
  <c r="J98" i="26"/>
  <c r="Q98" i="26"/>
  <c r="J99" i="26"/>
  <c r="Q99" i="26"/>
  <c r="J100" i="26"/>
  <c r="Q100" i="26"/>
  <c r="J101" i="26"/>
  <c r="Q101" i="26"/>
  <c r="J102" i="26"/>
  <c r="Q102" i="26"/>
  <c r="J103" i="26"/>
  <c r="Q103" i="26"/>
  <c r="J104" i="26"/>
  <c r="Q104" i="26"/>
  <c r="J105" i="26"/>
  <c r="Q105" i="26"/>
  <c r="J106" i="26"/>
  <c r="Q106" i="26"/>
  <c r="J107" i="26"/>
  <c r="Q107" i="26"/>
  <c r="J108" i="26"/>
  <c r="Q108" i="26"/>
  <c r="J109" i="26"/>
  <c r="Q109" i="26"/>
  <c r="J110" i="26"/>
  <c r="Q110" i="26"/>
  <c r="J111" i="26"/>
  <c r="Q111" i="26"/>
  <c r="J112" i="26"/>
  <c r="Q112" i="26"/>
  <c r="J113" i="26"/>
  <c r="Q113" i="26"/>
  <c r="J114" i="26"/>
  <c r="Q114" i="26"/>
  <c r="J115" i="26"/>
  <c r="Q115" i="26"/>
  <c r="J116" i="26"/>
  <c r="Q116" i="26"/>
  <c r="J117" i="26"/>
  <c r="Q117" i="26"/>
  <c r="J118" i="26"/>
  <c r="Q118" i="26"/>
  <c r="J119" i="26"/>
  <c r="Q119" i="26"/>
  <c r="J120" i="26"/>
  <c r="Q120" i="26"/>
  <c r="J121" i="26"/>
  <c r="Q121" i="26"/>
  <c r="J122" i="26"/>
  <c r="Q122" i="26"/>
  <c r="J123" i="26"/>
  <c r="Q123" i="26"/>
  <c r="J124" i="26"/>
  <c r="Q124" i="26"/>
  <c r="J125" i="26"/>
  <c r="Q125" i="26"/>
  <c r="J126" i="26"/>
  <c r="Q126" i="26"/>
  <c r="J127" i="26"/>
  <c r="Q127" i="26"/>
  <c r="J128" i="26"/>
  <c r="Q128" i="26"/>
  <c r="J129" i="26"/>
  <c r="Q129" i="26"/>
  <c r="J130" i="26"/>
  <c r="Q130" i="26"/>
  <c r="J131" i="26"/>
  <c r="Q131" i="26"/>
  <c r="J132" i="26"/>
  <c r="Q132" i="26"/>
  <c r="J133" i="26"/>
  <c r="Q133" i="26"/>
  <c r="J134" i="26"/>
  <c r="Q134" i="26"/>
  <c r="J135" i="26"/>
  <c r="Q135" i="26"/>
  <c r="J136" i="26"/>
  <c r="Q136" i="26"/>
  <c r="J137" i="26"/>
  <c r="Q137" i="26"/>
  <c r="J138" i="26"/>
  <c r="Q138" i="26"/>
  <c r="J139" i="26"/>
  <c r="Q139" i="26"/>
  <c r="J140" i="26"/>
  <c r="Q140" i="26"/>
  <c r="J141" i="26"/>
  <c r="Q141" i="26"/>
  <c r="J142" i="26"/>
  <c r="Q142" i="26"/>
  <c r="J143" i="26"/>
  <c r="Q143" i="26"/>
  <c r="J144" i="26"/>
  <c r="Q144" i="26"/>
  <c r="J145" i="26"/>
  <c r="Q145" i="26"/>
  <c r="J146" i="26"/>
  <c r="Q146" i="26"/>
  <c r="J147" i="26"/>
  <c r="Q147" i="26"/>
  <c r="J148" i="26"/>
  <c r="Q148" i="26"/>
  <c r="J149" i="26"/>
  <c r="Q149" i="26"/>
  <c r="J150" i="26"/>
  <c r="Q150" i="26"/>
  <c r="J151" i="26"/>
  <c r="Q151" i="26"/>
  <c r="J152" i="26"/>
  <c r="Q152" i="26"/>
  <c r="J153" i="26"/>
  <c r="Q153" i="26"/>
  <c r="J154" i="26"/>
  <c r="Q154" i="26"/>
  <c r="J155" i="26"/>
  <c r="Q155" i="26"/>
  <c r="J156" i="26"/>
  <c r="Q156" i="26"/>
  <c r="J157" i="26"/>
  <c r="Q157" i="26"/>
  <c r="J158" i="26"/>
  <c r="Q158" i="26"/>
  <c r="J159" i="26"/>
  <c r="Q159" i="26"/>
  <c r="J160" i="26"/>
  <c r="Q160" i="26"/>
  <c r="J161" i="26"/>
  <c r="Q161" i="26"/>
  <c r="J162" i="26"/>
  <c r="Q162" i="26"/>
  <c r="J163" i="26"/>
  <c r="Q163" i="26"/>
  <c r="J164" i="26"/>
  <c r="Q164" i="26"/>
  <c r="J165" i="26"/>
  <c r="Q165" i="26"/>
  <c r="J166" i="26"/>
  <c r="Q166" i="26"/>
  <c r="J167" i="26"/>
  <c r="Q167" i="26"/>
  <c r="J168" i="26"/>
  <c r="Q168" i="26"/>
  <c r="J169" i="26"/>
  <c r="Q169" i="26"/>
  <c r="J170" i="26"/>
  <c r="Q170" i="26"/>
  <c r="J171" i="26"/>
  <c r="Q171" i="26"/>
  <c r="J172" i="26"/>
  <c r="Q172" i="26"/>
  <c r="J173" i="26"/>
  <c r="Q173" i="26"/>
  <c r="J174" i="26"/>
  <c r="Q174" i="26"/>
  <c r="J175" i="26"/>
  <c r="Q175" i="26"/>
  <c r="J176" i="26"/>
  <c r="Q176" i="26"/>
  <c r="J177" i="26"/>
  <c r="Q177" i="26"/>
  <c r="J178" i="26"/>
  <c r="Q178" i="26"/>
  <c r="J179" i="26"/>
  <c r="Q179" i="26"/>
  <c r="J180" i="26"/>
  <c r="Q180" i="26"/>
  <c r="J181" i="26"/>
  <c r="Q181" i="26"/>
  <c r="J182" i="26"/>
  <c r="Q182" i="26"/>
  <c r="J183" i="26"/>
  <c r="Q183" i="26"/>
  <c r="J184" i="26"/>
  <c r="Q184" i="26"/>
  <c r="J185" i="26"/>
  <c r="Q185" i="26"/>
  <c r="J186" i="26"/>
  <c r="Q186" i="26"/>
  <c r="J187" i="26"/>
  <c r="Q187" i="26"/>
  <c r="J188" i="26"/>
  <c r="Q188" i="26"/>
  <c r="J189" i="26"/>
  <c r="Q189" i="26"/>
  <c r="J190" i="26"/>
  <c r="Q190" i="26"/>
  <c r="J191" i="26"/>
  <c r="Q191" i="26"/>
  <c r="J192" i="26"/>
  <c r="Q192" i="26"/>
  <c r="J193" i="26"/>
  <c r="Q193" i="26"/>
  <c r="J194" i="26"/>
  <c r="Q194" i="26"/>
  <c r="J195" i="26"/>
  <c r="Q195" i="26"/>
  <c r="J196" i="26"/>
  <c r="Q196" i="26"/>
  <c r="J197" i="26"/>
  <c r="Q197" i="26"/>
  <c r="J198" i="26"/>
  <c r="Q198" i="26"/>
  <c r="J199" i="26"/>
  <c r="Q199" i="26"/>
  <c r="J200" i="26"/>
  <c r="Q200" i="26"/>
  <c r="J201" i="26"/>
  <c r="Q201" i="26"/>
  <c r="J202" i="26"/>
  <c r="Q202" i="26"/>
  <c r="J203" i="26"/>
  <c r="Q203" i="26"/>
  <c r="J204" i="26"/>
  <c r="Q204" i="26"/>
  <c r="J205" i="26"/>
  <c r="Q205" i="26"/>
  <c r="J206" i="26"/>
  <c r="Q206" i="26"/>
  <c r="J207" i="26"/>
  <c r="Q207" i="26"/>
  <c r="J208" i="26"/>
  <c r="Q208" i="26"/>
  <c r="J209" i="26"/>
  <c r="Q209" i="26"/>
  <c r="J210" i="26"/>
  <c r="Q210" i="26"/>
  <c r="J211" i="26"/>
  <c r="Q211" i="26"/>
  <c r="J212" i="26"/>
  <c r="Q212" i="26"/>
  <c r="J213" i="26"/>
  <c r="Q213" i="26"/>
  <c r="J214" i="26"/>
  <c r="Q214" i="26"/>
  <c r="J215" i="26"/>
  <c r="Q215" i="26"/>
  <c r="J216" i="26"/>
  <c r="Q216" i="26"/>
  <c r="J217" i="26"/>
  <c r="Q217" i="26"/>
  <c r="J218" i="26"/>
  <c r="Q218" i="26"/>
  <c r="J219" i="26"/>
  <c r="Q219" i="26"/>
  <c r="J220" i="26"/>
  <c r="Q220" i="26"/>
  <c r="J221" i="26"/>
  <c r="Q221" i="26"/>
  <c r="J222" i="26"/>
  <c r="Q222" i="26"/>
  <c r="J223" i="26"/>
  <c r="Q223" i="26"/>
  <c r="J224" i="26"/>
  <c r="Q224" i="26"/>
  <c r="J225" i="26"/>
  <c r="Q225" i="26"/>
  <c r="J226" i="26"/>
  <c r="Q226" i="26"/>
  <c r="J227" i="26"/>
  <c r="Q227" i="26"/>
  <c r="J228" i="26"/>
  <c r="Q228" i="26"/>
  <c r="J229" i="26"/>
  <c r="Q229" i="26"/>
  <c r="J230" i="26"/>
  <c r="Q230" i="26"/>
  <c r="J231" i="26"/>
  <c r="Q231" i="26"/>
  <c r="J232" i="26"/>
  <c r="Q232" i="26"/>
  <c r="J233" i="26"/>
  <c r="Q233" i="26"/>
  <c r="J234" i="26"/>
  <c r="Q234" i="26"/>
  <c r="J235" i="26"/>
  <c r="Q235" i="26"/>
  <c r="J236" i="26"/>
  <c r="Q236" i="26"/>
  <c r="J237" i="26"/>
  <c r="Q237" i="26"/>
  <c r="J238" i="26"/>
  <c r="Q238" i="26"/>
  <c r="J239" i="26"/>
  <c r="Q239" i="26"/>
  <c r="J240" i="26"/>
  <c r="Q240" i="26"/>
  <c r="J241" i="26"/>
  <c r="Q241" i="26"/>
  <c r="J242" i="26"/>
  <c r="Q242" i="26"/>
  <c r="J243" i="26"/>
  <c r="Q243" i="26"/>
  <c r="J244" i="26"/>
  <c r="Q244" i="26"/>
  <c r="J245" i="26"/>
  <c r="Q245" i="26"/>
  <c r="J246" i="26"/>
  <c r="Q246" i="26"/>
  <c r="J247" i="26"/>
  <c r="Q247" i="26"/>
  <c r="J248" i="26"/>
  <c r="Q248" i="26"/>
  <c r="J249" i="26"/>
  <c r="Q249" i="26"/>
  <c r="J250" i="26"/>
  <c r="Q250" i="26"/>
  <c r="J251" i="26"/>
  <c r="Q251" i="26"/>
  <c r="J252" i="26"/>
  <c r="Q252" i="26"/>
  <c r="J253" i="26"/>
  <c r="Q253" i="26"/>
  <c r="J254" i="26"/>
  <c r="Q254" i="26"/>
  <c r="J255" i="26"/>
  <c r="Q255" i="26"/>
  <c r="J256" i="26"/>
  <c r="Q256" i="26"/>
  <c r="J257" i="26"/>
  <c r="Q257" i="26"/>
  <c r="J258" i="26"/>
  <c r="Q258" i="26"/>
  <c r="J259" i="26"/>
  <c r="Q259" i="26"/>
  <c r="J260" i="26"/>
  <c r="Q260" i="26"/>
  <c r="J261" i="26"/>
  <c r="Q261" i="26"/>
  <c r="J262" i="26"/>
  <c r="Q262" i="26"/>
  <c r="J263" i="26"/>
  <c r="Q263" i="26"/>
  <c r="J264" i="26"/>
  <c r="Q264" i="26"/>
  <c r="J265" i="26"/>
  <c r="Q265" i="26"/>
  <c r="J266" i="26"/>
  <c r="Q266" i="26"/>
  <c r="J267" i="26"/>
  <c r="Q267" i="26"/>
  <c r="J268" i="26"/>
  <c r="Q268" i="26"/>
  <c r="J269" i="26"/>
  <c r="Q269" i="26"/>
  <c r="J270" i="26"/>
  <c r="Q270" i="26"/>
  <c r="J271" i="26"/>
  <c r="Q271" i="26"/>
  <c r="J272" i="26"/>
  <c r="Q272" i="26"/>
  <c r="J273" i="26"/>
  <c r="Q273" i="26"/>
  <c r="J274" i="26"/>
  <c r="Q274" i="26"/>
  <c r="J275" i="26"/>
  <c r="Q275" i="26"/>
  <c r="J276" i="26"/>
  <c r="Q276" i="26"/>
  <c r="J277" i="26"/>
  <c r="Q277" i="26"/>
  <c r="J278" i="26"/>
  <c r="Q278" i="26"/>
  <c r="J279" i="26"/>
  <c r="Q279" i="26"/>
  <c r="J280" i="26"/>
  <c r="Q280" i="26"/>
  <c r="J281" i="26"/>
  <c r="Q281" i="26"/>
  <c r="J282" i="26"/>
  <c r="Q282" i="26"/>
  <c r="J283" i="26"/>
  <c r="Q283" i="26"/>
  <c r="J284" i="26"/>
  <c r="Q284" i="26"/>
  <c r="J285" i="26"/>
  <c r="Q285" i="26"/>
  <c r="J286" i="26"/>
  <c r="Q286" i="26"/>
  <c r="J287" i="26"/>
  <c r="Q287" i="26"/>
  <c r="J288" i="26"/>
  <c r="Q288" i="26"/>
  <c r="J289" i="26"/>
  <c r="Q289" i="26"/>
  <c r="J290" i="26"/>
  <c r="Q290" i="26"/>
  <c r="J291" i="26"/>
  <c r="Q291" i="26"/>
  <c r="J292" i="26"/>
  <c r="Q292" i="26"/>
  <c r="J293" i="26"/>
  <c r="Q293" i="26"/>
  <c r="J294" i="26"/>
  <c r="Q294" i="26"/>
  <c r="J295" i="26"/>
  <c r="Q295" i="26"/>
  <c r="J296" i="26"/>
  <c r="Q296" i="26"/>
  <c r="J297" i="26"/>
  <c r="Q297" i="26"/>
  <c r="J298" i="26"/>
  <c r="Q298" i="26"/>
  <c r="J299" i="26"/>
  <c r="Q299" i="26"/>
  <c r="J300" i="26"/>
  <c r="Q300" i="26"/>
  <c r="J301" i="26"/>
  <c r="Q301" i="26"/>
  <c r="J302" i="26"/>
  <c r="Q302" i="26"/>
  <c r="J303" i="26"/>
  <c r="Q303" i="26"/>
  <c r="J304" i="26"/>
  <c r="Q304" i="26"/>
  <c r="J305" i="26"/>
  <c r="Q305" i="26"/>
  <c r="J306" i="26"/>
  <c r="Q306" i="26"/>
  <c r="J307" i="26"/>
  <c r="Q307" i="26"/>
  <c r="J308" i="26"/>
  <c r="Q308" i="26"/>
  <c r="J309" i="26"/>
  <c r="Q309" i="26"/>
  <c r="J310" i="26"/>
  <c r="Q310" i="26"/>
  <c r="J311" i="26"/>
  <c r="Q311" i="26"/>
  <c r="J312" i="26"/>
  <c r="Q312" i="26"/>
  <c r="J313" i="26"/>
  <c r="Q313" i="26"/>
  <c r="J314" i="26"/>
  <c r="Q314" i="26"/>
  <c r="J315" i="26"/>
  <c r="Q315" i="26"/>
  <c r="J316" i="26"/>
  <c r="Q316" i="26"/>
  <c r="J317" i="26"/>
  <c r="Q317" i="26"/>
  <c r="J318" i="26"/>
  <c r="Q318" i="26"/>
  <c r="J319" i="26"/>
  <c r="Q319" i="26"/>
  <c r="J320" i="26"/>
  <c r="Q320" i="26"/>
  <c r="J321" i="26"/>
  <c r="Q321" i="26"/>
  <c r="J322" i="26"/>
  <c r="Q322" i="26"/>
  <c r="J323" i="26"/>
  <c r="Q323" i="26"/>
  <c r="J324" i="26"/>
  <c r="Q324" i="26"/>
  <c r="J325" i="26"/>
  <c r="Q325" i="26"/>
  <c r="J326" i="26"/>
  <c r="Q326" i="26"/>
  <c r="J327" i="26"/>
  <c r="Q327" i="26"/>
  <c r="J328" i="26"/>
  <c r="Q328" i="26"/>
  <c r="J329" i="26"/>
  <c r="Q329" i="26"/>
  <c r="J330" i="26"/>
  <c r="Q330" i="26"/>
  <c r="J331" i="26"/>
  <c r="Q331" i="26"/>
  <c r="J332" i="26"/>
  <c r="Q332" i="26"/>
  <c r="J333" i="26"/>
  <c r="Q333" i="26"/>
  <c r="J334" i="26"/>
  <c r="Q334" i="26"/>
  <c r="J335" i="26"/>
  <c r="Q335" i="26"/>
  <c r="J336" i="26"/>
  <c r="Q336" i="26"/>
  <c r="J337" i="26"/>
  <c r="Q337" i="26"/>
  <c r="J338" i="26"/>
  <c r="Q338" i="26"/>
  <c r="J339" i="26"/>
  <c r="Q339" i="26"/>
  <c r="J340" i="26"/>
  <c r="Q340" i="26"/>
  <c r="J341" i="26"/>
  <c r="Q341" i="26"/>
  <c r="J342" i="26"/>
  <c r="Q342" i="26"/>
  <c r="J343" i="26"/>
  <c r="Q343" i="26"/>
  <c r="J344" i="26"/>
  <c r="Q344" i="26"/>
  <c r="J345" i="26"/>
  <c r="Q345" i="26"/>
  <c r="J346" i="26"/>
  <c r="Q346" i="26"/>
  <c r="J347" i="26"/>
  <c r="Q347" i="26"/>
  <c r="J348" i="26"/>
  <c r="Q348" i="26"/>
  <c r="J349" i="26"/>
  <c r="Q349" i="26"/>
  <c r="J350" i="26"/>
  <c r="Q350" i="26"/>
  <c r="J351" i="26"/>
  <c r="Q351" i="26"/>
  <c r="J352" i="26"/>
  <c r="Q352" i="26"/>
  <c r="J353" i="26"/>
  <c r="Q353" i="26"/>
  <c r="J354" i="26"/>
  <c r="Q354" i="26"/>
  <c r="J355" i="26"/>
  <c r="Q355" i="26"/>
  <c r="J356" i="26"/>
  <c r="Q356" i="26"/>
  <c r="J357" i="26"/>
  <c r="Q357" i="26"/>
  <c r="J358" i="26"/>
  <c r="Q358" i="26"/>
  <c r="J359" i="26"/>
  <c r="Q359" i="26"/>
  <c r="J360" i="26"/>
  <c r="Q360" i="26"/>
  <c r="J361" i="26"/>
  <c r="Q361" i="26"/>
  <c r="J362" i="26"/>
  <c r="Q362" i="26"/>
  <c r="J363" i="26"/>
  <c r="Q363" i="26"/>
  <c r="J364" i="26"/>
  <c r="Q364" i="26"/>
  <c r="J365" i="26"/>
  <c r="Q365" i="26"/>
  <c r="J366" i="26"/>
  <c r="Q366" i="26"/>
  <c r="J367" i="26"/>
  <c r="Q367" i="26"/>
  <c r="J368" i="26"/>
  <c r="Q368" i="26"/>
  <c r="J369" i="26"/>
  <c r="Q369" i="26"/>
  <c r="J370" i="26"/>
  <c r="Q370" i="26"/>
  <c r="J371" i="26"/>
  <c r="Q371" i="26"/>
  <c r="J372" i="26"/>
  <c r="Q372" i="26"/>
  <c r="J373" i="26"/>
  <c r="Q373" i="26"/>
  <c r="J374" i="26"/>
  <c r="Q374" i="26"/>
  <c r="J375" i="26"/>
  <c r="Q375" i="26"/>
  <c r="J376" i="26"/>
  <c r="Q376" i="26"/>
  <c r="J377" i="26"/>
  <c r="Q377" i="26"/>
  <c r="J378" i="26"/>
  <c r="Q378" i="26"/>
  <c r="J379" i="26"/>
  <c r="Q379" i="26"/>
  <c r="J380" i="26"/>
  <c r="Q380" i="26"/>
  <c r="J381" i="26"/>
  <c r="Q381" i="26"/>
  <c r="J382" i="26"/>
  <c r="Q382" i="26"/>
  <c r="J383" i="26"/>
  <c r="Q383" i="26"/>
  <c r="J384" i="26"/>
  <c r="Q384" i="26"/>
  <c r="J385" i="26"/>
  <c r="Q385" i="26"/>
  <c r="J386" i="26"/>
  <c r="Q386" i="26"/>
  <c r="J387" i="26"/>
  <c r="Q387" i="26"/>
  <c r="J388" i="26"/>
  <c r="Q388" i="26"/>
  <c r="J389" i="26"/>
  <c r="Q389" i="26"/>
  <c r="J390" i="26"/>
  <c r="Q390" i="26"/>
  <c r="J391" i="26"/>
  <c r="Q391" i="26"/>
  <c r="J392" i="26"/>
  <c r="Q392" i="26"/>
  <c r="J393" i="26"/>
  <c r="Q393" i="26"/>
  <c r="J394" i="26"/>
  <c r="Q394" i="26"/>
  <c r="J395" i="26"/>
  <c r="Q395" i="26"/>
  <c r="J396" i="26"/>
  <c r="Q396" i="26"/>
  <c r="J397" i="26"/>
  <c r="Q397" i="26"/>
  <c r="J398" i="26"/>
  <c r="Q398" i="26"/>
  <c r="J399" i="26"/>
  <c r="Q399" i="26"/>
  <c r="J400" i="26"/>
  <c r="Q400" i="26"/>
  <c r="J401" i="26"/>
  <c r="Q401" i="26"/>
  <c r="J402" i="26"/>
  <c r="Q402" i="26"/>
  <c r="J403" i="26"/>
  <c r="Q403" i="26"/>
  <c r="J404" i="26"/>
  <c r="Q404" i="26"/>
  <c r="J405" i="26"/>
  <c r="Q405" i="26"/>
  <c r="J406" i="26"/>
  <c r="Q406" i="26"/>
  <c r="J407" i="26"/>
  <c r="Q407" i="26"/>
  <c r="J408" i="26"/>
  <c r="Q408" i="26"/>
  <c r="J409" i="26"/>
  <c r="Q409" i="26"/>
  <c r="J410" i="26"/>
  <c r="Q410" i="26"/>
  <c r="J411" i="26"/>
  <c r="Q411" i="26"/>
  <c r="J412" i="26"/>
  <c r="Q412" i="26"/>
  <c r="J413" i="26"/>
  <c r="Q413" i="26"/>
  <c r="J414" i="26"/>
  <c r="Q414" i="26"/>
  <c r="J415" i="26"/>
  <c r="Q415" i="26"/>
  <c r="J416" i="26"/>
  <c r="Q416" i="26"/>
  <c r="J417" i="26"/>
  <c r="Q417" i="26"/>
  <c r="J418" i="26"/>
  <c r="Q418" i="26"/>
  <c r="J419" i="26"/>
  <c r="Q419" i="26"/>
  <c r="J420" i="26"/>
  <c r="Q420" i="26"/>
  <c r="J421" i="26"/>
  <c r="Q421" i="26"/>
  <c r="J422" i="26"/>
  <c r="Q422" i="26"/>
  <c r="J423" i="26"/>
  <c r="Q423" i="26"/>
  <c r="J424" i="26"/>
  <c r="Q424" i="26"/>
  <c r="J425" i="26"/>
  <c r="Q425" i="26"/>
  <c r="J426" i="26"/>
  <c r="Q426" i="26"/>
  <c r="J427" i="26"/>
  <c r="Q427" i="26"/>
  <c r="J428" i="26"/>
  <c r="Q428" i="26"/>
  <c r="J429" i="26"/>
  <c r="Q429" i="26"/>
  <c r="J430" i="26"/>
  <c r="Q430" i="26"/>
  <c r="J431" i="26"/>
  <c r="Q431" i="26"/>
  <c r="J432" i="26"/>
  <c r="Q432" i="26"/>
  <c r="J433" i="26"/>
  <c r="Q433" i="26"/>
  <c r="J434" i="26"/>
  <c r="Q434" i="26"/>
  <c r="J435" i="26"/>
  <c r="Q435" i="26"/>
  <c r="J436" i="26"/>
  <c r="Q436" i="26"/>
  <c r="J437" i="26"/>
  <c r="Q437" i="26"/>
  <c r="J438" i="26"/>
  <c r="Q438" i="26"/>
  <c r="J439" i="26"/>
  <c r="Q439" i="26"/>
  <c r="J440" i="26"/>
  <c r="Q440" i="26"/>
  <c r="J441" i="26"/>
  <c r="Q441" i="26"/>
  <c r="J442" i="26"/>
  <c r="Q442" i="26"/>
  <c r="J443" i="26"/>
  <c r="Q443" i="26"/>
  <c r="J444" i="26"/>
  <c r="Q444" i="26"/>
  <c r="J445" i="26"/>
  <c r="Q445" i="26"/>
  <c r="J446" i="26"/>
  <c r="Q446" i="26"/>
  <c r="J447" i="26"/>
  <c r="Q447" i="26"/>
  <c r="J448" i="26"/>
  <c r="Q448" i="26"/>
  <c r="J449" i="26"/>
  <c r="Q449" i="26"/>
  <c r="J450" i="26"/>
  <c r="Q450" i="26"/>
  <c r="J451" i="26"/>
  <c r="Q451" i="26"/>
  <c r="J452" i="26"/>
  <c r="Q452" i="26"/>
  <c r="J453" i="26"/>
  <c r="Q453" i="26"/>
  <c r="J454" i="26"/>
  <c r="Q454" i="26"/>
  <c r="J455" i="26"/>
  <c r="Q455" i="26"/>
  <c r="J456" i="26"/>
  <c r="Q456" i="26"/>
  <c r="J457" i="26"/>
  <c r="Q457" i="26"/>
  <c r="J458" i="26"/>
  <c r="Q458" i="26"/>
  <c r="J459" i="26"/>
  <c r="Q459" i="26"/>
  <c r="J460" i="26"/>
  <c r="Q460" i="26"/>
  <c r="J461" i="26"/>
  <c r="Q461" i="26"/>
  <c r="J462" i="26"/>
  <c r="Q462" i="26"/>
  <c r="J463" i="26"/>
  <c r="Q463" i="26"/>
  <c r="J464" i="26"/>
  <c r="Q464" i="26"/>
  <c r="J465" i="26"/>
  <c r="Q465" i="26"/>
  <c r="J466" i="26"/>
  <c r="Q466" i="26"/>
  <c r="J467" i="26"/>
  <c r="Q467" i="26"/>
  <c r="J468" i="26"/>
  <c r="Q468" i="26"/>
  <c r="J469" i="26"/>
  <c r="Q469" i="26"/>
  <c r="J470" i="26"/>
  <c r="Q470" i="26"/>
  <c r="J471" i="26"/>
  <c r="Q471" i="26"/>
  <c r="J472" i="26"/>
  <c r="Q472" i="26"/>
  <c r="J473" i="26"/>
  <c r="Q473" i="26"/>
  <c r="J474" i="26"/>
  <c r="Q474" i="26"/>
  <c r="J475" i="26"/>
  <c r="Q475" i="26"/>
  <c r="J476" i="26"/>
  <c r="Q476" i="26"/>
  <c r="J477" i="26"/>
  <c r="Q477" i="26"/>
  <c r="J478" i="26"/>
  <c r="Q478" i="26"/>
  <c r="J479" i="26"/>
  <c r="Q479" i="26"/>
  <c r="J480" i="26"/>
  <c r="Q480" i="26"/>
  <c r="J481" i="26"/>
  <c r="Q481" i="26"/>
  <c r="J482" i="26"/>
  <c r="Q482" i="26"/>
  <c r="J483" i="26"/>
  <c r="Q483" i="26"/>
  <c r="J484" i="26"/>
  <c r="Q484" i="26"/>
  <c r="J485" i="26"/>
  <c r="Q485" i="26"/>
  <c r="J486" i="26"/>
  <c r="Q486" i="26"/>
  <c r="J487" i="26"/>
  <c r="Q487" i="26"/>
  <c r="J488" i="26"/>
  <c r="Q488" i="26"/>
  <c r="J489" i="26"/>
  <c r="Q489" i="26"/>
  <c r="J490" i="26"/>
  <c r="Q490" i="26"/>
  <c r="J491" i="26"/>
  <c r="Q491" i="26"/>
  <c r="J492" i="26"/>
  <c r="Q492" i="26"/>
  <c r="J493" i="26"/>
  <c r="Q493" i="26"/>
  <c r="J494" i="26"/>
  <c r="Q494" i="26"/>
  <c r="J495" i="26"/>
  <c r="Q495" i="26"/>
  <c r="J496" i="26"/>
  <c r="Q496" i="26"/>
  <c r="J497" i="26"/>
  <c r="Q497" i="26"/>
  <c r="J498" i="26"/>
  <c r="Q498" i="26"/>
  <c r="J499" i="26"/>
  <c r="Q499" i="26"/>
  <c r="J500" i="26"/>
  <c r="Q500" i="26"/>
  <c r="J501" i="26"/>
  <c r="Q501" i="26"/>
  <c r="J502" i="26"/>
  <c r="Q502" i="26"/>
  <c r="J503" i="26"/>
  <c r="Q503" i="26"/>
  <c r="J504" i="26"/>
  <c r="Q504" i="26"/>
  <c r="J505" i="26"/>
  <c r="Q505" i="26"/>
  <c r="J506" i="26"/>
  <c r="Q506" i="26"/>
  <c r="J507" i="26"/>
  <c r="Q507" i="26"/>
  <c r="J508" i="26"/>
  <c r="Q508" i="26"/>
  <c r="J509" i="26"/>
  <c r="Q509" i="26"/>
  <c r="J510" i="26"/>
  <c r="Q510" i="26"/>
  <c r="J511" i="26"/>
  <c r="Q511" i="26"/>
  <c r="J512" i="26"/>
  <c r="Q512" i="26"/>
  <c r="J513" i="26"/>
  <c r="Q513" i="26"/>
  <c r="J514" i="26"/>
  <c r="Q514" i="26"/>
  <c r="J515" i="26"/>
  <c r="Q515" i="26"/>
  <c r="J516" i="26"/>
  <c r="Q516" i="26"/>
  <c r="J517" i="26"/>
  <c r="Q517" i="26"/>
  <c r="J518" i="26"/>
  <c r="Q518" i="26"/>
  <c r="J519" i="26"/>
  <c r="Q519" i="26"/>
  <c r="J520" i="26"/>
  <c r="Q520" i="26"/>
  <c r="J521" i="26"/>
  <c r="Q521" i="26"/>
  <c r="J522" i="26"/>
  <c r="Q522" i="26"/>
  <c r="J523" i="26"/>
  <c r="Q523" i="26"/>
  <c r="J524" i="26"/>
  <c r="Q524" i="26"/>
  <c r="J525" i="26"/>
  <c r="Q525" i="26"/>
  <c r="J526" i="26"/>
  <c r="Q526" i="26"/>
  <c r="J527" i="26"/>
  <c r="Q527" i="26"/>
  <c r="J528" i="26"/>
  <c r="Q528" i="26"/>
  <c r="J529" i="26"/>
  <c r="Q529" i="26"/>
  <c r="J530" i="26"/>
  <c r="Q530" i="26"/>
  <c r="J531" i="26"/>
  <c r="Q531" i="26"/>
  <c r="J532" i="26"/>
  <c r="Q532" i="26"/>
  <c r="J533" i="26"/>
  <c r="Q533" i="26"/>
  <c r="J534" i="26"/>
  <c r="Q534" i="26"/>
  <c r="J535" i="26"/>
  <c r="Q535" i="26"/>
  <c r="J536" i="26"/>
  <c r="Q536" i="26"/>
  <c r="J537" i="26"/>
  <c r="Q537" i="26"/>
  <c r="J538" i="26"/>
  <c r="Q538" i="26"/>
  <c r="J539" i="26"/>
  <c r="Q539" i="26"/>
  <c r="J540" i="26"/>
  <c r="Q540" i="26"/>
  <c r="J541" i="26"/>
  <c r="Q541" i="26"/>
  <c r="J542" i="26"/>
  <c r="Q542" i="26"/>
  <c r="J543" i="26"/>
  <c r="Q543" i="26"/>
  <c r="J544" i="26"/>
  <c r="Q544" i="26"/>
  <c r="J545" i="26"/>
  <c r="Q545" i="26"/>
  <c r="J546" i="26"/>
  <c r="Q546" i="26"/>
  <c r="J547" i="26"/>
  <c r="Q547" i="26"/>
  <c r="J548" i="26"/>
  <c r="Q548" i="26"/>
  <c r="J549" i="26"/>
  <c r="Q549" i="26"/>
  <c r="J550" i="26"/>
  <c r="Q550" i="26"/>
  <c r="J551" i="26"/>
  <c r="Q551" i="26"/>
  <c r="J552" i="26"/>
  <c r="Q552" i="26"/>
  <c r="J553" i="26"/>
  <c r="Q553" i="26"/>
  <c r="J554" i="26"/>
  <c r="Q554" i="26"/>
  <c r="J555" i="26"/>
  <c r="Q555" i="26"/>
  <c r="J556" i="26"/>
  <c r="Q556" i="26"/>
  <c r="J557" i="26"/>
  <c r="Q557" i="26"/>
  <c r="J558" i="26"/>
  <c r="Q558" i="26"/>
  <c r="J559" i="26"/>
  <c r="Q559" i="26"/>
  <c r="J560" i="26"/>
  <c r="Q560" i="26"/>
  <c r="J561" i="26"/>
  <c r="Q561" i="26"/>
  <c r="J562" i="26"/>
  <c r="Q562" i="26"/>
  <c r="J563" i="26"/>
  <c r="Q563" i="26"/>
  <c r="J564" i="26"/>
  <c r="Q564" i="26"/>
  <c r="J565" i="26"/>
  <c r="Q565" i="26"/>
  <c r="J566" i="26"/>
  <c r="Q566" i="26"/>
  <c r="J567" i="26"/>
  <c r="Q567" i="26"/>
  <c r="J568" i="26"/>
  <c r="Q568" i="26"/>
  <c r="J569" i="26"/>
  <c r="Q569" i="26"/>
  <c r="J570" i="26"/>
  <c r="Q570" i="26"/>
  <c r="J571" i="26"/>
  <c r="Q571" i="26"/>
  <c r="J572" i="26"/>
  <c r="Q572" i="26"/>
  <c r="J573" i="26"/>
  <c r="Q573" i="26"/>
  <c r="J574" i="26"/>
  <c r="Q574" i="26"/>
  <c r="J575" i="26"/>
  <c r="Q575" i="26"/>
  <c r="J576" i="26"/>
  <c r="Q576" i="26"/>
  <c r="J577" i="26"/>
  <c r="Q577" i="26"/>
  <c r="J578" i="26"/>
  <c r="Q578" i="26"/>
  <c r="J579" i="26"/>
  <c r="Q579" i="26"/>
  <c r="J580" i="26"/>
  <c r="Q580" i="26"/>
  <c r="J581" i="26"/>
  <c r="Q581" i="26"/>
  <c r="J582" i="26"/>
  <c r="Q582" i="26"/>
  <c r="J583" i="26"/>
  <c r="Q583" i="26"/>
  <c r="J584" i="26"/>
  <c r="Q584" i="26"/>
  <c r="J585" i="26"/>
  <c r="Q585" i="26"/>
  <c r="J586" i="26"/>
  <c r="Q586" i="26"/>
  <c r="J587" i="26"/>
  <c r="Q587" i="26"/>
  <c r="J588" i="26"/>
  <c r="Q588" i="26"/>
  <c r="J589" i="26"/>
  <c r="Q589" i="26"/>
  <c r="J590" i="26"/>
  <c r="Q590" i="26"/>
  <c r="J591" i="26"/>
  <c r="Q591" i="26"/>
  <c r="J592" i="26"/>
  <c r="Q592" i="26"/>
  <c r="J593" i="26"/>
  <c r="Q593" i="26"/>
  <c r="J594" i="26"/>
  <c r="Q594" i="26"/>
  <c r="J595" i="26"/>
  <c r="Q595" i="26"/>
  <c r="J596" i="26"/>
  <c r="Q596" i="26"/>
  <c r="J597" i="26"/>
  <c r="Q597" i="26"/>
  <c r="J598" i="26"/>
  <c r="Q598" i="26"/>
  <c r="J599" i="26"/>
  <c r="Q599" i="26"/>
  <c r="J600" i="26"/>
  <c r="Q600" i="26"/>
  <c r="J601" i="26"/>
  <c r="Q601" i="26"/>
  <c r="J602" i="26"/>
  <c r="Q602" i="26"/>
  <c r="J603" i="26"/>
  <c r="Q603" i="26"/>
  <c r="J604" i="26"/>
  <c r="Q604" i="26"/>
  <c r="J605" i="26"/>
  <c r="Q605" i="26"/>
  <c r="J606" i="26"/>
  <c r="Q606" i="26"/>
  <c r="J607" i="26"/>
  <c r="Q607" i="26"/>
  <c r="J608" i="26"/>
  <c r="Q608" i="26"/>
  <c r="J609" i="26"/>
  <c r="Q609" i="26"/>
  <c r="J610" i="26"/>
  <c r="Q610" i="26"/>
  <c r="J611" i="26"/>
  <c r="Q611" i="26"/>
  <c r="J612" i="26"/>
  <c r="Q612" i="26"/>
  <c r="J613" i="26"/>
  <c r="Q613" i="26"/>
  <c r="J614" i="26"/>
  <c r="Q614" i="26"/>
  <c r="J615" i="26"/>
  <c r="Q615" i="26"/>
  <c r="J616" i="26"/>
  <c r="Q616" i="26"/>
  <c r="J617" i="26"/>
  <c r="Q617" i="26"/>
  <c r="J618" i="26"/>
  <c r="Q618" i="26"/>
  <c r="J619" i="26"/>
  <c r="Q619" i="26"/>
  <c r="J620" i="26"/>
  <c r="Q620" i="26"/>
  <c r="J621" i="26"/>
  <c r="Q621" i="26"/>
  <c r="J622" i="26"/>
  <c r="Q622" i="26"/>
  <c r="J623" i="26"/>
  <c r="Q623" i="26"/>
  <c r="J624" i="26"/>
  <c r="Q624" i="26"/>
  <c r="J625" i="26"/>
  <c r="Q625" i="26"/>
  <c r="J626" i="26"/>
  <c r="Q626" i="26"/>
  <c r="J627" i="26"/>
  <c r="Q627" i="26"/>
  <c r="J628" i="26"/>
  <c r="Q628" i="26"/>
  <c r="J629" i="26"/>
  <c r="Q629" i="26"/>
  <c r="J630" i="26"/>
  <c r="Q630" i="26"/>
  <c r="J631" i="26"/>
  <c r="Q631" i="26"/>
  <c r="J632" i="26"/>
  <c r="Q632" i="26"/>
  <c r="J633" i="26"/>
  <c r="Q633" i="26"/>
  <c r="J634" i="26"/>
  <c r="Q634" i="26"/>
  <c r="J635" i="26"/>
  <c r="Q635" i="26"/>
  <c r="J636" i="26"/>
  <c r="Q636" i="26"/>
  <c r="J637" i="26"/>
  <c r="Q637" i="26"/>
  <c r="J638" i="26"/>
  <c r="Q638" i="26"/>
  <c r="J639" i="26"/>
  <c r="Q639" i="26"/>
  <c r="J640" i="26"/>
  <c r="Q640" i="26"/>
  <c r="J641" i="26"/>
  <c r="Q641" i="26"/>
  <c r="J642" i="26"/>
  <c r="Q642" i="26"/>
  <c r="J643" i="26"/>
  <c r="Q643" i="26"/>
  <c r="J644" i="26"/>
  <c r="Q644" i="26"/>
  <c r="J645" i="26"/>
  <c r="Q645" i="26"/>
  <c r="J646" i="26"/>
  <c r="Q646" i="26"/>
  <c r="J647" i="26"/>
  <c r="Q647" i="26"/>
  <c r="J648" i="26"/>
  <c r="Q648" i="26"/>
  <c r="J649" i="26"/>
  <c r="Q649" i="26"/>
  <c r="J650" i="26"/>
  <c r="Q650" i="26"/>
  <c r="J651" i="26"/>
  <c r="Q651" i="26"/>
  <c r="J652" i="26"/>
  <c r="Q652" i="26"/>
  <c r="J653" i="26"/>
  <c r="Q653" i="26"/>
  <c r="J654" i="26"/>
  <c r="Q654" i="26"/>
  <c r="J655" i="26"/>
  <c r="Q655" i="26"/>
  <c r="J656" i="26"/>
  <c r="Q656" i="26"/>
  <c r="J657" i="26"/>
  <c r="Q657" i="26"/>
  <c r="J658" i="26"/>
  <c r="Q658" i="26"/>
  <c r="J659" i="26"/>
  <c r="Q659" i="26"/>
  <c r="J660" i="26"/>
  <c r="Q660" i="26"/>
  <c r="J661" i="26"/>
  <c r="Q661" i="26"/>
  <c r="J662" i="26"/>
  <c r="Q662" i="26"/>
  <c r="J663" i="26"/>
  <c r="Q663" i="26"/>
  <c r="J664" i="26"/>
  <c r="Q664" i="26"/>
  <c r="J665" i="26"/>
  <c r="Q665" i="26"/>
  <c r="J666" i="26"/>
  <c r="Q666" i="26"/>
  <c r="J667" i="26"/>
  <c r="Q667" i="26"/>
  <c r="J668" i="26"/>
  <c r="Q668" i="26"/>
  <c r="J669" i="26"/>
  <c r="Q669" i="26"/>
  <c r="J670" i="26"/>
  <c r="Q670" i="26"/>
  <c r="J671" i="26"/>
  <c r="Q671" i="26"/>
  <c r="J672" i="26"/>
  <c r="Q672" i="26"/>
  <c r="J673" i="26"/>
  <c r="Q673" i="26"/>
  <c r="J674" i="26"/>
  <c r="Q674" i="26"/>
  <c r="J675" i="26"/>
  <c r="Q675" i="26"/>
  <c r="J676" i="26"/>
  <c r="Q676" i="26"/>
  <c r="J677" i="26"/>
  <c r="Q677" i="26"/>
  <c r="J678" i="26"/>
  <c r="Q678" i="26"/>
  <c r="J679" i="26"/>
  <c r="Q679" i="26"/>
  <c r="J680" i="26"/>
  <c r="Q680" i="26"/>
  <c r="J681" i="26"/>
  <c r="Q681" i="26"/>
  <c r="J682" i="26"/>
  <c r="Q682" i="26"/>
  <c r="J683" i="26"/>
  <c r="Q683" i="26"/>
  <c r="J684" i="26"/>
  <c r="Q684" i="26"/>
  <c r="J685" i="26"/>
  <c r="Q685" i="26"/>
  <c r="J686" i="26"/>
  <c r="Q686" i="26"/>
  <c r="J687" i="26"/>
  <c r="Q687" i="26"/>
  <c r="J688" i="26"/>
  <c r="Q688" i="26"/>
  <c r="J689" i="26"/>
  <c r="Q689" i="26"/>
  <c r="J690" i="26"/>
  <c r="Q690" i="26"/>
  <c r="J691" i="26"/>
  <c r="Q691" i="26"/>
  <c r="J692" i="26"/>
  <c r="Q692" i="26"/>
  <c r="J693" i="26"/>
  <c r="Q693" i="26"/>
  <c r="J694" i="26"/>
  <c r="Q694" i="26"/>
  <c r="J695" i="26"/>
  <c r="Q695" i="26"/>
  <c r="J696" i="26"/>
  <c r="Q696" i="26"/>
  <c r="J697" i="26"/>
  <c r="Q697" i="26"/>
  <c r="J698" i="26"/>
  <c r="Q698" i="26"/>
  <c r="J699" i="26"/>
  <c r="Q699" i="26"/>
  <c r="J700" i="26"/>
  <c r="Q700" i="26"/>
  <c r="J701" i="26"/>
  <c r="Q701" i="26"/>
  <c r="J702" i="26"/>
  <c r="Q702" i="26"/>
  <c r="J703" i="26"/>
  <c r="Q703" i="26"/>
  <c r="J704" i="26"/>
  <c r="Q704" i="26"/>
  <c r="J705" i="26"/>
  <c r="Q705" i="26"/>
  <c r="J706" i="26"/>
  <c r="Q706" i="26"/>
  <c r="J707" i="26"/>
  <c r="Q707" i="26"/>
  <c r="J708" i="26"/>
  <c r="Q708" i="26"/>
  <c r="J709" i="26"/>
  <c r="Q709" i="26"/>
  <c r="J710" i="26"/>
  <c r="Q710" i="26"/>
  <c r="J711" i="26"/>
  <c r="Q711" i="26"/>
  <c r="J712" i="26"/>
  <c r="Q712" i="26"/>
  <c r="J713" i="26"/>
  <c r="Q713" i="26"/>
  <c r="J714" i="26"/>
  <c r="Q714" i="26"/>
  <c r="J715" i="26"/>
  <c r="Q715" i="26"/>
  <c r="J716" i="26"/>
  <c r="Q716" i="26"/>
  <c r="J717" i="26"/>
  <c r="Q717" i="26"/>
  <c r="J718" i="26"/>
  <c r="Q718" i="26"/>
  <c r="J719" i="26"/>
  <c r="Q719" i="26"/>
  <c r="J720" i="26"/>
  <c r="Q720" i="26"/>
  <c r="J721" i="26"/>
  <c r="Q721" i="26"/>
  <c r="J722" i="26"/>
  <c r="Q722" i="26"/>
  <c r="J723" i="26"/>
  <c r="Q723" i="26"/>
  <c r="J724" i="26"/>
  <c r="Q724" i="26"/>
  <c r="J725" i="26"/>
  <c r="Q725" i="26"/>
  <c r="J726" i="26"/>
  <c r="Q726" i="26"/>
  <c r="J727" i="26"/>
  <c r="Q727" i="26"/>
  <c r="J728" i="26"/>
  <c r="Q728" i="26"/>
  <c r="J729" i="26"/>
  <c r="Q729" i="26"/>
  <c r="J730" i="26"/>
  <c r="Q730" i="26"/>
  <c r="J731" i="26"/>
  <c r="Q731" i="26"/>
  <c r="J732" i="26"/>
  <c r="Q732" i="26"/>
  <c r="J733" i="26"/>
  <c r="Q733" i="26"/>
  <c r="J734" i="26"/>
  <c r="Q734" i="26"/>
  <c r="J735" i="26"/>
  <c r="Q735" i="26"/>
  <c r="J736" i="26"/>
  <c r="Q736" i="26"/>
  <c r="J737" i="26"/>
  <c r="Q737" i="26"/>
  <c r="J738" i="26"/>
  <c r="Q738" i="26"/>
  <c r="J739" i="26"/>
  <c r="Q739" i="26"/>
  <c r="J740" i="26"/>
  <c r="Q740" i="26"/>
  <c r="J741" i="26"/>
  <c r="Q741" i="26"/>
  <c r="J742" i="26"/>
  <c r="Q742" i="26"/>
  <c r="J743" i="26"/>
  <c r="Q743" i="26"/>
  <c r="J744" i="26"/>
  <c r="Q744" i="26"/>
  <c r="J745" i="26"/>
  <c r="Q745" i="26"/>
  <c r="J746" i="26"/>
  <c r="Q746" i="26"/>
  <c r="J747" i="26"/>
  <c r="Q747" i="26"/>
  <c r="J748" i="26"/>
  <c r="Q748" i="26"/>
  <c r="J749" i="26"/>
  <c r="Q749" i="26"/>
  <c r="J750" i="26"/>
  <c r="Q750" i="26"/>
  <c r="J751" i="26"/>
  <c r="Q751" i="26"/>
  <c r="J752" i="26"/>
  <c r="Q752" i="26"/>
  <c r="J753" i="26"/>
  <c r="Q753" i="26"/>
  <c r="J754" i="26"/>
  <c r="Q754" i="26"/>
  <c r="J755" i="26"/>
  <c r="Q755" i="26"/>
  <c r="J756" i="26"/>
  <c r="Q756" i="26"/>
  <c r="J757" i="26"/>
  <c r="Q757" i="26"/>
  <c r="J758" i="26"/>
  <c r="Q758" i="26"/>
  <c r="J759" i="26"/>
  <c r="Q759" i="26"/>
  <c r="J760" i="26"/>
  <c r="Q760" i="26"/>
  <c r="J761" i="26"/>
  <c r="Q761" i="26"/>
  <c r="J762" i="26"/>
  <c r="Q762" i="26"/>
  <c r="J763" i="26"/>
  <c r="Q763" i="26"/>
  <c r="J764" i="26"/>
  <c r="Q764" i="26"/>
  <c r="J765" i="26"/>
  <c r="Q765" i="26"/>
  <c r="J766" i="26"/>
  <c r="Q766" i="26"/>
  <c r="J767" i="26"/>
  <c r="Q767" i="26"/>
  <c r="J768" i="26"/>
  <c r="Q768" i="26"/>
  <c r="J769" i="26"/>
  <c r="Q769" i="26"/>
  <c r="J770" i="26"/>
  <c r="Q770" i="26"/>
  <c r="J771" i="26"/>
  <c r="Q771" i="26"/>
  <c r="J772" i="26"/>
  <c r="Q772" i="26"/>
  <c r="J773" i="26"/>
  <c r="Q773" i="26"/>
  <c r="J774" i="26"/>
  <c r="Q774" i="26"/>
  <c r="J775" i="26"/>
  <c r="Q775" i="26"/>
  <c r="J776" i="26"/>
  <c r="Q776" i="26"/>
  <c r="J777" i="26"/>
  <c r="Q777" i="26"/>
  <c r="J778" i="26"/>
  <c r="Q778" i="26"/>
  <c r="J779" i="26"/>
  <c r="Q779" i="26"/>
  <c r="J780" i="26"/>
  <c r="Q780" i="26"/>
  <c r="J781" i="26"/>
  <c r="Q781" i="26"/>
  <c r="J782" i="26"/>
  <c r="Q782" i="26"/>
  <c r="J783" i="26"/>
  <c r="Q783" i="26"/>
  <c r="J784" i="26"/>
  <c r="Q784" i="26"/>
  <c r="J785" i="26"/>
  <c r="Q785" i="26"/>
  <c r="J786" i="26"/>
  <c r="Q786" i="26"/>
  <c r="J787" i="26"/>
  <c r="Q787" i="26"/>
  <c r="J788" i="26"/>
  <c r="Q788" i="26"/>
  <c r="J789" i="26"/>
  <c r="Q789" i="26"/>
  <c r="J790" i="26"/>
  <c r="Q790" i="26"/>
  <c r="J791" i="26"/>
  <c r="Q791" i="26"/>
  <c r="J792" i="26"/>
  <c r="Q792" i="26"/>
  <c r="J793" i="26"/>
  <c r="Q793" i="26"/>
  <c r="J794" i="26"/>
  <c r="Q794" i="26"/>
  <c r="J795" i="26"/>
  <c r="Q795" i="26"/>
  <c r="J796" i="26"/>
  <c r="Q796" i="26"/>
  <c r="J797" i="26"/>
  <c r="Q797" i="26"/>
  <c r="J798" i="26"/>
  <c r="Q798" i="26"/>
  <c r="J799" i="26"/>
  <c r="Q799" i="26"/>
  <c r="J800" i="26"/>
  <c r="Q800" i="26"/>
  <c r="J801" i="26"/>
  <c r="Q801" i="26"/>
  <c r="J802" i="26"/>
  <c r="Q802" i="26"/>
  <c r="J803" i="26"/>
  <c r="Q803" i="26"/>
  <c r="J804" i="26"/>
  <c r="Q804" i="26"/>
  <c r="J805" i="26"/>
  <c r="Q805" i="26"/>
  <c r="J806" i="26"/>
  <c r="Q806" i="26"/>
  <c r="J807" i="26"/>
  <c r="Q807" i="26"/>
  <c r="J808" i="26"/>
  <c r="Q808" i="26"/>
  <c r="J809" i="26"/>
  <c r="Q809" i="26"/>
  <c r="J810" i="26"/>
  <c r="Q810" i="26"/>
  <c r="J811" i="26"/>
  <c r="Q811" i="26"/>
  <c r="J812" i="26"/>
  <c r="Q812" i="26"/>
  <c r="J813" i="26"/>
  <c r="Q813" i="26"/>
  <c r="J814" i="26"/>
  <c r="Q814" i="26"/>
  <c r="J815" i="26"/>
  <c r="Q815" i="26"/>
  <c r="J816" i="26"/>
  <c r="Q816" i="26"/>
  <c r="J817" i="26"/>
  <c r="Q817" i="26"/>
  <c r="J818" i="26"/>
  <c r="Q818" i="26"/>
  <c r="J819" i="26"/>
  <c r="Q819" i="26"/>
  <c r="J820" i="26"/>
  <c r="Q820" i="26"/>
  <c r="J821" i="26"/>
  <c r="Q821" i="26"/>
  <c r="J822" i="26"/>
  <c r="Q822" i="26"/>
  <c r="J823" i="26"/>
  <c r="Q823" i="26"/>
  <c r="J824" i="26"/>
  <c r="Q824" i="26"/>
  <c r="J825" i="26"/>
  <c r="Q825" i="26"/>
  <c r="J826" i="26"/>
  <c r="Q826" i="26"/>
  <c r="J827" i="26"/>
  <c r="Q827" i="26"/>
  <c r="J828" i="26"/>
  <c r="Q828" i="26"/>
  <c r="J829" i="26"/>
  <c r="Q829" i="26"/>
  <c r="J830" i="26"/>
  <c r="Q830" i="26"/>
  <c r="J831" i="26"/>
  <c r="Q831" i="26"/>
  <c r="J832" i="26"/>
  <c r="Q832" i="26"/>
  <c r="J833" i="26"/>
  <c r="Q833" i="26"/>
  <c r="J834" i="26"/>
  <c r="Q834" i="26"/>
  <c r="J835" i="26"/>
  <c r="Q835" i="26"/>
  <c r="J836" i="26"/>
  <c r="Q836" i="26"/>
  <c r="J837" i="26"/>
  <c r="Q837" i="26"/>
  <c r="J838" i="26"/>
  <c r="Q838" i="26"/>
  <c r="J839" i="26"/>
  <c r="Q839" i="26"/>
  <c r="J840" i="26"/>
  <c r="Q840" i="26"/>
  <c r="J841" i="26"/>
  <c r="Q841" i="26"/>
  <c r="J842" i="26"/>
  <c r="Q842" i="26"/>
  <c r="J843" i="26"/>
  <c r="Q843" i="26"/>
  <c r="J844" i="26"/>
  <c r="Q844" i="26"/>
  <c r="J845" i="26"/>
  <c r="Q845" i="26"/>
  <c r="J846" i="26"/>
  <c r="Q846" i="26"/>
  <c r="J847" i="26"/>
  <c r="Q847" i="26"/>
  <c r="J848" i="26"/>
  <c r="Q848" i="26"/>
  <c r="J849" i="26"/>
  <c r="Q849" i="26"/>
  <c r="J850" i="26"/>
  <c r="Q850" i="26"/>
  <c r="J851" i="26"/>
  <c r="Q851" i="26"/>
  <c r="J852" i="26"/>
  <c r="Q852" i="26"/>
  <c r="J853" i="26"/>
  <c r="Q853" i="26"/>
  <c r="J854" i="26"/>
  <c r="Q854" i="26"/>
  <c r="J855" i="26"/>
  <c r="Q855" i="26"/>
  <c r="J856" i="26"/>
  <c r="Q856" i="26"/>
  <c r="J857" i="26"/>
  <c r="Q857" i="26"/>
  <c r="J858" i="26"/>
  <c r="Q858" i="26"/>
  <c r="J859" i="26"/>
  <c r="Q859" i="26"/>
  <c r="J860" i="26"/>
  <c r="Q860" i="26"/>
  <c r="J861" i="26"/>
  <c r="Q861" i="26"/>
  <c r="J862" i="26"/>
  <c r="Q862" i="26"/>
  <c r="J863" i="26"/>
  <c r="Q863" i="26"/>
  <c r="J864" i="26"/>
  <c r="Q864" i="26"/>
  <c r="J865" i="26"/>
  <c r="Q865" i="26"/>
  <c r="J866" i="26"/>
  <c r="Q866" i="26"/>
  <c r="J867" i="26"/>
  <c r="Q867" i="26"/>
  <c r="J868" i="26"/>
  <c r="Q868" i="26"/>
  <c r="J869" i="26"/>
  <c r="Q869" i="26"/>
  <c r="J870" i="26"/>
  <c r="Q870" i="26"/>
  <c r="J871" i="26"/>
  <c r="Q871" i="26"/>
  <c r="J872" i="26"/>
  <c r="Q872" i="26"/>
  <c r="J873" i="26"/>
  <c r="Q873" i="26"/>
  <c r="J874" i="26"/>
  <c r="Q874" i="26"/>
  <c r="J875" i="26"/>
  <c r="Q875" i="26"/>
  <c r="J876" i="26"/>
  <c r="Q876" i="26"/>
  <c r="J877" i="26"/>
  <c r="Q877" i="26"/>
  <c r="J878" i="26"/>
  <c r="Q878" i="26"/>
  <c r="J879" i="26"/>
  <c r="Q879" i="26"/>
  <c r="J880" i="26"/>
  <c r="Q880" i="26"/>
  <c r="J881" i="26"/>
  <c r="Q881" i="26"/>
  <c r="J882" i="26"/>
  <c r="Q882" i="26"/>
  <c r="J883" i="26"/>
  <c r="Q883" i="26"/>
  <c r="J884" i="26"/>
  <c r="Q884" i="26"/>
  <c r="J885" i="26"/>
  <c r="Q885" i="26"/>
  <c r="J886" i="26"/>
  <c r="Q886" i="26"/>
  <c r="J887" i="26"/>
  <c r="Q887" i="26"/>
  <c r="J888" i="26"/>
  <c r="Q888" i="26"/>
  <c r="J889" i="26"/>
  <c r="Q889" i="26"/>
  <c r="J890" i="26"/>
  <c r="Q890" i="26"/>
  <c r="J891" i="26"/>
  <c r="Q891" i="26"/>
  <c r="J892" i="26"/>
  <c r="Q892" i="26"/>
  <c r="J893" i="26"/>
  <c r="Q893" i="26"/>
  <c r="J894" i="26"/>
  <c r="Q894" i="26"/>
  <c r="J895" i="26"/>
  <c r="Q895" i="26"/>
  <c r="J896" i="26"/>
  <c r="Q896" i="26"/>
  <c r="J897" i="26"/>
  <c r="Q897" i="26"/>
  <c r="J898" i="26"/>
  <c r="Q898" i="26"/>
  <c r="J899" i="26"/>
  <c r="Q899" i="26"/>
  <c r="J900" i="26"/>
  <c r="Q900" i="26"/>
  <c r="J901" i="26"/>
  <c r="Q901" i="26"/>
  <c r="J902" i="26"/>
  <c r="Q902" i="26"/>
  <c r="J903" i="26"/>
  <c r="Q903" i="26"/>
  <c r="J904" i="26"/>
  <c r="Q904" i="26"/>
  <c r="J905" i="26"/>
  <c r="Q905" i="26"/>
  <c r="J906" i="26"/>
  <c r="Q906" i="26"/>
  <c r="J907" i="26"/>
  <c r="Q907" i="26"/>
  <c r="J908" i="26"/>
  <c r="Q908" i="26"/>
  <c r="J909" i="26"/>
  <c r="Q909" i="26"/>
  <c r="J910" i="26"/>
  <c r="Q910" i="26"/>
  <c r="J911" i="26"/>
  <c r="Q911" i="26"/>
  <c r="J912" i="26"/>
  <c r="Q912" i="26"/>
  <c r="J913" i="26"/>
  <c r="Q913" i="26"/>
  <c r="J914" i="26"/>
  <c r="Q914" i="26"/>
  <c r="J915" i="26"/>
  <c r="Q915" i="26"/>
  <c r="J916" i="26"/>
  <c r="Q916" i="26"/>
  <c r="J917" i="26"/>
  <c r="Q917" i="26"/>
  <c r="J918" i="26"/>
  <c r="Q918" i="26"/>
  <c r="J919" i="26"/>
  <c r="Q919" i="26"/>
  <c r="J920" i="26"/>
  <c r="Q920" i="26"/>
  <c r="J921" i="26"/>
  <c r="Q921" i="26"/>
  <c r="J922" i="26"/>
  <c r="Q922" i="26"/>
  <c r="J923" i="26"/>
  <c r="Q923" i="26"/>
  <c r="J924" i="26"/>
  <c r="Q924" i="26"/>
  <c r="J925" i="26"/>
  <c r="Q925" i="26"/>
  <c r="J926" i="26"/>
  <c r="Q926" i="26"/>
  <c r="J927" i="26"/>
  <c r="Q927" i="26"/>
  <c r="J928" i="26"/>
  <c r="Q928" i="26"/>
  <c r="J929" i="26"/>
  <c r="Q929" i="26"/>
  <c r="J930" i="26"/>
  <c r="Q930" i="26"/>
  <c r="J931" i="26"/>
  <c r="Q931" i="26"/>
  <c r="J932" i="26"/>
  <c r="Q932" i="26"/>
  <c r="J933" i="26"/>
  <c r="Q933" i="26"/>
  <c r="J934" i="26"/>
  <c r="Q934" i="26"/>
  <c r="J935" i="26"/>
  <c r="Q935" i="26"/>
  <c r="J936" i="26"/>
  <c r="Q936" i="26"/>
  <c r="J937" i="26"/>
  <c r="Q937" i="26"/>
  <c r="J938" i="26"/>
  <c r="Q938" i="26"/>
  <c r="J939" i="26"/>
  <c r="Q939" i="26"/>
  <c r="J940" i="26"/>
  <c r="Q940" i="26"/>
  <c r="J941" i="26"/>
  <c r="Q941" i="26"/>
  <c r="J942" i="26"/>
  <c r="Q942" i="26"/>
  <c r="J943" i="26"/>
  <c r="Q943" i="26"/>
  <c r="J944" i="26"/>
  <c r="Q944" i="26"/>
  <c r="J945" i="26"/>
  <c r="Q945" i="26"/>
  <c r="J946" i="26"/>
  <c r="Q946" i="26"/>
  <c r="J947" i="26"/>
  <c r="Q947" i="26"/>
  <c r="J948" i="26"/>
  <c r="Q948" i="26"/>
  <c r="J949" i="26"/>
  <c r="Q949" i="26"/>
  <c r="J950" i="26"/>
  <c r="Q950" i="26"/>
  <c r="J951" i="26"/>
  <c r="Q951" i="26"/>
  <c r="J952" i="26"/>
  <c r="Q952" i="26"/>
  <c r="J953" i="26"/>
  <c r="Q953" i="26"/>
  <c r="J954" i="26"/>
  <c r="Q954" i="26"/>
  <c r="J955" i="26"/>
  <c r="Q955" i="26"/>
  <c r="J956" i="26"/>
  <c r="Q956" i="26"/>
  <c r="J957" i="26"/>
  <c r="Q957" i="26"/>
  <c r="J958" i="26"/>
  <c r="Q958" i="26"/>
  <c r="J959" i="26"/>
  <c r="Q959" i="26"/>
  <c r="J960" i="26"/>
  <c r="Q960" i="26"/>
  <c r="J961" i="26"/>
  <c r="Q961" i="26"/>
  <c r="J962" i="26"/>
  <c r="Q962" i="26"/>
  <c r="J963" i="26"/>
  <c r="Q963" i="26"/>
  <c r="J964" i="26"/>
  <c r="Q964" i="26"/>
  <c r="J965" i="26"/>
  <c r="Q965" i="26"/>
  <c r="J966" i="26"/>
  <c r="Q966" i="26"/>
  <c r="J967" i="26"/>
  <c r="Q967" i="26"/>
  <c r="J968" i="26"/>
  <c r="Q968" i="26"/>
  <c r="J969" i="26"/>
  <c r="Q969" i="26"/>
  <c r="J970" i="26"/>
  <c r="Q970" i="26"/>
  <c r="J971" i="26"/>
  <c r="Q971" i="26"/>
  <c r="J972" i="26"/>
  <c r="Q972" i="26"/>
  <c r="J973" i="26"/>
  <c r="Q973" i="26"/>
  <c r="J974" i="26"/>
  <c r="Q974" i="26"/>
  <c r="J975" i="26"/>
  <c r="Q975" i="26"/>
  <c r="J976" i="26"/>
  <c r="Q976" i="26"/>
  <c r="J977" i="26"/>
  <c r="Q977" i="26"/>
  <c r="J978" i="26"/>
  <c r="Q978" i="26"/>
  <c r="J979" i="26"/>
  <c r="Q979" i="26"/>
  <c r="J980" i="26"/>
  <c r="Q980" i="26"/>
  <c r="J981" i="26"/>
  <c r="Q981" i="26"/>
  <c r="J982" i="26"/>
  <c r="Q982" i="26"/>
  <c r="J983" i="26"/>
  <c r="Q983" i="26"/>
  <c r="J984" i="26"/>
  <c r="Q984" i="26"/>
  <c r="J985" i="26"/>
  <c r="Q985" i="26"/>
  <c r="J986" i="26"/>
  <c r="Q986" i="26"/>
  <c r="J987" i="26"/>
  <c r="Q987" i="26"/>
  <c r="J988" i="26"/>
  <c r="Q988" i="26"/>
  <c r="J989" i="26"/>
  <c r="Q989" i="26"/>
  <c r="J990" i="26"/>
  <c r="Q990" i="26"/>
  <c r="J991" i="26"/>
  <c r="Q991" i="26"/>
  <c r="J992" i="26"/>
  <c r="Q992" i="26"/>
  <c r="J993" i="26"/>
  <c r="Q993" i="26"/>
  <c r="J994" i="26"/>
  <c r="Q994" i="26"/>
  <c r="J995" i="26"/>
  <c r="Q995" i="26"/>
  <c r="J996" i="26"/>
  <c r="Q996" i="26"/>
  <c r="J997" i="26"/>
  <c r="Q997" i="26"/>
  <c r="J998" i="26"/>
  <c r="Q998" i="26"/>
  <c r="J999" i="26"/>
  <c r="Q999" i="26"/>
  <c r="J1000" i="26"/>
  <c r="Q1000" i="26"/>
  <c r="N1000" i="26" l="1"/>
  <c r="U1000" i="26"/>
  <c r="S1000" i="26"/>
  <c r="T1000" i="26"/>
  <c r="R1000" i="26"/>
  <c r="N994" i="26"/>
  <c r="U994" i="26"/>
  <c r="R994" i="26"/>
  <c r="T994" i="26"/>
  <c r="S994" i="26"/>
  <c r="N988" i="26"/>
  <c r="U988" i="26"/>
  <c r="S988" i="26"/>
  <c r="R988" i="26"/>
  <c r="T988" i="26"/>
  <c r="N982" i="26"/>
  <c r="U982" i="26"/>
  <c r="R982" i="26"/>
  <c r="T982" i="26"/>
  <c r="S982" i="26"/>
  <c r="N976" i="26"/>
  <c r="U976" i="26"/>
  <c r="S976" i="26"/>
  <c r="T976" i="26"/>
  <c r="R976" i="26"/>
  <c r="N970" i="26"/>
  <c r="U970" i="26"/>
  <c r="R970" i="26"/>
  <c r="S970" i="26"/>
  <c r="T970" i="26"/>
  <c r="N964" i="26"/>
  <c r="U964" i="26"/>
  <c r="S964" i="26"/>
  <c r="T964" i="26"/>
  <c r="R964" i="26"/>
  <c r="N958" i="26"/>
  <c r="U958" i="26"/>
  <c r="T958" i="26"/>
  <c r="R958" i="26"/>
  <c r="S958" i="26"/>
  <c r="N952" i="26"/>
  <c r="U952" i="26"/>
  <c r="S952" i="26"/>
  <c r="T952" i="26"/>
  <c r="R952" i="26"/>
  <c r="N946" i="26"/>
  <c r="U946" i="26"/>
  <c r="T946" i="26"/>
  <c r="R946" i="26"/>
  <c r="S946" i="26"/>
  <c r="N940" i="26"/>
  <c r="U940" i="26"/>
  <c r="S940" i="26"/>
  <c r="T940" i="26"/>
  <c r="R940" i="26"/>
  <c r="N934" i="26"/>
  <c r="U934" i="26"/>
  <c r="R934" i="26"/>
  <c r="T934" i="26"/>
  <c r="S934" i="26"/>
  <c r="N928" i="26"/>
  <c r="U928" i="26"/>
  <c r="S928" i="26"/>
  <c r="T928" i="26"/>
  <c r="R928" i="26"/>
  <c r="U922" i="26"/>
  <c r="R922" i="26"/>
  <c r="S922" i="26"/>
  <c r="T922" i="26"/>
  <c r="N916" i="26"/>
  <c r="U916" i="26"/>
  <c r="T916" i="26"/>
  <c r="R916" i="26"/>
  <c r="S916" i="26"/>
  <c r="N908" i="26"/>
  <c r="U908" i="26"/>
  <c r="T908" i="26"/>
  <c r="R908" i="26"/>
  <c r="S908" i="26"/>
  <c r="N900" i="26"/>
  <c r="U900" i="26"/>
  <c r="T900" i="26"/>
  <c r="R900" i="26"/>
  <c r="S900" i="26"/>
  <c r="N894" i="26"/>
  <c r="U894" i="26"/>
  <c r="R894" i="26"/>
  <c r="S894" i="26"/>
  <c r="T894" i="26"/>
  <c r="N888" i="26"/>
  <c r="U888" i="26"/>
  <c r="T888" i="26"/>
  <c r="R888" i="26"/>
  <c r="S888" i="26"/>
  <c r="N882" i="26"/>
  <c r="U882" i="26"/>
  <c r="R882" i="26"/>
  <c r="S882" i="26"/>
  <c r="T882" i="26"/>
  <c r="N872" i="26"/>
  <c r="U872" i="26"/>
  <c r="T872" i="26"/>
  <c r="R872" i="26"/>
  <c r="S872" i="26"/>
  <c r="N864" i="26"/>
  <c r="U864" i="26"/>
  <c r="T864" i="26"/>
  <c r="R864" i="26"/>
  <c r="S864" i="26"/>
  <c r="O850" i="26"/>
  <c r="U850" i="26"/>
  <c r="R850" i="26"/>
  <c r="S850" i="26"/>
  <c r="T850" i="26"/>
  <c r="O822" i="26"/>
  <c r="U822" i="26"/>
  <c r="R822" i="26"/>
  <c r="S822" i="26"/>
  <c r="T822" i="26"/>
  <c r="O814" i="26"/>
  <c r="U814" i="26"/>
  <c r="R814" i="26"/>
  <c r="S814" i="26"/>
  <c r="T814" i="26"/>
  <c r="O808" i="26"/>
  <c r="U808" i="26"/>
  <c r="T808" i="26"/>
  <c r="R808" i="26"/>
  <c r="S808" i="26"/>
  <c r="U804" i="26"/>
  <c r="T804" i="26"/>
  <c r="R804" i="26"/>
  <c r="S804" i="26"/>
  <c r="N798" i="26"/>
  <c r="U798" i="26"/>
  <c r="R798" i="26"/>
  <c r="S798" i="26"/>
  <c r="T798" i="26"/>
  <c r="N792" i="26"/>
  <c r="U792" i="26"/>
  <c r="T792" i="26"/>
  <c r="R792" i="26"/>
  <c r="S792" i="26"/>
  <c r="N786" i="26"/>
  <c r="U786" i="26"/>
  <c r="R786" i="26"/>
  <c r="S786" i="26"/>
  <c r="T786" i="26"/>
  <c r="N780" i="26"/>
  <c r="U780" i="26"/>
  <c r="T780" i="26"/>
  <c r="R780" i="26"/>
  <c r="S780" i="26"/>
  <c r="N774" i="26"/>
  <c r="U774" i="26"/>
  <c r="R774" i="26"/>
  <c r="S774" i="26"/>
  <c r="T774" i="26"/>
  <c r="N768" i="26"/>
  <c r="U768" i="26"/>
  <c r="T768" i="26"/>
  <c r="R768" i="26"/>
  <c r="S768" i="26"/>
  <c r="N762" i="26"/>
  <c r="U762" i="26"/>
  <c r="R762" i="26"/>
  <c r="S762" i="26"/>
  <c r="T762" i="26"/>
  <c r="N756" i="26"/>
  <c r="U756" i="26"/>
  <c r="T756" i="26"/>
  <c r="R756" i="26"/>
  <c r="S756" i="26"/>
  <c r="N750" i="26"/>
  <c r="U750" i="26"/>
  <c r="R750" i="26"/>
  <c r="S750" i="26"/>
  <c r="T750" i="26"/>
  <c r="N744" i="26"/>
  <c r="U744" i="26"/>
  <c r="T744" i="26"/>
  <c r="R744" i="26"/>
  <c r="S744" i="26"/>
  <c r="N736" i="26"/>
  <c r="U736" i="26"/>
  <c r="T736" i="26"/>
  <c r="R736" i="26"/>
  <c r="S736" i="26"/>
  <c r="O732" i="26"/>
  <c r="U732" i="26"/>
  <c r="T732" i="26"/>
  <c r="R732" i="26"/>
  <c r="S732" i="26"/>
  <c r="N726" i="26"/>
  <c r="U726" i="26"/>
  <c r="R726" i="26"/>
  <c r="S726" i="26"/>
  <c r="T726" i="26"/>
  <c r="K718" i="26"/>
  <c r="M718" i="26" s="1"/>
  <c r="U718" i="26"/>
  <c r="R718" i="26"/>
  <c r="S718" i="26"/>
  <c r="T718" i="26"/>
  <c r="K714" i="26"/>
  <c r="L714" i="26" s="1"/>
  <c r="U714" i="26"/>
  <c r="R714" i="26"/>
  <c r="S714" i="26"/>
  <c r="T714" i="26"/>
  <c r="K708" i="26"/>
  <c r="U708" i="26"/>
  <c r="T708" i="26"/>
  <c r="R708" i="26"/>
  <c r="S708" i="26"/>
  <c r="K704" i="26"/>
  <c r="U704" i="26"/>
  <c r="T704" i="26"/>
  <c r="R704" i="26"/>
  <c r="S704" i="26"/>
  <c r="K700" i="26"/>
  <c r="U700" i="26"/>
  <c r="T700" i="26"/>
  <c r="R700" i="26"/>
  <c r="S700" i="26"/>
  <c r="K696" i="26"/>
  <c r="M696" i="26" s="1"/>
  <c r="U696" i="26"/>
  <c r="T696" i="26"/>
  <c r="R696" i="26"/>
  <c r="S696" i="26"/>
  <c r="O694" i="26"/>
  <c r="U694" i="26"/>
  <c r="R694" i="26"/>
  <c r="S694" i="26"/>
  <c r="T694" i="26"/>
  <c r="K688" i="26"/>
  <c r="U688" i="26"/>
  <c r="T688" i="26"/>
  <c r="R688" i="26"/>
  <c r="S688" i="26"/>
  <c r="K684" i="26"/>
  <c r="U684" i="26"/>
  <c r="T684" i="26"/>
  <c r="R684" i="26"/>
  <c r="S684" i="26"/>
  <c r="N680" i="26"/>
  <c r="U680" i="26"/>
  <c r="T680" i="26"/>
  <c r="R680" i="26"/>
  <c r="S680" i="26"/>
  <c r="U676" i="26"/>
  <c r="T676" i="26"/>
  <c r="R676" i="26"/>
  <c r="S676" i="26"/>
  <c r="N672" i="26"/>
  <c r="U672" i="26"/>
  <c r="T672" i="26"/>
  <c r="R672" i="26"/>
  <c r="S672" i="26"/>
  <c r="U668" i="26"/>
  <c r="T668" i="26"/>
  <c r="R668" i="26"/>
  <c r="S668" i="26"/>
  <c r="N664" i="26"/>
  <c r="U664" i="26"/>
  <c r="T664" i="26"/>
  <c r="R664" i="26"/>
  <c r="S664" i="26"/>
  <c r="U660" i="26"/>
  <c r="T660" i="26"/>
  <c r="R660" i="26"/>
  <c r="S660" i="26"/>
  <c r="N656" i="26"/>
  <c r="U656" i="26"/>
  <c r="T656" i="26"/>
  <c r="R656" i="26"/>
  <c r="S656" i="26"/>
  <c r="U652" i="26"/>
  <c r="T652" i="26"/>
  <c r="R652" i="26"/>
  <c r="S652" i="26"/>
  <c r="P648" i="26"/>
  <c r="U648" i="26"/>
  <c r="T648" i="26"/>
  <c r="R648" i="26"/>
  <c r="S648" i="26"/>
  <c r="P644" i="26"/>
  <c r="U644" i="26"/>
  <c r="T644" i="26"/>
  <c r="R644" i="26"/>
  <c r="S644" i="26"/>
  <c r="P640" i="26"/>
  <c r="U640" i="26"/>
  <c r="T640" i="26"/>
  <c r="R640" i="26"/>
  <c r="S640" i="26"/>
  <c r="P636" i="26"/>
  <c r="U636" i="26"/>
  <c r="T636" i="26"/>
  <c r="R636" i="26"/>
  <c r="S636" i="26"/>
  <c r="P632" i="26"/>
  <c r="U632" i="26"/>
  <c r="T632" i="26"/>
  <c r="R632" i="26"/>
  <c r="S632" i="26"/>
  <c r="P624" i="26"/>
  <c r="U624" i="26"/>
  <c r="T624" i="26"/>
  <c r="R624" i="26"/>
  <c r="S624" i="26"/>
  <c r="K618" i="26"/>
  <c r="U618" i="26"/>
  <c r="R618" i="26"/>
  <c r="S618" i="26"/>
  <c r="T618" i="26"/>
  <c r="P614" i="26"/>
  <c r="U614" i="26"/>
  <c r="R614" i="26"/>
  <c r="S614" i="26"/>
  <c r="T614" i="26"/>
  <c r="O610" i="26"/>
  <c r="U610" i="26"/>
  <c r="R610" i="26"/>
  <c r="S610" i="26"/>
  <c r="T610" i="26"/>
  <c r="P606" i="26"/>
  <c r="U606" i="26"/>
  <c r="R606" i="26"/>
  <c r="S606" i="26"/>
  <c r="T606" i="26"/>
  <c r="O600" i="26"/>
  <c r="U600" i="26"/>
  <c r="T600" i="26"/>
  <c r="R600" i="26"/>
  <c r="S600" i="26"/>
  <c r="U596" i="26"/>
  <c r="T596" i="26"/>
  <c r="R596" i="26"/>
  <c r="S596" i="26"/>
  <c r="U594" i="26"/>
  <c r="R594" i="26"/>
  <c r="S594" i="26"/>
  <c r="T594" i="26"/>
  <c r="P590" i="26"/>
  <c r="U590" i="26"/>
  <c r="R590" i="26"/>
  <c r="S590" i="26"/>
  <c r="T590" i="26"/>
  <c r="U586" i="26"/>
  <c r="R586" i="26"/>
  <c r="T586" i="26"/>
  <c r="S586" i="26"/>
  <c r="P582" i="26"/>
  <c r="U582" i="26"/>
  <c r="R582" i="26"/>
  <c r="T582" i="26"/>
  <c r="S582" i="26"/>
  <c r="U578" i="26"/>
  <c r="R578" i="26"/>
  <c r="T578" i="26"/>
  <c r="S578" i="26"/>
  <c r="P574" i="26"/>
  <c r="U574" i="26"/>
  <c r="R574" i="26"/>
  <c r="T574" i="26"/>
  <c r="S574" i="26"/>
  <c r="U570" i="26"/>
  <c r="R570" i="26"/>
  <c r="S570" i="26"/>
  <c r="T570" i="26"/>
  <c r="U564" i="26"/>
  <c r="T564" i="26"/>
  <c r="R564" i="26"/>
  <c r="S564" i="26"/>
  <c r="P560" i="26"/>
  <c r="U560" i="26"/>
  <c r="T560" i="26"/>
  <c r="R560" i="26"/>
  <c r="S560" i="26"/>
  <c r="P552" i="26"/>
  <c r="U552" i="26"/>
  <c r="T552" i="26"/>
  <c r="R552" i="26"/>
  <c r="S552" i="26"/>
  <c r="U528" i="26"/>
  <c r="T528" i="26"/>
  <c r="R528" i="26"/>
  <c r="S528" i="26"/>
  <c r="K468" i="26"/>
  <c r="L468" i="26" s="1"/>
  <c r="U468" i="26"/>
  <c r="T468" i="26"/>
  <c r="R468" i="26"/>
  <c r="S468" i="26"/>
  <c r="K464" i="26"/>
  <c r="L464" i="26" s="1"/>
  <c r="U464" i="26"/>
  <c r="T464" i="26"/>
  <c r="R464" i="26"/>
  <c r="S464" i="26"/>
  <c r="K460" i="26"/>
  <c r="U460" i="26"/>
  <c r="T460" i="26"/>
  <c r="R460" i="26"/>
  <c r="S460" i="26"/>
  <c r="K456" i="26"/>
  <c r="U456" i="26"/>
  <c r="T456" i="26"/>
  <c r="R456" i="26"/>
  <c r="S456" i="26"/>
  <c r="K452" i="26"/>
  <c r="U452" i="26"/>
  <c r="T452" i="26"/>
  <c r="R452" i="26"/>
  <c r="S452" i="26"/>
  <c r="K448" i="26"/>
  <c r="U448" i="26"/>
  <c r="T448" i="26"/>
  <c r="R448" i="26"/>
  <c r="S448" i="26"/>
  <c r="U444" i="26"/>
  <c r="T444" i="26"/>
  <c r="R444" i="26"/>
  <c r="S444" i="26"/>
  <c r="K440" i="26"/>
  <c r="T440" i="26"/>
  <c r="U440" i="26"/>
  <c r="R440" i="26"/>
  <c r="S440" i="26"/>
  <c r="K436" i="26"/>
  <c r="U436" i="26"/>
  <c r="T436" i="26"/>
  <c r="R436" i="26"/>
  <c r="S436" i="26"/>
  <c r="O432" i="26"/>
  <c r="U432" i="26"/>
  <c r="T432" i="26"/>
  <c r="R432" i="26"/>
  <c r="S432" i="26"/>
  <c r="O428" i="26"/>
  <c r="U428" i="26"/>
  <c r="T428" i="26"/>
  <c r="R428" i="26"/>
  <c r="S428" i="26"/>
  <c r="O426" i="26"/>
  <c r="U426" i="26"/>
  <c r="R426" i="26"/>
  <c r="S426" i="26"/>
  <c r="T426" i="26"/>
  <c r="O422" i="26"/>
  <c r="U422" i="26"/>
  <c r="R422" i="26"/>
  <c r="S422" i="26"/>
  <c r="T422" i="26"/>
  <c r="O418" i="26"/>
  <c r="U418" i="26"/>
  <c r="R418" i="26"/>
  <c r="S418" i="26"/>
  <c r="T418" i="26"/>
  <c r="P414" i="26"/>
  <c r="U414" i="26"/>
  <c r="R414" i="26"/>
  <c r="S414" i="26"/>
  <c r="T414" i="26"/>
  <c r="P406" i="26"/>
  <c r="U406" i="26"/>
  <c r="R406" i="26"/>
  <c r="S406" i="26"/>
  <c r="T406" i="26"/>
  <c r="P400" i="26"/>
  <c r="U400" i="26"/>
  <c r="T400" i="26"/>
  <c r="R400" i="26"/>
  <c r="S400" i="26"/>
  <c r="P396" i="26"/>
  <c r="U396" i="26"/>
  <c r="T396" i="26"/>
  <c r="R396" i="26"/>
  <c r="S396" i="26"/>
  <c r="N392" i="26"/>
  <c r="U392" i="26"/>
  <c r="T392" i="26"/>
  <c r="R392" i="26"/>
  <c r="S392" i="26"/>
  <c r="N388" i="26"/>
  <c r="U388" i="26"/>
  <c r="T388" i="26"/>
  <c r="R388" i="26"/>
  <c r="S388" i="26"/>
  <c r="U382" i="26"/>
  <c r="R382" i="26"/>
  <c r="S382" i="26"/>
  <c r="T382" i="26"/>
  <c r="U378" i="26"/>
  <c r="R378" i="26"/>
  <c r="S378" i="26"/>
  <c r="T378" i="26"/>
  <c r="K374" i="26"/>
  <c r="L374" i="26" s="1"/>
  <c r="U374" i="26"/>
  <c r="R374" i="26"/>
  <c r="S374" i="26"/>
  <c r="T374" i="26"/>
  <c r="K370" i="26"/>
  <c r="U370" i="26"/>
  <c r="R370" i="26"/>
  <c r="S370" i="26"/>
  <c r="T370" i="26"/>
  <c r="N366" i="26"/>
  <c r="U366" i="26"/>
  <c r="R366" i="26"/>
  <c r="S366" i="26"/>
  <c r="T366" i="26"/>
  <c r="K362" i="26"/>
  <c r="U362" i="26"/>
  <c r="R362" i="26"/>
  <c r="S362" i="26"/>
  <c r="T362" i="26"/>
  <c r="K358" i="26"/>
  <c r="L358" i="26" s="1"/>
  <c r="U358" i="26"/>
  <c r="R358" i="26"/>
  <c r="S358" i="26"/>
  <c r="T358" i="26"/>
  <c r="O354" i="26"/>
  <c r="U354" i="26"/>
  <c r="R354" i="26"/>
  <c r="S354" i="26"/>
  <c r="T354" i="26"/>
  <c r="U350" i="26"/>
  <c r="R350" i="26"/>
  <c r="S350" i="26"/>
  <c r="T350" i="26"/>
  <c r="K344" i="26"/>
  <c r="L344" i="26" s="1"/>
  <c r="T344" i="26"/>
  <c r="R344" i="26"/>
  <c r="U344" i="26"/>
  <c r="S344" i="26"/>
  <c r="U338" i="26"/>
  <c r="R338" i="26"/>
  <c r="S338" i="26"/>
  <c r="T338" i="26"/>
  <c r="N332" i="26"/>
  <c r="U332" i="26"/>
  <c r="T332" i="26"/>
  <c r="R332" i="26"/>
  <c r="S332" i="26"/>
  <c r="U326" i="26"/>
  <c r="R326" i="26"/>
  <c r="S326" i="26"/>
  <c r="T326" i="26"/>
  <c r="K320" i="26"/>
  <c r="U320" i="26"/>
  <c r="T320" i="26"/>
  <c r="R320" i="26"/>
  <c r="S320" i="26"/>
  <c r="K314" i="26"/>
  <c r="U314" i="26"/>
  <c r="R314" i="26"/>
  <c r="S314" i="26"/>
  <c r="T314" i="26"/>
  <c r="O308" i="26"/>
  <c r="U308" i="26"/>
  <c r="T308" i="26"/>
  <c r="R308" i="26"/>
  <c r="S308" i="26"/>
  <c r="K304" i="26"/>
  <c r="U304" i="26"/>
  <c r="T304" i="26"/>
  <c r="R304" i="26"/>
  <c r="S304" i="26"/>
  <c r="U298" i="26"/>
  <c r="R298" i="26"/>
  <c r="S298" i="26"/>
  <c r="T298" i="26"/>
  <c r="K290" i="26"/>
  <c r="U290" i="26"/>
  <c r="R290" i="26"/>
  <c r="S290" i="26"/>
  <c r="T290" i="26"/>
  <c r="U284" i="26"/>
  <c r="T284" i="26"/>
  <c r="R284" i="26"/>
  <c r="S284" i="26"/>
  <c r="O278" i="26"/>
  <c r="U278" i="26"/>
  <c r="R278" i="26"/>
  <c r="S278" i="26"/>
  <c r="T278" i="26"/>
  <c r="K272" i="26"/>
  <c r="L272" i="26" s="1"/>
  <c r="U272" i="26"/>
  <c r="T272" i="26"/>
  <c r="R272" i="26"/>
  <c r="S272" i="26"/>
  <c r="K266" i="26"/>
  <c r="U266" i="26"/>
  <c r="R266" i="26"/>
  <c r="S266" i="26"/>
  <c r="T266" i="26"/>
  <c r="U260" i="26"/>
  <c r="T260" i="26"/>
  <c r="R260" i="26"/>
  <c r="S260" i="26"/>
  <c r="U252" i="26"/>
  <c r="T252" i="26"/>
  <c r="R252" i="26"/>
  <c r="S252" i="26"/>
  <c r="K246" i="26"/>
  <c r="L246" i="26" s="1"/>
  <c r="U246" i="26"/>
  <c r="R246" i="26"/>
  <c r="S246" i="26"/>
  <c r="T246" i="26"/>
  <c r="P242" i="26"/>
  <c r="U242" i="26"/>
  <c r="R242" i="26"/>
  <c r="S242" i="26"/>
  <c r="T242" i="26"/>
  <c r="U236" i="26"/>
  <c r="T236" i="26"/>
  <c r="R236" i="26"/>
  <c r="S236" i="26"/>
  <c r="K232" i="26"/>
  <c r="T232" i="26"/>
  <c r="U232" i="26"/>
  <c r="R232" i="26"/>
  <c r="S232" i="26"/>
  <c r="N226" i="26"/>
  <c r="U226" i="26"/>
  <c r="R226" i="26"/>
  <c r="S226" i="26"/>
  <c r="T226" i="26"/>
  <c r="K220" i="26"/>
  <c r="U220" i="26"/>
  <c r="T220" i="26"/>
  <c r="R220" i="26"/>
  <c r="S220" i="26"/>
  <c r="K214" i="26"/>
  <c r="L214" i="26" s="1"/>
  <c r="U214" i="26"/>
  <c r="R214" i="26"/>
  <c r="S214" i="26"/>
  <c r="T214" i="26"/>
  <c r="K206" i="26"/>
  <c r="L206" i="26" s="1"/>
  <c r="U206" i="26"/>
  <c r="R206" i="26"/>
  <c r="S206" i="26"/>
  <c r="T206" i="26"/>
  <c r="K200" i="26"/>
  <c r="L200" i="26" s="1"/>
  <c r="U200" i="26"/>
  <c r="T200" i="26"/>
  <c r="R200" i="26"/>
  <c r="S200" i="26"/>
  <c r="N194" i="26"/>
  <c r="U194" i="26"/>
  <c r="S194" i="26"/>
  <c r="T194" i="26"/>
  <c r="R194" i="26"/>
  <c r="K188" i="26"/>
  <c r="L188" i="26" s="1"/>
  <c r="U188" i="26"/>
  <c r="R188" i="26"/>
  <c r="S188" i="26"/>
  <c r="T188" i="26"/>
  <c r="K182" i="26"/>
  <c r="L182" i="26" s="1"/>
  <c r="U182" i="26"/>
  <c r="S182" i="26"/>
  <c r="T182" i="26"/>
  <c r="R182" i="26"/>
  <c r="U176" i="26"/>
  <c r="R176" i="26"/>
  <c r="T176" i="26"/>
  <c r="S176" i="26"/>
  <c r="K170" i="26"/>
  <c r="L170" i="26" s="1"/>
  <c r="U170" i="26"/>
  <c r="R170" i="26"/>
  <c r="S170" i="26"/>
  <c r="T170" i="26"/>
  <c r="K164" i="26"/>
  <c r="L164" i="26" s="1"/>
  <c r="U164" i="26"/>
  <c r="T164" i="26"/>
  <c r="R164" i="26"/>
  <c r="S164" i="26"/>
  <c r="K158" i="26"/>
  <c r="L158" i="26" s="1"/>
  <c r="U158" i="26"/>
  <c r="R158" i="26"/>
  <c r="S158" i="26"/>
  <c r="T158" i="26"/>
  <c r="K152" i="26"/>
  <c r="T152" i="26"/>
  <c r="R152" i="26"/>
  <c r="S152" i="26"/>
  <c r="U152" i="26"/>
  <c r="K146" i="26"/>
  <c r="U146" i="26"/>
  <c r="R146" i="26"/>
  <c r="S146" i="26"/>
  <c r="T146" i="26"/>
  <c r="O140" i="26"/>
  <c r="T140" i="26"/>
  <c r="U140" i="26"/>
  <c r="R140" i="26"/>
  <c r="S140" i="26"/>
  <c r="K132" i="26"/>
  <c r="L132" i="26" s="1"/>
  <c r="M132" i="26" s="1"/>
  <c r="U132" i="26"/>
  <c r="T132" i="26"/>
  <c r="R132" i="26"/>
  <c r="S132" i="26"/>
  <c r="K126" i="26"/>
  <c r="U126" i="26"/>
  <c r="R126" i="26"/>
  <c r="S126" i="26"/>
  <c r="T126" i="26"/>
  <c r="K120" i="26"/>
  <c r="T120" i="26"/>
  <c r="R120" i="26"/>
  <c r="U120" i="26"/>
  <c r="S120" i="26"/>
  <c r="K114" i="26"/>
  <c r="U114" i="26"/>
  <c r="R114" i="26"/>
  <c r="S114" i="26"/>
  <c r="T114" i="26"/>
  <c r="K108" i="26"/>
  <c r="L108" i="26" s="1"/>
  <c r="M108" i="26" s="1"/>
  <c r="T108" i="26"/>
  <c r="U108" i="26"/>
  <c r="R108" i="26"/>
  <c r="S108" i="26"/>
  <c r="U102" i="26"/>
  <c r="R102" i="26"/>
  <c r="S102" i="26"/>
  <c r="T102" i="26"/>
  <c r="K98" i="26"/>
  <c r="U98" i="26"/>
  <c r="R98" i="26"/>
  <c r="S98" i="26"/>
  <c r="T98" i="26"/>
  <c r="K94" i="26"/>
  <c r="L94" i="26" s="1"/>
  <c r="M94" i="26" s="1"/>
  <c r="U94" i="26"/>
  <c r="R94" i="26"/>
  <c r="S94" i="26"/>
  <c r="T94" i="26"/>
  <c r="K92" i="26"/>
  <c r="L92" i="26" s="1"/>
  <c r="M92" i="26" s="1"/>
  <c r="T92" i="26"/>
  <c r="U92" i="26"/>
  <c r="R92" i="26"/>
  <c r="S92" i="26"/>
  <c r="K88" i="26"/>
  <c r="L88" i="26" s="1"/>
  <c r="M88" i="26" s="1"/>
  <c r="T88" i="26"/>
  <c r="R88" i="26"/>
  <c r="S88" i="26"/>
  <c r="U88" i="26"/>
  <c r="K86" i="26"/>
  <c r="U86" i="26"/>
  <c r="R86" i="26"/>
  <c r="S86" i="26"/>
  <c r="T86" i="26"/>
  <c r="K84" i="26"/>
  <c r="L84" i="26" s="1"/>
  <c r="M84" i="26" s="1"/>
  <c r="U84" i="26"/>
  <c r="T84" i="26"/>
  <c r="R84" i="26"/>
  <c r="S84" i="26"/>
  <c r="K80" i="26"/>
  <c r="L80" i="26" s="1"/>
  <c r="M80" i="26" s="1"/>
  <c r="T80" i="26"/>
  <c r="U80" i="26"/>
  <c r="R80" i="26"/>
  <c r="S80" i="26"/>
  <c r="K78" i="26"/>
  <c r="L78" i="26" s="1"/>
  <c r="M78" i="26" s="1"/>
  <c r="U78" i="26"/>
  <c r="R78" i="26"/>
  <c r="S78" i="26"/>
  <c r="T78" i="26"/>
  <c r="K76" i="26"/>
  <c r="T76" i="26"/>
  <c r="U76" i="26"/>
  <c r="R76" i="26"/>
  <c r="S76" i="26"/>
  <c r="K74" i="26"/>
  <c r="L74" i="26" s="1"/>
  <c r="M74" i="26" s="1"/>
  <c r="U74" i="26"/>
  <c r="R74" i="26"/>
  <c r="S74" i="26"/>
  <c r="T74" i="26"/>
  <c r="K72" i="26"/>
  <c r="L72" i="26" s="1"/>
  <c r="M72" i="26" s="1"/>
  <c r="T72" i="26"/>
  <c r="R72" i="26"/>
  <c r="U72" i="26"/>
  <c r="S72" i="26"/>
  <c r="K70" i="26"/>
  <c r="L70" i="26" s="1"/>
  <c r="M70" i="26" s="1"/>
  <c r="U70" i="26"/>
  <c r="R70" i="26"/>
  <c r="S70" i="26"/>
  <c r="T70" i="26"/>
  <c r="K68" i="26"/>
  <c r="U68" i="26"/>
  <c r="T68" i="26"/>
  <c r="R68" i="26"/>
  <c r="S68" i="26"/>
  <c r="K66" i="26"/>
  <c r="L66" i="26" s="1"/>
  <c r="M66" i="26" s="1"/>
  <c r="U66" i="26"/>
  <c r="R66" i="26"/>
  <c r="S66" i="26"/>
  <c r="T66" i="26"/>
  <c r="K64" i="26"/>
  <c r="L64" i="26" s="1"/>
  <c r="M64" i="26" s="1"/>
  <c r="T64" i="26"/>
  <c r="U64" i="26"/>
  <c r="R64" i="26"/>
  <c r="S64" i="26"/>
  <c r="K62" i="26"/>
  <c r="L62" i="26" s="1"/>
  <c r="M62" i="26" s="1"/>
  <c r="U62" i="26"/>
  <c r="R62" i="26"/>
  <c r="S62" i="26"/>
  <c r="T62" i="26"/>
  <c r="K60" i="26"/>
  <c r="T60" i="26"/>
  <c r="U60" i="26"/>
  <c r="R60" i="26"/>
  <c r="S60" i="26"/>
  <c r="K58" i="26"/>
  <c r="L58" i="26" s="1"/>
  <c r="M58" i="26" s="1"/>
  <c r="U58" i="26"/>
  <c r="R58" i="26"/>
  <c r="S58" i="26"/>
  <c r="T58" i="26"/>
  <c r="O56" i="26"/>
  <c r="T56" i="26"/>
  <c r="R56" i="26"/>
  <c r="U56" i="26"/>
  <c r="S56" i="26"/>
  <c r="U54" i="26"/>
  <c r="R54" i="26"/>
  <c r="S54" i="26"/>
  <c r="T54" i="26"/>
  <c r="K52" i="26"/>
  <c r="L52" i="26" s="1"/>
  <c r="M52" i="26" s="1"/>
  <c r="U52" i="26"/>
  <c r="T52" i="26"/>
  <c r="R52" i="26"/>
  <c r="S52" i="26"/>
  <c r="K50" i="26"/>
  <c r="U50" i="26"/>
  <c r="R50" i="26"/>
  <c r="S50" i="26"/>
  <c r="T50" i="26"/>
  <c r="K48" i="26"/>
  <c r="L48" i="26" s="1"/>
  <c r="M48" i="26" s="1"/>
  <c r="T48" i="26"/>
  <c r="U48" i="26"/>
  <c r="R48" i="26"/>
  <c r="S48" i="26"/>
  <c r="K46" i="26"/>
  <c r="L46" i="26" s="1"/>
  <c r="M46" i="26" s="1"/>
  <c r="U46" i="26"/>
  <c r="R46" i="26"/>
  <c r="S46" i="26"/>
  <c r="T46" i="26"/>
  <c r="N998" i="26"/>
  <c r="U998" i="26"/>
  <c r="R998" i="26"/>
  <c r="T998" i="26"/>
  <c r="S998" i="26"/>
  <c r="N992" i="26"/>
  <c r="U992" i="26"/>
  <c r="S992" i="26"/>
  <c r="R992" i="26"/>
  <c r="T992" i="26"/>
  <c r="N986" i="26"/>
  <c r="U986" i="26"/>
  <c r="R986" i="26"/>
  <c r="T986" i="26"/>
  <c r="S986" i="26"/>
  <c r="N980" i="26"/>
  <c r="U980" i="26"/>
  <c r="S980" i="26"/>
  <c r="T980" i="26"/>
  <c r="R980" i="26"/>
  <c r="N974" i="26"/>
  <c r="U974" i="26"/>
  <c r="R974" i="26"/>
  <c r="T974" i="26"/>
  <c r="S974" i="26"/>
  <c r="N968" i="26"/>
  <c r="U968" i="26"/>
  <c r="S968" i="26"/>
  <c r="T968" i="26"/>
  <c r="R968" i="26"/>
  <c r="N962" i="26"/>
  <c r="U962" i="26"/>
  <c r="R962" i="26"/>
  <c r="S962" i="26"/>
  <c r="T962" i="26"/>
  <c r="N956" i="26"/>
  <c r="U956" i="26"/>
  <c r="S956" i="26"/>
  <c r="T956" i="26"/>
  <c r="R956" i="26"/>
  <c r="N950" i="26"/>
  <c r="U950" i="26"/>
  <c r="T950" i="26"/>
  <c r="R950" i="26"/>
  <c r="S950" i="26"/>
  <c r="N942" i="26"/>
  <c r="U942" i="26"/>
  <c r="R942" i="26"/>
  <c r="T942" i="26"/>
  <c r="S942" i="26"/>
  <c r="N936" i="26"/>
  <c r="U936" i="26"/>
  <c r="S936" i="26"/>
  <c r="T936" i="26"/>
  <c r="R936" i="26"/>
  <c r="N930" i="26"/>
  <c r="U930" i="26"/>
  <c r="R930" i="26"/>
  <c r="T930" i="26"/>
  <c r="S930" i="26"/>
  <c r="N924" i="26"/>
  <c r="U924" i="26"/>
  <c r="T924" i="26"/>
  <c r="R924" i="26"/>
  <c r="S924" i="26"/>
  <c r="N918" i="26"/>
  <c r="U918" i="26"/>
  <c r="R918" i="26"/>
  <c r="S918" i="26"/>
  <c r="T918" i="26"/>
  <c r="N912" i="26"/>
  <c r="U912" i="26"/>
  <c r="T912" i="26"/>
  <c r="R912" i="26"/>
  <c r="S912" i="26"/>
  <c r="U906" i="26"/>
  <c r="R906" i="26"/>
  <c r="S906" i="26"/>
  <c r="T906" i="26"/>
  <c r="N902" i="26"/>
  <c r="U902" i="26"/>
  <c r="R902" i="26"/>
  <c r="S902" i="26"/>
  <c r="T902" i="26"/>
  <c r="N896" i="26"/>
  <c r="U896" i="26"/>
  <c r="T896" i="26"/>
  <c r="R896" i="26"/>
  <c r="S896" i="26"/>
  <c r="N890" i="26"/>
  <c r="U890" i="26"/>
  <c r="R890" i="26"/>
  <c r="S890" i="26"/>
  <c r="T890" i="26"/>
  <c r="N884" i="26"/>
  <c r="U884" i="26"/>
  <c r="T884" i="26"/>
  <c r="R884" i="26"/>
  <c r="S884" i="26"/>
  <c r="N878" i="26"/>
  <c r="U878" i="26"/>
  <c r="R878" i="26"/>
  <c r="S878" i="26"/>
  <c r="T878" i="26"/>
  <c r="N876" i="26"/>
  <c r="U876" i="26"/>
  <c r="T876" i="26"/>
  <c r="R876" i="26"/>
  <c r="S876" i="26"/>
  <c r="U870" i="26"/>
  <c r="R870" i="26"/>
  <c r="S870" i="26"/>
  <c r="T870" i="26"/>
  <c r="N866" i="26"/>
  <c r="U866" i="26"/>
  <c r="R866" i="26"/>
  <c r="S866" i="26"/>
  <c r="T866" i="26"/>
  <c r="N860" i="26"/>
  <c r="U860" i="26"/>
  <c r="T860" i="26"/>
  <c r="R860" i="26"/>
  <c r="S860" i="26"/>
  <c r="N856" i="26"/>
  <c r="U856" i="26"/>
  <c r="T856" i="26"/>
  <c r="R856" i="26"/>
  <c r="S856" i="26"/>
  <c r="O852" i="26"/>
  <c r="U852" i="26"/>
  <c r="T852" i="26"/>
  <c r="R852" i="26"/>
  <c r="S852" i="26"/>
  <c r="O846" i="26"/>
  <c r="U846" i="26"/>
  <c r="R846" i="26"/>
  <c r="S846" i="26"/>
  <c r="T846" i="26"/>
  <c r="U842" i="26"/>
  <c r="R842" i="26"/>
  <c r="S842" i="26"/>
  <c r="T842" i="26"/>
  <c r="O838" i="26"/>
  <c r="U838" i="26"/>
  <c r="R838" i="26"/>
  <c r="S838" i="26"/>
  <c r="T838" i="26"/>
  <c r="O834" i="26"/>
  <c r="U834" i="26"/>
  <c r="R834" i="26"/>
  <c r="S834" i="26"/>
  <c r="T834" i="26"/>
  <c r="O830" i="26"/>
  <c r="U830" i="26"/>
  <c r="R830" i="26"/>
  <c r="S830" i="26"/>
  <c r="T830" i="26"/>
  <c r="O824" i="26"/>
  <c r="U824" i="26"/>
  <c r="T824" i="26"/>
  <c r="R824" i="26"/>
  <c r="S824" i="26"/>
  <c r="O818" i="26"/>
  <c r="U818" i="26"/>
  <c r="R818" i="26"/>
  <c r="S818" i="26"/>
  <c r="T818" i="26"/>
  <c r="O812" i="26"/>
  <c r="U812" i="26"/>
  <c r="T812" i="26"/>
  <c r="R812" i="26"/>
  <c r="S812" i="26"/>
  <c r="N802" i="26"/>
  <c r="U802" i="26"/>
  <c r="R802" i="26"/>
  <c r="S802" i="26"/>
  <c r="T802" i="26"/>
  <c r="P796" i="26"/>
  <c r="U796" i="26"/>
  <c r="T796" i="26"/>
  <c r="R796" i="26"/>
  <c r="S796" i="26"/>
  <c r="N790" i="26"/>
  <c r="R790" i="26"/>
  <c r="S790" i="26"/>
  <c r="U790" i="26"/>
  <c r="T790" i="26"/>
  <c r="U784" i="26"/>
  <c r="T784" i="26"/>
  <c r="R784" i="26"/>
  <c r="S784" i="26"/>
  <c r="N778" i="26"/>
  <c r="U778" i="26"/>
  <c r="R778" i="26"/>
  <c r="S778" i="26"/>
  <c r="T778" i="26"/>
  <c r="N772" i="26"/>
  <c r="U772" i="26"/>
  <c r="T772" i="26"/>
  <c r="R772" i="26"/>
  <c r="S772" i="26"/>
  <c r="N764" i="26"/>
  <c r="U764" i="26"/>
  <c r="T764" i="26"/>
  <c r="R764" i="26"/>
  <c r="S764" i="26"/>
  <c r="N754" i="26"/>
  <c r="U754" i="26"/>
  <c r="R754" i="26"/>
  <c r="S754" i="26"/>
  <c r="T754" i="26"/>
  <c r="N748" i="26"/>
  <c r="U748" i="26"/>
  <c r="T748" i="26"/>
  <c r="R748" i="26"/>
  <c r="S748" i="26"/>
  <c r="N740" i="26"/>
  <c r="U740" i="26"/>
  <c r="T740" i="26"/>
  <c r="R740" i="26"/>
  <c r="S740" i="26"/>
  <c r="U730" i="26"/>
  <c r="R730" i="26"/>
  <c r="S730" i="26"/>
  <c r="T730" i="26"/>
  <c r="N722" i="26"/>
  <c r="U722" i="26"/>
  <c r="R722" i="26"/>
  <c r="S722" i="26"/>
  <c r="T722" i="26"/>
  <c r="K712" i="26"/>
  <c r="M712" i="26" s="1"/>
  <c r="U712" i="26"/>
  <c r="T712" i="26"/>
  <c r="R712" i="26"/>
  <c r="S712" i="26"/>
  <c r="K692" i="26"/>
  <c r="U692" i="26"/>
  <c r="T692" i="26"/>
  <c r="R692" i="26"/>
  <c r="S692" i="26"/>
  <c r="U628" i="26"/>
  <c r="T628" i="26"/>
  <c r="R628" i="26"/>
  <c r="S628" i="26"/>
  <c r="P412" i="26"/>
  <c r="U412" i="26"/>
  <c r="T412" i="26"/>
  <c r="R412" i="26"/>
  <c r="S412" i="26"/>
  <c r="U404" i="26"/>
  <c r="T404" i="26"/>
  <c r="R404" i="26"/>
  <c r="S404" i="26"/>
  <c r="U386" i="26"/>
  <c r="R386" i="26"/>
  <c r="S386" i="26"/>
  <c r="T386" i="26"/>
  <c r="K346" i="26"/>
  <c r="U346" i="26"/>
  <c r="R346" i="26"/>
  <c r="S346" i="26"/>
  <c r="T346" i="26"/>
  <c r="K340" i="26"/>
  <c r="U340" i="26"/>
  <c r="T340" i="26"/>
  <c r="R340" i="26"/>
  <c r="S340" i="26"/>
  <c r="K330" i="26"/>
  <c r="U330" i="26"/>
  <c r="R330" i="26"/>
  <c r="S330" i="26"/>
  <c r="T330" i="26"/>
  <c r="N324" i="26"/>
  <c r="U324" i="26"/>
  <c r="T324" i="26"/>
  <c r="R324" i="26"/>
  <c r="S324" i="26"/>
  <c r="U318" i="26"/>
  <c r="R318" i="26"/>
  <c r="S318" i="26"/>
  <c r="T318" i="26"/>
  <c r="N310" i="26"/>
  <c r="U310" i="26"/>
  <c r="R310" i="26"/>
  <c r="S310" i="26"/>
  <c r="T310" i="26"/>
  <c r="K302" i="26"/>
  <c r="U302" i="26"/>
  <c r="R302" i="26"/>
  <c r="S302" i="26"/>
  <c r="T302" i="26"/>
  <c r="K296" i="26"/>
  <c r="L296" i="26" s="1"/>
  <c r="T296" i="26"/>
  <c r="U296" i="26"/>
  <c r="R296" i="26"/>
  <c r="S296" i="26"/>
  <c r="P292" i="26"/>
  <c r="U292" i="26"/>
  <c r="T292" i="26"/>
  <c r="R292" i="26"/>
  <c r="S292" i="26"/>
  <c r="K286" i="26"/>
  <c r="L286" i="26" s="1"/>
  <c r="U286" i="26"/>
  <c r="R286" i="26"/>
  <c r="S286" i="26"/>
  <c r="T286" i="26"/>
  <c r="K280" i="26"/>
  <c r="L280" i="26" s="1"/>
  <c r="T280" i="26"/>
  <c r="R280" i="26"/>
  <c r="S280" i="26"/>
  <c r="U280" i="26"/>
  <c r="K274" i="26"/>
  <c r="U274" i="26"/>
  <c r="R274" i="26"/>
  <c r="S274" i="26"/>
  <c r="T274" i="26"/>
  <c r="P268" i="26"/>
  <c r="U268" i="26"/>
  <c r="T268" i="26"/>
  <c r="R268" i="26"/>
  <c r="S268" i="26"/>
  <c r="U262" i="26"/>
  <c r="R262" i="26"/>
  <c r="S262" i="26"/>
  <c r="T262" i="26"/>
  <c r="K256" i="26"/>
  <c r="L256" i="26" s="1"/>
  <c r="U256" i="26"/>
  <c r="T256" i="26"/>
  <c r="R256" i="26"/>
  <c r="S256" i="26"/>
  <c r="K250" i="26"/>
  <c r="U250" i="26"/>
  <c r="R250" i="26"/>
  <c r="S250" i="26"/>
  <c r="T250" i="26"/>
  <c r="N244" i="26"/>
  <c r="U244" i="26"/>
  <c r="T244" i="26"/>
  <c r="R244" i="26"/>
  <c r="S244" i="26"/>
  <c r="N238" i="26"/>
  <c r="U238" i="26"/>
  <c r="R238" i="26"/>
  <c r="S238" i="26"/>
  <c r="T238" i="26"/>
  <c r="U228" i="26"/>
  <c r="T228" i="26"/>
  <c r="R228" i="26"/>
  <c r="S228" i="26"/>
  <c r="N222" i="26"/>
  <c r="U222" i="26"/>
  <c r="R222" i="26"/>
  <c r="S222" i="26"/>
  <c r="T222" i="26"/>
  <c r="K216" i="26"/>
  <c r="L216" i="26" s="1"/>
  <c r="T216" i="26"/>
  <c r="R216" i="26"/>
  <c r="U216" i="26"/>
  <c r="S216" i="26"/>
  <c r="N210" i="26"/>
  <c r="U210" i="26"/>
  <c r="R210" i="26"/>
  <c r="S210" i="26"/>
  <c r="T210" i="26"/>
  <c r="K204" i="26"/>
  <c r="L204" i="26" s="1"/>
  <c r="U204" i="26"/>
  <c r="T204" i="26"/>
  <c r="R204" i="26"/>
  <c r="S204" i="26"/>
  <c r="K198" i="26"/>
  <c r="L198" i="26" s="1"/>
  <c r="U198" i="26"/>
  <c r="S198" i="26"/>
  <c r="R198" i="26"/>
  <c r="T198" i="26"/>
  <c r="U192" i="26"/>
  <c r="R192" i="26"/>
  <c r="T192" i="26"/>
  <c r="S192" i="26"/>
  <c r="K186" i="26"/>
  <c r="L186" i="26" s="1"/>
  <c r="U186" i="26"/>
  <c r="S186" i="26"/>
  <c r="T186" i="26"/>
  <c r="R186" i="26"/>
  <c r="N178" i="26"/>
  <c r="U178" i="26"/>
  <c r="S178" i="26"/>
  <c r="T178" i="26"/>
  <c r="R178" i="26"/>
  <c r="K172" i="26"/>
  <c r="L172" i="26" s="1"/>
  <c r="U172" i="26"/>
  <c r="R172" i="26"/>
  <c r="S172" i="26"/>
  <c r="T172" i="26"/>
  <c r="K166" i="26"/>
  <c r="L166" i="26" s="1"/>
  <c r="U166" i="26"/>
  <c r="R166" i="26"/>
  <c r="S166" i="26"/>
  <c r="T166" i="26"/>
  <c r="K160" i="26"/>
  <c r="L160" i="26" s="1"/>
  <c r="T160" i="26"/>
  <c r="U160" i="26"/>
  <c r="R160" i="26"/>
  <c r="S160" i="26"/>
  <c r="K154" i="26"/>
  <c r="L154" i="26" s="1"/>
  <c r="U154" i="26"/>
  <c r="R154" i="26"/>
  <c r="S154" i="26"/>
  <c r="T154" i="26"/>
  <c r="K148" i="26"/>
  <c r="U148" i="26"/>
  <c r="T148" i="26"/>
  <c r="R148" i="26"/>
  <c r="S148" i="26"/>
  <c r="P142" i="26"/>
  <c r="U142" i="26"/>
  <c r="R142" i="26"/>
  <c r="S142" i="26"/>
  <c r="T142" i="26"/>
  <c r="K136" i="26"/>
  <c r="L136" i="26" s="1"/>
  <c r="M136" i="26" s="1"/>
  <c r="T136" i="26"/>
  <c r="R136" i="26"/>
  <c r="U136" i="26"/>
  <c r="S136" i="26"/>
  <c r="P130" i="26"/>
  <c r="U130" i="26"/>
  <c r="R130" i="26"/>
  <c r="S130" i="26"/>
  <c r="T130" i="26"/>
  <c r="K124" i="26"/>
  <c r="T124" i="26"/>
  <c r="U124" i="26"/>
  <c r="R124" i="26"/>
  <c r="S124" i="26"/>
  <c r="K118" i="26"/>
  <c r="U118" i="26"/>
  <c r="R118" i="26"/>
  <c r="S118" i="26"/>
  <c r="T118" i="26"/>
  <c r="K112" i="26"/>
  <c r="T112" i="26"/>
  <c r="U112" i="26"/>
  <c r="R112" i="26"/>
  <c r="S112" i="26"/>
  <c r="K106" i="26"/>
  <c r="L106" i="26" s="1"/>
  <c r="M106" i="26" s="1"/>
  <c r="U106" i="26"/>
  <c r="R106" i="26"/>
  <c r="S106" i="26"/>
  <c r="T106" i="26"/>
  <c r="K100" i="26"/>
  <c r="L100" i="26" s="1"/>
  <c r="M100" i="26" s="1"/>
  <c r="U100" i="26"/>
  <c r="T100" i="26"/>
  <c r="R100" i="26"/>
  <c r="S100" i="26"/>
  <c r="K96" i="26"/>
  <c r="T96" i="26"/>
  <c r="U96" i="26"/>
  <c r="R96" i="26"/>
  <c r="S96" i="26"/>
  <c r="K82" i="26"/>
  <c r="L82" i="26" s="1"/>
  <c r="M82" i="26" s="1"/>
  <c r="U82" i="26"/>
  <c r="R82" i="26"/>
  <c r="S82" i="26"/>
  <c r="T82" i="26"/>
  <c r="N999" i="26"/>
  <c r="U999" i="26"/>
  <c r="R999" i="26"/>
  <c r="S999" i="26"/>
  <c r="T999" i="26"/>
  <c r="N997" i="26"/>
  <c r="U997" i="26"/>
  <c r="T997" i="26"/>
  <c r="S997" i="26"/>
  <c r="R997" i="26"/>
  <c r="N995" i="26"/>
  <c r="U995" i="26"/>
  <c r="R995" i="26"/>
  <c r="S995" i="26"/>
  <c r="T995" i="26"/>
  <c r="N993" i="26"/>
  <c r="U993" i="26"/>
  <c r="T993" i="26"/>
  <c r="R993" i="26"/>
  <c r="S993" i="26"/>
  <c r="N991" i="26"/>
  <c r="U991" i="26"/>
  <c r="R991" i="26"/>
  <c r="S991" i="26"/>
  <c r="T991" i="26"/>
  <c r="N989" i="26"/>
  <c r="U989" i="26"/>
  <c r="T989" i="26"/>
  <c r="R989" i="26"/>
  <c r="S989" i="26"/>
  <c r="N987" i="26"/>
  <c r="U987" i="26"/>
  <c r="R987" i="26"/>
  <c r="S987" i="26"/>
  <c r="T987" i="26"/>
  <c r="N985" i="26"/>
  <c r="U985" i="26"/>
  <c r="T985" i="26"/>
  <c r="R985" i="26"/>
  <c r="S985" i="26"/>
  <c r="N983" i="26"/>
  <c r="U983" i="26"/>
  <c r="R983" i="26"/>
  <c r="S983" i="26"/>
  <c r="T983" i="26"/>
  <c r="N981" i="26"/>
  <c r="U981" i="26"/>
  <c r="T981" i="26"/>
  <c r="S981" i="26"/>
  <c r="R981" i="26"/>
  <c r="N979" i="26"/>
  <c r="U979" i="26"/>
  <c r="R979" i="26"/>
  <c r="S979" i="26"/>
  <c r="T979" i="26"/>
  <c r="N977" i="26"/>
  <c r="U977" i="26"/>
  <c r="T977" i="26"/>
  <c r="S977" i="26"/>
  <c r="R977" i="26"/>
  <c r="N975" i="26"/>
  <c r="U975" i="26"/>
  <c r="R975" i="26"/>
  <c r="S975" i="26"/>
  <c r="T975" i="26"/>
  <c r="N973" i="26"/>
  <c r="U973" i="26"/>
  <c r="T973" i="26"/>
  <c r="S973" i="26"/>
  <c r="R973" i="26"/>
  <c r="N971" i="26"/>
  <c r="U971" i="26"/>
  <c r="R971" i="26"/>
  <c r="S971" i="26"/>
  <c r="T971" i="26"/>
  <c r="N969" i="26"/>
  <c r="U969" i="26"/>
  <c r="T969" i="26"/>
  <c r="S969" i="26"/>
  <c r="R969" i="26"/>
  <c r="N967" i="26"/>
  <c r="U967" i="26"/>
  <c r="R967" i="26"/>
  <c r="S967" i="26"/>
  <c r="T967" i="26"/>
  <c r="N965" i="26"/>
  <c r="U965" i="26"/>
  <c r="T965" i="26"/>
  <c r="S965" i="26"/>
  <c r="R965" i="26"/>
  <c r="N963" i="26"/>
  <c r="U963" i="26"/>
  <c r="R963" i="26"/>
  <c r="S963" i="26"/>
  <c r="T963" i="26"/>
  <c r="N961" i="26"/>
  <c r="U961" i="26"/>
  <c r="T961" i="26"/>
  <c r="S961" i="26"/>
  <c r="R961" i="26"/>
  <c r="N959" i="26"/>
  <c r="U959" i="26"/>
  <c r="R959" i="26"/>
  <c r="S959" i="26"/>
  <c r="T959" i="26"/>
  <c r="N957" i="26"/>
  <c r="U957" i="26"/>
  <c r="T957" i="26"/>
  <c r="R957" i="26"/>
  <c r="S957" i="26"/>
  <c r="N955" i="26"/>
  <c r="U955" i="26"/>
  <c r="R955" i="26"/>
  <c r="S955" i="26"/>
  <c r="T955" i="26"/>
  <c r="N953" i="26"/>
  <c r="U953" i="26"/>
  <c r="T953" i="26"/>
  <c r="R953" i="26"/>
  <c r="S953" i="26"/>
  <c r="N951" i="26"/>
  <c r="U951" i="26"/>
  <c r="R951" i="26"/>
  <c r="S951" i="26"/>
  <c r="T951" i="26"/>
  <c r="N949" i="26"/>
  <c r="U949" i="26"/>
  <c r="T949" i="26"/>
  <c r="R949" i="26"/>
  <c r="S949" i="26"/>
  <c r="N947" i="26"/>
  <c r="U947" i="26"/>
  <c r="R947" i="26"/>
  <c r="S947" i="26"/>
  <c r="T947" i="26"/>
  <c r="N945" i="26"/>
  <c r="U945" i="26"/>
  <c r="T945" i="26"/>
  <c r="R945" i="26"/>
  <c r="S945" i="26"/>
  <c r="N943" i="26"/>
  <c r="U943" i="26"/>
  <c r="R943" i="26"/>
  <c r="S943" i="26"/>
  <c r="T943" i="26"/>
  <c r="N941" i="26"/>
  <c r="U941" i="26"/>
  <c r="T941" i="26"/>
  <c r="S941" i="26"/>
  <c r="R941" i="26"/>
  <c r="N939" i="26"/>
  <c r="U939" i="26"/>
  <c r="R939" i="26"/>
  <c r="S939" i="26"/>
  <c r="T939" i="26"/>
  <c r="N937" i="26"/>
  <c r="U937" i="26"/>
  <c r="T937" i="26"/>
  <c r="S937" i="26"/>
  <c r="R937" i="26"/>
  <c r="N935" i="26"/>
  <c r="U935" i="26"/>
  <c r="R935" i="26"/>
  <c r="S935" i="26"/>
  <c r="T935" i="26"/>
  <c r="N933" i="26"/>
  <c r="U933" i="26"/>
  <c r="T933" i="26"/>
  <c r="S933" i="26"/>
  <c r="R933" i="26"/>
  <c r="U931" i="26"/>
  <c r="R931" i="26"/>
  <c r="S931" i="26"/>
  <c r="T931" i="26"/>
  <c r="N929" i="26"/>
  <c r="U929" i="26"/>
  <c r="T929" i="26"/>
  <c r="S929" i="26"/>
  <c r="R929" i="26"/>
  <c r="N927" i="26"/>
  <c r="U927" i="26"/>
  <c r="S927" i="26"/>
  <c r="R927" i="26"/>
  <c r="T927" i="26"/>
  <c r="U925" i="26"/>
  <c r="R925" i="26"/>
  <c r="S925" i="26"/>
  <c r="T925" i="26"/>
  <c r="N923" i="26"/>
  <c r="U923" i="26"/>
  <c r="S923" i="26"/>
  <c r="T923" i="26"/>
  <c r="R923" i="26"/>
  <c r="N921" i="26"/>
  <c r="U921" i="26"/>
  <c r="R921" i="26"/>
  <c r="S921" i="26"/>
  <c r="T921" i="26"/>
  <c r="N919" i="26"/>
  <c r="U919" i="26"/>
  <c r="S919" i="26"/>
  <c r="T919" i="26"/>
  <c r="R919" i="26"/>
  <c r="N917" i="26"/>
  <c r="U917" i="26"/>
  <c r="R917" i="26"/>
  <c r="S917" i="26"/>
  <c r="T917" i="26"/>
  <c r="N915" i="26"/>
  <c r="U915" i="26"/>
  <c r="S915" i="26"/>
  <c r="T915" i="26"/>
  <c r="R915" i="26"/>
  <c r="U913" i="26"/>
  <c r="R913" i="26"/>
  <c r="S913" i="26"/>
  <c r="T913" i="26"/>
  <c r="N911" i="26"/>
  <c r="U911" i="26"/>
  <c r="S911" i="26"/>
  <c r="T911" i="26"/>
  <c r="R911" i="26"/>
  <c r="U909" i="26"/>
  <c r="R909" i="26"/>
  <c r="S909" i="26"/>
  <c r="T909" i="26"/>
  <c r="N907" i="26"/>
  <c r="U907" i="26"/>
  <c r="S907" i="26"/>
  <c r="T907" i="26"/>
  <c r="R907" i="26"/>
  <c r="N905" i="26"/>
  <c r="U905" i="26"/>
  <c r="R905" i="26"/>
  <c r="S905" i="26"/>
  <c r="T905" i="26"/>
  <c r="N903" i="26"/>
  <c r="U903" i="26"/>
  <c r="S903" i="26"/>
  <c r="T903" i="26"/>
  <c r="R903" i="26"/>
  <c r="N901" i="26"/>
  <c r="U901" i="26"/>
  <c r="R901" i="26"/>
  <c r="S901" i="26"/>
  <c r="T901" i="26"/>
  <c r="N899" i="26"/>
  <c r="U899" i="26"/>
  <c r="S899" i="26"/>
  <c r="T899" i="26"/>
  <c r="R899" i="26"/>
  <c r="U897" i="26"/>
  <c r="R897" i="26"/>
  <c r="S897" i="26"/>
  <c r="T897" i="26"/>
  <c r="N895" i="26"/>
  <c r="U895" i="26"/>
  <c r="S895" i="26"/>
  <c r="T895" i="26"/>
  <c r="R895" i="26"/>
  <c r="N893" i="26"/>
  <c r="U893" i="26"/>
  <c r="R893" i="26"/>
  <c r="S893" i="26"/>
  <c r="T893" i="26"/>
  <c r="N891" i="26"/>
  <c r="U891" i="26"/>
  <c r="S891" i="26"/>
  <c r="T891" i="26"/>
  <c r="R891" i="26"/>
  <c r="N889" i="26"/>
  <c r="U889" i="26"/>
  <c r="R889" i="26"/>
  <c r="S889" i="26"/>
  <c r="T889" i="26"/>
  <c r="N887" i="26"/>
  <c r="U887" i="26"/>
  <c r="S887" i="26"/>
  <c r="T887" i="26"/>
  <c r="R887" i="26"/>
  <c r="N885" i="26"/>
  <c r="U885" i="26"/>
  <c r="R885" i="26"/>
  <c r="S885" i="26"/>
  <c r="T885" i="26"/>
  <c r="N883" i="26"/>
  <c r="U883" i="26"/>
  <c r="S883" i="26"/>
  <c r="T883" i="26"/>
  <c r="R883" i="26"/>
  <c r="N881" i="26"/>
  <c r="U881" i="26"/>
  <c r="R881" i="26"/>
  <c r="S881" i="26"/>
  <c r="T881" i="26"/>
  <c r="N879" i="26"/>
  <c r="U879" i="26"/>
  <c r="S879" i="26"/>
  <c r="T879" i="26"/>
  <c r="R879" i="26"/>
  <c r="N877" i="26"/>
  <c r="U877" i="26"/>
  <c r="R877" i="26"/>
  <c r="S877" i="26"/>
  <c r="T877" i="26"/>
  <c r="N875" i="26"/>
  <c r="U875" i="26"/>
  <c r="S875" i="26"/>
  <c r="T875" i="26"/>
  <c r="R875" i="26"/>
  <c r="N873" i="26"/>
  <c r="U873" i="26"/>
  <c r="R873" i="26"/>
  <c r="S873" i="26"/>
  <c r="T873" i="26"/>
  <c r="N871" i="26"/>
  <c r="U871" i="26"/>
  <c r="S871" i="26"/>
  <c r="T871" i="26"/>
  <c r="R871" i="26"/>
  <c r="N869" i="26"/>
  <c r="U869" i="26"/>
  <c r="R869" i="26"/>
  <c r="S869" i="26"/>
  <c r="T869" i="26"/>
  <c r="U867" i="26"/>
  <c r="S867" i="26"/>
  <c r="T867" i="26"/>
  <c r="R867" i="26"/>
  <c r="N865" i="26"/>
  <c r="U865" i="26"/>
  <c r="R865" i="26"/>
  <c r="S865" i="26"/>
  <c r="T865" i="26"/>
  <c r="N863" i="26"/>
  <c r="U863" i="26"/>
  <c r="S863" i="26"/>
  <c r="T863" i="26"/>
  <c r="R863" i="26"/>
  <c r="U861" i="26"/>
  <c r="R861" i="26"/>
  <c r="S861" i="26"/>
  <c r="T861" i="26"/>
  <c r="N859" i="26"/>
  <c r="U859" i="26"/>
  <c r="S859" i="26"/>
  <c r="T859" i="26"/>
  <c r="R859" i="26"/>
  <c r="U857" i="26"/>
  <c r="R857" i="26"/>
  <c r="S857" i="26"/>
  <c r="T857" i="26"/>
  <c r="N855" i="26"/>
  <c r="U855" i="26"/>
  <c r="S855" i="26"/>
  <c r="T855" i="26"/>
  <c r="R855" i="26"/>
  <c r="O853" i="26"/>
  <c r="U853" i="26"/>
  <c r="R853" i="26"/>
  <c r="S853" i="26"/>
  <c r="T853" i="26"/>
  <c r="O851" i="26"/>
  <c r="U851" i="26"/>
  <c r="S851" i="26"/>
  <c r="T851" i="26"/>
  <c r="R851" i="26"/>
  <c r="O849" i="26"/>
  <c r="U849" i="26"/>
  <c r="R849" i="26"/>
  <c r="S849" i="26"/>
  <c r="T849" i="26"/>
  <c r="O847" i="26"/>
  <c r="U847" i="26"/>
  <c r="S847" i="26"/>
  <c r="T847" i="26"/>
  <c r="R847" i="26"/>
  <c r="O845" i="26"/>
  <c r="U845" i="26"/>
  <c r="R845" i="26"/>
  <c r="S845" i="26"/>
  <c r="T845" i="26"/>
  <c r="O843" i="26"/>
  <c r="U843" i="26"/>
  <c r="S843" i="26"/>
  <c r="T843" i="26"/>
  <c r="R843" i="26"/>
  <c r="O841" i="26"/>
  <c r="U841" i="26"/>
  <c r="R841" i="26"/>
  <c r="S841" i="26"/>
  <c r="T841" i="26"/>
  <c r="O839" i="26"/>
  <c r="U839" i="26"/>
  <c r="S839" i="26"/>
  <c r="T839" i="26"/>
  <c r="R839" i="26"/>
  <c r="U837" i="26"/>
  <c r="R837" i="26"/>
  <c r="S837" i="26"/>
  <c r="T837" i="26"/>
  <c r="U835" i="26"/>
  <c r="S835" i="26"/>
  <c r="T835" i="26"/>
  <c r="R835" i="26"/>
  <c r="O833" i="26"/>
  <c r="U833" i="26"/>
  <c r="R833" i="26"/>
  <c r="S833" i="26"/>
  <c r="T833" i="26"/>
  <c r="O831" i="26"/>
  <c r="U831" i="26"/>
  <c r="S831" i="26"/>
  <c r="T831" i="26"/>
  <c r="R831" i="26"/>
  <c r="O829" i="26"/>
  <c r="U829" i="26"/>
  <c r="R829" i="26"/>
  <c r="S829" i="26"/>
  <c r="T829" i="26"/>
  <c r="O827" i="26"/>
  <c r="U827" i="26"/>
  <c r="S827" i="26"/>
  <c r="T827" i="26"/>
  <c r="R827" i="26"/>
  <c r="O825" i="26"/>
  <c r="U825" i="26"/>
  <c r="R825" i="26"/>
  <c r="S825" i="26"/>
  <c r="T825" i="26"/>
  <c r="O823" i="26"/>
  <c r="U823" i="26"/>
  <c r="S823" i="26"/>
  <c r="T823" i="26"/>
  <c r="R823" i="26"/>
  <c r="O821" i="26"/>
  <c r="U821" i="26"/>
  <c r="R821" i="26"/>
  <c r="S821" i="26"/>
  <c r="T821" i="26"/>
  <c r="O819" i="26"/>
  <c r="U819" i="26"/>
  <c r="S819" i="26"/>
  <c r="T819" i="26"/>
  <c r="R819" i="26"/>
  <c r="O817" i="26"/>
  <c r="U817" i="26"/>
  <c r="R817" i="26"/>
  <c r="S817" i="26"/>
  <c r="T817" i="26"/>
  <c r="O815" i="26"/>
  <c r="U815" i="26"/>
  <c r="S815" i="26"/>
  <c r="T815" i="26"/>
  <c r="R815" i="26"/>
  <c r="U813" i="26"/>
  <c r="R813" i="26"/>
  <c r="S813" i="26"/>
  <c r="T813" i="26"/>
  <c r="O811" i="26"/>
  <c r="U811" i="26"/>
  <c r="S811" i="26"/>
  <c r="T811" i="26"/>
  <c r="R811" i="26"/>
  <c r="U809" i="26"/>
  <c r="R809" i="26"/>
  <c r="S809" i="26"/>
  <c r="T809" i="26"/>
  <c r="O807" i="26"/>
  <c r="U807" i="26"/>
  <c r="S807" i="26"/>
  <c r="T807" i="26"/>
  <c r="R807" i="26"/>
  <c r="O805" i="26"/>
  <c r="U805" i="26"/>
  <c r="R805" i="26"/>
  <c r="S805" i="26"/>
  <c r="T805" i="26"/>
  <c r="O803" i="26"/>
  <c r="U803" i="26"/>
  <c r="S803" i="26"/>
  <c r="T803" i="26"/>
  <c r="R803" i="26"/>
  <c r="U801" i="26"/>
  <c r="R801" i="26"/>
  <c r="S801" i="26"/>
  <c r="T801" i="26"/>
  <c r="U799" i="26"/>
  <c r="S799" i="26"/>
  <c r="T799" i="26"/>
  <c r="R799" i="26"/>
  <c r="U797" i="26"/>
  <c r="R797" i="26"/>
  <c r="S797" i="26"/>
  <c r="T797" i="26"/>
  <c r="N795" i="26"/>
  <c r="U795" i="26"/>
  <c r="S795" i="26"/>
  <c r="T795" i="26"/>
  <c r="R795" i="26"/>
  <c r="U793" i="26"/>
  <c r="R793" i="26"/>
  <c r="S793" i="26"/>
  <c r="T793" i="26"/>
  <c r="N791" i="26"/>
  <c r="U791" i="26"/>
  <c r="S791" i="26"/>
  <c r="T791" i="26"/>
  <c r="R791" i="26"/>
  <c r="U789" i="26"/>
  <c r="R789" i="26"/>
  <c r="S789" i="26"/>
  <c r="T789" i="26"/>
  <c r="U787" i="26"/>
  <c r="S787" i="26"/>
  <c r="T787" i="26"/>
  <c r="R787" i="26"/>
  <c r="U785" i="26"/>
  <c r="R785" i="26"/>
  <c r="S785" i="26"/>
  <c r="T785" i="26"/>
  <c r="P783" i="26"/>
  <c r="U783" i="26"/>
  <c r="S783" i="26"/>
  <c r="T783" i="26"/>
  <c r="R783" i="26"/>
  <c r="U781" i="26"/>
  <c r="R781" i="26"/>
  <c r="S781" i="26"/>
  <c r="T781" i="26"/>
  <c r="U779" i="26"/>
  <c r="S779" i="26"/>
  <c r="T779" i="26"/>
  <c r="R779" i="26"/>
  <c r="U777" i="26"/>
  <c r="R777" i="26"/>
  <c r="S777" i="26"/>
  <c r="T777" i="26"/>
  <c r="N775" i="26"/>
  <c r="U775" i="26"/>
  <c r="S775" i="26"/>
  <c r="T775" i="26"/>
  <c r="R775" i="26"/>
  <c r="U773" i="26"/>
  <c r="R773" i="26"/>
  <c r="S773" i="26"/>
  <c r="T773" i="26"/>
  <c r="N771" i="26"/>
  <c r="U771" i="26"/>
  <c r="S771" i="26"/>
  <c r="T771" i="26"/>
  <c r="R771" i="26"/>
  <c r="U769" i="26"/>
  <c r="R769" i="26"/>
  <c r="S769" i="26"/>
  <c r="T769" i="26"/>
  <c r="N767" i="26"/>
  <c r="U767" i="26"/>
  <c r="S767" i="26"/>
  <c r="T767" i="26"/>
  <c r="R767" i="26"/>
  <c r="U765" i="26"/>
  <c r="R765" i="26"/>
  <c r="S765" i="26"/>
  <c r="T765" i="26"/>
  <c r="N763" i="26"/>
  <c r="U763" i="26"/>
  <c r="S763" i="26"/>
  <c r="T763" i="26"/>
  <c r="R763" i="26"/>
  <c r="U761" i="26"/>
  <c r="R761" i="26"/>
  <c r="S761" i="26"/>
  <c r="T761" i="26"/>
  <c r="N759" i="26"/>
  <c r="U759" i="26"/>
  <c r="S759" i="26"/>
  <c r="T759" i="26"/>
  <c r="R759" i="26"/>
  <c r="U757" i="26"/>
  <c r="R757" i="26"/>
  <c r="S757" i="26"/>
  <c r="T757" i="26"/>
  <c r="N755" i="26"/>
  <c r="U755" i="26"/>
  <c r="S755" i="26"/>
  <c r="T755" i="26"/>
  <c r="R755" i="26"/>
  <c r="U753" i="26"/>
  <c r="R753" i="26"/>
  <c r="S753" i="26"/>
  <c r="T753" i="26"/>
  <c r="N751" i="26"/>
  <c r="U751" i="26"/>
  <c r="S751" i="26"/>
  <c r="T751" i="26"/>
  <c r="R751" i="26"/>
  <c r="U749" i="26"/>
  <c r="R749" i="26"/>
  <c r="S749" i="26"/>
  <c r="T749" i="26"/>
  <c r="N747" i="26"/>
  <c r="U747" i="26"/>
  <c r="S747" i="26"/>
  <c r="T747" i="26"/>
  <c r="R747" i="26"/>
  <c r="U745" i="26"/>
  <c r="R745" i="26"/>
  <c r="S745" i="26"/>
  <c r="T745" i="26"/>
  <c r="N743" i="26"/>
  <c r="U743" i="26"/>
  <c r="S743" i="26"/>
  <c r="T743" i="26"/>
  <c r="R743" i="26"/>
  <c r="U741" i="26"/>
  <c r="R741" i="26"/>
  <c r="S741" i="26"/>
  <c r="T741" i="26"/>
  <c r="N739" i="26"/>
  <c r="U739" i="26"/>
  <c r="S739" i="26"/>
  <c r="T739" i="26"/>
  <c r="R739" i="26"/>
  <c r="U737" i="26"/>
  <c r="R737" i="26"/>
  <c r="S737" i="26"/>
  <c r="T737" i="26"/>
  <c r="N735" i="26"/>
  <c r="U735" i="26"/>
  <c r="S735" i="26"/>
  <c r="T735" i="26"/>
  <c r="R735" i="26"/>
  <c r="U733" i="26"/>
  <c r="R733" i="26"/>
  <c r="S733" i="26"/>
  <c r="T733" i="26"/>
  <c r="K731" i="26"/>
  <c r="M731" i="26" s="1"/>
  <c r="U731" i="26"/>
  <c r="S731" i="26"/>
  <c r="T731" i="26"/>
  <c r="R731" i="26"/>
  <c r="U729" i="26"/>
  <c r="R729" i="26"/>
  <c r="S729" i="26"/>
  <c r="T729" i="26"/>
  <c r="P727" i="26"/>
  <c r="U727" i="26"/>
  <c r="S727" i="26"/>
  <c r="T727" i="26"/>
  <c r="R727" i="26"/>
  <c r="P725" i="26"/>
  <c r="U725" i="26"/>
  <c r="R725" i="26"/>
  <c r="S725" i="26"/>
  <c r="T725" i="26"/>
  <c r="K723" i="26"/>
  <c r="M723" i="26" s="1"/>
  <c r="U723" i="26"/>
  <c r="S723" i="26"/>
  <c r="T723" i="26"/>
  <c r="R723" i="26"/>
  <c r="U721" i="26"/>
  <c r="R721" i="26"/>
  <c r="S721" i="26"/>
  <c r="T721" i="26"/>
  <c r="P719" i="26"/>
  <c r="U719" i="26"/>
  <c r="S719" i="26"/>
  <c r="T719" i="26"/>
  <c r="R719" i="26"/>
  <c r="N717" i="26"/>
  <c r="U717" i="26"/>
  <c r="R717" i="26"/>
  <c r="S717" i="26"/>
  <c r="T717" i="26"/>
  <c r="K715" i="26"/>
  <c r="U715" i="26"/>
  <c r="S715" i="26"/>
  <c r="T715" i="26"/>
  <c r="R715" i="26"/>
  <c r="U713" i="26"/>
  <c r="R713" i="26"/>
  <c r="S713" i="26"/>
  <c r="T713" i="26"/>
  <c r="K711" i="26"/>
  <c r="U711" i="26"/>
  <c r="S711" i="26"/>
  <c r="T711" i="26"/>
  <c r="R711" i="26"/>
  <c r="P709" i="26"/>
  <c r="U709" i="26"/>
  <c r="R709" i="26"/>
  <c r="S709" i="26"/>
  <c r="T709" i="26"/>
  <c r="K707" i="26"/>
  <c r="U707" i="26"/>
  <c r="S707" i="26"/>
  <c r="T707" i="26"/>
  <c r="R707" i="26"/>
  <c r="U705" i="26"/>
  <c r="R705" i="26"/>
  <c r="S705" i="26"/>
  <c r="T705" i="26"/>
  <c r="K703" i="26"/>
  <c r="U703" i="26"/>
  <c r="S703" i="26"/>
  <c r="T703" i="26"/>
  <c r="R703" i="26"/>
  <c r="P701" i="26"/>
  <c r="U701" i="26"/>
  <c r="R701" i="26"/>
  <c r="S701" i="26"/>
  <c r="T701" i="26"/>
  <c r="K699" i="26"/>
  <c r="L699" i="26" s="1"/>
  <c r="U699" i="26"/>
  <c r="S699" i="26"/>
  <c r="T699" i="26"/>
  <c r="R699" i="26"/>
  <c r="K697" i="26"/>
  <c r="U697" i="26"/>
  <c r="R697" i="26"/>
  <c r="S697" i="26"/>
  <c r="T697" i="26"/>
  <c r="N695" i="26"/>
  <c r="U695" i="26"/>
  <c r="S695" i="26"/>
  <c r="T695" i="26"/>
  <c r="R695" i="26"/>
  <c r="P693" i="26"/>
  <c r="U693" i="26"/>
  <c r="R693" i="26"/>
  <c r="S693" i="26"/>
  <c r="T693" i="26"/>
  <c r="K691" i="26"/>
  <c r="U691" i="26"/>
  <c r="S691" i="26"/>
  <c r="T691" i="26"/>
  <c r="R691" i="26"/>
  <c r="K689" i="26"/>
  <c r="U689" i="26"/>
  <c r="R689" i="26"/>
  <c r="S689" i="26"/>
  <c r="T689" i="26"/>
  <c r="K687" i="26"/>
  <c r="U687" i="26"/>
  <c r="S687" i="26"/>
  <c r="T687" i="26"/>
  <c r="R687" i="26"/>
  <c r="P685" i="26"/>
  <c r="U685" i="26"/>
  <c r="R685" i="26"/>
  <c r="S685" i="26"/>
  <c r="T685" i="26"/>
  <c r="P683" i="26"/>
  <c r="U683" i="26"/>
  <c r="S683" i="26"/>
  <c r="T683" i="26"/>
  <c r="R683" i="26"/>
  <c r="K681" i="26"/>
  <c r="U681" i="26"/>
  <c r="R681" i="26"/>
  <c r="S681" i="26"/>
  <c r="T681" i="26"/>
  <c r="O679" i="26"/>
  <c r="U679" i="26"/>
  <c r="S679" i="26"/>
  <c r="T679" i="26"/>
  <c r="R679" i="26"/>
  <c r="K677" i="26"/>
  <c r="U677" i="26"/>
  <c r="R677" i="26"/>
  <c r="S677" i="26"/>
  <c r="T677" i="26"/>
  <c r="K675" i="26"/>
  <c r="L675" i="26" s="1"/>
  <c r="U675" i="26"/>
  <c r="S675" i="26"/>
  <c r="T675" i="26"/>
  <c r="R675" i="26"/>
  <c r="K673" i="26"/>
  <c r="U673" i="26"/>
  <c r="R673" i="26"/>
  <c r="S673" i="26"/>
  <c r="T673" i="26"/>
  <c r="O671" i="26"/>
  <c r="U671" i="26"/>
  <c r="S671" i="26"/>
  <c r="T671" i="26"/>
  <c r="R671" i="26"/>
  <c r="U669" i="26"/>
  <c r="R669" i="26"/>
  <c r="S669" i="26"/>
  <c r="T669" i="26"/>
  <c r="O667" i="26"/>
  <c r="U667" i="26"/>
  <c r="S667" i="26"/>
  <c r="T667" i="26"/>
  <c r="R667" i="26"/>
  <c r="U665" i="26"/>
  <c r="R665" i="26"/>
  <c r="S665" i="26"/>
  <c r="T665" i="26"/>
  <c r="O663" i="26"/>
  <c r="U663" i="26"/>
  <c r="S663" i="26"/>
  <c r="T663" i="26"/>
  <c r="R663" i="26"/>
  <c r="P661" i="26"/>
  <c r="U661" i="26"/>
  <c r="R661" i="26"/>
  <c r="S661" i="26"/>
  <c r="T661" i="26"/>
  <c r="P659" i="26"/>
  <c r="U659" i="26"/>
  <c r="S659" i="26"/>
  <c r="T659" i="26"/>
  <c r="R659" i="26"/>
  <c r="K657" i="26"/>
  <c r="U657" i="26"/>
  <c r="R657" i="26"/>
  <c r="S657" i="26"/>
  <c r="T657" i="26"/>
  <c r="O655" i="26"/>
  <c r="U655" i="26"/>
  <c r="S655" i="26"/>
  <c r="T655" i="26"/>
  <c r="R655" i="26"/>
  <c r="P653" i="26"/>
  <c r="U653" i="26"/>
  <c r="R653" i="26"/>
  <c r="S653" i="26"/>
  <c r="T653" i="26"/>
  <c r="K651" i="26"/>
  <c r="U651" i="26"/>
  <c r="S651" i="26"/>
  <c r="T651" i="26"/>
  <c r="R651" i="26"/>
  <c r="O649" i="26"/>
  <c r="U649" i="26"/>
  <c r="R649" i="26"/>
  <c r="S649" i="26"/>
  <c r="T649" i="26"/>
  <c r="O647" i="26"/>
  <c r="U647" i="26"/>
  <c r="S647" i="26"/>
  <c r="T647" i="26"/>
  <c r="R647" i="26"/>
  <c r="O645" i="26"/>
  <c r="U645" i="26"/>
  <c r="R645" i="26"/>
  <c r="S645" i="26"/>
  <c r="T645" i="26"/>
  <c r="K643" i="26"/>
  <c r="U643" i="26"/>
  <c r="S643" i="26"/>
  <c r="T643" i="26"/>
  <c r="R643" i="26"/>
  <c r="O641" i="26"/>
  <c r="U641" i="26"/>
  <c r="R641" i="26"/>
  <c r="S641" i="26"/>
  <c r="T641" i="26"/>
  <c r="O639" i="26"/>
  <c r="U639" i="26"/>
  <c r="S639" i="26"/>
  <c r="T639" i="26"/>
  <c r="R639" i="26"/>
  <c r="O637" i="26"/>
  <c r="U637" i="26"/>
  <c r="R637" i="26"/>
  <c r="S637" i="26"/>
  <c r="T637" i="26"/>
  <c r="K635" i="26"/>
  <c r="U635" i="26"/>
  <c r="S635" i="26"/>
  <c r="T635" i="26"/>
  <c r="R635" i="26"/>
  <c r="O633" i="26"/>
  <c r="U633" i="26"/>
  <c r="R633" i="26"/>
  <c r="S633" i="26"/>
  <c r="T633" i="26"/>
  <c r="N631" i="26"/>
  <c r="U631" i="26"/>
  <c r="S631" i="26"/>
  <c r="T631" i="26"/>
  <c r="R631" i="26"/>
  <c r="O629" i="26"/>
  <c r="U629" i="26"/>
  <c r="R629" i="26"/>
  <c r="S629" i="26"/>
  <c r="T629" i="26"/>
  <c r="O627" i="26"/>
  <c r="U627" i="26"/>
  <c r="S627" i="26"/>
  <c r="T627" i="26"/>
  <c r="R627" i="26"/>
  <c r="O625" i="26"/>
  <c r="U625" i="26"/>
  <c r="R625" i="26"/>
  <c r="S625" i="26"/>
  <c r="T625" i="26"/>
  <c r="K623" i="26"/>
  <c r="M623" i="26" s="1"/>
  <c r="U623" i="26"/>
  <c r="S623" i="26"/>
  <c r="T623" i="26"/>
  <c r="R623" i="26"/>
  <c r="O621" i="26"/>
  <c r="U621" i="26"/>
  <c r="R621" i="26"/>
  <c r="S621" i="26"/>
  <c r="T621" i="26"/>
  <c r="K619" i="26"/>
  <c r="U619" i="26"/>
  <c r="S619" i="26"/>
  <c r="T619" i="26"/>
  <c r="R619" i="26"/>
  <c r="O617" i="26"/>
  <c r="U617" i="26"/>
  <c r="R617" i="26"/>
  <c r="S617" i="26"/>
  <c r="T617" i="26"/>
  <c r="P615" i="26"/>
  <c r="U615" i="26"/>
  <c r="S615" i="26"/>
  <c r="T615" i="26"/>
  <c r="R615" i="26"/>
  <c r="O613" i="26"/>
  <c r="U613" i="26"/>
  <c r="R613" i="26"/>
  <c r="S613" i="26"/>
  <c r="T613" i="26"/>
  <c r="U611" i="26"/>
  <c r="S611" i="26"/>
  <c r="T611" i="26"/>
  <c r="R611" i="26"/>
  <c r="U609" i="26"/>
  <c r="R609" i="26"/>
  <c r="S609" i="26"/>
  <c r="T609" i="26"/>
  <c r="P607" i="26"/>
  <c r="U607" i="26"/>
  <c r="S607" i="26"/>
  <c r="T607" i="26"/>
  <c r="R607" i="26"/>
  <c r="P605" i="26"/>
  <c r="U605" i="26"/>
  <c r="R605" i="26"/>
  <c r="S605" i="26"/>
  <c r="T605" i="26"/>
  <c r="K603" i="26"/>
  <c r="L603" i="26" s="1"/>
  <c r="U603" i="26"/>
  <c r="S603" i="26"/>
  <c r="T603" i="26"/>
  <c r="R603" i="26"/>
  <c r="P601" i="26"/>
  <c r="U601" i="26"/>
  <c r="R601" i="26"/>
  <c r="S601" i="26"/>
  <c r="T601" i="26"/>
  <c r="P599" i="26"/>
  <c r="U599" i="26"/>
  <c r="S599" i="26"/>
  <c r="T599" i="26"/>
  <c r="R599" i="26"/>
  <c r="P597" i="26"/>
  <c r="U597" i="26"/>
  <c r="R597" i="26"/>
  <c r="S597" i="26"/>
  <c r="T597" i="26"/>
  <c r="U595" i="26"/>
  <c r="S595" i="26"/>
  <c r="T595" i="26"/>
  <c r="R595" i="26"/>
  <c r="U593" i="26"/>
  <c r="R593" i="26"/>
  <c r="S593" i="26"/>
  <c r="T593" i="26"/>
  <c r="P591" i="26"/>
  <c r="U591" i="26"/>
  <c r="S591" i="26"/>
  <c r="T591" i="26"/>
  <c r="R591" i="26"/>
  <c r="U589" i="26"/>
  <c r="R589" i="26"/>
  <c r="S589" i="26"/>
  <c r="T589" i="26"/>
  <c r="K587" i="26"/>
  <c r="U587" i="26"/>
  <c r="S587" i="26"/>
  <c r="R587" i="26"/>
  <c r="T587" i="26"/>
  <c r="P585" i="26"/>
  <c r="U585" i="26"/>
  <c r="S585" i="26"/>
  <c r="T585" i="26"/>
  <c r="R585" i="26"/>
  <c r="P583" i="26"/>
  <c r="U583" i="26"/>
  <c r="S583" i="26"/>
  <c r="R583" i="26"/>
  <c r="T583" i="26"/>
  <c r="P581" i="26"/>
  <c r="U581" i="26"/>
  <c r="S581" i="26"/>
  <c r="R581" i="26"/>
  <c r="T581" i="26"/>
  <c r="K579" i="26"/>
  <c r="U579" i="26"/>
  <c r="S579" i="26"/>
  <c r="R579" i="26"/>
  <c r="T579" i="26"/>
  <c r="P577" i="26"/>
  <c r="U577" i="26"/>
  <c r="S577" i="26"/>
  <c r="T577" i="26"/>
  <c r="R577" i="26"/>
  <c r="P575" i="26"/>
  <c r="U575" i="26"/>
  <c r="S575" i="26"/>
  <c r="R575" i="26"/>
  <c r="T575" i="26"/>
  <c r="P573" i="26"/>
  <c r="U573" i="26"/>
  <c r="R573" i="26"/>
  <c r="S573" i="26"/>
  <c r="T573" i="26"/>
  <c r="K571" i="26"/>
  <c r="U571" i="26"/>
  <c r="S571" i="26"/>
  <c r="T571" i="26"/>
  <c r="R571" i="26"/>
  <c r="P569" i="26"/>
  <c r="U569" i="26"/>
  <c r="R569" i="26"/>
  <c r="S569" i="26"/>
  <c r="T569" i="26"/>
  <c r="P567" i="26"/>
  <c r="U567" i="26"/>
  <c r="S567" i="26"/>
  <c r="T567" i="26"/>
  <c r="R567" i="26"/>
  <c r="P565" i="26"/>
  <c r="U565" i="26"/>
  <c r="R565" i="26"/>
  <c r="S565" i="26"/>
  <c r="T565" i="26"/>
  <c r="P563" i="26"/>
  <c r="U563" i="26"/>
  <c r="S563" i="26"/>
  <c r="T563" i="26"/>
  <c r="R563" i="26"/>
  <c r="P561" i="26"/>
  <c r="U561" i="26"/>
  <c r="R561" i="26"/>
  <c r="S561" i="26"/>
  <c r="T561" i="26"/>
  <c r="P559" i="26"/>
  <c r="U559" i="26"/>
  <c r="S559" i="26"/>
  <c r="T559" i="26"/>
  <c r="R559" i="26"/>
  <c r="P557" i="26"/>
  <c r="U557" i="26"/>
  <c r="R557" i="26"/>
  <c r="S557" i="26"/>
  <c r="T557" i="26"/>
  <c r="U555" i="26"/>
  <c r="S555" i="26"/>
  <c r="T555" i="26"/>
  <c r="R555" i="26"/>
  <c r="K553" i="26"/>
  <c r="L553" i="26" s="1"/>
  <c r="U553" i="26"/>
  <c r="R553" i="26"/>
  <c r="S553" i="26"/>
  <c r="T553" i="26"/>
  <c r="N551" i="26"/>
  <c r="U551" i="26"/>
  <c r="S551" i="26"/>
  <c r="T551" i="26"/>
  <c r="R551" i="26"/>
  <c r="P549" i="26"/>
  <c r="U549" i="26"/>
  <c r="R549" i="26"/>
  <c r="S549" i="26"/>
  <c r="T549" i="26"/>
  <c r="P547" i="26"/>
  <c r="U547" i="26"/>
  <c r="S547" i="26"/>
  <c r="T547" i="26"/>
  <c r="R547" i="26"/>
  <c r="K545" i="26"/>
  <c r="L545" i="26" s="1"/>
  <c r="U545" i="26"/>
  <c r="R545" i="26"/>
  <c r="S545" i="26"/>
  <c r="T545" i="26"/>
  <c r="O543" i="26"/>
  <c r="U543" i="26"/>
  <c r="S543" i="26"/>
  <c r="T543" i="26"/>
  <c r="R543" i="26"/>
  <c r="P541" i="26"/>
  <c r="U541" i="26"/>
  <c r="R541" i="26"/>
  <c r="S541" i="26"/>
  <c r="T541" i="26"/>
  <c r="P539" i="26"/>
  <c r="U539" i="26"/>
  <c r="S539" i="26"/>
  <c r="T539" i="26"/>
  <c r="R539" i="26"/>
  <c r="U537" i="26"/>
  <c r="R537" i="26"/>
  <c r="S537" i="26"/>
  <c r="T537" i="26"/>
  <c r="P535" i="26"/>
  <c r="U535" i="26"/>
  <c r="S535" i="26"/>
  <c r="T535" i="26"/>
  <c r="R535" i="26"/>
  <c r="U533" i="26"/>
  <c r="R533" i="26"/>
  <c r="S533" i="26"/>
  <c r="T533" i="26"/>
  <c r="U531" i="26"/>
  <c r="S531" i="26"/>
  <c r="T531" i="26"/>
  <c r="R531" i="26"/>
  <c r="P529" i="26"/>
  <c r="U529" i="26"/>
  <c r="R529" i="26"/>
  <c r="S529" i="26"/>
  <c r="T529" i="26"/>
  <c r="P527" i="26"/>
  <c r="U527" i="26"/>
  <c r="S527" i="26"/>
  <c r="T527" i="26"/>
  <c r="R527" i="26"/>
  <c r="P525" i="26"/>
  <c r="U525" i="26"/>
  <c r="R525" i="26"/>
  <c r="S525" i="26"/>
  <c r="T525" i="26"/>
  <c r="P523" i="26"/>
  <c r="U523" i="26"/>
  <c r="S523" i="26"/>
  <c r="T523" i="26"/>
  <c r="R523" i="26"/>
  <c r="P521" i="26"/>
  <c r="U521" i="26"/>
  <c r="R521" i="26"/>
  <c r="S521" i="26"/>
  <c r="T521" i="26"/>
  <c r="N519" i="26"/>
  <c r="U519" i="26"/>
  <c r="S519" i="26"/>
  <c r="T519" i="26"/>
  <c r="R519" i="26"/>
  <c r="O517" i="26"/>
  <c r="U517" i="26"/>
  <c r="R517" i="26"/>
  <c r="S517" i="26"/>
  <c r="T517" i="26"/>
  <c r="O515" i="26"/>
  <c r="U515" i="26"/>
  <c r="S515" i="26"/>
  <c r="T515" i="26"/>
  <c r="R515" i="26"/>
  <c r="P513" i="26"/>
  <c r="U513" i="26"/>
  <c r="R513" i="26"/>
  <c r="S513" i="26"/>
  <c r="T513" i="26"/>
  <c r="P511" i="26"/>
  <c r="U511" i="26"/>
  <c r="S511" i="26"/>
  <c r="T511" i="26"/>
  <c r="R511" i="26"/>
  <c r="P509" i="26"/>
  <c r="U509" i="26"/>
  <c r="R509" i="26"/>
  <c r="S509" i="26"/>
  <c r="T509" i="26"/>
  <c r="P507" i="26"/>
  <c r="U507" i="26"/>
  <c r="S507" i="26"/>
  <c r="T507" i="26"/>
  <c r="R507" i="26"/>
  <c r="N505" i="26"/>
  <c r="U505" i="26"/>
  <c r="R505" i="26"/>
  <c r="S505" i="26"/>
  <c r="T505" i="26"/>
  <c r="P503" i="26"/>
  <c r="U503" i="26"/>
  <c r="S503" i="26"/>
  <c r="T503" i="26"/>
  <c r="R503" i="26"/>
  <c r="U501" i="26"/>
  <c r="R501" i="26"/>
  <c r="S501" i="26"/>
  <c r="T501" i="26"/>
  <c r="K499" i="26"/>
  <c r="U499" i="26"/>
  <c r="S499" i="26"/>
  <c r="T499" i="26"/>
  <c r="R499" i="26"/>
  <c r="O497" i="26"/>
  <c r="U497" i="26"/>
  <c r="R497" i="26"/>
  <c r="S497" i="26"/>
  <c r="T497" i="26"/>
  <c r="U495" i="26"/>
  <c r="S495" i="26"/>
  <c r="T495" i="26"/>
  <c r="R495" i="26"/>
  <c r="K493" i="26"/>
  <c r="U493" i="26"/>
  <c r="R493" i="26"/>
  <c r="S493" i="26"/>
  <c r="T493" i="26"/>
  <c r="K491" i="26"/>
  <c r="U491" i="26"/>
  <c r="S491" i="26"/>
  <c r="T491" i="26"/>
  <c r="R491" i="26"/>
  <c r="N489" i="26"/>
  <c r="U489" i="26"/>
  <c r="R489" i="26"/>
  <c r="S489" i="26"/>
  <c r="T489" i="26"/>
  <c r="P487" i="26"/>
  <c r="U487" i="26"/>
  <c r="S487" i="26"/>
  <c r="T487" i="26"/>
  <c r="R487" i="26"/>
  <c r="K485" i="26"/>
  <c r="L485" i="26" s="1"/>
  <c r="U485" i="26"/>
  <c r="R485" i="26"/>
  <c r="S485" i="26"/>
  <c r="T485" i="26"/>
  <c r="U483" i="26"/>
  <c r="S483" i="26"/>
  <c r="T483" i="26"/>
  <c r="R483" i="26"/>
  <c r="N481" i="26"/>
  <c r="U481" i="26"/>
  <c r="R481" i="26"/>
  <c r="S481" i="26"/>
  <c r="T481" i="26"/>
  <c r="U479" i="26"/>
  <c r="S479" i="26"/>
  <c r="T479" i="26"/>
  <c r="R479" i="26"/>
  <c r="N477" i="26"/>
  <c r="U477" i="26"/>
  <c r="R477" i="26"/>
  <c r="S477" i="26"/>
  <c r="T477" i="26"/>
  <c r="K475" i="26"/>
  <c r="U475" i="26"/>
  <c r="S475" i="26"/>
  <c r="T475" i="26"/>
  <c r="R475" i="26"/>
  <c r="N473" i="26"/>
  <c r="U473" i="26"/>
  <c r="R473" i="26"/>
  <c r="S473" i="26"/>
  <c r="T473" i="26"/>
  <c r="K471" i="26"/>
  <c r="U471" i="26"/>
  <c r="S471" i="26"/>
  <c r="T471" i="26"/>
  <c r="R471" i="26"/>
  <c r="K469" i="26"/>
  <c r="L469" i="26" s="1"/>
  <c r="U469" i="26"/>
  <c r="R469" i="26"/>
  <c r="S469" i="26"/>
  <c r="T469" i="26"/>
  <c r="K467" i="26"/>
  <c r="L467" i="26" s="1"/>
  <c r="U467" i="26"/>
  <c r="S467" i="26"/>
  <c r="T467" i="26"/>
  <c r="R467" i="26"/>
  <c r="N465" i="26"/>
  <c r="U465" i="26"/>
  <c r="R465" i="26"/>
  <c r="S465" i="26"/>
  <c r="T465" i="26"/>
  <c r="K463" i="26"/>
  <c r="L463" i="26" s="1"/>
  <c r="U463" i="26"/>
  <c r="S463" i="26"/>
  <c r="T463" i="26"/>
  <c r="R463" i="26"/>
  <c r="K461" i="26"/>
  <c r="L461" i="26" s="1"/>
  <c r="U461" i="26"/>
  <c r="R461" i="26"/>
  <c r="S461" i="26"/>
  <c r="T461" i="26"/>
  <c r="K459" i="26"/>
  <c r="L459" i="26" s="1"/>
  <c r="M459" i="26" s="1"/>
  <c r="U459" i="26"/>
  <c r="S459" i="26"/>
  <c r="T459" i="26"/>
  <c r="R459" i="26"/>
  <c r="K457" i="26"/>
  <c r="L457" i="26" s="1"/>
  <c r="U457" i="26"/>
  <c r="R457" i="26"/>
  <c r="S457" i="26"/>
  <c r="T457" i="26"/>
  <c r="K455" i="26"/>
  <c r="L455" i="26" s="1"/>
  <c r="U455" i="26"/>
  <c r="S455" i="26"/>
  <c r="T455" i="26"/>
  <c r="R455" i="26"/>
  <c r="N453" i="26"/>
  <c r="U453" i="26"/>
  <c r="R453" i="26"/>
  <c r="S453" i="26"/>
  <c r="T453" i="26"/>
  <c r="K451" i="26"/>
  <c r="L451" i="26" s="1"/>
  <c r="M451" i="26" s="1"/>
  <c r="U451" i="26"/>
  <c r="S451" i="26"/>
  <c r="T451" i="26"/>
  <c r="R451" i="26"/>
  <c r="N449" i="26"/>
  <c r="U449" i="26"/>
  <c r="R449" i="26"/>
  <c r="S449" i="26"/>
  <c r="T449" i="26"/>
  <c r="K447" i="26"/>
  <c r="L447" i="26" s="1"/>
  <c r="M447" i="26" s="1"/>
  <c r="U447" i="26"/>
  <c r="S447" i="26"/>
  <c r="T447" i="26"/>
  <c r="R447" i="26"/>
  <c r="N445" i="26"/>
  <c r="U445" i="26"/>
  <c r="R445" i="26"/>
  <c r="S445" i="26"/>
  <c r="T445" i="26"/>
  <c r="K443" i="26"/>
  <c r="L443" i="26" s="1"/>
  <c r="M443" i="26" s="1"/>
  <c r="U443" i="26"/>
  <c r="S443" i="26"/>
  <c r="T443" i="26"/>
  <c r="R443" i="26"/>
  <c r="K441" i="26"/>
  <c r="U441" i="26"/>
  <c r="R441" i="26"/>
  <c r="S441" i="26"/>
  <c r="T441" i="26"/>
  <c r="K439" i="26"/>
  <c r="U439" i="26"/>
  <c r="S439" i="26"/>
  <c r="T439" i="26"/>
  <c r="R439" i="26"/>
  <c r="K437" i="26"/>
  <c r="M437" i="26" s="1"/>
  <c r="U437" i="26"/>
  <c r="R437" i="26"/>
  <c r="S437" i="26"/>
  <c r="T437" i="26"/>
  <c r="K435" i="26"/>
  <c r="U435" i="26"/>
  <c r="S435" i="26"/>
  <c r="T435" i="26"/>
  <c r="R435" i="26"/>
  <c r="O433" i="26"/>
  <c r="U433" i="26"/>
  <c r="R433" i="26"/>
  <c r="S433" i="26"/>
  <c r="T433" i="26"/>
  <c r="O431" i="26"/>
  <c r="U431" i="26"/>
  <c r="S431" i="26"/>
  <c r="T431" i="26"/>
  <c r="R431" i="26"/>
  <c r="O429" i="26"/>
  <c r="U429" i="26"/>
  <c r="R429" i="26"/>
  <c r="S429" i="26"/>
  <c r="T429" i="26"/>
  <c r="O427" i="26"/>
  <c r="U427" i="26"/>
  <c r="S427" i="26"/>
  <c r="T427" i="26"/>
  <c r="R427" i="26"/>
  <c r="O425" i="26"/>
  <c r="U425" i="26"/>
  <c r="R425" i="26"/>
  <c r="S425" i="26"/>
  <c r="T425" i="26"/>
  <c r="U423" i="26"/>
  <c r="S423" i="26"/>
  <c r="T423" i="26"/>
  <c r="R423" i="26"/>
  <c r="O421" i="26"/>
  <c r="U421" i="26"/>
  <c r="R421" i="26"/>
  <c r="S421" i="26"/>
  <c r="T421" i="26"/>
  <c r="O419" i="26"/>
  <c r="U419" i="26"/>
  <c r="S419" i="26"/>
  <c r="T419" i="26"/>
  <c r="R419" i="26"/>
  <c r="O417" i="26"/>
  <c r="U417" i="26"/>
  <c r="R417" i="26"/>
  <c r="S417" i="26"/>
  <c r="T417" i="26"/>
  <c r="P415" i="26"/>
  <c r="U415" i="26"/>
  <c r="S415" i="26"/>
  <c r="T415" i="26"/>
  <c r="R415" i="26"/>
  <c r="P413" i="26"/>
  <c r="U413" i="26"/>
  <c r="R413" i="26"/>
  <c r="S413" i="26"/>
  <c r="T413" i="26"/>
  <c r="P411" i="26"/>
  <c r="U411" i="26"/>
  <c r="S411" i="26"/>
  <c r="T411" i="26"/>
  <c r="R411" i="26"/>
  <c r="P409" i="26"/>
  <c r="U409" i="26"/>
  <c r="R409" i="26"/>
  <c r="S409" i="26"/>
  <c r="T409" i="26"/>
  <c r="P407" i="26"/>
  <c r="U407" i="26"/>
  <c r="S407" i="26"/>
  <c r="T407" i="26"/>
  <c r="R407" i="26"/>
  <c r="P405" i="26"/>
  <c r="U405" i="26"/>
  <c r="R405" i="26"/>
  <c r="S405" i="26"/>
  <c r="T405" i="26"/>
  <c r="P403" i="26"/>
  <c r="U403" i="26"/>
  <c r="S403" i="26"/>
  <c r="T403" i="26"/>
  <c r="R403" i="26"/>
  <c r="P401" i="26"/>
  <c r="U401" i="26"/>
  <c r="R401" i="26"/>
  <c r="S401" i="26"/>
  <c r="T401" i="26"/>
  <c r="P399" i="26"/>
  <c r="U399" i="26"/>
  <c r="S399" i="26"/>
  <c r="T399" i="26"/>
  <c r="R399" i="26"/>
  <c r="P397" i="26"/>
  <c r="U397" i="26"/>
  <c r="R397" i="26"/>
  <c r="S397" i="26"/>
  <c r="T397" i="26"/>
  <c r="K395" i="26"/>
  <c r="L395" i="26" s="1"/>
  <c r="U395" i="26"/>
  <c r="S395" i="26"/>
  <c r="T395" i="26"/>
  <c r="R395" i="26"/>
  <c r="N393" i="26"/>
  <c r="U393" i="26"/>
  <c r="R393" i="26"/>
  <c r="S393" i="26"/>
  <c r="T393" i="26"/>
  <c r="K391" i="26"/>
  <c r="U391" i="26"/>
  <c r="S391" i="26"/>
  <c r="T391" i="26"/>
  <c r="R391" i="26"/>
  <c r="N389" i="26"/>
  <c r="U389" i="26"/>
  <c r="R389" i="26"/>
  <c r="S389" i="26"/>
  <c r="T389" i="26"/>
  <c r="U387" i="26"/>
  <c r="S387" i="26"/>
  <c r="T387" i="26"/>
  <c r="R387" i="26"/>
  <c r="N385" i="26"/>
  <c r="U385" i="26"/>
  <c r="R385" i="26"/>
  <c r="S385" i="26"/>
  <c r="T385" i="26"/>
  <c r="U383" i="26"/>
  <c r="S383" i="26"/>
  <c r="T383" i="26"/>
  <c r="R383" i="26"/>
  <c r="N381" i="26"/>
  <c r="U381" i="26"/>
  <c r="R381" i="26"/>
  <c r="S381" i="26"/>
  <c r="T381" i="26"/>
  <c r="K379" i="26"/>
  <c r="U379" i="26"/>
  <c r="S379" i="26"/>
  <c r="T379" i="26"/>
  <c r="R379" i="26"/>
  <c r="N377" i="26"/>
  <c r="U377" i="26"/>
  <c r="R377" i="26"/>
  <c r="S377" i="26"/>
  <c r="T377" i="26"/>
  <c r="K375" i="26"/>
  <c r="U375" i="26"/>
  <c r="S375" i="26"/>
  <c r="T375" i="26"/>
  <c r="R375" i="26"/>
  <c r="P373" i="26"/>
  <c r="U373" i="26"/>
  <c r="R373" i="26"/>
  <c r="S373" i="26"/>
  <c r="T373" i="26"/>
  <c r="U371" i="26"/>
  <c r="S371" i="26"/>
  <c r="T371" i="26"/>
  <c r="R371" i="26"/>
  <c r="O369" i="26"/>
  <c r="U369" i="26"/>
  <c r="R369" i="26"/>
  <c r="S369" i="26"/>
  <c r="T369" i="26"/>
  <c r="K367" i="26"/>
  <c r="U367" i="26"/>
  <c r="S367" i="26"/>
  <c r="T367" i="26"/>
  <c r="R367" i="26"/>
  <c r="U365" i="26"/>
  <c r="R365" i="26"/>
  <c r="S365" i="26"/>
  <c r="T365" i="26"/>
  <c r="U363" i="26"/>
  <c r="S363" i="26"/>
  <c r="T363" i="26"/>
  <c r="R363" i="26"/>
  <c r="O361" i="26"/>
  <c r="U361" i="26"/>
  <c r="R361" i="26"/>
  <c r="S361" i="26"/>
  <c r="T361" i="26"/>
  <c r="K359" i="26"/>
  <c r="U359" i="26"/>
  <c r="S359" i="26"/>
  <c r="T359" i="26"/>
  <c r="R359" i="26"/>
  <c r="K357" i="26"/>
  <c r="L357" i="26" s="1"/>
  <c r="U357" i="26"/>
  <c r="R357" i="26"/>
  <c r="S357" i="26"/>
  <c r="T357" i="26"/>
  <c r="U355" i="26"/>
  <c r="S355" i="26"/>
  <c r="T355" i="26"/>
  <c r="R355" i="26"/>
  <c r="U353" i="26"/>
  <c r="R353" i="26"/>
  <c r="S353" i="26"/>
  <c r="T353" i="26"/>
  <c r="K351" i="26"/>
  <c r="U351" i="26"/>
  <c r="S351" i="26"/>
  <c r="T351" i="26"/>
  <c r="R351" i="26"/>
  <c r="K349" i="26"/>
  <c r="L349" i="26" s="1"/>
  <c r="U349" i="26"/>
  <c r="R349" i="26"/>
  <c r="S349" i="26"/>
  <c r="T349" i="26"/>
  <c r="K347" i="26"/>
  <c r="L347" i="26" s="1"/>
  <c r="U347" i="26"/>
  <c r="S347" i="26"/>
  <c r="T347" i="26"/>
  <c r="R347" i="26"/>
  <c r="P345" i="26"/>
  <c r="U345" i="26"/>
  <c r="R345" i="26"/>
  <c r="S345" i="26"/>
  <c r="T345" i="26"/>
  <c r="K343" i="26"/>
  <c r="U343" i="26"/>
  <c r="S343" i="26"/>
  <c r="T343" i="26"/>
  <c r="R343" i="26"/>
  <c r="P341" i="26"/>
  <c r="U341" i="26"/>
  <c r="R341" i="26"/>
  <c r="S341" i="26"/>
  <c r="T341" i="26"/>
  <c r="K339" i="26"/>
  <c r="U339" i="26"/>
  <c r="S339" i="26"/>
  <c r="T339" i="26"/>
  <c r="R339" i="26"/>
  <c r="P337" i="26"/>
  <c r="U337" i="26"/>
  <c r="R337" i="26"/>
  <c r="S337" i="26"/>
  <c r="T337" i="26"/>
  <c r="P335" i="26"/>
  <c r="U335" i="26"/>
  <c r="S335" i="26"/>
  <c r="T335" i="26"/>
  <c r="R335" i="26"/>
  <c r="U333" i="26"/>
  <c r="R333" i="26"/>
  <c r="S333" i="26"/>
  <c r="T333" i="26"/>
  <c r="N331" i="26"/>
  <c r="U331" i="26"/>
  <c r="S331" i="26"/>
  <c r="T331" i="26"/>
  <c r="R331" i="26"/>
  <c r="U329" i="26"/>
  <c r="R329" i="26"/>
  <c r="S329" i="26"/>
  <c r="T329" i="26"/>
  <c r="K327" i="26"/>
  <c r="L327" i="26" s="1"/>
  <c r="U327" i="26"/>
  <c r="S327" i="26"/>
  <c r="T327" i="26"/>
  <c r="R327" i="26"/>
  <c r="N325" i="26"/>
  <c r="U325" i="26"/>
  <c r="R325" i="26"/>
  <c r="S325" i="26"/>
  <c r="T325" i="26"/>
  <c r="N323" i="26"/>
  <c r="U323" i="26"/>
  <c r="S323" i="26"/>
  <c r="T323" i="26"/>
  <c r="R323" i="26"/>
  <c r="P321" i="26"/>
  <c r="U321" i="26"/>
  <c r="R321" i="26"/>
  <c r="S321" i="26"/>
  <c r="T321" i="26"/>
  <c r="K319" i="26"/>
  <c r="L319" i="26" s="1"/>
  <c r="U319" i="26"/>
  <c r="S319" i="26"/>
  <c r="T319" i="26"/>
  <c r="R319" i="26"/>
  <c r="N317" i="26"/>
  <c r="U317" i="26"/>
  <c r="R317" i="26"/>
  <c r="S317" i="26"/>
  <c r="T317" i="26"/>
  <c r="N315" i="26"/>
  <c r="U315" i="26"/>
  <c r="S315" i="26"/>
  <c r="T315" i="26"/>
  <c r="R315" i="26"/>
  <c r="U313" i="26"/>
  <c r="R313" i="26"/>
  <c r="S313" i="26"/>
  <c r="T313" i="26"/>
  <c r="K311" i="26"/>
  <c r="L311" i="26" s="1"/>
  <c r="U311" i="26"/>
  <c r="S311" i="26"/>
  <c r="T311" i="26"/>
  <c r="R311" i="26"/>
  <c r="N309" i="26"/>
  <c r="U309" i="26"/>
  <c r="R309" i="26"/>
  <c r="S309" i="26"/>
  <c r="T309" i="26"/>
  <c r="N307" i="26"/>
  <c r="U307" i="26"/>
  <c r="S307" i="26"/>
  <c r="T307" i="26"/>
  <c r="R307" i="26"/>
  <c r="U305" i="26"/>
  <c r="R305" i="26"/>
  <c r="S305" i="26"/>
  <c r="T305" i="26"/>
  <c r="P303" i="26"/>
  <c r="U303" i="26"/>
  <c r="S303" i="26"/>
  <c r="T303" i="26"/>
  <c r="R303" i="26"/>
  <c r="U301" i="26"/>
  <c r="R301" i="26"/>
  <c r="S301" i="26"/>
  <c r="T301" i="26"/>
  <c r="N299" i="26"/>
  <c r="U299" i="26"/>
  <c r="S299" i="26"/>
  <c r="T299" i="26"/>
  <c r="R299" i="26"/>
  <c r="U297" i="26"/>
  <c r="R297" i="26"/>
  <c r="S297" i="26"/>
  <c r="T297" i="26"/>
  <c r="U295" i="26"/>
  <c r="S295" i="26"/>
  <c r="T295" i="26"/>
  <c r="R295" i="26"/>
  <c r="O293" i="26"/>
  <c r="U293" i="26"/>
  <c r="R293" i="26"/>
  <c r="S293" i="26"/>
  <c r="T293" i="26"/>
  <c r="K291" i="26"/>
  <c r="L291" i="26" s="1"/>
  <c r="U291" i="26"/>
  <c r="S291" i="26"/>
  <c r="T291" i="26"/>
  <c r="R291" i="26"/>
  <c r="N289" i="26"/>
  <c r="U289" i="26"/>
  <c r="R289" i="26"/>
  <c r="S289" i="26"/>
  <c r="T289" i="26"/>
  <c r="K287" i="26"/>
  <c r="L287" i="26" s="1"/>
  <c r="U287" i="26"/>
  <c r="S287" i="26"/>
  <c r="T287" i="26"/>
  <c r="R287" i="26"/>
  <c r="U285" i="26"/>
  <c r="R285" i="26"/>
  <c r="S285" i="26"/>
  <c r="T285" i="26"/>
  <c r="K283" i="26"/>
  <c r="L283" i="26" s="1"/>
  <c r="U283" i="26"/>
  <c r="S283" i="26"/>
  <c r="T283" i="26"/>
  <c r="R283" i="26"/>
  <c r="U281" i="26"/>
  <c r="R281" i="26"/>
  <c r="S281" i="26"/>
  <c r="T281" i="26"/>
  <c r="P279" i="26"/>
  <c r="U279" i="26"/>
  <c r="S279" i="26"/>
  <c r="T279" i="26"/>
  <c r="R279" i="26"/>
  <c r="K277" i="26"/>
  <c r="U277" i="26"/>
  <c r="R277" i="26"/>
  <c r="S277" i="26"/>
  <c r="T277" i="26"/>
  <c r="U275" i="26"/>
  <c r="S275" i="26"/>
  <c r="T275" i="26"/>
  <c r="R275" i="26"/>
  <c r="K273" i="26"/>
  <c r="L273" i="26" s="1"/>
  <c r="U273" i="26"/>
  <c r="R273" i="26"/>
  <c r="S273" i="26"/>
  <c r="T273" i="26"/>
  <c r="K271" i="26"/>
  <c r="U271" i="26"/>
  <c r="S271" i="26"/>
  <c r="T271" i="26"/>
  <c r="R271" i="26"/>
  <c r="K269" i="26"/>
  <c r="U269" i="26"/>
  <c r="R269" i="26"/>
  <c r="S269" i="26"/>
  <c r="T269" i="26"/>
  <c r="K267" i="26"/>
  <c r="L267" i="26" s="1"/>
  <c r="U267" i="26"/>
  <c r="S267" i="26"/>
  <c r="T267" i="26"/>
  <c r="R267" i="26"/>
  <c r="K265" i="26"/>
  <c r="L265" i="26" s="1"/>
  <c r="U265" i="26"/>
  <c r="R265" i="26"/>
  <c r="S265" i="26"/>
  <c r="T265" i="26"/>
  <c r="K263" i="26"/>
  <c r="L263" i="26" s="1"/>
  <c r="U263" i="26"/>
  <c r="S263" i="26"/>
  <c r="T263" i="26"/>
  <c r="R263" i="26"/>
  <c r="K261" i="26"/>
  <c r="U261" i="26"/>
  <c r="R261" i="26"/>
  <c r="S261" i="26"/>
  <c r="T261" i="26"/>
  <c r="K259" i="26"/>
  <c r="L259" i="26" s="1"/>
  <c r="U259" i="26"/>
  <c r="S259" i="26"/>
  <c r="T259" i="26"/>
  <c r="R259" i="26"/>
  <c r="U257" i="26"/>
  <c r="R257" i="26"/>
  <c r="S257" i="26"/>
  <c r="T257" i="26"/>
  <c r="K255" i="26"/>
  <c r="L255" i="26" s="1"/>
  <c r="U255" i="26"/>
  <c r="S255" i="26"/>
  <c r="T255" i="26"/>
  <c r="R255" i="26"/>
  <c r="K253" i="26"/>
  <c r="U253" i="26"/>
  <c r="R253" i="26"/>
  <c r="S253" i="26"/>
  <c r="T253" i="26"/>
  <c r="K251" i="26"/>
  <c r="L251" i="26" s="1"/>
  <c r="U251" i="26"/>
  <c r="S251" i="26"/>
  <c r="T251" i="26"/>
  <c r="R251" i="26"/>
  <c r="K249" i="26"/>
  <c r="L249" i="26" s="1"/>
  <c r="U249" i="26"/>
  <c r="R249" i="26"/>
  <c r="S249" i="26"/>
  <c r="T249" i="26"/>
  <c r="K247" i="26"/>
  <c r="L247" i="26" s="1"/>
  <c r="U247" i="26"/>
  <c r="S247" i="26"/>
  <c r="T247" i="26"/>
  <c r="R247" i="26"/>
  <c r="U245" i="26"/>
  <c r="R245" i="26"/>
  <c r="S245" i="26"/>
  <c r="T245" i="26"/>
  <c r="K243" i="26"/>
  <c r="U243" i="26"/>
  <c r="S243" i="26"/>
  <c r="T243" i="26"/>
  <c r="R243" i="26"/>
  <c r="K241" i="26"/>
  <c r="U241" i="26"/>
  <c r="R241" i="26"/>
  <c r="S241" i="26"/>
  <c r="T241" i="26"/>
  <c r="O239" i="26"/>
  <c r="U239" i="26"/>
  <c r="S239" i="26"/>
  <c r="T239" i="26"/>
  <c r="R239" i="26"/>
  <c r="K237" i="26"/>
  <c r="M237" i="26" s="1"/>
  <c r="U237" i="26"/>
  <c r="R237" i="26"/>
  <c r="S237" i="26"/>
  <c r="T237" i="26"/>
  <c r="U235" i="26"/>
  <c r="S235" i="26"/>
  <c r="T235" i="26"/>
  <c r="R235" i="26"/>
  <c r="K233" i="26"/>
  <c r="U233" i="26"/>
  <c r="R233" i="26"/>
  <c r="S233" i="26"/>
  <c r="T233" i="26"/>
  <c r="O231" i="26"/>
  <c r="U231" i="26"/>
  <c r="S231" i="26"/>
  <c r="T231" i="26"/>
  <c r="R231" i="26"/>
  <c r="K229" i="26"/>
  <c r="U229" i="26"/>
  <c r="R229" i="26"/>
  <c r="S229" i="26"/>
  <c r="T229" i="26"/>
  <c r="K227" i="26"/>
  <c r="L227" i="26" s="1"/>
  <c r="U227" i="26"/>
  <c r="S227" i="26"/>
  <c r="T227" i="26"/>
  <c r="R227" i="26"/>
  <c r="K225" i="26"/>
  <c r="U225" i="26"/>
  <c r="R225" i="26"/>
  <c r="S225" i="26"/>
  <c r="T225" i="26"/>
  <c r="O223" i="26"/>
  <c r="U223" i="26"/>
  <c r="S223" i="26"/>
  <c r="T223" i="26"/>
  <c r="R223" i="26"/>
  <c r="U221" i="26"/>
  <c r="R221" i="26"/>
  <c r="S221" i="26"/>
  <c r="T221" i="26"/>
  <c r="K219" i="26"/>
  <c r="U219" i="26"/>
  <c r="S219" i="26"/>
  <c r="T219" i="26"/>
  <c r="R219" i="26"/>
  <c r="U217" i="26"/>
  <c r="R217" i="26"/>
  <c r="S217" i="26"/>
  <c r="T217" i="26"/>
  <c r="U215" i="26"/>
  <c r="S215" i="26"/>
  <c r="T215" i="26"/>
  <c r="R215" i="26"/>
  <c r="K213" i="26"/>
  <c r="L213" i="26" s="1"/>
  <c r="U213" i="26"/>
  <c r="R213" i="26"/>
  <c r="S213" i="26"/>
  <c r="T213" i="26"/>
  <c r="U211" i="26"/>
  <c r="S211" i="26"/>
  <c r="T211" i="26"/>
  <c r="R211" i="26"/>
  <c r="K209" i="26"/>
  <c r="L209" i="26" s="1"/>
  <c r="U209" i="26"/>
  <c r="R209" i="26"/>
  <c r="S209" i="26"/>
  <c r="T209" i="26"/>
  <c r="U207" i="26"/>
  <c r="S207" i="26"/>
  <c r="T207" i="26"/>
  <c r="R207" i="26"/>
  <c r="K205" i="26"/>
  <c r="L205" i="26" s="1"/>
  <c r="U205" i="26"/>
  <c r="R205" i="26"/>
  <c r="S205" i="26"/>
  <c r="T205" i="26"/>
  <c r="U203" i="26"/>
  <c r="S203" i="26"/>
  <c r="T203" i="26"/>
  <c r="R203" i="26"/>
  <c r="U201" i="26"/>
  <c r="R201" i="26"/>
  <c r="S201" i="26"/>
  <c r="T201" i="26"/>
  <c r="U199" i="26"/>
  <c r="S199" i="26"/>
  <c r="T199" i="26"/>
  <c r="R199" i="26"/>
  <c r="K197" i="26"/>
  <c r="L197" i="26" s="1"/>
  <c r="U197" i="26"/>
  <c r="R197" i="26"/>
  <c r="T197" i="26"/>
  <c r="S197" i="26"/>
  <c r="U195" i="26"/>
  <c r="T195" i="26"/>
  <c r="S195" i="26"/>
  <c r="R195" i="26"/>
  <c r="K193" i="26"/>
  <c r="L193" i="26" s="1"/>
  <c r="U193" i="26"/>
  <c r="R193" i="26"/>
  <c r="S193" i="26"/>
  <c r="T193" i="26"/>
  <c r="U191" i="26"/>
  <c r="T191" i="26"/>
  <c r="R191" i="26"/>
  <c r="S191" i="26"/>
  <c r="K189" i="26"/>
  <c r="L189" i="26" s="1"/>
  <c r="U189" i="26"/>
  <c r="R189" i="26"/>
  <c r="S189" i="26"/>
  <c r="T189" i="26"/>
  <c r="U187" i="26"/>
  <c r="T187" i="26"/>
  <c r="S187" i="26"/>
  <c r="R187" i="26"/>
  <c r="U185" i="26"/>
  <c r="R185" i="26"/>
  <c r="S185" i="26"/>
  <c r="T185" i="26"/>
  <c r="U183" i="26"/>
  <c r="T183" i="26"/>
  <c r="R183" i="26"/>
  <c r="S183" i="26"/>
  <c r="K181" i="26"/>
  <c r="L181" i="26" s="1"/>
  <c r="U181" i="26"/>
  <c r="R181" i="26"/>
  <c r="S181" i="26"/>
  <c r="T181" i="26"/>
  <c r="U179" i="26"/>
  <c r="T179" i="26"/>
  <c r="S179" i="26"/>
  <c r="R179" i="26"/>
  <c r="K177" i="26"/>
  <c r="L177" i="26" s="1"/>
  <c r="U177" i="26"/>
  <c r="R177" i="26"/>
  <c r="S177" i="26"/>
  <c r="T177" i="26"/>
  <c r="U175" i="26"/>
  <c r="T175" i="26"/>
  <c r="R175" i="26"/>
  <c r="S175" i="26"/>
  <c r="K173" i="26"/>
  <c r="L173" i="26" s="1"/>
  <c r="U173" i="26"/>
  <c r="R173" i="26"/>
  <c r="S173" i="26"/>
  <c r="T173" i="26"/>
  <c r="U171" i="26"/>
  <c r="T171" i="26"/>
  <c r="S171" i="26"/>
  <c r="R171" i="26"/>
  <c r="K169" i="26"/>
  <c r="L169" i="26" s="1"/>
  <c r="U169" i="26"/>
  <c r="R169" i="26"/>
  <c r="S169" i="26"/>
  <c r="T169" i="26"/>
  <c r="U167" i="26"/>
  <c r="S167" i="26"/>
  <c r="T167" i="26"/>
  <c r="R167" i="26"/>
  <c r="K165" i="26"/>
  <c r="L165" i="26" s="1"/>
  <c r="U165" i="26"/>
  <c r="R165" i="26"/>
  <c r="S165" i="26"/>
  <c r="T165" i="26"/>
  <c r="U163" i="26"/>
  <c r="S163" i="26"/>
  <c r="T163" i="26"/>
  <c r="R163" i="26"/>
  <c r="K161" i="26"/>
  <c r="L161" i="26" s="1"/>
  <c r="U161" i="26"/>
  <c r="R161" i="26"/>
  <c r="S161" i="26"/>
  <c r="T161" i="26"/>
  <c r="U159" i="26"/>
  <c r="S159" i="26"/>
  <c r="T159" i="26"/>
  <c r="R159" i="26"/>
  <c r="K157" i="26"/>
  <c r="L157" i="26" s="1"/>
  <c r="U157" i="26"/>
  <c r="R157" i="26"/>
  <c r="S157" i="26"/>
  <c r="T157" i="26"/>
  <c r="U155" i="26"/>
  <c r="S155" i="26"/>
  <c r="T155" i="26"/>
  <c r="R155" i="26"/>
  <c r="K153" i="26"/>
  <c r="L153" i="26" s="1"/>
  <c r="U153" i="26"/>
  <c r="R153" i="26"/>
  <c r="S153" i="26"/>
  <c r="T153" i="26"/>
  <c r="K151" i="26"/>
  <c r="U151" i="26"/>
  <c r="S151" i="26"/>
  <c r="T151" i="26"/>
  <c r="R151" i="26"/>
  <c r="U149" i="26"/>
  <c r="R149" i="26"/>
  <c r="S149" i="26"/>
  <c r="T149" i="26"/>
  <c r="K147" i="26"/>
  <c r="U147" i="26"/>
  <c r="S147" i="26"/>
  <c r="T147" i="26"/>
  <c r="R147" i="26"/>
  <c r="K145" i="26"/>
  <c r="L145" i="26" s="1"/>
  <c r="U145" i="26"/>
  <c r="R145" i="26"/>
  <c r="S145" i="26"/>
  <c r="T145" i="26"/>
  <c r="N143" i="26"/>
  <c r="U143" i="26"/>
  <c r="S143" i="26"/>
  <c r="T143" i="26"/>
  <c r="R143" i="26"/>
  <c r="P141" i="26"/>
  <c r="U141" i="26"/>
  <c r="R141" i="26"/>
  <c r="S141" i="26"/>
  <c r="T141" i="26"/>
  <c r="N139" i="26"/>
  <c r="U139" i="26"/>
  <c r="S139" i="26"/>
  <c r="T139" i="26"/>
  <c r="R139" i="26"/>
  <c r="P137" i="26"/>
  <c r="U137" i="26"/>
  <c r="R137" i="26"/>
  <c r="S137" i="26"/>
  <c r="T137" i="26"/>
  <c r="N135" i="26"/>
  <c r="U135" i="26"/>
  <c r="S135" i="26"/>
  <c r="T135" i="26"/>
  <c r="R135" i="26"/>
  <c r="U133" i="26"/>
  <c r="R133" i="26"/>
  <c r="S133" i="26"/>
  <c r="T133" i="26"/>
  <c r="N131" i="26"/>
  <c r="U131" i="26"/>
  <c r="S131" i="26"/>
  <c r="T131" i="26"/>
  <c r="R131" i="26"/>
  <c r="K129" i="26"/>
  <c r="U129" i="26"/>
  <c r="R129" i="26"/>
  <c r="S129" i="26"/>
  <c r="T129" i="26"/>
  <c r="K127" i="26"/>
  <c r="U127" i="26"/>
  <c r="S127" i="26"/>
  <c r="T127" i="26"/>
  <c r="R127" i="26"/>
  <c r="K125" i="26"/>
  <c r="U125" i="26"/>
  <c r="R125" i="26"/>
  <c r="S125" i="26"/>
  <c r="T125" i="26"/>
  <c r="U123" i="26"/>
  <c r="S123" i="26"/>
  <c r="T123" i="26"/>
  <c r="R123" i="26"/>
  <c r="K121" i="26"/>
  <c r="U121" i="26"/>
  <c r="R121" i="26"/>
  <c r="S121" i="26"/>
  <c r="T121" i="26"/>
  <c r="K119" i="26"/>
  <c r="U119" i="26"/>
  <c r="S119" i="26"/>
  <c r="T119" i="26"/>
  <c r="R119" i="26"/>
  <c r="K117" i="26"/>
  <c r="L117" i="26" s="1"/>
  <c r="M117" i="26" s="1"/>
  <c r="U117" i="26"/>
  <c r="R117" i="26"/>
  <c r="S117" i="26"/>
  <c r="T117" i="26"/>
  <c r="U115" i="26"/>
  <c r="S115" i="26"/>
  <c r="T115" i="26"/>
  <c r="R115" i="26"/>
  <c r="K113" i="26"/>
  <c r="U113" i="26"/>
  <c r="R113" i="26"/>
  <c r="S113" i="26"/>
  <c r="T113" i="26"/>
  <c r="K111" i="26"/>
  <c r="U111" i="26"/>
  <c r="S111" i="26"/>
  <c r="T111" i="26"/>
  <c r="R111" i="26"/>
  <c r="K109" i="26"/>
  <c r="U109" i="26"/>
  <c r="R109" i="26"/>
  <c r="S109" i="26"/>
  <c r="T109" i="26"/>
  <c r="U107" i="26"/>
  <c r="S107" i="26"/>
  <c r="T107" i="26"/>
  <c r="R107" i="26"/>
  <c r="U105" i="26"/>
  <c r="R105" i="26"/>
  <c r="S105" i="26"/>
  <c r="T105" i="26"/>
  <c r="K103" i="26"/>
  <c r="L103" i="26" s="1"/>
  <c r="M103" i="26" s="1"/>
  <c r="U103" i="26"/>
  <c r="S103" i="26"/>
  <c r="T103" i="26"/>
  <c r="R103" i="26"/>
  <c r="K101" i="26"/>
  <c r="U101" i="26"/>
  <c r="R101" i="26"/>
  <c r="S101" i="26"/>
  <c r="T101" i="26"/>
  <c r="U99" i="26"/>
  <c r="S99" i="26"/>
  <c r="T99" i="26"/>
  <c r="R99" i="26"/>
  <c r="K97" i="26"/>
  <c r="L97" i="26" s="1"/>
  <c r="M97" i="26" s="1"/>
  <c r="U97" i="26"/>
  <c r="R97" i="26"/>
  <c r="S97" i="26"/>
  <c r="T97" i="26"/>
  <c r="K95" i="26"/>
  <c r="L95" i="26" s="1"/>
  <c r="M95" i="26" s="1"/>
  <c r="U95" i="26"/>
  <c r="S95" i="26"/>
  <c r="T95" i="26"/>
  <c r="R95" i="26"/>
  <c r="K93" i="26"/>
  <c r="L93" i="26" s="1"/>
  <c r="M93" i="26" s="1"/>
  <c r="U93" i="26"/>
  <c r="R93" i="26"/>
  <c r="S93" i="26"/>
  <c r="T93" i="26"/>
  <c r="U91" i="26"/>
  <c r="S91" i="26"/>
  <c r="T91" i="26"/>
  <c r="R91" i="26"/>
  <c r="K89" i="26"/>
  <c r="U89" i="26"/>
  <c r="R89" i="26"/>
  <c r="S89" i="26"/>
  <c r="T89" i="26"/>
  <c r="K87" i="26"/>
  <c r="L87" i="26" s="1"/>
  <c r="M87" i="26" s="1"/>
  <c r="U87" i="26"/>
  <c r="S87" i="26"/>
  <c r="T87" i="26"/>
  <c r="R87" i="26"/>
  <c r="K85" i="26"/>
  <c r="L85" i="26" s="1"/>
  <c r="M85" i="26" s="1"/>
  <c r="U85" i="26"/>
  <c r="R85" i="26"/>
  <c r="S85" i="26"/>
  <c r="T85" i="26"/>
  <c r="U83" i="26"/>
  <c r="S83" i="26"/>
  <c r="T83" i="26"/>
  <c r="R83" i="26"/>
  <c r="K81" i="26"/>
  <c r="L81" i="26" s="1"/>
  <c r="M81" i="26" s="1"/>
  <c r="U81" i="26"/>
  <c r="R81" i="26"/>
  <c r="S81" i="26"/>
  <c r="T81" i="26"/>
  <c r="K79" i="26"/>
  <c r="U79" i="26"/>
  <c r="S79" i="26"/>
  <c r="T79" i="26"/>
  <c r="R79" i="26"/>
  <c r="K77" i="26"/>
  <c r="L77" i="26" s="1"/>
  <c r="M77" i="26" s="1"/>
  <c r="U77" i="26"/>
  <c r="R77" i="26"/>
  <c r="S77" i="26"/>
  <c r="T77" i="26"/>
  <c r="U75" i="26"/>
  <c r="S75" i="26"/>
  <c r="T75" i="26"/>
  <c r="R75" i="26"/>
  <c r="K73" i="26"/>
  <c r="L73" i="26" s="1"/>
  <c r="M73" i="26" s="1"/>
  <c r="U73" i="26"/>
  <c r="R73" i="26"/>
  <c r="S73" i="26"/>
  <c r="T73" i="26"/>
  <c r="K71" i="26"/>
  <c r="L71" i="26" s="1"/>
  <c r="M71" i="26" s="1"/>
  <c r="U71" i="26"/>
  <c r="S71" i="26"/>
  <c r="T71" i="26"/>
  <c r="R71" i="26"/>
  <c r="K69" i="26"/>
  <c r="U69" i="26"/>
  <c r="R69" i="26"/>
  <c r="S69" i="26"/>
  <c r="T69" i="26"/>
  <c r="U67" i="26"/>
  <c r="S67" i="26"/>
  <c r="T67" i="26"/>
  <c r="R67" i="26"/>
  <c r="K65" i="26"/>
  <c r="L65" i="26" s="1"/>
  <c r="M65" i="26" s="1"/>
  <c r="U65" i="26"/>
  <c r="R65" i="26"/>
  <c r="S65" i="26"/>
  <c r="T65" i="26"/>
  <c r="K63" i="26"/>
  <c r="L63" i="26" s="1"/>
  <c r="M63" i="26" s="1"/>
  <c r="U63" i="26"/>
  <c r="S63" i="26"/>
  <c r="T63" i="26"/>
  <c r="R63" i="26"/>
  <c r="K61" i="26"/>
  <c r="L61" i="26" s="1"/>
  <c r="M61" i="26" s="1"/>
  <c r="U61" i="26"/>
  <c r="R61" i="26"/>
  <c r="S61" i="26"/>
  <c r="T61" i="26"/>
  <c r="K59" i="26"/>
  <c r="U59" i="26"/>
  <c r="S59" i="26"/>
  <c r="T59" i="26"/>
  <c r="R59" i="26"/>
  <c r="K57" i="26"/>
  <c r="L57" i="26" s="1"/>
  <c r="M57" i="26" s="1"/>
  <c r="U57" i="26"/>
  <c r="R57" i="26"/>
  <c r="S57" i="26"/>
  <c r="T57" i="26"/>
  <c r="K55" i="26"/>
  <c r="L55" i="26" s="1"/>
  <c r="M55" i="26" s="1"/>
  <c r="U55" i="26"/>
  <c r="S55" i="26"/>
  <c r="T55" i="26"/>
  <c r="R55" i="26"/>
  <c r="K53" i="26"/>
  <c r="L53" i="26" s="1"/>
  <c r="M53" i="26" s="1"/>
  <c r="U53" i="26"/>
  <c r="R53" i="26"/>
  <c r="S53" i="26"/>
  <c r="T53" i="26"/>
  <c r="K51" i="26"/>
  <c r="U51" i="26"/>
  <c r="S51" i="26"/>
  <c r="T51" i="26"/>
  <c r="R51" i="26"/>
  <c r="K49" i="26"/>
  <c r="L49" i="26" s="1"/>
  <c r="M49" i="26" s="1"/>
  <c r="U49" i="26"/>
  <c r="R49" i="26"/>
  <c r="S49" i="26"/>
  <c r="T49" i="26"/>
  <c r="K47" i="26"/>
  <c r="L47" i="26" s="1"/>
  <c r="M47" i="26" s="1"/>
  <c r="U47" i="26"/>
  <c r="S47" i="26"/>
  <c r="T47" i="26"/>
  <c r="R47" i="26"/>
  <c r="K45" i="26"/>
  <c r="L45" i="26" s="1"/>
  <c r="M45" i="26" s="1"/>
  <c r="U45" i="26"/>
  <c r="R45" i="26"/>
  <c r="S45" i="26"/>
  <c r="T45" i="26"/>
  <c r="N996" i="26"/>
  <c r="U996" i="26"/>
  <c r="S996" i="26"/>
  <c r="R996" i="26"/>
  <c r="T996" i="26"/>
  <c r="N990" i="26"/>
  <c r="U990" i="26"/>
  <c r="R990" i="26"/>
  <c r="T990" i="26"/>
  <c r="S990" i="26"/>
  <c r="N984" i="26"/>
  <c r="U984" i="26"/>
  <c r="S984" i="26"/>
  <c r="R984" i="26"/>
  <c r="T984" i="26"/>
  <c r="N978" i="26"/>
  <c r="U978" i="26"/>
  <c r="R978" i="26"/>
  <c r="T978" i="26"/>
  <c r="S978" i="26"/>
  <c r="N972" i="26"/>
  <c r="U972" i="26"/>
  <c r="S972" i="26"/>
  <c r="T972" i="26"/>
  <c r="R972" i="26"/>
  <c r="N966" i="26"/>
  <c r="U966" i="26"/>
  <c r="R966" i="26"/>
  <c r="S966" i="26"/>
  <c r="T966" i="26"/>
  <c r="N960" i="26"/>
  <c r="U960" i="26"/>
  <c r="S960" i="26"/>
  <c r="T960" i="26"/>
  <c r="R960" i="26"/>
  <c r="N954" i="26"/>
  <c r="U954" i="26"/>
  <c r="T954" i="26"/>
  <c r="R954" i="26"/>
  <c r="S954" i="26"/>
  <c r="N948" i="26"/>
  <c r="U948" i="26"/>
  <c r="S948" i="26"/>
  <c r="T948" i="26"/>
  <c r="R948" i="26"/>
  <c r="N944" i="26"/>
  <c r="U944" i="26"/>
  <c r="S944" i="26"/>
  <c r="R944" i="26"/>
  <c r="T944" i="26"/>
  <c r="N938" i="26"/>
  <c r="U938" i="26"/>
  <c r="R938" i="26"/>
  <c r="T938" i="26"/>
  <c r="S938" i="26"/>
  <c r="N932" i="26"/>
  <c r="U932" i="26"/>
  <c r="S932" i="26"/>
  <c r="T932" i="26"/>
  <c r="R932" i="26"/>
  <c r="N926" i="26"/>
  <c r="U926" i="26"/>
  <c r="R926" i="26"/>
  <c r="T926" i="26"/>
  <c r="S926" i="26"/>
  <c r="N920" i="26"/>
  <c r="U920" i="26"/>
  <c r="T920" i="26"/>
  <c r="R920" i="26"/>
  <c r="S920" i="26"/>
  <c r="N914" i="26"/>
  <c r="U914" i="26"/>
  <c r="R914" i="26"/>
  <c r="S914" i="26"/>
  <c r="T914" i="26"/>
  <c r="N910" i="26"/>
  <c r="U910" i="26"/>
  <c r="R910" i="26"/>
  <c r="S910" i="26"/>
  <c r="T910" i="26"/>
  <c r="N904" i="26"/>
  <c r="U904" i="26"/>
  <c r="T904" i="26"/>
  <c r="R904" i="26"/>
  <c r="S904" i="26"/>
  <c r="N898" i="26"/>
  <c r="U898" i="26"/>
  <c r="R898" i="26"/>
  <c r="S898" i="26"/>
  <c r="T898" i="26"/>
  <c r="N892" i="26"/>
  <c r="U892" i="26"/>
  <c r="T892" i="26"/>
  <c r="R892" i="26"/>
  <c r="S892" i="26"/>
  <c r="N886" i="26"/>
  <c r="U886" i="26"/>
  <c r="R886" i="26"/>
  <c r="S886" i="26"/>
  <c r="T886" i="26"/>
  <c r="N880" i="26"/>
  <c r="U880" i="26"/>
  <c r="T880" i="26"/>
  <c r="R880" i="26"/>
  <c r="S880" i="26"/>
  <c r="N874" i="26"/>
  <c r="U874" i="26"/>
  <c r="R874" i="26"/>
  <c r="S874" i="26"/>
  <c r="T874" i="26"/>
  <c r="N868" i="26"/>
  <c r="U868" i="26"/>
  <c r="T868" i="26"/>
  <c r="R868" i="26"/>
  <c r="S868" i="26"/>
  <c r="N862" i="26"/>
  <c r="U862" i="26"/>
  <c r="R862" i="26"/>
  <c r="S862" i="26"/>
  <c r="T862" i="26"/>
  <c r="U858" i="26"/>
  <c r="R858" i="26"/>
  <c r="S858" i="26"/>
  <c r="T858" i="26"/>
  <c r="O854" i="26"/>
  <c r="U854" i="26"/>
  <c r="R854" i="26"/>
  <c r="S854" i="26"/>
  <c r="T854" i="26"/>
  <c r="O848" i="26"/>
  <c r="U848" i="26"/>
  <c r="T848" i="26"/>
  <c r="R848" i="26"/>
  <c r="S848" i="26"/>
  <c r="O844" i="26"/>
  <c r="U844" i="26"/>
  <c r="T844" i="26"/>
  <c r="R844" i="26"/>
  <c r="S844" i="26"/>
  <c r="O840" i="26"/>
  <c r="U840" i="26"/>
  <c r="T840" i="26"/>
  <c r="R840" i="26"/>
  <c r="S840" i="26"/>
  <c r="O836" i="26"/>
  <c r="U836" i="26"/>
  <c r="T836" i="26"/>
  <c r="R836" i="26"/>
  <c r="S836" i="26"/>
  <c r="O832" i="26"/>
  <c r="U832" i="26"/>
  <c r="T832" i="26"/>
  <c r="R832" i="26"/>
  <c r="S832" i="26"/>
  <c r="O828" i="26"/>
  <c r="U828" i="26"/>
  <c r="T828" i="26"/>
  <c r="R828" i="26"/>
  <c r="S828" i="26"/>
  <c r="U826" i="26"/>
  <c r="R826" i="26"/>
  <c r="S826" i="26"/>
  <c r="T826" i="26"/>
  <c r="O820" i="26"/>
  <c r="U820" i="26"/>
  <c r="T820" i="26"/>
  <c r="R820" i="26"/>
  <c r="S820" i="26"/>
  <c r="U816" i="26"/>
  <c r="T816" i="26"/>
  <c r="R816" i="26"/>
  <c r="S816" i="26"/>
  <c r="O810" i="26"/>
  <c r="U810" i="26"/>
  <c r="R810" i="26"/>
  <c r="S810" i="26"/>
  <c r="T810" i="26"/>
  <c r="O806" i="26"/>
  <c r="U806" i="26"/>
  <c r="R806" i="26"/>
  <c r="S806" i="26"/>
  <c r="T806" i="26"/>
  <c r="N800" i="26"/>
  <c r="U800" i="26"/>
  <c r="T800" i="26"/>
  <c r="R800" i="26"/>
  <c r="S800" i="26"/>
  <c r="N794" i="26"/>
  <c r="U794" i="26"/>
  <c r="R794" i="26"/>
  <c r="S794" i="26"/>
  <c r="T794" i="26"/>
  <c r="P788" i="26"/>
  <c r="U788" i="26"/>
  <c r="T788" i="26"/>
  <c r="R788" i="26"/>
  <c r="S788" i="26"/>
  <c r="N782" i="26"/>
  <c r="U782" i="26"/>
  <c r="R782" i="26"/>
  <c r="S782" i="26"/>
  <c r="T782" i="26"/>
  <c r="N776" i="26"/>
  <c r="U776" i="26"/>
  <c r="T776" i="26"/>
  <c r="R776" i="26"/>
  <c r="S776" i="26"/>
  <c r="N770" i="26"/>
  <c r="U770" i="26"/>
  <c r="R770" i="26"/>
  <c r="S770" i="26"/>
  <c r="T770" i="26"/>
  <c r="N766" i="26"/>
  <c r="U766" i="26"/>
  <c r="R766" i="26"/>
  <c r="S766" i="26"/>
  <c r="T766" i="26"/>
  <c r="N760" i="26"/>
  <c r="U760" i="26"/>
  <c r="T760" i="26"/>
  <c r="R760" i="26"/>
  <c r="S760" i="26"/>
  <c r="N758" i="26"/>
  <c r="U758" i="26"/>
  <c r="R758" i="26"/>
  <c r="S758" i="26"/>
  <c r="T758" i="26"/>
  <c r="N752" i="26"/>
  <c r="U752" i="26"/>
  <c r="T752" i="26"/>
  <c r="R752" i="26"/>
  <c r="S752" i="26"/>
  <c r="N746" i="26"/>
  <c r="U746" i="26"/>
  <c r="R746" i="26"/>
  <c r="S746" i="26"/>
  <c r="T746" i="26"/>
  <c r="N742" i="26"/>
  <c r="U742" i="26"/>
  <c r="R742" i="26"/>
  <c r="S742" i="26"/>
  <c r="T742" i="26"/>
  <c r="N738" i="26"/>
  <c r="U738" i="26"/>
  <c r="R738" i="26"/>
  <c r="S738" i="26"/>
  <c r="T738" i="26"/>
  <c r="N734" i="26"/>
  <c r="U734" i="26"/>
  <c r="R734" i="26"/>
  <c r="S734" i="26"/>
  <c r="T734" i="26"/>
  <c r="O728" i="26"/>
  <c r="U728" i="26"/>
  <c r="T728" i="26"/>
  <c r="R728" i="26"/>
  <c r="S728" i="26"/>
  <c r="N724" i="26"/>
  <c r="U724" i="26"/>
  <c r="T724" i="26"/>
  <c r="R724" i="26"/>
  <c r="S724" i="26"/>
  <c r="P720" i="26"/>
  <c r="U720" i="26"/>
  <c r="T720" i="26"/>
  <c r="R720" i="26"/>
  <c r="S720" i="26"/>
  <c r="O716" i="26"/>
  <c r="U716" i="26"/>
  <c r="T716" i="26"/>
  <c r="R716" i="26"/>
  <c r="S716" i="26"/>
  <c r="O710" i="26"/>
  <c r="U710" i="26"/>
  <c r="R710" i="26"/>
  <c r="S710" i="26"/>
  <c r="T710" i="26"/>
  <c r="N706" i="26"/>
  <c r="U706" i="26"/>
  <c r="R706" i="26"/>
  <c r="S706" i="26"/>
  <c r="T706" i="26"/>
  <c r="O702" i="26"/>
  <c r="U702" i="26"/>
  <c r="R702" i="26"/>
  <c r="S702" i="26"/>
  <c r="T702" i="26"/>
  <c r="O698" i="26"/>
  <c r="U698" i="26"/>
  <c r="R698" i="26"/>
  <c r="S698" i="26"/>
  <c r="T698" i="26"/>
  <c r="K690" i="26"/>
  <c r="U690" i="26"/>
  <c r="R690" i="26"/>
  <c r="S690" i="26"/>
  <c r="T690" i="26"/>
  <c r="P686" i="26"/>
  <c r="U686" i="26"/>
  <c r="R686" i="26"/>
  <c r="S686" i="26"/>
  <c r="T686" i="26"/>
  <c r="N682" i="26"/>
  <c r="U682" i="26"/>
  <c r="R682" i="26"/>
  <c r="S682" i="26"/>
  <c r="T682" i="26"/>
  <c r="P678" i="26"/>
  <c r="U678" i="26"/>
  <c r="R678" i="26"/>
  <c r="S678" i="26"/>
  <c r="T678" i="26"/>
  <c r="N674" i="26"/>
  <c r="U674" i="26"/>
  <c r="R674" i="26"/>
  <c r="S674" i="26"/>
  <c r="T674" i="26"/>
  <c r="O670" i="26"/>
  <c r="U670" i="26"/>
  <c r="R670" i="26"/>
  <c r="S670" i="26"/>
  <c r="T670" i="26"/>
  <c r="N666" i="26"/>
  <c r="U666" i="26"/>
  <c r="R666" i="26"/>
  <c r="S666" i="26"/>
  <c r="T666" i="26"/>
  <c r="O662" i="26"/>
  <c r="U662" i="26"/>
  <c r="R662" i="26"/>
  <c r="S662" i="26"/>
  <c r="T662" i="26"/>
  <c r="N658" i="26"/>
  <c r="U658" i="26"/>
  <c r="R658" i="26"/>
  <c r="S658" i="26"/>
  <c r="T658" i="26"/>
  <c r="P654" i="26"/>
  <c r="U654" i="26"/>
  <c r="R654" i="26"/>
  <c r="S654" i="26"/>
  <c r="T654" i="26"/>
  <c r="N650" i="26"/>
  <c r="U650" i="26"/>
  <c r="R650" i="26"/>
  <c r="S650" i="26"/>
  <c r="T650" i="26"/>
  <c r="N646" i="26"/>
  <c r="U646" i="26"/>
  <c r="R646" i="26"/>
  <c r="S646" i="26"/>
  <c r="T646" i="26"/>
  <c r="N642" i="26"/>
  <c r="U642" i="26"/>
  <c r="R642" i="26"/>
  <c r="S642" i="26"/>
  <c r="T642" i="26"/>
  <c r="K638" i="26"/>
  <c r="U638" i="26"/>
  <c r="R638" i="26"/>
  <c r="S638" i="26"/>
  <c r="T638" i="26"/>
  <c r="U634" i="26"/>
  <c r="R634" i="26"/>
  <c r="S634" i="26"/>
  <c r="T634" i="26"/>
  <c r="K630" i="26"/>
  <c r="U630" i="26"/>
  <c r="R630" i="26"/>
  <c r="S630" i="26"/>
  <c r="T630" i="26"/>
  <c r="K626" i="26"/>
  <c r="L626" i="26" s="1"/>
  <c r="U626" i="26"/>
  <c r="R626" i="26"/>
  <c r="S626" i="26"/>
  <c r="T626" i="26"/>
  <c r="K622" i="26"/>
  <c r="U622" i="26"/>
  <c r="R622" i="26"/>
  <c r="S622" i="26"/>
  <c r="T622" i="26"/>
  <c r="P620" i="26"/>
  <c r="U620" i="26"/>
  <c r="T620" i="26"/>
  <c r="R620" i="26"/>
  <c r="S620" i="26"/>
  <c r="O616" i="26"/>
  <c r="U616" i="26"/>
  <c r="T616" i="26"/>
  <c r="R616" i="26"/>
  <c r="S616" i="26"/>
  <c r="P612" i="26"/>
  <c r="U612" i="26"/>
  <c r="T612" i="26"/>
  <c r="R612" i="26"/>
  <c r="S612" i="26"/>
  <c r="O608" i="26"/>
  <c r="U608" i="26"/>
  <c r="T608" i="26"/>
  <c r="R608" i="26"/>
  <c r="S608" i="26"/>
  <c r="P604" i="26"/>
  <c r="U604" i="26"/>
  <c r="T604" i="26"/>
  <c r="R604" i="26"/>
  <c r="S604" i="26"/>
  <c r="U602" i="26"/>
  <c r="R602" i="26"/>
  <c r="S602" i="26"/>
  <c r="T602" i="26"/>
  <c r="U598" i="26"/>
  <c r="R598" i="26"/>
  <c r="S598" i="26"/>
  <c r="T598" i="26"/>
  <c r="P592" i="26"/>
  <c r="U592" i="26"/>
  <c r="T592" i="26"/>
  <c r="R592" i="26"/>
  <c r="S592" i="26"/>
  <c r="P588" i="26"/>
  <c r="U588" i="26"/>
  <c r="T588" i="26"/>
  <c r="R588" i="26"/>
  <c r="S588" i="26"/>
  <c r="P584" i="26"/>
  <c r="U584" i="26"/>
  <c r="T584" i="26"/>
  <c r="R584" i="26"/>
  <c r="S584" i="26"/>
  <c r="P580" i="26"/>
  <c r="U580" i="26"/>
  <c r="T580" i="26"/>
  <c r="R580" i="26"/>
  <c r="S580" i="26"/>
  <c r="P576" i="26"/>
  <c r="U576" i="26"/>
  <c r="T576" i="26"/>
  <c r="R576" i="26"/>
  <c r="S576" i="26"/>
  <c r="P572" i="26"/>
  <c r="U572" i="26"/>
  <c r="T572" i="26"/>
  <c r="R572" i="26"/>
  <c r="S572" i="26"/>
  <c r="P568" i="26"/>
  <c r="U568" i="26"/>
  <c r="T568" i="26"/>
  <c r="R568" i="26"/>
  <c r="S568" i="26"/>
  <c r="U566" i="26"/>
  <c r="R566" i="26"/>
  <c r="S566" i="26"/>
  <c r="T566" i="26"/>
  <c r="U562" i="26"/>
  <c r="R562" i="26"/>
  <c r="S562" i="26"/>
  <c r="T562" i="26"/>
  <c r="O558" i="26"/>
  <c r="U558" i="26"/>
  <c r="R558" i="26"/>
  <c r="S558" i="26"/>
  <c r="T558" i="26"/>
  <c r="N556" i="26"/>
  <c r="U556" i="26"/>
  <c r="T556" i="26"/>
  <c r="R556" i="26"/>
  <c r="S556" i="26"/>
  <c r="U554" i="26"/>
  <c r="R554" i="26"/>
  <c r="S554" i="26"/>
  <c r="T554" i="26"/>
  <c r="P550" i="26"/>
  <c r="U550" i="26"/>
  <c r="R550" i="26"/>
  <c r="S550" i="26"/>
  <c r="T550" i="26"/>
  <c r="P548" i="26"/>
  <c r="U548" i="26"/>
  <c r="T548" i="26"/>
  <c r="R548" i="26"/>
  <c r="S548" i="26"/>
  <c r="U546" i="26"/>
  <c r="R546" i="26"/>
  <c r="S546" i="26"/>
  <c r="T546" i="26"/>
  <c r="P544" i="26"/>
  <c r="U544" i="26"/>
  <c r="T544" i="26"/>
  <c r="R544" i="26"/>
  <c r="S544" i="26"/>
  <c r="P542" i="26"/>
  <c r="U542" i="26"/>
  <c r="R542" i="26"/>
  <c r="S542" i="26"/>
  <c r="T542" i="26"/>
  <c r="P540" i="26"/>
  <c r="U540" i="26"/>
  <c r="T540" i="26"/>
  <c r="R540" i="26"/>
  <c r="S540" i="26"/>
  <c r="U538" i="26"/>
  <c r="R538" i="26"/>
  <c r="S538" i="26"/>
  <c r="T538" i="26"/>
  <c r="P536" i="26"/>
  <c r="T536" i="26"/>
  <c r="R536" i="26"/>
  <c r="S536" i="26"/>
  <c r="U536" i="26"/>
  <c r="P534" i="26"/>
  <c r="U534" i="26"/>
  <c r="R534" i="26"/>
  <c r="S534" i="26"/>
  <c r="T534" i="26"/>
  <c r="P532" i="26"/>
  <c r="U532" i="26"/>
  <c r="T532" i="26"/>
  <c r="R532" i="26"/>
  <c r="S532" i="26"/>
  <c r="U530" i="26"/>
  <c r="R530" i="26"/>
  <c r="S530" i="26"/>
  <c r="T530" i="26"/>
  <c r="O526" i="26"/>
  <c r="U526" i="26"/>
  <c r="R526" i="26"/>
  <c r="S526" i="26"/>
  <c r="T526" i="26"/>
  <c r="U524" i="26"/>
  <c r="T524" i="26"/>
  <c r="R524" i="26"/>
  <c r="S524" i="26"/>
  <c r="U522" i="26"/>
  <c r="R522" i="26"/>
  <c r="S522" i="26"/>
  <c r="T522" i="26"/>
  <c r="P520" i="26"/>
  <c r="U520" i="26"/>
  <c r="T520" i="26"/>
  <c r="R520" i="26"/>
  <c r="S520" i="26"/>
  <c r="P518" i="26"/>
  <c r="U518" i="26"/>
  <c r="R518" i="26"/>
  <c r="S518" i="26"/>
  <c r="T518" i="26"/>
  <c r="N516" i="26"/>
  <c r="U516" i="26"/>
  <c r="T516" i="26"/>
  <c r="R516" i="26"/>
  <c r="S516" i="26"/>
  <c r="N514" i="26"/>
  <c r="U514" i="26"/>
  <c r="R514" i="26"/>
  <c r="S514" i="26"/>
  <c r="T514" i="26"/>
  <c r="P512" i="26"/>
  <c r="U512" i="26"/>
  <c r="T512" i="26"/>
  <c r="R512" i="26"/>
  <c r="S512" i="26"/>
  <c r="O510" i="26"/>
  <c r="U510" i="26"/>
  <c r="R510" i="26"/>
  <c r="S510" i="26"/>
  <c r="T510" i="26"/>
  <c r="P508" i="26"/>
  <c r="U508" i="26"/>
  <c r="T508" i="26"/>
  <c r="R508" i="26"/>
  <c r="S508" i="26"/>
  <c r="O506" i="26"/>
  <c r="U506" i="26"/>
  <c r="R506" i="26"/>
  <c r="S506" i="26"/>
  <c r="T506" i="26"/>
  <c r="O504" i="26"/>
  <c r="T504" i="26"/>
  <c r="U504" i="26"/>
  <c r="R504" i="26"/>
  <c r="S504" i="26"/>
  <c r="U502" i="26"/>
  <c r="R502" i="26"/>
  <c r="S502" i="26"/>
  <c r="T502" i="26"/>
  <c r="U500" i="26"/>
  <c r="T500" i="26"/>
  <c r="R500" i="26"/>
  <c r="S500" i="26"/>
  <c r="U498" i="26"/>
  <c r="R498" i="26"/>
  <c r="S498" i="26"/>
  <c r="T498" i="26"/>
  <c r="P496" i="26"/>
  <c r="U496" i="26"/>
  <c r="T496" i="26"/>
  <c r="R496" i="26"/>
  <c r="S496" i="26"/>
  <c r="P494" i="26"/>
  <c r="U494" i="26"/>
  <c r="R494" i="26"/>
  <c r="S494" i="26"/>
  <c r="T494" i="26"/>
  <c r="K492" i="26"/>
  <c r="L492" i="26" s="1"/>
  <c r="M492" i="26" s="1"/>
  <c r="U492" i="26"/>
  <c r="T492" i="26"/>
  <c r="R492" i="26"/>
  <c r="S492" i="26"/>
  <c r="K490" i="26"/>
  <c r="U490" i="26"/>
  <c r="R490" i="26"/>
  <c r="S490" i="26"/>
  <c r="T490" i="26"/>
  <c r="P488" i="26"/>
  <c r="T488" i="26"/>
  <c r="U488" i="26"/>
  <c r="R488" i="26"/>
  <c r="S488" i="26"/>
  <c r="U486" i="26"/>
  <c r="R486" i="26"/>
  <c r="S486" i="26"/>
  <c r="T486" i="26"/>
  <c r="K484" i="26"/>
  <c r="U484" i="26"/>
  <c r="T484" i="26"/>
  <c r="R484" i="26"/>
  <c r="S484" i="26"/>
  <c r="O482" i="26"/>
  <c r="U482" i="26"/>
  <c r="R482" i="26"/>
  <c r="S482" i="26"/>
  <c r="T482" i="26"/>
  <c r="P480" i="26"/>
  <c r="U480" i="26"/>
  <c r="T480" i="26"/>
  <c r="R480" i="26"/>
  <c r="S480" i="26"/>
  <c r="P478" i="26"/>
  <c r="U478" i="26"/>
  <c r="R478" i="26"/>
  <c r="S478" i="26"/>
  <c r="T478" i="26"/>
  <c r="P476" i="26"/>
  <c r="U476" i="26"/>
  <c r="T476" i="26"/>
  <c r="R476" i="26"/>
  <c r="S476" i="26"/>
  <c r="K474" i="26"/>
  <c r="L474" i="26" s="1"/>
  <c r="M474" i="26" s="1"/>
  <c r="U474" i="26"/>
  <c r="R474" i="26"/>
  <c r="S474" i="26"/>
  <c r="T474" i="26"/>
  <c r="K472" i="26"/>
  <c r="T472" i="26"/>
  <c r="R472" i="26"/>
  <c r="U472" i="26"/>
  <c r="S472" i="26"/>
  <c r="K470" i="26"/>
  <c r="U470" i="26"/>
  <c r="R470" i="26"/>
  <c r="S470" i="26"/>
  <c r="T470" i="26"/>
  <c r="K466" i="26"/>
  <c r="U466" i="26"/>
  <c r="R466" i="26"/>
  <c r="S466" i="26"/>
  <c r="T466" i="26"/>
  <c r="K462" i="26"/>
  <c r="L462" i="26" s="1"/>
  <c r="M462" i="26" s="1"/>
  <c r="U462" i="26"/>
  <c r="R462" i="26"/>
  <c r="S462" i="26"/>
  <c r="T462" i="26"/>
  <c r="K458" i="26"/>
  <c r="U458" i="26"/>
  <c r="R458" i="26"/>
  <c r="S458" i="26"/>
  <c r="T458" i="26"/>
  <c r="K454" i="26"/>
  <c r="U454" i="26"/>
  <c r="R454" i="26"/>
  <c r="S454" i="26"/>
  <c r="T454" i="26"/>
  <c r="K450" i="26"/>
  <c r="U450" i="26"/>
  <c r="R450" i="26"/>
  <c r="S450" i="26"/>
  <c r="T450" i="26"/>
  <c r="K446" i="26"/>
  <c r="U446" i="26"/>
  <c r="R446" i="26"/>
  <c r="S446" i="26"/>
  <c r="T446" i="26"/>
  <c r="K442" i="26"/>
  <c r="U442" i="26"/>
  <c r="R442" i="26"/>
  <c r="S442" i="26"/>
  <c r="T442" i="26"/>
  <c r="U438" i="26"/>
  <c r="R438" i="26"/>
  <c r="S438" i="26"/>
  <c r="T438" i="26"/>
  <c r="U434" i="26"/>
  <c r="R434" i="26"/>
  <c r="S434" i="26"/>
  <c r="T434" i="26"/>
  <c r="O430" i="26"/>
  <c r="U430" i="26"/>
  <c r="R430" i="26"/>
  <c r="S430" i="26"/>
  <c r="T430" i="26"/>
  <c r="O424" i="26"/>
  <c r="T424" i="26"/>
  <c r="U424" i="26"/>
  <c r="R424" i="26"/>
  <c r="S424" i="26"/>
  <c r="O420" i="26"/>
  <c r="U420" i="26"/>
  <c r="T420" i="26"/>
  <c r="R420" i="26"/>
  <c r="S420" i="26"/>
  <c r="P416" i="26"/>
  <c r="U416" i="26"/>
  <c r="T416" i="26"/>
  <c r="R416" i="26"/>
  <c r="S416" i="26"/>
  <c r="P410" i="26"/>
  <c r="U410" i="26"/>
  <c r="R410" i="26"/>
  <c r="S410" i="26"/>
  <c r="T410" i="26"/>
  <c r="P408" i="26"/>
  <c r="T408" i="26"/>
  <c r="R408" i="26"/>
  <c r="U408" i="26"/>
  <c r="S408" i="26"/>
  <c r="P402" i="26"/>
  <c r="U402" i="26"/>
  <c r="R402" i="26"/>
  <c r="S402" i="26"/>
  <c r="T402" i="26"/>
  <c r="P398" i="26"/>
  <c r="U398" i="26"/>
  <c r="R398" i="26"/>
  <c r="S398" i="26"/>
  <c r="T398" i="26"/>
  <c r="U394" i="26"/>
  <c r="R394" i="26"/>
  <c r="S394" i="26"/>
  <c r="T394" i="26"/>
  <c r="U390" i="26"/>
  <c r="R390" i="26"/>
  <c r="S390" i="26"/>
  <c r="T390" i="26"/>
  <c r="N384" i="26"/>
  <c r="U384" i="26"/>
  <c r="T384" i="26"/>
  <c r="R384" i="26"/>
  <c r="S384" i="26"/>
  <c r="U380" i="26"/>
  <c r="T380" i="26"/>
  <c r="R380" i="26"/>
  <c r="S380" i="26"/>
  <c r="O376" i="26"/>
  <c r="T376" i="26"/>
  <c r="U376" i="26"/>
  <c r="R376" i="26"/>
  <c r="S376" i="26"/>
  <c r="P372" i="26"/>
  <c r="U372" i="26"/>
  <c r="T372" i="26"/>
  <c r="R372" i="26"/>
  <c r="S372" i="26"/>
  <c r="U368" i="26"/>
  <c r="T368" i="26"/>
  <c r="R368" i="26"/>
  <c r="S368" i="26"/>
  <c r="P364" i="26"/>
  <c r="U364" i="26"/>
  <c r="T364" i="26"/>
  <c r="R364" i="26"/>
  <c r="S364" i="26"/>
  <c r="T360" i="26"/>
  <c r="U360" i="26"/>
  <c r="R360" i="26"/>
  <c r="S360" i="26"/>
  <c r="U356" i="26"/>
  <c r="T356" i="26"/>
  <c r="R356" i="26"/>
  <c r="S356" i="26"/>
  <c r="O352" i="26"/>
  <c r="U352" i="26"/>
  <c r="T352" i="26"/>
  <c r="R352" i="26"/>
  <c r="S352" i="26"/>
  <c r="K348" i="26"/>
  <c r="U348" i="26"/>
  <c r="T348" i="26"/>
  <c r="R348" i="26"/>
  <c r="S348" i="26"/>
  <c r="K342" i="26"/>
  <c r="L342" i="26" s="1"/>
  <c r="U342" i="26"/>
  <c r="R342" i="26"/>
  <c r="S342" i="26"/>
  <c r="T342" i="26"/>
  <c r="K336" i="26"/>
  <c r="L336" i="26" s="1"/>
  <c r="U336" i="26"/>
  <c r="T336" i="26"/>
  <c r="R336" i="26"/>
  <c r="S336" i="26"/>
  <c r="K334" i="26"/>
  <c r="L334" i="26" s="1"/>
  <c r="U334" i="26"/>
  <c r="R334" i="26"/>
  <c r="S334" i="26"/>
  <c r="T334" i="26"/>
  <c r="K328" i="26"/>
  <c r="U328" i="26"/>
  <c r="T328" i="26"/>
  <c r="R328" i="26"/>
  <c r="S328" i="26"/>
  <c r="U322" i="26"/>
  <c r="R322" i="26"/>
  <c r="S322" i="26"/>
  <c r="T322" i="26"/>
  <c r="O316" i="26"/>
  <c r="U316" i="26"/>
  <c r="T316" i="26"/>
  <c r="R316" i="26"/>
  <c r="S316" i="26"/>
  <c r="K312" i="26"/>
  <c r="T312" i="26"/>
  <c r="U312" i="26"/>
  <c r="R312" i="26"/>
  <c r="S312" i="26"/>
  <c r="K306" i="26"/>
  <c r="M306" i="26" s="1"/>
  <c r="U306" i="26"/>
  <c r="R306" i="26"/>
  <c r="S306" i="26"/>
  <c r="T306" i="26"/>
  <c r="O300" i="26"/>
  <c r="U300" i="26"/>
  <c r="T300" i="26"/>
  <c r="R300" i="26"/>
  <c r="S300" i="26"/>
  <c r="O294" i="26"/>
  <c r="U294" i="26"/>
  <c r="R294" i="26"/>
  <c r="S294" i="26"/>
  <c r="T294" i="26"/>
  <c r="K288" i="26"/>
  <c r="U288" i="26"/>
  <c r="T288" i="26"/>
  <c r="R288" i="26"/>
  <c r="S288" i="26"/>
  <c r="K282" i="26"/>
  <c r="U282" i="26"/>
  <c r="R282" i="26"/>
  <c r="S282" i="26"/>
  <c r="T282" i="26"/>
  <c r="O276" i="26"/>
  <c r="U276" i="26"/>
  <c r="T276" i="26"/>
  <c r="R276" i="26"/>
  <c r="S276" i="26"/>
  <c r="P270" i="26"/>
  <c r="U270" i="26"/>
  <c r="R270" i="26"/>
  <c r="S270" i="26"/>
  <c r="T270" i="26"/>
  <c r="K264" i="26"/>
  <c r="L264" i="26" s="1"/>
  <c r="U264" i="26"/>
  <c r="T264" i="26"/>
  <c r="R264" i="26"/>
  <c r="S264" i="26"/>
  <c r="K258" i="26"/>
  <c r="L258" i="26" s="1"/>
  <c r="U258" i="26"/>
  <c r="R258" i="26"/>
  <c r="S258" i="26"/>
  <c r="T258" i="26"/>
  <c r="K254" i="26"/>
  <c r="M254" i="26" s="1"/>
  <c r="U254" i="26"/>
  <c r="R254" i="26"/>
  <c r="S254" i="26"/>
  <c r="T254" i="26"/>
  <c r="K248" i="26"/>
  <c r="L248" i="26" s="1"/>
  <c r="T248" i="26"/>
  <c r="U248" i="26"/>
  <c r="R248" i="26"/>
  <c r="S248" i="26"/>
  <c r="K240" i="26"/>
  <c r="U240" i="26"/>
  <c r="T240" i="26"/>
  <c r="R240" i="26"/>
  <c r="S240" i="26"/>
  <c r="K234" i="26"/>
  <c r="L234" i="26" s="1"/>
  <c r="U234" i="26"/>
  <c r="R234" i="26"/>
  <c r="S234" i="26"/>
  <c r="T234" i="26"/>
  <c r="N230" i="26"/>
  <c r="U230" i="26"/>
  <c r="R230" i="26"/>
  <c r="S230" i="26"/>
  <c r="T230" i="26"/>
  <c r="N224" i="26"/>
  <c r="U224" i="26"/>
  <c r="T224" i="26"/>
  <c r="R224" i="26"/>
  <c r="S224" i="26"/>
  <c r="K218" i="26"/>
  <c r="L218" i="26" s="1"/>
  <c r="U218" i="26"/>
  <c r="R218" i="26"/>
  <c r="S218" i="26"/>
  <c r="T218" i="26"/>
  <c r="K212" i="26"/>
  <c r="L212" i="26" s="1"/>
  <c r="U212" i="26"/>
  <c r="T212" i="26"/>
  <c r="R212" i="26"/>
  <c r="S212" i="26"/>
  <c r="U208" i="26"/>
  <c r="T208" i="26"/>
  <c r="R208" i="26"/>
  <c r="S208" i="26"/>
  <c r="K202" i="26"/>
  <c r="L202" i="26" s="1"/>
  <c r="U202" i="26"/>
  <c r="R202" i="26"/>
  <c r="S202" i="26"/>
  <c r="T202" i="26"/>
  <c r="K196" i="26"/>
  <c r="L196" i="26" s="1"/>
  <c r="U196" i="26"/>
  <c r="R196" i="26"/>
  <c r="S196" i="26"/>
  <c r="T196" i="26"/>
  <c r="K190" i="26"/>
  <c r="L190" i="26" s="1"/>
  <c r="U190" i="26"/>
  <c r="S190" i="26"/>
  <c r="T190" i="26"/>
  <c r="R190" i="26"/>
  <c r="K184" i="26"/>
  <c r="L184" i="26" s="1"/>
  <c r="R184" i="26"/>
  <c r="T184" i="26"/>
  <c r="U184" i="26"/>
  <c r="S184" i="26"/>
  <c r="K180" i="26"/>
  <c r="L180" i="26" s="1"/>
  <c r="U180" i="26"/>
  <c r="R180" i="26"/>
  <c r="S180" i="26"/>
  <c r="T180" i="26"/>
  <c r="K174" i="26"/>
  <c r="L174" i="26" s="1"/>
  <c r="U174" i="26"/>
  <c r="S174" i="26"/>
  <c r="T174" i="26"/>
  <c r="R174" i="26"/>
  <c r="K168" i="26"/>
  <c r="L168" i="26" s="1"/>
  <c r="T168" i="26"/>
  <c r="R168" i="26"/>
  <c r="S168" i="26"/>
  <c r="U168" i="26"/>
  <c r="K162" i="26"/>
  <c r="L162" i="26" s="1"/>
  <c r="U162" i="26"/>
  <c r="R162" i="26"/>
  <c r="S162" i="26"/>
  <c r="T162" i="26"/>
  <c r="K156" i="26"/>
  <c r="L156" i="26" s="1"/>
  <c r="T156" i="26"/>
  <c r="U156" i="26"/>
  <c r="R156" i="26"/>
  <c r="S156" i="26"/>
  <c r="K150" i="26"/>
  <c r="L150" i="26" s="1"/>
  <c r="U150" i="26"/>
  <c r="R150" i="26"/>
  <c r="S150" i="26"/>
  <c r="T150" i="26"/>
  <c r="K144" i="26"/>
  <c r="L144" i="26" s="1"/>
  <c r="T144" i="26"/>
  <c r="U144" i="26"/>
  <c r="R144" i="26"/>
  <c r="S144" i="26"/>
  <c r="P138" i="26"/>
  <c r="U138" i="26"/>
  <c r="R138" i="26"/>
  <c r="S138" i="26"/>
  <c r="T138" i="26"/>
  <c r="P134" i="26"/>
  <c r="U134" i="26"/>
  <c r="R134" i="26"/>
  <c r="S134" i="26"/>
  <c r="T134" i="26"/>
  <c r="K128" i="26"/>
  <c r="L128" i="26" s="1"/>
  <c r="M128" i="26" s="1"/>
  <c r="T128" i="26"/>
  <c r="U128" i="26"/>
  <c r="R128" i="26"/>
  <c r="S128" i="26"/>
  <c r="K122" i="26"/>
  <c r="U122" i="26"/>
  <c r="R122" i="26"/>
  <c r="S122" i="26"/>
  <c r="T122" i="26"/>
  <c r="K116" i="26"/>
  <c r="U116" i="26"/>
  <c r="T116" i="26"/>
  <c r="R116" i="26"/>
  <c r="S116" i="26"/>
  <c r="K110" i="26"/>
  <c r="U110" i="26"/>
  <c r="R110" i="26"/>
  <c r="S110" i="26"/>
  <c r="T110" i="26"/>
  <c r="K104" i="26"/>
  <c r="L104" i="26" s="1"/>
  <c r="M104" i="26" s="1"/>
  <c r="T104" i="26"/>
  <c r="R104" i="26"/>
  <c r="S104" i="26"/>
  <c r="U104" i="26"/>
  <c r="K90" i="26"/>
  <c r="U90" i="26"/>
  <c r="R90" i="26"/>
  <c r="S90" i="26"/>
  <c r="T90" i="26"/>
  <c r="K990" i="26"/>
  <c r="L990" i="26" s="1"/>
  <c r="N604" i="26"/>
  <c r="K601" i="26"/>
  <c r="M601" i="26" s="1"/>
  <c r="O635" i="26"/>
  <c r="K834" i="26"/>
  <c r="L834" i="26" s="1"/>
  <c r="O180" i="26"/>
  <c r="N242" i="26"/>
  <c r="V242" i="26" s="1"/>
  <c r="K953" i="26"/>
  <c r="L953" i="26" s="1"/>
  <c r="N601" i="26"/>
  <c r="K574" i="26"/>
  <c r="M574" i="26" s="1"/>
  <c r="P339" i="26"/>
  <c r="P205" i="26"/>
  <c r="N180" i="26"/>
  <c r="K979" i="26"/>
  <c r="L979" i="26" s="1"/>
  <c r="N783" i="26"/>
  <c r="V783" i="26" s="1"/>
  <c r="K384" i="26"/>
  <c r="L384" i="26" s="1"/>
  <c r="P173" i="26"/>
  <c r="O707" i="26"/>
  <c r="K877" i="26"/>
  <c r="L877" i="26" s="1"/>
  <c r="N707" i="26"/>
  <c r="K590" i="26"/>
  <c r="L590" i="26" s="1"/>
  <c r="K354" i="26"/>
  <c r="L354" i="26" s="1"/>
  <c r="O319" i="26"/>
  <c r="O212" i="26"/>
  <c r="K889" i="26"/>
  <c r="L889" i="26" s="1"/>
  <c r="K815" i="26"/>
  <c r="L815" i="26" s="1"/>
  <c r="O675" i="26"/>
  <c r="K674" i="26"/>
  <c r="M674" i="26" s="1"/>
  <c r="K293" i="26"/>
  <c r="L293" i="26" s="1"/>
  <c r="O242" i="26"/>
  <c r="K839" i="26"/>
  <c r="L839" i="26" s="1"/>
  <c r="N805" i="26"/>
  <c r="P800" i="26"/>
  <c r="N716" i="26"/>
  <c r="K656" i="26"/>
  <c r="L656" i="26" s="1"/>
  <c r="K923" i="26"/>
  <c r="L923" i="26" s="1"/>
  <c r="K810" i="26"/>
  <c r="M810" i="26" s="1"/>
  <c r="K805" i="26"/>
  <c r="L805" i="26" s="1"/>
  <c r="K679" i="26"/>
  <c r="L679" i="26" s="1"/>
  <c r="O674" i="26"/>
  <c r="P667" i="26"/>
  <c r="K650" i="26"/>
  <c r="N293" i="26"/>
  <c r="K278" i="26"/>
  <c r="L278" i="26" s="1"/>
  <c r="N212" i="26"/>
  <c r="A126" i="41"/>
  <c r="D122" i="41"/>
  <c r="B122" i="41"/>
  <c r="B115" i="41"/>
  <c r="D115" i="41"/>
  <c r="B109" i="41"/>
  <c r="A113" i="41"/>
  <c r="D113" i="41" s="1"/>
  <c r="D112" i="41"/>
  <c r="B112" i="41"/>
  <c r="A116" i="41"/>
  <c r="C118" i="41"/>
  <c r="C119" i="41" s="1"/>
  <c r="C120" i="41" s="1"/>
  <c r="C121" i="41" s="1"/>
  <c r="A119" i="41"/>
  <c r="N241" i="26"/>
  <c r="O226" i="26"/>
  <c r="P198" i="26"/>
  <c r="K898" i="26"/>
  <c r="L898" i="26" s="1"/>
  <c r="P803" i="26"/>
  <c r="N796" i="26"/>
  <c r="V796" i="26" s="1"/>
  <c r="N687" i="26"/>
  <c r="P627" i="26"/>
  <c r="N621" i="26"/>
  <c r="O381" i="26"/>
  <c r="K982" i="26"/>
  <c r="L982" i="26" s="1"/>
  <c r="K965" i="26"/>
  <c r="L965" i="26" s="1"/>
  <c r="K939" i="26"/>
  <c r="L939" i="26" s="1"/>
  <c r="K930" i="26"/>
  <c r="L930" i="26" s="1"/>
  <c r="K901" i="26"/>
  <c r="L901" i="26" s="1"/>
  <c r="K869" i="26"/>
  <c r="L869" i="26" s="1"/>
  <c r="N718" i="26"/>
  <c r="N699" i="26"/>
  <c r="V699" i="26" s="1"/>
  <c r="O690" i="26"/>
  <c r="N627" i="26"/>
  <c r="P626" i="26"/>
  <c r="N625" i="26"/>
  <c r="V625" i="26" s="1"/>
  <c r="O606" i="26"/>
  <c r="O582" i="26"/>
  <c r="K994" i="26"/>
  <c r="L994" i="26" s="1"/>
  <c r="K985" i="26"/>
  <c r="L985" i="26" s="1"/>
  <c r="K955" i="26"/>
  <c r="L955" i="26" s="1"/>
  <c r="K942" i="26"/>
  <c r="L942" i="26" s="1"/>
  <c r="K937" i="26"/>
  <c r="L937" i="26" s="1"/>
  <c r="K859" i="26"/>
  <c r="L859" i="26" s="1"/>
  <c r="N836" i="26"/>
  <c r="K823" i="26"/>
  <c r="L823" i="26" s="1"/>
  <c r="N812" i="26"/>
  <c r="O719" i="26"/>
  <c r="K706" i="26"/>
  <c r="M706" i="26" s="1"/>
  <c r="N693" i="26"/>
  <c r="K666" i="26"/>
  <c r="K627" i="26"/>
  <c r="L627" i="26" s="1"/>
  <c r="K625" i="26"/>
  <c r="L625" i="26" s="1"/>
  <c r="O607" i="26"/>
  <c r="K606" i="26"/>
  <c r="L606" i="26" s="1"/>
  <c r="N583" i="26"/>
  <c r="V583" i="26" s="1"/>
  <c r="N582" i="26"/>
  <c r="K561" i="26"/>
  <c r="L561" i="26" s="1"/>
  <c r="P319" i="26"/>
  <c r="P230" i="26"/>
  <c r="P393" i="26"/>
  <c r="N550" i="26"/>
  <c r="P377" i="26"/>
  <c r="N396" i="26"/>
  <c r="K396" i="26"/>
  <c r="M396" i="26" s="1"/>
  <c r="O529" i="26"/>
  <c r="N529" i="26"/>
  <c r="V529" i="26" s="1"/>
  <c r="N521" i="26"/>
  <c r="N518" i="26"/>
  <c r="O516" i="26"/>
  <c r="K993" i="26"/>
  <c r="L993" i="26" s="1"/>
  <c r="K961" i="26"/>
  <c r="L961" i="26" s="1"/>
  <c r="K902" i="26"/>
  <c r="L902" i="26" s="1"/>
  <c r="K899" i="26"/>
  <c r="L899" i="26" s="1"/>
  <c r="K873" i="26"/>
  <c r="L873" i="26" s="1"/>
  <c r="K866" i="26"/>
  <c r="L866" i="26" s="1"/>
  <c r="K847" i="26"/>
  <c r="L847" i="26" s="1"/>
  <c r="P836" i="26"/>
  <c r="K728" i="26"/>
  <c r="L728" i="26" s="1"/>
  <c r="P711" i="26"/>
  <c r="N698" i="26"/>
  <c r="O678" i="26"/>
  <c r="N651" i="26"/>
  <c r="V651" i="26" s="1"/>
  <c r="K642" i="26"/>
  <c r="L642" i="26" s="1"/>
  <c r="O631" i="26"/>
  <c r="K629" i="26"/>
  <c r="N574" i="26"/>
  <c r="V574" i="26" s="1"/>
  <c r="O567" i="26"/>
  <c r="O560" i="26"/>
  <c r="O396" i="26"/>
  <c r="P381" i="26"/>
  <c r="P293" i="26"/>
  <c r="O291" i="26"/>
  <c r="P288" i="26"/>
  <c r="K224" i="26"/>
  <c r="L224" i="26" s="1"/>
  <c r="N667" i="26"/>
  <c r="P650" i="26"/>
  <c r="P630" i="26"/>
  <c r="N617" i="26"/>
  <c r="K981" i="26"/>
  <c r="L981" i="26" s="1"/>
  <c r="K978" i="26"/>
  <c r="L978" i="26" s="1"/>
  <c r="K941" i="26"/>
  <c r="L941" i="26" s="1"/>
  <c r="K938" i="26"/>
  <c r="L938" i="26" s="1"/>
  <c r="P716" i="26"/>
  <c r="O699" i="26"/>
  <c r="N679" i="26"/>
  <c r="K667" i="26"/>
  <c r="L667" i="26" s="1"/>
  <c r="K664" i="26"/>
  <c r="L664" i="26" s="1"/>
  <c r="O650" i="26"/>
  <c r="O643" i="26"/>
  <c r="K617" i="26"/>
  <c r="L617" i="26" s="1"/>
  <c r="O392" i="26"/>
  <c r="P385" i="26"/>
  <c r="P327" i="26"/>
  <c r="O309" i="26"/>
  <c r="N294" i="26"/>
  <c r="O264" i="26"/>
  <c r="O261" i="26"/>
  <c r="P182" i="26"/>
  <c r="K392" i="26"/>
  <c r="L392" i="26" s="1"/>
  <c r="O334" i="26"/>
  <c r="K309" i="26"/>
  <c r="L309" i="26" s="1"/>
  <c r="K294" i="26"/>
  <c r="L294" i="26" s="1"/>
  <c r="O292" i="26"/>
  <c r="N286" i="26"/>
  <c r="N264" i="26"/>
  <c r="N250" i="26"/>
  <c r="V250" i="26" s="1"/>
  <c r="P218" i="26"/>
  <c r="N200" i="26"/>
  <c r="M200" i="26"/>
  <c r="N728" i="26"/>
  <c r="O642" i="26"/>
  <c r="N629" i="26"/>
  <c r="O574" i="26"/>
  <c r="P384" i="26"/>
  <c r="O224" i="26"/>
  <c r="K508" i="26"/>
  <c r="L508" i="26" s="1"/>
  <c r="M508" i="26" s="1"/>
  <c r="K426" i="26"/>
  <c r="L426" i="26" s="1"/>
  <c r="J42" i="10"/>
  <c r="H41" i="10"/>
  <c r="N843" i="26"/>
  <c r="N834" i="26"/>
  <c r="P819" i="26"/>
  <c r="P712" i="26"/>
  <c r="P710" i="26"/>
  <c r="K698" i="26"/>
  <c r="N691" i="26"/>
  <c r="O685" i="26"/>
  <c r="O683" i="26"/>
  <c r="N647" i="26"/>
  <c r="N639" i="26"/>
  <c r="V639" i="26" s="1"/>
  <c r="K631" i="26"/>
  <c r="L631" i="26" s="1"/>
  <c r="N580" i="26"/>
  <c r="K521" i="26"/>
  <c r="L521" i="26" s="1"/>
  <c r="N345" i="26"/>
  <c r="V345" i="26" s="1"/>
  <c r="O335" i="26"/>
  <c r="O302" i="26"/>
  <c r="K299" i="26"/>
  <c r="L299" i="26" s="1"/>
  <c r="O296" i="26"/>
  <c r="N292" i="26"/>
  <c r="K242" i="26"/>
  <c r="L242" i="26" s="1"/>
  <c r="K226" i="26"/>
  <c r="L226" i="26" s="1"/>
  <c r="K973" i="26"/>
  <c r="L973" i="26" s="1"/>
  <c r="K970" i="26"/>
  <c r="L970" i="26" s="1"/>
  <c r="K950" i="26"/>
  <c r="L950" i="26" s="1"/>
  <c r="K947" i="26"/>
  <c r="L947" i="26" s="1"/>
  <c r="K917" i="26"/>
  <c r="L917" i="26" s="1"/>
  <c r="K914" i="26"/>
  <c r="L914" i="26" s="1"/>
  <c r="K907" i="26"/>
  <c r="L907" i="26" s="1"/>
  <c r="K894" i="26"/>
  <c r="L894" i="26" s="1"/>
  <c r="K891" i="26"/>
  <c r="L891" i="26" s="1"/>
  <c r="K885" i="26"/>
  <c r="L885" i="26" s="1"/>
  <c r="K882" i="26"/>
  <c r="L882" i="26" s="1"/>
  <c r="K862" i="26"/>
  <c r="L862" i="26" s="1"/>
  <c r="N852" i="26"/>
  <c r="V852" i="26" s="1"/>
  <c r="K843" i="26"/>
  <c r="L843" i="26" s="1"/>
  <c r="K825" i="26"/>
  <c r="N819" i="26"/>
  <c r="N788" i="26"/>
  <c r="O726" i="26"/>
  <c r="K724" i="26"/>
  <c r="O712" i="26"/>
  <c r="P707" i="26"/>
  <c r="P702" i="26"/>
  <c r="P699" i="26"/>
  <c r="N685" i="26"/>
  <c r="N683" i="26"/>
  <c r="V683" i="26" s="1"/>
  <c r="P662" i="26"/>
  <c r="K647" i="26"/>
  <c r="L647" i="26" s="1"/>
  <c r="K639" i="26"/>
  <c r="K633" i="26"/>
  <c r="M633" i="26" s="1"/>
  <c r="P622" i="26"/>
  <c r="K580" i="26"/>
  <c r="M580" i="26" s="1"/>
  <c r="N548" i="26"/>
  <c r="O372" i="26"/>
  <c r="P369" i="26"/>
  <c r="N335" i="26"/>
  <c r="K315" i="26"/>
  <c r="N302" i="26"/>
  <c r="V302" i="26" s="1"/>
  <c r="N296" i="26"/>
  <c r="K289" i="26"/>
  <c r="L289" i="26" s="1"/>
  <c r="P286" i="26"/>
  <c r="N268" i="26"/>
  <c r="V268" i="26" s="1"/>
  <c r="K910" i="26"/>
  <c r="L910" i="26" s="1"/>
  <c r="K865" i="26"/>
  <c r="L865" i="26" s="1"/>
  <c r="K831" i="26"/>
  <c r="L831" i="26" s="1"/>
  <c r="K819" i="26"/>
  <c r="L819" i="26" s="1"/>
  <c r="K807" i="26"/>
  <c r="L807" i="26" s="1"/>
  <c r="P795" i="26"/>
  <c r="K726" i="26"/>
  <c r="M726" i="26" s="1"/>
  <c r="N712" i="26"/>
  <c r="V712" i="26" s="1"/>
  <c r="K685" i="26"/>
  <c r="L685" i="26" s="1"/>
  <c r="K683" i="26"/>
  <c r="L683" i="26" s="1"/>
  <c r="O619" i="26"/>
  <c r="K523" i="26"/>
  <c r="L523" i="26" s="1"/>
  <c r="N507" i="26"/>
  <c r="P375" i="26"/>
  <c r="N372" i="26"/>
  <c r="N337" i="26"/>
  <c r="K335" i="26"/>
  <c r="L335" i="26" s="1"/>
  <c r="O286" i="26"/>
  <c r="K238" i="26"/>
  <c r="L238" i="26" s="1"/>
  <c r="N216" i="26"/>
  <c r="V216" i="26" s="1"/>
  <c r="K969" i="26"/>
  <c r="L969" i="26" s="1"/>
  <c r="K962" i="26"/>
  <c r="L962" i="26" s="1"/>
  <c r="K949" i="26"/>
  <c r="L949" i="26" s="1"/>
  <c r="K946" i="26"/>
  <c r="L946" i="26" s="1"/>
  <c r="K933" i="26"/>
  <c r="L933" i="26" s="1"/>
  <c r="K893" i="26"/>
  <c r="L893" i="26" s="1"/>
  <c r="K890" i="26"/>
  <c r="L890" i="26" s="1"/>
  <c r="K881" i="26"/>
  <c r="L881" i="26" s="1"/>
  <c r="K874" i="26"/>
  <c r="L874" i="26" s="1"/>
  <c r="P851" i="26"/>
  <c r="K824" i="26"/>
  <c r="M824" i="26" s="1"/>
  <c r="P812" i="26"/>
  <c r="P780" i="26"/>
  <c r="O709" i="26"/>
  <c r="N853" i="26"/>
  <c r="N851" i="26"/>
  <c r="V851" i="26" s="1"/>
  <c r="N818" i="26"/>
  <c r="O535" i="26"/>
  <c r="K529" i="26"/>
  <c r="L529" i="26" s="1"/>
  <c r="P246" i="26"/>
  <c r="P233" i="26"/>
  <c r="P226" i="26"/>
  <c r="P224" i="26"/>
  <c r="O218" i="26"/>
  <c r="N190" i="26"/>
  <c r="K997" i="26"/>
  <c r="L997" i="26" s="1"/>
  <c r="K987" i="26"/>
  <c r="L987" i="26" s="1"/>
  <c r="K974" i="26"/>
  <c r="L974" i="26" s="1"/>
  <c r="K971" i="26"/>
  <c r="L971" i="26" s="1"/>
  <c r="K958" i="26"/>
  <c r="L958" i="26" s="1"/>
  <c r="K929" i="26"/>
  <c r="L929" i="26" s="1"/>
  <c r="K918" i="26"/>
  <c r="L918" i="26" s="1"/>
  <c r="K915" i="26"/>
  <c r="L915" i="26" s="1"/>
  <c r="K905" i="26"/>
  <c r="L905" i="26" s="1"/>
  <c r="K886" i="26"/>
  <c r="L886" i="26" s="1"/>
  <c r="K883" i="26"/>
  <c r="L883" i="26" s="1"/>
  <c r="K853" i="26"/>
  <c r="L853" i="26" s="1"/>
  <c r="K851" i="26"/>
  <c r="L851" i="26" s="1"/>
  <c r="K841" i="26"/>
  <c r="L841" i="26" s="1"/>
  <c r="K818" i="26"/>
  <c r="L818" i="26" s="1"/>
  <c r="K803" i="26"/>
  <c r="L803" i="26" s="1"/>
  <c r="O727" i="26"/>
  <c r="N653" i="26"/>
  <c r="N645" i="26"/>
  <c r="N637" i="26"/>
  <c r="P631" i="26"/>
  <c r="N623" i="26"/>
  <c r="N615" i="26"/>
  <c r="V615" i="26" s="1"/>
  <c r="N535" i="26"/>
  <c r="N512" i="26"/>
  <c r="K389" i="26"/>
  <c r="L389" i="26" s="1"/>
  <c r="O367" i="26"/>
  <c r="P825" i="26"/>
  <c r="P647" i="26"/>
  <c r="P639" i="26"/>
  <c r="P302" i="26"/>
  <c r="P296" i="26"/>
  <c r="K509" i="26"/>
  <c r="L509" i="26" s="1"/>
  <c r="K408" i="26"/>
  <c r="L408" i="26" s="1"/>
  <c r="K513" i="26"/>
  <c r="L513" i="26" s="1"/>
  <c r="O507" i="26"/>
  <c r="N925" i="26"/>
  <c r="K925" i="26"/>
  <c r="L925" i="26" s="1"/>
  <c r="K998" i="26"/>
  <c r="L998" i="26" s="1"/>
  <c r="K995" i="26"/>
  <c r="L995" i="26" s="1"/>
  <c r="K989" i="26"/>
  <c r="L989" i="26" s="1"/>
  <c r="K986" i="26"/>
  <c r="L986" i="26" s="1"/>
  <c r="K977" i="26"/>
  <c r="L977" i="26" s="1"/>
  <c r="K934" i="26"/>
  <c r="L934" i="26" s="1"/>
  <c r="N931" i="26"/>
  <c r="K931" i="26"/>
  <c r="L931" i="26" s="1"/>
  <c r="K921" i="26"/>
  <c r="L921" i="26" s="1"/>
  <c r="N867" i="26"/>
  <c r="K867" i="26"/>
  <c r="L867" i="26" s="1"/>
  <c r="N857" i="26"/>
  <c r="K857" i="26"/>
  <c r="L857" i="26" s="1"/>
  <c r="O826" i="26"/>
  <c r="K826" i="26"/>
  <c r="L826" i="26" s="1"/>
  <c r="N870" i="26"/>
  <c r="K870" i="26"/>
  <c r="L870" i="26" s="1"/>
  <c r="O835" i="26"/>
  <c r="K835" i="26"/>
  <c r="L835" i="26" s="1"/>
  <c r="P835" i="26"/>
  <c r="O809" i="26"/>
  <c r="P809" i="26"/>
  <c r="N779" i="26"/>
  <c r="P779" i="26"/>
  <c r="O837" i="26"/>
  <c r="K837" i="26"/>
  <c r="L837" i="26" s="1"/>
  <c r="N837" i="26"/>
  <c r="P837" i="26"/>
  <c r="K966" i="26"/>
  <c r="L966" i="26" s="1"/>
  <c r="K963" i="26"/>
  <c r="L963" i="26" s="1"/>
  <c r="K957" i="26"/>
  <c r="L957" i="26" s="1"/>
  <c r="K954" i="26"/>
  <c r="L954" i="26" s="1"/>
  <c r="K945" i="26"/>
  <c r="L945" i="26" s="1"/>
  <c r="K926" i="26"/>
  <c r="L926" i="26" s="1"/>
  <c r="N897" i="26"/>
  <c r="K897" i="26"/>
  <c r="L897" i="26" s="1"/>
  <c r="K878" i="26"/>
  <c r="L878" i="26" s="1"/>
  <c r="K875" i="26"/>
  <c r="L875" i="26" s="1"/>
  <c r="N799" i="26"/>
  <c r="P799" i="26"/>
  <c r="N913" i="26"/>
  <c r="V913" i="26" s="1"/>
  <c r="K913" i="26"/>
  <c r="L913" i="26" s="1"/>
  <c r="N906" i="26"/>
  <c r="K906" i="26"/>
  <c r="L906" i="26" s="1"/>
  <c r="O813" i="26"/>
  <c r="K813" i="26"/>
  <c r="L813" i="26" s="1"/>
  <c r="N784" i="26"/>
  <c r="P784" i="26"/>
  <c r="N922" i="26"/>
  <c r="V922" i="26" s="1"/>
  <c r="K922" i="26"/>
  <c r="L922" i="26" s="1"/>
  <c r="N909" i="26"/>
  <c r="K909" i="26"/>
  <c r="L909" i="26" s="1"/>
  <c r="N858" i="26"/>
  <c r="K858" i="26"/>
  <c r="L858" i="26" s="1"/>
  <c r="O816" i="26"/>
  <c r="K816" i="26"/>
  <c r="O804" i="26"/>
  <c r="N804" i="26"/>
  <c r="P804" i="26"/>
  <c r="N861" i="26"/>
  <c r="K861" i="26"/>
  <c r="L861" i="26" s="1"/>
  <c r="O842" i="26"/>
  <c r="K842" i="26"/>
  <c r="L842" i="26" s="1"/>
  <c r="N842" i="26"/>
  <c r="N787" i="26"/>
  <c r="V787" i="26" s="1"/>
  <c r="P787" i="26"/>
  <c r="P732" i="26"/>
  <c r="O659" i="26"/>
  <c r="N607" i="26"/>
  <c r="V607" i="26" s="1"/>
  <c r="O584" i="26"/>
  <c r="O568" i="26"/>
  <c r="O557" i="26"/>
  <c r="O549" i="26"/>
  <c r="K547" i="26"/>
  <c r="L547" i="26" s="1"/>
  <c r="O544" i="26"/>
  <c r="O541" i="26"/>
  <c r="K518" i="26"/>
  <c r="O511" i="26"/>
  <c r="K507" i="26"/>
  <c r="O397" i="26"/>
  <c r="P388" i="26"/>
  <c r="O377" i="26"/>
  <c r="O375" i="26"/>
  <c r="O373" i="26"/>
  <c r="P344" i="26"/>
  <c r="O341" i="26"/>
  <c r="P336" i="26"/>
  <c r="K323" i="26"/>
  <c r="L323" i="26" s="1"/>
  <c r="O317" i="26"/>
  <c r="P311" i="26"/>
  <c r="O303" i="26"/>
  <c r="M286" i="26"/>
  <c r="P273" i="26"/>
  <c r="P265" i="26"/>
  <c r="N202" i="26"/>
  <c r="O196" i="26"/>
  <c r="N174" i="26"/>
  <c r="N732" i="26"/>
  <c r="O725" i="26"/>
  <c r="N720" i="26"/>
  <c r="P718" i="26"/>
  <c r="P691" i="26"/>
  <c r="N671" i="26"/>
  <c r="N663" i="26"/>
  <c r="V663" i="26" s="1"/>
  <c r="N661" i="26"/>
  <c r="N659" i="26"/>
  <c r="P651" i="26"/>
  <c r="P623" i="26"/>
  <c r="O561" i="26"/>
  <c r="O559" i="26"/>
  <c r="N553" i="26"/>
  <c r="O520" i="26"/>
  <c r="K515" i="26"/>
  <c r="N511" i="26"/>
  <c r="N397" i="26"/>
  <c r="O388" i="26"/>
  <c r="K377" i="26"/>
  <c r="L377" i="26" s="1"/>
  <c r="N375" i="26"/>
  <c r="N373" i="26"/>
  <c r="N361" i="26"/>
  <c r="V361" i="26" s="1"/>
  <c r="O358" i="26"/>
  <c r="N341" i="26"/>
  <c r="M336" i="26"/>
  <c r="O325" i="26"/>
  <c r="K317" i="26"/>
  <c r="L317" i="26" s="1"/>
  <c r="O311" i="26"/>
  <c r="N303" i="26"/>
  <c r="P287" i="26"/>
  <c r="P282" i="26"/>
  <c r="O279" i="26"/>
  <c r="O273" i="26"/>
  <c r="K270" i="26"/>
  <c r="L270" i="26" s="1"/>
  <c r="N265" i="26"/>
  <c r="M263" i="26"/>
  <c r="P250" i="26"/>
  <c r="P248" i="26"/>
  <c r="P240" i="26"/>
  <c r="N223" i="26"/>
  <c r="P214" i="26"/>
  <c r="N196" i="26"/>
  <c r="P189" i="26"/>
  <c r="P186" i="26"/>
  <c r="P852" i="26"/>
  <c r="P843" i="26"/>
  <c r="K732" i="26"/>
  <c r="M732" i="26" s="1"/>
  <c r="N725" i="26"/>
  <c r="K720" i="26"/>
  <c r="L720" i="26" s="1"/>
  <c r="O718" i="26"/>
  <c r="O691" i="26"/>
  <c r="K680" i="26"/>
  <c r="M680" i="26" s="1"/>
  <c r="P675" i="26"/>
  <c r="K671" i="26"/>
  <c r="L671" i="26" s="1"/>
  <c r="K663" i="26"/>
  <c r="L663" i="26" s="1"/>
  <c r="K661" i="26"/>
  <c r="L661" i="26" s="1"/>
  <c r="K659" i="26"/>
  <c r="M659" i="26" s="1"/>
  <c r="O651" i="26"/>
  <c r="P643" i="26"/>
  <c r="P635" i="26"/>
  <c r="N633" i="26"/>
  <c r="O623" i="26"/>
  <c r="P619" i="26"/>
  <c r="N612" i="26"/>
  <c r="O597" i="26"/>
  <c r="O581" i="26"/>
  <c r="O575" i="26"/>
  <c r="N561" i="26"/>
  <c r="N559" i="26"/>
  <c r="O550" i="26"/>
  <c r="K534" i="26"/>
  <c r="L534" i="26" s="1"/>
  <c r="O525" i="26"/>
  <c r="O512" i="26"/>
  <c r="K511" i="26"/>
  <c r="O508" i="26"/>
  <c r="N504" i="26"/>
  <c r="K399" i="26"/>
  <c r="L399" i="26" s="1"/>
  <c r="K397" i="26"/>
  <c r="L397" i="26" s="1"/>
  <c r="P392" i="26"/>
  <c r="K373" i="26"/>
  <c r="L373" i="26" s="1"/>
  <c r="P367" i="26"/>
  <c r="K361" i="26"/>
  <c r="L361" i="26" s="1"/>
  <c r="N358" i="26"/>
  <c r="P352" i="26"/>
  <c r="O346" i="26"/>
  <c r="K341" i="26"/>
  <c r="L341" i="26" s="1"/>
  <c r="P334" i="26"/>
  <c r="K325" i="26"/>
  <c r="M325" i="26" s="1"/>
  <c r="N308" i="26"/>
  <c r="K303" i="26"/>
  <c r="L303" i="26" s="1"/>
  <c r="P291" i="26"/>
  <c r="O287" i="26"/>
  <c r="O282" i="26"/>
  <c r="N279" i="26"/>
  <c r="V279" i="26" s="1"/>
  <c r="P267" i="26"/>
  <c r="O250" i="26"/>
  <c r="O248" i="26"/>
  <c r="K223" i="26"/>
  <c r="L223" i="26" s="1"/>
  <c r="N186" i="26"/>
  <c r="P805" i="26"/>
  <c r="P728" i="26"/>
  <c r="P726" i="26"/>
  <c r="K722" i="26"/>
  <c r="L722" i="26" s="1"/>
  <c r="O711" i="26"/>
  <c r="K693" i="26"/>
  <c r="L693" i="26" s="1"/>
  <c r="O686" i="26"/>
  <c r="P682" i="26"/>
  <c r="N677" i="26"/>
  <c r="N675" i="26"/>
  <c r="V675" i="26" s="1"/>
  <c r="N655" i="26"/>
  <c r="K653" i="26"/>
  <c r="L653" i="26" s="1"/>
  <c r="N649" i="26"/>
  <c r="K645" i="26"/>
  <c r="L645" i="26" s="1"/>
  <c r="N643" i="26"/>
  <c r="N641" i="26"/>
  <c r="K637" i="26"/>
  <c r="L637" i="26" s="1"/>
  <c r="N635" i="26"/>
  <c r="V635" i="26" s="1"/>
  <c r="K621" i="26"/>
  <c r="L621" i="26" s="1"/>
  <c r="N619" i="26"/>
  <c r="O614" i="26"/>
  <c r="K612" i="26"/>
  <c r="N606" i="26"/>
  <c r="O601" i="26"/>
  <c r="O599" i="26"/>
  <c r="N585" i="26"/>
  <c r="V585" i="26" s="1"/>
  <c r="N572" i="26"/>
  <c r="O569" i="26"/>
  <c r="N567" i="26"/>
  <c r="O527" i="26"/>
  <c r="O521" i="26"/>
  <c r="K506" i="26"/>
  <c r="N413" i="26"/>
  <c r="O389" i="26"/>
  <c r="O384" i="26"/>
  <c r="P376" i="26"/>
  <c r="N374" i="26"/>
  <c r="V374" i="26" s="1"/>
  <c r="O327" i="26"/>
  <c r="N316" i="26"/>
  <c r="O304" i="26"/>
  <c r="N291" i="26"/>
  <c r="V291" i="26" s="1"/>
  <c r="O269" i="26"/>
  <c r="P264" i="26"/>
  <c r="P259" i="26"/>
  <c r="N239" i="26"/>
  <c r="V239" i="26" s="1"/>
  <c r="O233" i="26"/>
  <c r="M216" i="26"/>
  <c r="N206" i="26"/>
  <c r="M188" i="26"/>
  <c r="O731" i="26"/>
  <c r="K655" i="26"/>
  <c r="M655" i="26" s="1"/>
  <c r="K649" i="26"/>
  <c r="K641" i="26"/>
  <c r="M641" i="26" s="1"/>
  <c r="N614" i="26"/>
  <c r="M606" i="26"/>
  <c r="K604" i="26"/>
  <c r="N599" i="26"/>
  <c r="V599" i="26" s="1"/>
  <c r="K585" i="26"/>
  <c r="L585" i="26" s="1"/>
  <c r="K572" i="26"/>
  <c r="L572" i="26" s="1"/>
  <c r="N569" i="26"/>
  <c r="N558" i="26"/>
  <c r="V558" i="26" s="1"/>
  <c r="O552" i="26"/>
  <c r="K550" i="26"/>
  <c r="K548" i="26"/>
  <c r="O545" i="26"/>
  <c r="K539" i="26"/>
  <c r="L539" i="26" s="1"/>
  <c r="N527" i="26"/>
  <c r="K512" i="26"/>
  <c r="O487" i="26"/>
  <c r="O398" i="26"/>
  <c r="P202" i="26"/>
  <c r="N184" i="26"/>
  <c r="K473" i="26"/>
  <c r="L473" i="26" s="1"/>
  <c r="O121" i="26"/>
  <c r="K140" i="26"/>
  <c r="L140" i="26" s="1"/>
  <c r="M140" i="26" s="1"/>
  <c r="O103" i="26"/>
  <c r="P92" i="26"/>
  <c r="O69" i="26"/>
  <c r="N118" i="26"/>
  <c r="O150" i="26"/>
  <c r="P143" i="26"/>
  <c r="P98" i="26"/>
  <c r="N150" i="26"/>
  <c r="N52" i="26"/>
  <c r="P131" i="26"/>
  <c r="N78" i="26"/>
  <c r="K445" i="26"/>
  <c r="L445" i="26" s="1"/>
  <c r="M445" i="26" s="1"/>
  <c r="O503" i="26"/>
  <c r="N414" i="26"/>
  <c r="V414" i="26" s="1"/>
  <c r="N503" i="26"/>
  <c r="N421" i="26"/>
  <c r="K503" i="26"/>
  <c r="N461" i="26"/>
  <c r="V461" i="26" s="1"/>
  <c r="M715" i="26"/>
  <c r="L715" i="26"/>
  <c r="P669" i="26"/>
  <c r="O669" i="26"/>
  <c r="N634" i="26"/>
  <c r="O634" i="26"/>
  <c r="P849" i="26"/>
  <c r="N835" i="26"/>
  <c r="P829" i="26"/>
  <c r="N826" i="26"/>
  <c r="N803" i="26"/>
  <c r="P706" i="26"/>
  <c r="P697" i="26"/>
  <c r="N697" i="26"/>
  <c r="V697" i="26" s="1"/>
  <c r="O697" i="26"/>
  <c r="O687" i="26"/>
  <c r="P687" i="26"/>
  <c r="P677" i="26"/>
  <c r="O677" i="26"/>
  <c r="P673" i="26"/>
  <c r="N673" i="26"/>
  <c r="O673" i="26"/>
  <c r="N660" i="26"/>
  <c r="K660" i="26"/>
  <c r="L660" i="26" s="1"/>
  <c r="P658" i="26"/>
  <c r="K654" i="26"/>
  <c r="L654" i="26" s="1"/>
  <c r="N654" i="26"/>
  <c r="O654" i="26"/>
  <c r="K648" i="26"/>
  <c r="N648" i="26"/>
  <c r="V648" i="26" s="1"/>
  <c r="O648" i="26"/>
  <c r="P646" i="26"/>
  <c r="N630" i="26"/>
  <c r="O630" i="26"/>
  <c r="K624" i="26"/>
  <c r="L624" i="26" s="1"/>
  <c r="N624" i="26"/>
  <c r="O624" i="26"/>
  <c r="P596" i="26"/>
  <c r="K596" i="26"/>
  <c r="N596" i="26"/>
  <c r="P589" i="26"/>
  <c r="O589" i="26"/>
  <c r="P495" i="26"/>
  <c r="O495" i="26"/>
  <c r="K326" i="26"/>
  <c r="O326" i="26"/>
  <c r="P326" i="26"/>
  <c r="N326" i="26"/>
  <c r="L232" i="26"/>
  <c r="M232" i="26"/>
  <c r="P593" i="26"/>
  <c r="N593" i="26"/>
  <c r="O593" i="26"/>
  <c r="K318" i="26"/>
  <c r="L318" i="26" s="1"/>
  <c r="O318" i="26"/>
  <c r="P318" i="26"/>
  <c r="N318" i="26"/>
  <c r="P844" i="26"/>
  <c r="N829" i="26"/>
  <c r="P827" i="26"/>
  <c r="P820" i="26"/>
  <c r="P813" i="26"/>
  <c r="N810" i="26"/>
  <c r="P791" i="26"/>
  <c r="P776" i="26"/>
  <c r="P771" i="26"/>
  <c r="P763" i="26"/>
  <c r="P755" i="26"/>
  <c r="P747" i="26"/>
  <c r="P739" i="26"/>
  <c r="K710" i="26"/>
  <c r="M710" i="26" s="1"/>
  <c r="N710" i="26"/>
  <c r="O706" i="26"/>
  <c r="P698" i="26"/>
  <c r="P694" i="26"/>
  <c r="P689" i="26"/>
  <c r="N689" i="26"/>
  <c r="O689" i="26"/>
  <c r="P681" i="26"/>
  <c r="N681" i="26"/>
  <c r="O681" i="26"/>
  <c r="P670" i="26"/>
  <c r="N668" i="26"/>
  <c r="K668" i="26"/>
  <c r="L668" i="26" s="1"/>
  <c r="P666" i="26"/>
  <c r="O658" i="26"/>
  <c r="O646" i="26"/>
  <c r="N626" i="26"/>
  <c r="O626" i="26"/>
  <c r="K620" i="26"/>
  <c r="M620" i="26" s="1"/>
  <c r="N620" i="26"/>
  <c r="O620" i="26"/>
  <c r="P618" i="26"/>
  <c r="P555" i="26"/>
  <c r="K555" i="26"/>
  <c r="L555" i="26" s="1"/>
  <c r="P502" i="26"/>
  <c r="O502" i="26"/>
  <c r="K502" i="26"/>
  <c r="N502" i="26"/>
  <c r="L339" i="26"/>
  <c r="M339" i="26"/>
  <c r="K628" i="26"/>
  <c r="M628" i="26" s="1"/>
  <c r="N628" i="26"/>
  <c r="O628" i="26"/>
  <c r="P564" i="26"/>
  <c r="K564" i="26"/>
  <c r="N564" i="26"/>
  <c r="K1000" i="26"/>
  <c r="L1000" i="26" s="1"/>
  <c r="K992" i="26"/>
  <c r="L992" i="26" s="1"/>
  <c r="K984" i="26"/>
  <c r="L984" i="26" s="1"/>
  <c r="K976" i="26"/>
  <c r="L976" i="26" s="1"/>
  <c r="K968" i="26"/>
  <c r="L968" i="26" s="1"/>
  <c r="K960" i="26"/>
  <c r="L960" i="26" s="1"/>
  <c r="K952" i="26"/>
  <c r="L952" i="26" s="1"/>
  <c r="K944" i="26"/>
  <c r="L944" i="26" s="1"/>
  <c r="K936" i="26"/>
  <c r="L936" i="26" s="1"/>
  <c r="K928" i="26"/>
  <c r="L928" i="26" s="1"/>
  <c r="K920" i="26"/>
  <c r="L920" i="26" s="1"/>
  <c r="K912" i="26"/>
  <c r="L912" i="26" s="1"/>
  <c r="K904" i="26"/>
  <c r="L904" i="26" s="1"/>
  <c r="K896" i="26"/>
  <c r="L896" i="26" s="1"/>
  <c r="K888" i="26"/>
  <c r="L888" i="26" s="1"/>
  <c r="K880" i="26"/>
  <c r="L880" i="26" s="1"/>
  <c r="K872" i="26"/>
  <c r="L872" i="26" s="1"/>
  <c r="K864" i="26"/>
  <c r="L864" i="26" s="1"/>
  <c r="K856" i="26"/>
  <c r="L856" i="26" s="1"/>
  <c r="P853" i="26"/>
  <c r="N850" i="26"/>
  <c r="K849" i="26"/>
  <c r="N844" i="26"/>
  <c r="P841" i="26"/>
  <c r="K829" i="26"/>
  <c r="L829" i="26" s="1"/>
  <c r="N827" i="26"/>
  <c r="N820" i="26"/>
  <c r="P817" i="26"/>
  <c r="N813" i="26"/>
  <c r="P811" i="26"/>
  <c r="K809" i="26"/>
  <c r="P768" i="26"/>
  <c r="P760" i="26"/>
  <c r="P752" i="26"/>
  <c r="P744" i="26"/>
  <c r="P736" i="26"/>
  <c r="O724" i="26"/>
  <c r="P724" i="26"/>
  <c r="K702" i="26"/>
  <c r="L702" i="26" s="1"/>
  <c r="N702" i="26"/>
  <c r="P690" i="26"/>
  <c r="N676" i="26"/>
  <c r="V676" i="26" s="1"/>
  <c r="K676" i="26"/>
  <c r="M676" i="26" s="1"/>
  <c r="P674" i="26"/>
  <c r="K672" i="26"/>
  <c r="L672" i="26" s="1"/>
  <c r="O666" i="26"/>
  <c r="K662" i="26"/>
  <c r="L662" i="26" s="1"/>
  <c r="N662" i="26"/>
  <c r="K658" i="26"/>
  <c r="L658" i="26" s="1"/>
  <c r="K646" i="26"/>
  <c r="M646" i="26" s="1"/>
  <c r="K644" i="26"/>
  <c r="L644" i="26" s="1"/>
  <c r="N644" i="26"/>
  <c r="O644" i="26"/>
  <c r="P642" i="26"/>
  <c r="N622" i="26"/>
  <c r="O622" i="26"/>
  <c r="P705" i="26"/>
  <c r="N705" i="26"/>
  <c r="O705" i="26"/>
  <c r="N811" i="26"/>
  <c r="K694" i="26"/>
  <c r="L694" i="26" s="1"/>
  <c r="N694" i="26"/>
  <c r="V694" i="26" s="1"/>
  <c r="K670" i="26"/>
  <c r="L670" i="26" s="1"/>
  <c r="N670" i="26"/>
  <c r="N618" i="26"/>
  <c r="O618" i="26"/>
  <c r="P598" i="26"/>
  <c r="K598" i="26"/>
  <c r="N598" i="26"/>
  <c r="O598" i="26"/>
  <c r="L574" i="26"/>
  <c r="P566" i="26"/>
  <c r="K566" i="26"/>
  <c r="N566" i="26"/>
  <c r="O566" i="26"/>
  <c r="L240" i="26"/>
  <c r="M240" i="26"/>
  <c r="K192" i="26"/>
  <c r="N192" i="26"/>
  <c r="O192" i="26"/>
  <c r="P665" i="26"/>
  <c r="N665" i="26"/>
  <c r="V665" i="26" s="1"/>
  <c r="O665" i="26"/>
  <c r="P845" i="26"/>
  <c r="P833" i="26"/>
  <c r="P821" i="26"/>
  <c r="O723" i="26"/>
  <c r="N709" i="26"/>
  <c r="N703" i="26"/>
  <c r="O701" i="26"/>
  <c r="N690" i="26"/>
  <c r="K686" i="26"/>
  <c r="L686" i="26" s="1"/>
  <c r="N686" i="26"/>
  <c r="O682" i="26"/>
  <c r="K678" i="26"/>
  <c r="L678" i="26" s="1"/>
  <c r="N678" i="26"/>
  <c r="K640" i="26"/>
  <c r="L640" i="26" s="1"/>
  <c r="N640" i="26"/>
  <c r="V640" i="26" s="1"/>
  <c r="O640" i="26"/>
  <c r="P638" i="26"/>
  <c r="N285" i="26"/>
  <c r="O285" i="26"/>
  <c r="P285" i="26"/>
  <c r="K285" i="26"/>
  <c r="L285" i="26" s="1"/>
  <c r="K999" i="26"/>
  <c r="L999" i="26" s="1"/>
  <c r="K991" i="26"/>
  <c r="L991" i="26" s="1"/>
  <c r="K983" i="26"/>
  <c r="L983" i="26" s="1"/>
  <c r="K975" i="26"/>
  <c r="L975" i="26" s="1"/>
  <c r="K967" i="26"/>
  <c r="L967" i="26" s="1"/>
  <c r="K959" i="26"/>
  <c r="L959" i="26" s="1"/>
  <c r="K951" i="26"/>
  <c r="L951" i="26" s="1"/>
  <c r="K943" i="26"/>
  <c r="L943" i="26" s="1"/>
  <c r="K935" i="26"/>
  <c r="L935" i="26" s="1"/>
  <c r="K927" i="26"/>
  <c r="L927" i="26" s="1"/>
  <c r="K919" i="26"/>
  <c r="L919" i="26" s="1"/>
  <c r="K911" i="26"/>
  <c r="L911" i="26" s="1"/>
  <c r="K903" i="26"/>
  <c r="L903" i="26" s="1"/>
  <c r="K895" i="26"/>
  <c r="L895" i="26" s="1"/>
  <c r="K887" i="26"/>
  <c r="L887" i="26" s="1"/>
  <c r="K879" i="26"/>
  <c r="L879" i="26" s="1"/>
  <c r="K871" i="26"/>
  <c r="L871" i="26" s="1"/>
  <c r="K863" i="26"/>
  <c r="L863" i="26" s="1"/>
  <c r="K855" i="26"/>
  <c r="L855" i="26" s="1"/>
  <c r="K850" i="26"/>
  <c r="N845" i="26"/>
  <c r="P828" i="26"/>
  <c r="K827" i="26"/>
  <c r="N821" i="26"/>
  <c r="K817" i="26"/>
  <c r="P792" i="26"/>
  <c r="P775" i="26"/>
  <c r="P767" i="26"/>
  <c r="P759" i="26"/>
  <c r="P751" i="26"/>
  <c r="P743" i="26"/>
  <c r="P735" i="26"/>
  <c r="L723" i="26"/>
  <c r="O720" i="26"/>
  <c r="P717" i="26"/>
  <c r="O717" i="26"/>
  <c r="K709" i="26"/>
  <c r="L709" i="26" s="1"/>
  <c r="N701" i="26"/>
  <c r="O693" i="26"/>
  <c r="K682" i="26"/>
  <c r="M682" i="26" s="1"/>
  <c r="N669" i="26"/>
  <c r="V669" i="26" s="1"/>
  <c r="K636" i="26"/>
  <c r="L636" i="26" s="1"/>
  <c r="N636" i="26"/>
  <c r="O636" i="26"/>
  <c r="P634" i="26"/>
  <c r="O695" i="26"/>
  <c r="P695" i="26"/>
  <c r="K996" i="26"/>
  <c r="L996" i="26" s="1"/>
  <c r="K988" i="26"/>
  <c r="L988" i="26" s="1"/>
  <c r="K980" i="26"/>
  <c r="L980" i="26" s="1"/>
  <c r="K972" i="26"/>
  <c r="L972" i="26" s="1"/>
  <c r="K964" i="26"/>
  <c r="L964" i="26" s="1"/>
  <c r="K956" i="26"/>
  <c r="L956" i="26" s="1"/>
  <c r="K948" i="26"/>
  <c r="L948" i="26" s="1"/>
  <c r="K940" i="26"/>
  <c r="L940" i="26" s="1"/>
  <c r="K932" i="26"/>
  <c r="L932" i="26" s="1"/>
  <c r="K924" i="26"/>
  <c r="L924" i="26" s="1"/>
  <c r="K916" i="26"/>
  <c r="L916" i="26" s="1"/>
  <c r="K908" i="26"/>
  <c r="L908" i="26" s="1"/>
  <c r="K900" i="26"/>
  <c r="L900" i="26" s="1"/>
  <c r="K892" i="26"/>
  <c r="L892" i="26" s="1"/>
  <c r="K884" i="26"/>
  <c r="L884" i="26" s="1"/>
  <c r="K876" i="26"/>
  <c r="L876" i="26" s="1"/>
  <c r="K868" i="26"/>
  <c r="L868" i="26" s="1"/>
  <c r="K860" i="26"/>
  <c r="L860" i="26" s="1"/>
  <c r="K845" i="26"/>
  <c r="L845" i="26" s="1"/>
  <c r="K833" i="26"/>
  <c r="N828" i="26"/>
  <c r="K821" i="26"/>
  <c r="L821" i="26" s="1"/>
  <c r="K811" i="26"/>
  <c r="K808" i="26"/>
  <c r="P772" i="26"/>
  <c r="P764" i="26"/>
  <c r="P756" i="26"/>
  <c r="P748" i="26"/>
  <c r="P740" i="26"/>
  <c r="K705" i="26"/>
  <c r="M705" i="26" s="1"/>
  <c r="O703" i="26"/>
  <c r="P703" i="26"/>
  <c r="K701" i="26"/>
  <c r="L701" i="26" s="1"/>
  <c r="K695" i="26"/>
  <c r="L695" i="26" s="1"/>
  <c r="K669" i="26"/>
  <c r="L669" i="26" s="1"/>
  <c r="K665" i="26"/>
  <c r="L665" i="26" s="1"/>
  <c r="P657" i="26"/>
  <c r="N657" i="26"/>
  <c r="V657" i="26" s="1"/>
  <c r="O657" i="26"/>
  <c r="N652" i="26"/>
  <c r="K652" i="26"/>
  <c r="M652" i="26" s="1"/>
  <c r="N638" i="26"/>
  <c r="O638" i="26"/>
  <c r="K634" i="26"/>
  <c r="L634" i="26" s="1"/>
  <c r="K632" i="26"/>
  <c r="L632" i="26" s="1"/>
  <c r="N632" i="26"/>
  <c r="V632" i="26" s="1"/>
  <c r="O632" i="26"/>
  <c r="P628" i="26"/>
  <c r="P609" i="26"/>
  <c r="K609" i="26"/>
  <c r="L609" i="26" s="1"/>
  <c r="N609" i="26"/>
  <c r="O609" i="26"/>
  <c r="K593" i="26"/>
  <c r="L593" i="26" s="1"/>
  <c r="P537" i="26"/>
  <c r="K537" i="26"/>
  <c r="L537" i="26" s="1"/>
  <c r="N537" i="26"/>
  <c r="O537" i="26"/>
  <c r="O590" i="26"/>
  <c r="O577" i="26"/>
  <c r="P543" i="26"/>
  <c r="N543" i="26"/>
  <c r="O534" i="26"/>
  <c r="N532" i="26"/>
  <c r="P516" i="26"/>
  <c r="K516" i="26"/>
  <c r="P514" i="26"/>
  <c r="K514" i="26"/>
  <c r="O514" i="26"/>
  <c r="P505" i="26"/>
  <c r="K505" i="26"/>
  <c r="L505" i="26" s="1"/>
  <c r="O505" i="26"/>
  <c r="O423" i="26"/>
  <c r="N423" i="26"/>
  <c r="O355" i="26"/>
  <c r="K355" i="26"/>
  <c r="L355" i="26" s="1"/>
  <c r="N355" i="26"/>
  <c r="P355" i="26"/>
  <c r="K54" i="26"/>
  <c r="L54" i="26" s="1"/>
  <c r="M54" i="26" s="1"/>
  <c r="N54" i="26"/>
  <c r="P54" i="26"/>
  <c r="K716" i="26"/>
  <c r="P679" i="26"/>
  <c r="P671" i="26"/>
  <c r="P663" i="26"/>
  <c r="P655" i="26"/>
  <c r="P649" i="26"/>
  <c r="P645" i="26"/>
  <c r="P641" i="26"/>
  <c r="P637" i="26"/>
  <c r="P633" i="26"/>
  <c r="P629" i="26"/>
  <c r="P625" i="26"/>
  <c r="P621" i="26"/>
  <c r="P617" i="26"/>
  <c r="K614" i="26"/>
  <c r="O592" i="26"/>
  <c r="N590" i="26"/>
  <c r="V590" i="26" s="1"/>
  <c r="N588" i="26"/>
  <c r="V588" i="26" s="1"/>
  <c r="K582" i="26"/>
  <c r="N577" i="26"/>
  <c r="N575" i="26"/>
  <c r="K569" i="26"/>
  <c r="L569" i="26" s="1"/>
  <c r="O565" i="26"/>
  <c r="K563" i="26"/>
  <c r="M563" i="26" s="1"/>
  <c r="O536" i="26"/>
  <c r="N534" i="26"/>
  <c r="P479" i="26"/>
  <c r="O479" i="26"/>
  <c r="N349" i="26"/>
  <c r="O349" i="26"/>
  <c r="P349" i="26"/>
  <c r="K284" i="26"/>
  <c r="N284" i="26"/>
  <c r="V284" i="26" s="1"/>
  <c r="O284" i="26"/>
  <c r="P284" i="26"/>
  <c r="K281" i="26"/>
  <c r="L281" i="26" s="1"/>
  <c r="N281" i="26"/>
  <c r="P281" i="26"/>
  <c r="N272" i="26"/>
  <c r="O272" i="26"/>
  <c r="P272" i="26"/>
  <c r="N256" i="26"/>
  <c r="V256" i="26" s="1"/>
  <c r="O256" i="26"/>
  <c r="P256" i="26"/>
  <c r="N252" i="26"/>
  <c r="V252" i="26" s="1"/>
  <c r="P252" i="26"/>
  <c r="P166" i="26"/>
  <c r="P133" i="26"/>
  <c r="K133" i="26"/>
  <c r="L133" i="26" s="1"/>
  <c r="M133" i="26" s="1"/>
  <c r="O615" i="26"/>
  <c r="O605" i="26"/>
  <c r="K588" i="26"/>
  <c r="M588" i="26" s="1"/>
  <c r="O585" i="26"/>
  <c r="O583" i="26"/>
  <c r="K577" i="26"/>
  <c r="L577" i="26" s="1"/>
  <c r="O573" i="26"/>
  <c r="P545" i="26"/>
  <c r="N545" i="26"/>
  <c r="V545" i="26" s="1"/>
  <c r="O542" i="26"/>
  <c r="K532" i="26"/>
  <c r="K501" i="26"/>
  <c r="N501" i="26"/>
  <c r="V501" i="26" s="1"/>
  <c r="P486" i="26"/>
  <c r="O486" i="26"/>
  <c r="K482" i="26"/>
  <c r="L482" i="26" s="1"/>
  <c r="K429" i="26"/>
  <c r="M429" i="26" s="1"/>
  <c r="N343" i="26"/>
  <c r="O343" i="26"/>
  <c r="P343" i="26"/>
  <c r="M296" i="26"/>
  <c r="L288" i="26"/>
  <c r="M288" i="26"/>
  <c r="N266" i="26"/>
  <c r="V266" i="26" s="1"/>
  <c r="O266" i="26"/>
  <c r="P266" i="26"/>
  <c r="K217" i="26"/>
  <c r="L217" i="26" s="1"/>
  <c r="O217" i="26"/>
  <c r="P217" i="26"/>
  <c r="K194" i="26"/>
  <c r="L194" i="26" s="1"/>
  <c r="P194" i="26"/>
  <c r="K185" i="26"/>
  <c r="L185" i="26" s="1"/>
  <c r="P185" i="26"/>
  <c r="N136" i="26"/>
  <c r="P551" i="26"/>
  <c r="O551" i="26"/>
  <c r="N542" i="26"/>
  <c r="V542" i="26" s="1"/>
  <c r="N540" i="26"/>
  <c r="P510" i="26"/>
  <c r="K510" i="26"/>
  <c r="N510" i="26"/>
  <c r="V510" i="26" s="1"/>
  <c r="K444" i="26"/>
  <c r="L444" i="26" s="1"/>
  <c r="M444" i="26" s="1"/>
  <c r="N444" i="26"/>
  <c r="P404" i="26"/>
  <c r="O404" i="26"/>
  <c r="L391" i="26"/>
  <c r="M391" i="26"/>
  <c r="P360" i="26"/>
  <c r="O360" i="26"/>
  <c r="K208" i="26"/>
  <c r="N208" i="26"/>
  <c r="O208" i="26"/>
  <c r="K176" i="26"/>
  <c r="N176" i="26"/>
  <c r="O176" i="26"/>
  <c r="K102" i="26"/>
  <c r="L102" i="26" s="1"/>
  <c r="M102" i="26" s="1"/>
  <c r="N102" i="26"/>
  <c r="O591" i="26"/>
  <c r="P556" i="26"/>
  <c r="K556" i="26"/>
  <c r="P524" i="26"/>
  <c r="K524" i="26"/>
  <c r="N524" i="26"/>
  <c r="P519" i="26"/>
  <c r="O519" i="26"/>
  <c r="P517" i="26"/>
  <c r="K517" i="26"/>
  <c r="N517" i="26"/>
  <c r="P515" i="26"/>
  <c r="N515" i="26"/>
  <c r="P504" i="26"/>
  <c r="K504" i="26"/>
  <c r="K366" i="26"/>
  <c r="L366" i="26" s="1"/>
  <c r="O366" i="26"/>
  <c r="P366" i="26"/>
  <c r="O362" i="26"/>
  <c r="N357" i="26"/>
  <c r="V357" i="26" s="1"/>
  <c r="O357" i="26"/>
  <c r="P357" i="26"/>
  <c r="N351" i="26"/>
  <c r="O351" i="26"/>
  <c r="P351" i="26"/>
  <c r="K301" i="26"/>
  <c r="L301" i="26" s="1"/>
  <c r="N301" i="26"/>
  <c r="O301" i="26"/>
  <c r="P301" i="26"/>
  <c r="N290" i="26"/>
  <c r="O290" i="26"/>
  <c r="P290" i="26"/>
  <c r="N258" i="26"/>
  <c r="O258" i="26"/>
  <c r="P258" i="26"/>
  <c r="M246" i="26"/>
  <c r="K105" i="26"/>
  <c r="L105" i="26" s="1"/>
  <c r="M105" i="26" s="1"/>
  <c r="P105" i="26"/>
  <c r="K56" i="26"/>
  <c r="L56" i="26" s="1"/>
  <c r="M56" i="26" s="1"/>
  <c r="P56" i="26"/>
  <c r="O661" i="26"/>
  <c r="O653" i="26"/>
  <c r="N591" i="26"/>
  <c r="O576" i="26"/>
  <c r="P558" i="26"/>
  <c r="K558" i="26"/>
  <c r="P553" i="26"/>
  <c r="O553" i="26"/>
  <c r="K542" i="26"/>
  <c r="K540" i="26"/>
  <c r="P531" i="26"/>
  <c r="K531" i="26"/>
  <c r="M531" i="26" s="1"/>
  <c r="P506" i="26"/>
  <c r="N506" i="26"/>
  <c r="O410" i="26"/>
  <c r="N380" i="26"/>
  <c r="K380" i="26"/>
  <c r="L380" i="26" s="1"/>
  <c r="O380" i="26"/>
  <c r="P380" i="26"/>
  <c r="L254" i="26"/>
  <c r="K235" i="26"/>
  <c r="M235" i="26" s="1"/>
  <c r="O235" i="26"/>
  <c r="P235" i="26"/>
  <c r="P533" i="26"/>
  <c r="O533" i="26"/>
  <c r="P528" i="26"/>
  <c r="O528" i="26"/>
  <c r="P526" i="26"/>
  <c r="K526" i="26"/>
  <c r="N526" i="26"/>
  <c r="K365" i="26"/>
  <c r="N365" i="26"/>
  <c r="O365" i="26"/>
  <c r="P365" i="26"/>
  <c r="K333" i="26"/>
  <c r="L333" i="26" s="1"/>
  <c r="N333" i="26"/>
  <c r="O333" i="26"/>
  <c r="P333" i="26"/>
  <c r="K310" i="26"/>
  <c r="L310" i="26" s="1"/>
  <c r="O310" i="26"/>
  <c r="P310" i="26"/>
  <c r="K295" i="26"/>
  <c r="L295" i="26" s="1"/>
  <c r="N295" i="26"/>
  <c r="V295" i="26" s="1"/>
  <c r="O295" i="26"/>
  <c r="P295" i="26"/>
  <c r="N232" i="26"/>
  <c r="V232" i="26" s="1"/>
  <c r="O232" i="26"/>
  <c r="P232" i="26"/>
  <c r="K210" i="26"/>
  <c r="L210" i="26" s="1"/>
  <c r="P210" i="26"/>
  <c r="K201" i="26"/>
  <c r="L201" i="26" s="1"/>
  <c r="P201" i="26"/>
  <c r="K178" i="26"/>
  <c r="L178" i="26" s="1"/>
  <c r="P178" i="26"/>
  <c r="O513" i="26"/>
  <c r="O509" i="26"/>
  <c r="N508" i="26"/>
  <c r="K478" i="26"/>
  <c r="L478" i="26" s="1"/>
  <c r="N464" i="26"/>
  <c r="V464" i="26" s="1"/>
  <c r="O415" i="26"/>
  <c r="O399" i="26"/>
  <c r="N398" i="26"/>
  <c r="O393" i="26"/>
  <c r="P389" i="26"/>
  <c r="K388" i="26"/>
  <c r="O385" i="26"/>
  <c r="K381" i="26"/>
  <c r="L381" i="26" s="1"/>
  <c r="K372" i="26"/>
  <c r="N369" i="26"/>
  <c r="N367" i="26"/>
  <c r="P359" i="26"/>
  <c r="M358" i="26"/>
  <c r="O344" i="26"/>
  <c r="N327" i="26"/>
  <c r="N319" i="26"/>
  <c r="V319" i="26" s="1"/>
  <c r="N311" i="26"/>
  <c r="N300" i="26"/>
  <c r="P294" i="26"/>
  <c r="O288" i="26"/>
  <c r="N287" i="26"/>
  <c r="P283" i="26"/>
  <c r="N282" i="26"/>
  <c r="P280" i="26"/>
  <c r="K279" i="26"/>
  <c r="L279" i="26" s="1"/>
  <c r="P274" i="26"/>
  <c r="N273" i="26"/>
  <c r="O267" i="26"/>
  <c r="O259" i="26"/>
  <c r="O253" i="26"/>
  <c r="P251" i="26"/>
  <c r="N248" i="26"/>
  <c r="V248" i="26" s="1"/>
  <c r="P243" i="26"/>
  <c r="O240" i="26"/>
  <c r="K239" i="26"/>
  <c r="P234" i="26"/>
  <c r="K230" i="26"/>
  <c r="P227" i="26"/>
  <c r="N218" i="26"/>
  <c r="O216" i="26"/>
  <c r="N214" i="26"/>
  <c r="O200" i="26"/>
  <c r="N198" i="26"/>
  <c r="V198" i="26" s="1"/>
  <c r="O184" i="26"/>
  <c r="N182" i="26"/>
  <c r="V182" i="26" s="1"/>
  <c r="P150" i="26"/>
  <c r="O144" i="26"/>
  <c r="O132" i="26"/>
  <c r="O101" i="26"/>
  <c r="O87" i="26"/>
  <c r="O65" i="26"/>
  <c r="N62" i="26"/>
  <c r="O518" i="26"/>
  <c r="N513" i="26"/>
  <c r="N509" i="26"/>
  <c r="K428" i="26"/>
  <c r="L428" i="26" s="1"/>
  <c r="N418" i="26"/>
  <c r="V418" i="26" s="1"/>
  <c r="N415" i="26"/>
  <c r="N409" i="26"/>
  <c r="N399" i="26"/>
  <c r="K393" i="26"/>
  <c r="L393" i="26" s="1"/>
  <c r="K385" i="26"/>
  <c r="L385" i="26" s="1"/>
  <c r="K369" i="26"/>
  <c r="L369" i="26" s="1"/>
  <c r="K364" i="26"/>
  <c r="O359" i="26"/>
  <c r="M354" i="26"/>
  <c r="N348" i="26"/>
  <c r="O342" i="26"/>
  <c r="P325" i="26"/>
  <c r="P317" i="26"/>
  <c r="P309" i="26"/>
  <c r="K292" i="26"/>
  <c r="P289" i="26"/>
  <c r="N288" i="26"/>
  <c r="O283" i="26"/>
  <c r="O280" i="26"/>
  <c r="P276" i="26"/>
  <c r="O274" i="26"/>
  <c r="N255" i="26"/>
  <c r="O251" i="26"/>
  <c r="O243" i="26"/>
  <c r="N240" i="26"/>
  <c r="O234" i="26"/>
  <c r="N231" i="26"/>
  <c r="O227" i="26"/>
  <c r="P209" i="26"/>
  <c r="P193" i="26"/>
  <c r="P177" i="26"/>
  <c r="P157" i="26"/>
  <c r="N144" i="26"/>
  <c r="K141" i="26"/>
  <c r="L141" i="26" s="1"/>
  <c r="M141" i="26" s="1"/>
  <c r="K138" i="26"/>
  <c r="L138" i="26" s="1"/>
  <c r="M138" i="26" s="1"/>
  <c r="N132" i="26"/>
  <c r="V132" i="26" s="1"/>
  <c r="N65" i="26"/>
  <c r="O55" i="26"/>
  <c r="N359" i="26"/>
  <c r="N342" i="26"/>
  <c r="V342" i="26" s="1"/>
  <c r="P328" i="26"/>
  <c r="P320" i="26"/>
  <c r="P312" i="26"/>
  <c r="O289" i="26"/>
  <c r="N283" i="26"/>
  <c r="N280" i="26"/>
  <c r="N276" i="26"/>
  <c r="N274" i="26"/>
  <c r="V274" i="26" s="1"/>
  <c r="O249" i="26"/>
  <c r="P241" i="26"/>
  <c r="N234" i="26"/>
  <c r="P225" i="26"/>
  <c r="P222" i="26"/>
  <c r="P219" i="26"/>
  <c r="O204" i="26"/>
  <c r="O188" i="26"/>
  <c r="K430" i="26"/>
  <c r="L430" i="26" s="1"/>
  <c r="K398" i="26"/>
  <c r="P374" i="26"/>
  <c r="M342" i="26"/>
  <c r="O336" i="26"/>
  <c r="K331" i="26"/>
  <c r="L331" i="26" s="1"/>
  <c r="O328" i="26"/>
  <c r="O320" i="26"/>
  <c r="O312" i="26"/>
  <c r="K307" i="26"/>
  <c r="P304" i="26"/>
  <c r="M299" i="26"/>
  <c r="K276" i="26"/>
  <c r="L276" i="26" s="1"/>
  <c r="N263" i="26"/>
  <c r="N249" i="26"/>
  <c r="O241" i="26"/>
  <c r="K231" i="26"/>
  <c r="O225" i="26"/>
  <c r="K222" i="26"/>
  <c r="L222" i="26" s="1"/>
  <c r="O219" i="26"/>
  <c r="P213" i="26"/>
  <c r="P206" i="26"/>
  <c r="N204" i="26"/>
  <c r="V204" i="26" s="1"/>
  <c r="P197" i="26"/>
  <c r="P190" i="26"/>
  <c r="N188" i="26"/>
  <c r="V188" i="26" s="1"/>
  <c r="P181" i="26"/>
  <c r="P174" i="26"/>
  <c r="N146" i="26"/>
  <c r="N124" i="26"/>
  <c r="V124" i="26" s="1"/>
  <c r="N121" i="26"/>
  <c r="V121" i="26" s="1"/>
  <c r="N89" i="26"/>
  <c r="N86" i="26"/>
  <c r="O48" i="26"/>
  <c r="K496" i="26"/>
  <c r="L496" i="26" s="1"/>
  <c r="N495" i="26"/>
  <c r="O490" i="26"/>
  <c r="N480" i="26"/>
  <c r="N479" i="26"/>
  <c r="V479" i="26" s="1"/>
  <c r="K433" i="26"/>
  <c r="M433" i="26" s="1"/>
  <c r="K419" i="26"/>
  <c r="L419" i="26" s="1"/>
  <c r="O411" i="26"/>
  <c r="O402" i="26"/>
  <c r="N497" i="26"/>
  <c r="N493" i="26"/>
  <c r="K465" i="26"/>
  <c r="L465" i="26" s="1"/>
  <c r="N452" i="26"/>
  <c r="V452" i="26" s="1"/>
  <c r="N440" i="26"/>
  <c r="N428" i="26"/>
  <c r="O413" i="26"/>
  <c r="K412" i="26"/>
  <c r="M412" i="26" s="1"/>
  <c r="N408" i="26"/>
  <c r="N402" i="26"/>
  <c r="P140" i="26"/>
  <c r="O152" i="26"/>
  <c r="O146" i="26"/>
  <c r="N140" i="26"/>
  <c r="P139" i="26"/>
  <c r="O136" i="26"/>
  <c r="P135" i="26"/>
  <c r="P132" i="26"/>
  <c r="K130" i="26"/>
  <c r="L130" i="26" s="1"/>
  <c r="M130" i="26" s="1"/>
  <c r="P121" i="26"/>
  <c r="P109" i="26"/>
  <c r="N108" i="26"/>
  <c r="P103" i="26"/>
  <c r="O102" i="26"/>
  <c r="P101" i="26"/>
  <c r="O100" i="26"/>
  <c r="P81" i="26"/>
  <c r="P76" i="26"/>
  <c r="P65" i="26"/>
  <c r="P48" i="26"/>
  <c r="O47" i="26"/>
  <c r="N46" i="26"/>
  <c r="P108" i="26"/>
  <c r="P46" i="26"/>
  <c r="O45" i="26"/>
  <c r="O496" i="26"/>
  <c r="N487" i="26"/>
  <c r="N457" i="26"/>
  <c r="N432" i="26"/>
  <c r="V432" i="26" s="1"/>
  <c r="K409" i="26"/>
  <c r="M409" i="26" s="1"/>
  <c r="N496" i="26"/>
  <c r="N468" i="26"/>
  <c r="K423" i="26"/>
  <c r="K420" i="26"/>
  <c r="L420" i="26" s="1"/>
  <c r="K413" i="26"/>
  <c r="O406" i="26"/>
  <c r="K404" i="26"/>
  <c r="M404" i="26" s="1"/>
  <c r="M496" i="26"/>
  <c r="O494" i="26"/>
  <c r="O478" i="26"/>
  <c r="K432" i="26"/>
  <c r="N429" i="26"/>
  <c r="V429" i="26" s="1"/>
  <c r="N427" i="26"/>
  <c r="N424" i="26"/>
  <c r="N406" i="26"/>
  <c r="V406" i="26" s="1"/>
  <c r="N401" i="26"/>
  <c r="V401" i="26" s="1"/>
  <c r="N494" i="26"/>
  <c r="K494" i="26"/>
  <c r="L494" i="26" s="1"/>
  <c r="N488" i="26"/>
  <c r="O474" i="26"/>
  <c r="N472" i="26"/>
  <c r="K453" i="26"/>
  <c r="L453" i="26" s="1"/>
  <c r="N433" i="26"/>
  <c r="K424" i="26"/>
  <c r="N419" i="26"/>
  <c r="O412" i="26"/>
  <c r="N469" i="26"/>
  <c r="N412" i="26"/>
  <c r="V412" i="26" s="1"/>
  <c r="N405" i="26"/>
  <c r="K400" i="26"/>
  <c r="L400" i="26" s="1"/>
  <c r="M455" i="26"/>
  <c r="N152" i="26"/>
  <c r="V152" i="26" s="1"/>
  <c r="O143" i="26"/>
  <c r="O138" i="26"/>
  <c r="O135" i="26"/>
  <c r="O130" i="26"/>
  <c r="P124" i="26"/>
  <c r="O119" i="26"/>
  <c r="O110" i="26"/>
  <c r="O105" i="26"/>
  <c r="O98" i="26"/>
  <c r="O92" i="26"/>
  <c r="P89" i="26"/>
  <c r="N81" i="26"/>
  <c r="O76" i="26"/>
  <c r="O70" i="26"/>
  <c r="P52" i="26"/>
  <c r="P50" i="26"/>
  <c r="N48" i="26"/>
  <c r="N164" i="26"/>
  <c r="P161" i="26"/>
  <c r="P146" i="26"/>
  <c r="P144" i="26"/>
  <c r="K143" i="26"/>
  <c r="L143" i="26" s="1"/>
  <c r="M143" i="26" s="1"/>
  <c r="O141" i="26"/>
  <c r="N138" i="26"/>
  <c r="V138" i="26" s="1"/>
  <c r="P136" i="26"/>
  <c r="K135" i="26"/>
  <c r="L135" i="26" s="1"/>
  <c r="M135" i="26" s="1"/>
  <c r="O133" i="26"/>
  <c r="N130" i="26"/>
  <c r="V130" i="26" s="1"/>
  <c r="O124" i="26"/>
  <c r="N105" i="26"/>
  <c r="N98" i="26"/>
  <c r="N92" i="26"/>
  <c r="O89" i="26"/>
  <c r="O78" i="26"/>
  <c r="N76" i="26"/>
  <c r="O59" i="26"/>
  <c r="O52" i="26"/>
  <c r="N50" i="26"/>
  <c r="P169" i="26"/>
  <c r="N160" i="26"/>
  <c r="V160" i="26" s="1"/>
  <c r="P153" i="26"/>
  <c r="N148" i="26"/>
  <c r="O142" i="26"/>
  <c r="O139" i="26"/>
  <c r="O134" i="26"/>
  <c r="O131" i="26"/>
  <c r="O106" i="26"/>
  <c r="O97" i="26"/>
  <c r="P82" i="26"/>
  <c r="O63" i="26"/>
  <c r="P60" i="26"/>
  <c r="P58" i="26"/>
  <c r="N56" i="26"/>
  <c r="N142" i="26"/>
  <c r="K139" i="26"/>
  <c r="L139" i="26" s="1"/>
  <c r="M139" i="26" s="1"/>
  <c r="O137" i="26"/>
  <c r="N134" i="26"/>
  <c r="K131" i="26"/>
  <c r="L131" i="26" s="1"/>
  <c r="M131" i="26" s="1"/>
  <c r="O129" i="26"/>
  <c r="P114" i="26"/>
  <c r="P111" i="26"/>
  <c r="O85" i="26"/>
  <c r="P79" i="26"/>
  <c r="P71" i="26"/>
  <c r="O60" i="26"/>
  <c r="N58" i="26"/>
  <c r="O51" i="26"/>
  <c r="P165" i="26"/>
  <c r="P162" i="26"/>
  <c r="O145" i="26"/>
  <c r="K142" i="26"/>
  <c r="L142" i="26" s="1"/>
  <c r="M142" i="26" s="1"/>
  <c r="K137" i="26"/>
  <c r="L137" i="26" s="1"/>
  <c r="M137" i="26" s="1"/>
  <c r="K134" i="26"/>
  <c r="L134" i="26" s="1"/>
  <c r="M134" i="26" s="1"/>
  <c r="O117" i="26"/>
  <c r="N114" i="26"/>
  <c r="V114" i="26" s="1"/>
  <c r="O79" i="26"/>
  <c r="N74" i="26"/>
  <c r="O68" i="26"/>
  <c r="N60" i="26"/>
  <c r="L472" i="26"/>
  <c r="M472" i="26" s="1"/>
  <c r="M441" i="26"/>
  <c r="L441" i="26"/>
  <c r="L484" i="26"/>
  <c r="M484" i="26" s="1"/>
  <c r="L439" i="26"/>
  <c r="M439" i="26"/>
  <c r="L435" i="26"/>
  <c r="M435" i="26"/>
  <c r="N485" i="26"/>
  <c r="M467" i="26"/>
  <c r="N400" i="26"/>
  <c r="V400" i="26" s="1"/>
  <c r="O488" i="26"/>
  <c r="O480" i="26"/>
  <c r="N460" i="26"/>
  <c r="V460" i="26" s="1"/>
  <c r="K449" i="26"/>
  <c r="N436" i="26"/>
  <c r="K431" i="26"/>
  <c r="N426" i="26"/>
  <c r="V426" i="26" s="1"/>
  <c r="K417" i="26"/>
  <c r="O414" i="26"/>
  <c r="N410" i="26"/>
  <c r="O405" i="26"/>
  <c r="N404" i="26"/>
  <c r="V404" i="26" s="1"/>
  <c r="O401" i="26"/>
  <c r="O407" i="26"/>
  <c r="K488" i="26"/>
  <c r="N486" i="26"/>
  <c r="V486" i="26" s="1"/>
  <c r="K480" i="26"/>
  <c r="N478" i="26"/>
  <c r="M468" i="26"/>
  <c r="N448" i="26"/>
  <c r="V448" i="26" s="1"/>
  <c r="N437" i="26"/>
  <c r="N430" i="26"/>
  <c r="K421" i="26"/>
  <c r="K418" i="26"/>
  <c r="L418" i="26" s="1"/>
  <c r="O416" i="26"/>
  <c r="K414" i="26"/>
  <c r="N411" i="26"/>
  <c r="K410" i="26"/>
  <c r="N407" i="26"/>
  <c r="K401" i="26"/>
  <c r="K486" i="26"/>
  <c r="K476" i="26"/>
  <c r="N441" i="26"/>
  <c r="N425" i="26"/>
  <c r="N416" i="26"/>
  <c r="V416" i="26" s="1"/>
  <c r="K411" i="26"/>
  <c r="L411" i="26" s="1"/>
  <c r="O408" i="26"/>
  <c r="K405" i="26"/>
  <c r="O403" i="26"/>
  <c r="M463" i="26"/>
  <c r="N456" i="26"/>
  <c r="V456" i="26" s="1"/>
  <c r="N431" i="26"/>
  <c r="K427" i="26"/>
  <c r="N422" i="26"/>
  <c r="K415" i="26"/>
  <c r="K406" i="26"/>
  <c r="N403" i="26"/>
  <c r="V403" i="26" s="1"/>
  <c r="K402" i="26"/>
  <c r="K425" i="26"/>
  <c r="K422" i="26"/>
  <c r="L422" i="26" s="1"/>
  <c r="N420" i="26"/>
  <c r="N417" i="26"/>
  <c r="K416" i="26"/>
  <c r="O409" i="26"/>
  <c r="K407" i="26"/>
  <c r="K403" i="26"/>
  <c r="L403" i="26" s="1"/>
  <c r="O400" i="26"/>
  <c r="O164" i="26"/>
  <c r="N162" i="26"/>
  <c r="M160" i="26"/>
  <c r="P148" i="26"/>
  <c r="N145" i="26"/>
  <c r="V145" i="26" s="1"/>
  <c r="N141" i="26"/>
  <c r="N137" i="26"/>
  <c r="N133" i="26"/>
  <c r="N129" i="26"/>
  <c r="V129" i="26" s="1"/>
  <c r="P122" i="26"/>
  <c r="O118" i="26"/>
  <c r="P116" i="26"/>
  <c r="O114" i="26"/>
  <c r="N110" i="26"/>
  <c r="O108" i="26"/>
  <c r="N106" i="26"/>
  <c r="N100" i="26"/>
  <c r="P87" i="26"/>
  <c r="P85" i="26"/>
  <c r="O81" i="26"/>
  <c r="P74" i="26"/>
  <c r="N70" i="26"/>
  <c r="N68" i="26"/>
  <c r="P63" i="26"/>
  <c r="P61" i="26"/>
  <c r="O58" i="26"/>
  <c r="N55" i="26"/>
  <c r="P53" i="26"/>
  <c r="O50" i="26"/>
  <c r="N47" i="26"/>
  <c r="P45" i="26"/>
  <c r="O126" i="26"/>
  <c r="O122" i="26"/>
  <c r="O116" i="26"/>
  <c r="P95" i="26"/>
  <c r="P93" i="26"/>
  <c r="O61" i="26"/>
  <c r="O53" i="26"/>
  <c r="O168" i="26"/>
  <c r="N166" i="26"/>
  <c r="V166" i="26" s="1"/>
  <c r="M164" i="26"/>
  <c r="N126" i="26"/>
  <c r="N122" i="26"/>
  <c r="N116" i="26"/>
  <c r="P97" i="26"/>
  <c r="O95" i="26"/>
  <c r="O93" i="26"/>
  <c r="N61" i="26"/>
  <c r="P59" i="26"/>
  <c r="N53" i="26"/>
  <c r="P51" i="26"/>
  <c r="N45" i="26"/>
  <c r="P170" i="26"/>
  <c r="N168" i="26"/>
  <c r="P154" i="26"/>
  <c r="O172" i="26"/>
  <c r="N170" i="26"/>
  <c r="V170" i="26" s="1"/>
  <c r="M168" i="26"/>
  <c r="O156" i="26"/>
  <c r="N154" i="26"/>
  <c r="V154" i="26" s="1"/>
  <c r="P147" i="26"/>
  <c r="P119" i="26"/>
  <c r="P117" i="26"/>
  <c r="P113" i="26"/>
  <c r="O111" i="26"/>
  <c r="O109" i="26"/>
  <c r="N97" i="26"/>
  <c r="P90" i="26"/>
  <c r="O86" i="26"/>
  <c r="P84" i="26"/>
  <c r="N82" i="26"/>
  <c r="P73" i="26"/>
  <c r="O71" i="26"/>
  <c r="O62" i="26"/>
  <c r="N59" i="26"/>
  <c r="P57" i="26"/>
  <c r="O54" i="26"/>
  <c r="N51" i="26"/>
  <c r="P49" i="26"/>
  <c r="O46" i="26"/>
  <c r="P158" i="26"/>
  <c r="N156" i="26"/>
  <c r="O147" i="26"/>
  <c r="P127" i="26"/>
  <c r="P125" i="26"/>
  <c r="O113" i="26"/>
  <c r="O94" i="26"/>
  <c r="O90" i="26"/>
  <c r="O84" i="26"/>
  <c r="O73" i="26"/>
  <c r="P66" i="26"/>
  <c r="O57" i="26"/>
  <c r="O49" i="26"/>
  <c r="N172" i="26"/>
  <c r="O160" i="26"/>
  <c r="N158" i="26"/>
  <c r="V158" i="26" s="1"/>
  <c r="M156" i="26"/>
  <c r="O151" i="26"/>
  <c r="N147" i="26"/>
  <c r="P145" i="26"/>
  <c r="M144" i="26"/>
  <c r="P129" i="26"/>
  <c r="O127" i="26"/>
  <c r="O125" i="26"/>
  <c r="N113" i="26"/>
  <c r="P106" i="26"/>
  <c r="P100" i="26"/>
  <c r="N94" i="26"/>
  <c r="N90" i="26"/>
  <c r="N84" i="26"/>
  <c r="O77" i="26"/>
  <c r="N73" i="26"/>
  <c r="P68" i="26"/>
  <c r="N66" i="26"/>
  <c r="N57" i="26"/>
  <c r="P55" i="26"/>
  <c r="N49" i="26"/>
  <c r="P47" i="26"/>
  <c r="K848" i="26"/>
  <c r="K840" i="26"/>
  <c r="K832" i="26"/>
  <c r="O801" i="26"/>
  <c r="K801" i="26"/>
  <c r="O797" i="26"/>
  <c r="K797" i="26"/>
  <c r="O793" i="26"/>
  <c r="K793" i="26"/>
  <c r="O789" i="26"/>
  <c r="K789" i="26"/>
  <c r="O785" i="26"/>
  <c r="K785" i="26"/>
  <c r="O781" i="26"/>
  <c r="K781" i="26"/>
  <c r="O777" i="26"/>
  <c r="K777" i="26"/>
  <c r="O773" i="26"/>
  <c r="K773" i="26"/>
  <c r="O769" i="26"/>
  <c r="K769" i="26"/>
  <c r="O765" i="26"/>
  <c r="K765" i="26"/>
  <c r="O761" i="26"/>
  <c r="K761" i="26"/>
  <c r="O757" i="26"/>
  <c r="K757" i="26"/>
  <c r="O753" i="26"/>
  <c r="K753" i="26"/>
  <c r="O749" i="26"/>
  <c r="K749" i="26"/>
  <c r="O745" i="26"/>
  <c r="K745" i="26"/>
  <c r="O741" i="26"/>
  <c r="K741" i="26"/>
  <c r="O737" i="26"/>
  <c r="K737" i="26"/>
  <c r="O733" i="26"/>
  <c r="K733" i="26"/>
  <c r="M711" i="26"/>
  <c r="L711" i="26"/>
  <c r="P500" i="26"/>
  <c r="N500" i="26"/>
  <c r="K500" i="26"/>
  <c r="O500" i="26"/>
  <c r="K721" i="26"/>
  <c r="N721" i="26"/>
  <c r="O721" i="26"/>
  <c r="P721" i="26"/>
  <c r="N715" i="26"/>
  <c r="V715" i="26" s="1"/>
  <c r="P715" i="26"/>
  <c r="L704" i="26"/>
  <c r="M704" i="26"/>
  <c r="L696" i="26"/>
  <c r="L688" i="26"/>
  <c r="M688" i="26"/>
  <c r="M672" i="26"/>
  <c r="P998" i="26"/>
  <c r="P994" i="26"/>
  <c r="P991" i="26"/>
  <c r="P988" i="26"/>
  <c r="P985" i="26"/>
  <c r="P981" i="26"/>
  <c r="P977" i="26"/>
  <c r="P974" i="26"/>
  <c r="P970" i="26"/>
  <c r="P966" i="26"/>
  <c r="P963" i="26"/>
  <c r="P959" i="26"/>
  <c r="P956" i="26"/>
  <c r="P952" i="26"/>
  <c r="P949" i="26"/>
  <c r="P946" i="26"/>
  <c r="P943" i="26"/>
  <c r="P940" i="26"/>
  <c r="P938" i="26"/>
  <c r="P937" i="26"/>
  <c r="P936" i="26"/>
  <c r="P935" i="26"/>
  <c r="P934" i="26"/>
  <c r="P933" i="26"/>
  <c r="P932" i="26"/>
  <c r="P931" i="26"/>
  <c r="P930" i="26"/>
  <c r="P929" i="26"/>
  <c r="P928" i="26"/>
  <c r="P927" i="26"/>
  <c r="P925" i="26"/>
  <c r="P923" i="26"/>
  <c r="P922" i="26"/>
  <c r="P921" i="26"/>
  <c r="P920" i="26"/>
  <c r="P919" i="26"/>
  <c r="P918" i="26"/>
  <c r="P917" i="26"/>
  <c r="P916" i="26"/>
  <c r="P915" i="26"/>
  <c r="P914" i="26"/>
  <c r="P913" i="26"/>
  <c r="P912" i="26"/>
  <c r="P911" i="26"/>
  <c r="P910" i="26"/>
  <c r="P909" i="26"/>
  <c r="P908" i="26"/>
  <c r="P907" i="26"/>
  <c r="P906" i="26"/>
  <c r="P905" i="26"/>
  <c r="P904" i="26"/>
  <c r="P903" i="26"/>
  <c r="P902" i="26"/>
  <c r="P901" i="26"/>
  <c r="P900" i="26"/>
  <c r="P899" i="26"/>
  <c r="P898" i="26"/>
  <c r="P897" i="26"/>
  <c r="P896" i="26"/>
  <c r="P895" i="26"/>
  <c r="P894" i="26"/>
  <c r="P893" i="26"/>
  <c r="P892" i="26"/>
  <c r="P891" i="26"/>
  <c r="P890" i="26"/>
  <c r="P889" i="26"/>
  <c r="P888" i="26"/>
  <c r="P887" i="26"/>
  <c r="P886" i="26"/>
  <c r="P885" i="26"/>
  <c r="P884" i="26"/>
  <c r="P883" i="26"/>
  <c r="P882" i="26"/>
  <c r="P881" i="26"/>
  <c r="P880" i="26"/>
  <c r="P879" i="26"/>
  <c r="P878" i="26"/>
  <c r="P877" i="26"/>
  <c r="P876" i="26"/>
  <c r="P875" i="26"/>
  <c r="P874" i="26"/>
  <c r="P873" i="26"/>
  <c r="P872" i="26"/>
  <c r="P871" i="26"/>
  <c r="P870" i="26"/>
  <c r="P869" i="26"/>
  <c r="P868" i="26"/>
  <c r="P867" i="26"/>
  <c r="P866" i="26"/>
  <c r="P865" i="26"/>
  <c r="P864" i="26"/>
  <c r="P863" i="26"/>
  <c r="P862" i="26"/>
  <c r="P861" i="26"/>
  <c r="P860" i="26"/>
  <c r="P859" i="26"/>
  <c r="P858" i="26"/>
  <c r="P857" i="26"/>
  <c r="P856" i="26"/>
  <c r="P855" i="26"/>
  <c r="P854" i="26"/>
  <c r="P846" i="26"/>
  <c r="P838" i="26"/>
  <c r="P830" i="26"/>
  <c r="P822" i="26"/>
  <c r="P814" i="26"/>
  <c r="P806" i="26"/>
  <c r="O802" i="26"/>
  <c r="K802" i="26"/>
  <c r="O798" i="26"/>
  <c r="K798" i="26"/>
  <c r="O794" i="26"/>
  <c r="K794" i="26"/>
  <c r="O790" i="26"/>
  <c r="K790" i="26"/>
  <c r="O786" i="26"/>
  <c r="K786" i="26"/>
  <c r="O782" i="26"/>
  <c r="K782" i="26"/>
  <c r="O778" i="26"/>
  <c r="K778" i="26"/>
  <c r="O774" i="26"/>
  <c r="K774" i="26"/>
  <c r="O770" i="26"/>
  <c r="K770" i="26"/>
  <c r="O766" i="26"/>
  <c r="K766" i="26"/>
  <c r="O762" i="26"/>
  <c r="K762" i="26"/>
  <c r="O758" i="26"/>
  <c r="K758" i="26"/>
  <c r="O754" i="26"/>
  <c r="K754" i="26"/>
  <c r="O750" i="26"/>
  <c r="K750" i="26"/>
  <c r="O746" i="26"/>
  <c r="K746" i="26"/>
  <c r="O742" i="26"/>
  <c r="K742" i="26"/>
  <c r="O738" i="26"/>
  <c r="K738" i="26"/>
  <c r="O734" i="26"/>
  <c r="K734" i="26"/>
  <c r="K729" i="26"/>
  <c r="N729" i="26"/>
  <c r="O729" i="26"/>
  <c r="P729" i="26"/>
  <c r="N723" i="26"/>
  <c r="V723" i="26" s="1"/>
  <c r="P723" i="26"/>
  <c r="N704" i="26"/>
  <c r="V704" i="26" s="1"/>
  <c r="O704" i="26"/>
  <c r="P704" i="26"/>
  <c r="N696" i="26"/>
  <c r="O696" i="26"/>
  <c r="P696" i="26"/>
  <c r="N688" i="26"/>
  <c r="V688" i="26" s="1"/>
  <c r="O688" i="26"/>
  <c r="P688" i="26"/>
  <c r="L587" i="26"/>
  <c r="M587" i="26"/>
  <c r="P999" i="26"/>
  <c r="P996" i="26"/>
  <c r="P993" i="26"/>
  <c r="P990" i="26"/>
  <c r="P987" i="26"/>
  <c r="P984" i="26"/>
  <c r="P982" i="26"/>
  <c r="P979" i="26"/>
  <c r="P976" i="26"/>
  <c r="P973" i="26"/>
  <c r="P971" i="26"/>
  <c r="P968" i="26"/>
  <c r="P965" i="26"/>
  <c r="P962" i="26"/>
  <c r="P960" i="26"/>
  <c r="P957" i="26"/>
  <c r="P954" i="26"/>
  <c r="P951" i="26"/>
  <c r="P948" i="26"/>
  <c r="P945" i="26"/>
  <c r="P941" i="26"/>
  <c r="P926" i="26"/>
  <c r="O998" i="26"/>
  <c r="O996" i="26"/>
  <c r="O994" i="26"/>
  <c r="O992" i="26"/>
  <c r="O990" i="26"/>
  <c r="O988" i="26"/>
  <c r="O986" i="26"/>
  <c r="O984" i="26"/>
  <c r="O982" i="26"/>
  <c r="O980" i="26"/>
  <c r="O977" i="26"/>
  <c r="O975" i="26"/>
  <c r="O973" i="26"/>
  <c r="O971" i="26"/>
  <c r="O968" i="26"/>
  <c r="O966" i="26"/>
  <c r="O964" i="26"/>
  <c r="O961" i="26"/>
  <c r="O959" i="26"/>
  <c r="O956" i="26"/>
  <c r="O954" i="26"/>
  <c r="O952" i="26"/>
  <c r="O950" i="26"/>
  <c r="O947" i="26"/>
  <c r="O945" i="26"/>
  <c r="O943" i="26"/>
  <c r="O941" i="26"/>
  <c r="O938" i="26"/>
  <c r="O936" i="26"/>
  <c r="O934" i="26"/>
  <c r="O932" i="26"/>
  <c r="O930" i="26"/>
  <c r="O928" i="26"/>
  <c r="O926" i="26"/>
  <c r="O925" i="26"/>
  <c r="O923" i="26"/>
  <c r="O922" i="26"/>
  <c r="O921" i="26"/>
  <c r="O920" i="26"/>
  <c r="O919" i="26"/>
  <c r="O918" i="26"/>
  <c r="O917" i="26"/>
  <c r="O916" i="26"/>
  <c r="O915" i="26"/>
  <c r="O914" i="26"/>
  <c r="O913" i="26"/>
  <c r="O912" i="26"/>
  <c r="O911" i="26"/>
  <c r="O910" i="26"/>
  <c r="O909" i="26"/>
  <c r="O908" i="26"/>
  <c r="O907" i="26"/>
  <c r="O906" i="26"/>
  <c r="O905" i="26"/>
  <c r="O904" i="26"/>
  <c r="O902" i="26"/>
  <c r="O901" i="26"/>
  <c r="O900" i="26"/>
  <c r="O899" i="26"/>
  <c r="O898" i="26"/>
  <c r="O897" i="26"/>
  <c r="O896" i="26"/>
  <c r="O895" i="26"/>
  <c r="O894" i="26"/>
  <c r="O893" i="26"/>
  <c r="O892" i="26"/>
  <c r="O891" i="26"/>
  <c r="O890" i="26"/>
  <c r="O889" i="26"/>
  <c r="O888" i="26"/>
  <c r="O887" i="26"/>
  <c r="O886" i="26"/>
  <c r="O885" i="26"/>
  <c r="O884" i="26"/>
  <c r="O883" i="26"/>
  <c r="O882" i="26"/>
  <c r="O881" i="26"/>
  <c r="O880" i="26"/>
  <c r="O879" i="26"/>
  <c r="O878" i="26"/>
  <c r="O877" i="26"/>
  <c r="O876" i="26"/>
  <c r="O875" i="26"/>
  <c r="O874" i="26"/>
  <c r="O873" i="26"/>
  <c r="O872" i="26"/>
  <c r="O871" i="26"/>
  <c r="O870" i="26"/>
  <c r="O869" i="26"/>
  <c r="O868" i="26"/>
  <c r="O867" i="26"/>
  <c r="O866" i="26"/>
  <c r="O865" i="26"/>
  <c r="O864" i="26"/>
  <c r="O863" i="26"/>
  <c r="O862" i="26"/>
  <c r="O861" i="26"/>
  <c r="O860" i="26"/>
  <c r="O859" i="26"/>
  <c r="O858" i="26"/>
  <c r="O857" i="26"/>
  <c r="O856" i="26"/>
  <c r="O855" i="26"/>
  <c r="N854" i="26"/>
  <c r="P847" i="26"/>
  <c r="N846" i="26"/>
  <c r="V846" i="26" s="1"/>
  <c r="P839" i="26"/>
  <c r="N838" i="26"/>
  <c r="V838" i="26" s="1"/>
  <c r="P831" i="26"/>
  <c r="N830" i="26"/>
  <c r="V830" i="26" s="1"/>
  <c r="P823" i="26"/>
  <c r="N822" i="26"/>
  <c r="V822" i="26" s="1"/>
  <c r="P815" i="26"/>
  <c r="N814" i="26"/>
  <c r="V814" i="26" s="1"/>
  <c r="P807" i="26"/>
  <c r="N806" i="26"/>
  <c r="M805" i="26"/>
  <c r="N731" i="26"/>
  <c r="V731" i="26" s="1"/>
  <c r="P731" i="26"/>
  <c r="K719" i="26"/>
  <c r="N719" i="26"/>
  <c r="V719" i="26" s="1"/>
  <c r="M714" i="26"/>
  <c r="P1000" i="26"/>
  <c r="P997" i="26"/>
  <c r="P995" i="26"/>
  <c r="P992" i="26"/>
  <c r="P989" i="26"/>
  <c r="P986" i="26"/>
  <c r="P983" i="26"/>
  <c r="P980" i="26"/>
  <c r="P978" i="26"/>
  <c r="P975" i="26"/>
  <c r="P972" i="26"/>
  <c r="P969" i="26"/>
  <c r="P967" i="26"/>
  <c r="P964" i="26"/>
  <c r="P961" i="26"/>
  <c r="P958" i="26"/>
  <c r="P955" i="26"/>
  <c r="P953" i="26"/>
  <c r="P950" i="26"/>
  <c r="P947" i="26"/>
  <c r="P944" i="26"/>
  <c r="P942" i="26"/>
  <c r="P939" i="26"/>
  <c r="P924" i="26"/>
  <c r="O1000" i="26"/>
  <c r="O999" i="26"/>
  <c r="O997" i="26"/>
  <c r="O995" i="26"/>
  <c r="O993" i="26"/>
  <c r="O991" i="26"/>
  <c r="O989" i="26"/>
  <c r="O987" i="26"/>
  <c r="O985" i="26"/>
  <c r="O983" i="26"/>
  <c r="O981" i="26"/>
  <c r="O979" i="26"/>
  <c r="O978" i="26"/>
  <c r="O976" i="26"/>
  <c r="O974" i="26"/>
  <c r="O972" i="26"/>
  <c r="O970" i="26"/>
  <c r="O969" i="26"/>
  <c r="O967" i="26"/>
  <c r="O965" i="26"/>
  <c r="O963" i="26"/>
  <c r="O962" i="26"/>
  <c r="O960" i="26"/>
  <c r="O958" i="26"/>
  <c r="O957" i="26"/>
  <c r="O955" i="26"/>
  <c r="O953" i="26"/>
  <c r="O951" i="26"/>
  <c r="O949" i="26"/>
  <c r="O948" i="26"/>
  <c r="O946" i="26"/>
  <c r="O944" i="26"/>
  <c r="O942" i="26"/>
  <c r="O940" i="26"/>
  <c r="O939" i="26"/>
  <c r="O937" i="26"/>
  <c r="O935" i="26"/>
  <c r="O933" i="26"/>
  <c r="O931" i="26"/>
  <c r="O929" i="26"/>
  <c r="O927" i="26"/>
  <c r="O924" i="26"/>
  <c r="O903" i="26"/>
  <c r="K852" i="26"/>
  <c r="P848" i="26"/>
  <c r="N847" i="26"/>
  <c r="V847" i="26" s="1"/>
  <c r="K844" i="26"/>
  <c r="P840" i="26"/>
  <c r="N839" i="26"/>
  <c r="K836" i="26"/>
  <c r="P832" i="26"/>
  <c r="N831" i="26"/>
  <c r="K828" i="26"/>
  <c r="P824" i="26"/>
  <c r="N823" i="26"/>
  <c r="V823" i="26" s="1"/>
  <c r="K820" i="26"/>
  <c r="P816" i="26"/>
  <c r="N815" i="26"/>
  <c r="V815" i="26" s="1"/>
  <c r="K812" i="26"/>
  <c r="P808" i="26"/>
  <c r="N807" i="26"/>
  <c r="K804" i="26"/>
  <c r="P801" i="26"/>
  <c r="O799" i="26"/>
  <c r="K799" i="26"/>
  <c r="P797" i="26"/>
  <c r="O795" i="26"/>
  <c r="K795" i="26"/>
  <c r="P793" i="26"/>
  <c r="O791" i="26"/>
  <c r="K791" i="26"/>
  <c r="P789" i="26"/>
  <c r="O787" i="26"/>
  <c r="K787" i="26"/>
  <c r="P785" i="26"/>
  <c r="O783" i="26"/>
  <c r="K783" i="26"/>
  <c r="P781" i="26"/>
  <c r="O779" i="26"/>
  <c r="K779" i="26"/>
  <c r="P777" i="26"/>
  <c r="O775" i="26"/>
  <c r="K775" i="26"/>
  <c r="P773" i="26"/>
  <c r="O771" i="26"/>
  <c r="K771" i="26"/>
  <c r="P769" i="26"/>
  <c r="O767" i="26"/>
  <c r="K767" i="26"/>
  <c r="P765" i="26"/>
  <c r="O763" i="26"/>
  <c r="K763" i="26"/>
  <c r="P761" i="26"/>
  <c r="O759" i="26"/>
  <c r="K759" i="26"/>
  <c r="P757" i="26"/>
  <c r="O755" i="26"/>
  <c r="K755" i="26"/>
  <c r="P753" i="26"/>
  <c r="O751" i="26"/>
  <c r="K751" i="26"/>
  <c r="P749" i="26"/>
  <c r="O747" i="26"/>
  <c r="K747" i="26"/>
  <c r="P745" i="26"/>
  <c r="O743" i="26"/>
  <c r="K743" i="26"/>
  <c r="P741" i="26"/>
  <c r="O739" i="26"/>
  <c r="K739" i="26"/>
  <c r="P737" i="26"/>
  <c r="O735" i="26"/>
  <c r="K735" i="26"/>
  <c r="P733" i="26"/>
  <c r="K727" i="26"/>
  <c r="N727" i="26"/>
  <c r="N714" i="26"/>
  <c r="V714" i="26" s="1"/>
  <c r="O714" i="26"/>
  <c r="P714" i="26"/>
  <c r="P595" i="26"/>
  <c r="N595" i="26"/>
  <c r="O595" i="26"/>
  <c r="K595" i="26"/>
  <c r="O730" i="26"/>
  <c r="P730" i="26"/>
  <c r="M991" i="26"/>
  <c r="M968" i="26"/>
  <c r="M947" i="26"/>
  <c r="M941" i="26"/>
  <c r="M899" i="26"/>
  <c r="M856" i="26"/>
  <c r="N848" i="26"/>
  <c r="N840" i="26"/>
  <c r="N832" i="26"/>
  <c r="M831" i="26"/>
  <c r="N824" i="26"/>
  <c r="N816" i="26"/>
  <c r="M815" i="26"/>
  <c r="N808" i="26"/>
  <c r="V808" i="26" s="1"/>
  <c r="N801" i="26"/>
  <c r="N797" i="26"/>
  <c r="N793" i="26"/>
  <c r="V793" i="26" s="1"/>
  <c r="N789" i="26"/>
  <c r="V789" i="26" s="1"/>
  <c r="N785" i="26"/>
  <c r="N781" i="26"/>
  <c r="N777" i="26"/>
  <c r="V777" i="26" s="1"/>
  <c r="N773" i="26"/>
  <c r="V773" i="26" s="1"/>
  <c r="N769" i="26"/>
  <c r="N765" i="26"/>
  <c r="N761" i="26"/>
  <c r="V761" i="26" s="1"/>
  <c r="N757" i="26"/>
  <c r="V757" i="26" s="1"/>
  <c r="N753" i="26"/>
  <c r="N749" i="26"/>
  <c r="N745" i="26"/>
  <c r="V745" i="26" s="1"/>
  <c r="N741" i="26"/>
  <c r="V741" i="26" s="1"/>
  <c r="N737" i="26"/>
  <c r="N733" i="26"/>
  <c r="N730" i="26"/>
  <c r="V730" i="26" s="1"/>
  <c r="M722" i="26"/>
  <c r="L708" i="26"/>
  <c r="M708" i="26"/>
  <c r="L700" i="26"/>
  <c r="M700" i="26"/>
  <c r="L692" i="26"/>
  <c r="M692" i="26"/>
  <c r="L684" i="26"/>
  <c r="M684" i="26"/>
  <c r="M668" i="26"/>
  <c r="L648" i="26"/>
  <c r="M648" i="26"/>
  <c r="M640" i="26"/>
  <c r="M603" i="26"/>
  <c r="M994" i="26"/>
  <c r="M979" i="26"/>
  <c r="M962" i="26"/>
  <c r="M939" i="26"/>
  <c r="M937" i="26"/>
  <c r="M931" i="26"/>
  <c r="M920" i="26"/>
  <c r="M911" i="26"/>
  <c r="M905" i="26"/>
  <c r="M894" i="26"/>
  <c r="M867" i="26"/>
  <c r="M862" i="26"/>
  <c r="K854" i="26"/>
  <c r="P850" i="26"/>
  <c r="N849" i="26"/>
  <c r="K846" i="26"/>
  <c r="P842" i="26"/>
  <c r="N841" i="26"/>
  <c r="K838" i="26"/>
  <c r="P834" i="26"/>
  <c r="N833" i="26"/>
  <c r="V833" i="26" s="1"/>
  <c r="K830" i="26"/>
  <c r="P826" i="26"/>
  <c r="N825" i="26"/>
  <c r="V825" i="26" s="1"/>
  <c r="K822" i="26"/>
  <c r="P818" i="26"/>
  <c r="N817" i="26"/>
  <c r="K814" i="26"/>
  <c r="P810" i="26"/>
  <c r="N809" i="26"/>
  <c r="K806" i="26"/>
  <c r="P802" i="26"/>
  <c r="O800" i="26"/>
  <c r="K800" i="26"/>
  <c r="P798" i="26"/>
  <c r="O796" i="26"/>
  <c r="K796" i="26"/>
  <c r="P794" i="26"/>
  <c r="O792" i="26"/>
  <c r="K792" i="26"/>
  <c r="P790" i="26"/>
  <c r="O788" i="26"/>
  <c r="K788" i="26"/>
  <c r="P786" i="26"/>
  <c r="O784" i="26"/>
  <c r="K784" i="26"/>
  <c r="P782" i="26"/>
  <c r="O780" i="26"/>
  <c r="K780" i="26"/>
  <c r="P778" i="26"/>
  <c r="O776" i="26"/>
  <c r="K776" i="26"/>
  <c r="P774" i="26"/>
  <c r="O772" i="26"/>
  <c r="K772" i="26"/>
  <c r="P770" i="26"/>
  <c r="O768" i="26"/>
  <c r="K768" i="26"/>
  <c r="P766" i="26"/>
  <c r="O764" i="26"/>
  <c r="K764" i="26"/>
  <c r="P762" i="26"/>
  <c r="O760" i="26"/>
  <c r="K760" i="26"/>
  <c r="P758" i="26"/>
  <c r="O756" i="26"/>
  <c r="K756" i="26"/>
  <c r="P754" i="26"/>
  <c r="O752" i="26"/>
  <c r="K752" i="26"/>
  <c r="P750" i="26"/>
  <c r="O748" i="26"/>
  <c r="K748" i="26"/>
  <c r="P746" i="26"/>
  <c r="O744" i="26"/>
  <c r="K744" i="26"/>
  <c r="P742" i="26"/>
  <c r="O740" i="26"/>
  <c r="K740" i="26"/>
  <c r="P738" i="26"/>
  <c r="O736" i="26"/>
  <c r="K736" i="26"/>
  <c r="P734" i="26"/>
  <c r="K730" i="26"/>
  <c r="O722" i="26"/>
  <c r="P722" i="26"/>
  <c r="M720" i="26"/>
  <c r="O715" i="26"/>
  <c r="K713" i="26"/>
  <c r="N713" i="26"/>
  <c r="O713" i="26"/>
  <c r="P713" i="26"/>
  <c r="N708" i="26"/>
  <c r="O708" i="26"/>
  <c r="P708" i="26"/>
  <c r="N700" i="26"/>
  <c r="O700" i="26"/>
  <c r="P700" i="26"/>
  <c r="L697" i="26"/>
  <c r="M697" i="26"/>
  <c r="N692" i="26"/>
  <c r="V692" i="26" s="1"/>
  <c r="O692" i="26"/>
  <c r="P692" i="26"/>
  <c r="N684" i="26"/>
  <c r="O684" i="26"/>
  <c r="P684" i="26"/>
  <c r="P611" i="26"/>
  <c r="N611" i="26"/>
  <c r="O611" i="26"/>
  <c r="K611" i="26"/>
  <c r="P602" i="26"/>
  <c r="K602" i="26"/>
  <c r="N602" i="26"/>
  <c r="O602" i="26"/>
  <c r="P600" i="26"/>
  <c r="K600" i="26"/>
  <c r="N600" i="26"/>
  <c r="V600" i="26" s="1"/>
  <c r="P587" i="26"/>
  <c r="N587" i="26"/>
  <c r="V587" i="26" s="1"/>
  <c r="O587" i="26"/>
  <c r="L579" i="26"/>
  <c r="M579" i="26"/>
  <c r="L491" i="26"/>
  <c r="M491" i="26" s="1"/>
  <c r="P483" i="26"/>
  <c r="N483" i="26"/>
  <c r="O483" i="26"/>
  <c r="K483" i="26"/>
  <c r="L475" i="26"/>
  <c r="M475" i="26" s="1"/>
  <c r="L471" i="26"/>
  <c r="M471" i="26" s="1"/>
  <c r="L458" i="26"/>
  <c r="M458" i="26" s="1"/>
  <c r="L689" i="26"/>
  <c r="M689" i="26"/>
  <c r="L681" i="26"/>
  <c r="M681" i="26"/>
  <c r="L677" i="26"/>
  <c r="M677" i="26"/>
  <c r="L673" i="26"/>
  <c r="M673" i="26"/>
  <c r="M665" i="26"/>
  <c r="L657" i="26"/>
  <c r="M657" i="26"/>
  <c r="L649" i="26"/>
  <c r="M649" i="26"/>
  <c r="M637" i="26"/>
  <c r="L629" i="26"/>
  <c r="M629" i="26"/>
  <c r="P594" i="26"/>
  <c r="K594" i="26"/>
  <c r="N594" i="26"/>
  <c r="V594" i="26" s="1"/>
  <c r="O594" i="26"/>
  <c r="P579" i="26"/>
  <c r="N579" i="26"/>
  <c r="O579" i="26"/>
  <c r="L571" i="26"/>
  <c r="M571" i="26"/>
  <c r="K725" i="26"/>
  <c r="L718" i="26"/>
  <c r="K717" i="26"/>
  <c r="N711" i="26"/>
  <c r="P586" i="26"/>
  <c r="K586" i="26"/>
  <c r="N586" i="26"/>
  <c r="O586" i="26"/>
  <c r="P571" i="26"/>
  <c r="N571" i="26"/>
  <c r="V571" i="26" s="1"/>
  <c r="O571" i="26"/>
  <c r="L493" i="26"/>
  <c r="M493" i="26" s="1"/>
  <c r="L698" i="26"/>
  <c r="M698" i="26"/>
  <c r="L690" i="26"/>
  <c r="M690" i="26"/>
  <c r="L666" i="26"/>
  <c r="M666" i="26"/>
  <c r="L650" i="26"/>
  <c r="M650" i="26"/>
  <c r="L638" i="26"/>
  <c r="M638" i="26"/>
  <c r="L630" i="26"/>
  <c r="M630" i="26"/>
  <c r="L622" i="26"/>
  <c r="M622" i="26"/>
  <c r="L618" i="26"/>
  <c r="M618" i="26"/>
  <c r="P610" i="26"/>
  <c r="K610" i="26"/>
  <c r="N610" i="26"/>
  <c r="V610" i="26" s="1"/>
  <c r="P578" i="26"/>
  <c r="K578" i="26"/>
  <c r="N578" i="26"/>
  <c r="O578" i="26"/>
  <c r="L712" i="26"/>
  <c r="P680" i="26"/>
  <c r="P676" i="26"/>
  <c r="P672" i="26"/>
  <c r="P668" i="26"/>
  <c r="P664" i="26"/>
  <c r="P660" i="26"/>
  <c r="P656" i="26"/>
  <c r="P652" i="26"/>
  <c r="P608" i="26"/>
  <c r="K608" i="26"/>
  <c r="N608" i="26"/>
  <c r="L601" i="26"/>
  <c r="P570" i="26"/>
  <c r="K570" i="26"/>
  <c r="N570" i="26"/>
  <c r="V570" i="26" s="1"/>
  <c r="O570" i="26"/>
  <c r="P562" i="26"/>
  <c r="K562" i="26"/>
  <c r="N562" i="26"/>
  <c r="O562" i="26"/>
  <c r="P554" i="26"/>
  <c r="K554" i="26"/>
  <c r="N554" i="26"/>
  <c r="O554" i="26"/>
  <c r="P546" i="26"/>
  <c r="K546" i="26"/>
  <c r="N546" i="26"/>
  <c r="O546" i="26"/>
  <c r="P538" i="26"/>
  <c r="K538" i="26"/>
  <c r="N538" i="26"/>
  <c r="O538" i="26"/>
  <c r="P530" i="26"/>
  <c r="K530" i="26"/>
  <c r="N530" i="26"/>
  <c r="O530" i="26"/>
  <c r="P522" i="26"/>
  <c r="K522" i="26"/>
  <c r="N522" i="26"/>
  <c r="O522" i="26"/>
  <c r="P498" i="26"/>
  <c r="N498" i="26"/>
  <c r="K498" i="26"/>
  <c r="O498" i="26"/>
  <c r="L707" i="26"/>
  <c r="M707" i="26"/>
  <c r="L703" i="26"/>
  <c r="M703" i="26"/>
  <c r="L691" i="26"/>
  <c r="M691" i="26"/>
  <c r="L687" i="26"/>
  <c r="M687" i="26"/>
  <c r="O680" i="26"/>
  <c r="O676" i="26"/>
  <c r="O672" i="26"/>
  <c r="O668" i="26"/>
  <c r="O664" i="26"/>
  <c r="O660" i="26"/>
  <c r="L659" i="26"/>
  <c r="O656" i="26"/>
  <c r="O652" i="26"/>
  <c r="L651" i="26"/>
  <c r="M651" i="26"/>
  <c r="M647" i="26"/>
  <c r="L643" i="26"/>
  <c r="M643" i="26"/>
  <c r="L639" i="26"/>
  <c r="M639" i="26"/>
  <c r="L635" i="26"/>
  <c r="M635" i="26"/>
  <c r="L623" i="26"/>
  <c r="L619" i="26"/>
  <c r="M619" i="26"/>
  <c r="P603" i="26"/>
  <c r="N603" i="26"/>
  <c r="O603" i="26"/>
  <c r="L466" i="26"/>
  <c r="M466" i="26" s="1"/>
  <c r="P616" i="26"/>
  <c r="K616" i="26"/>
  <c r="N616" i="26"/>
  <c r="P613" i="26"/>
  <c r="N613" i="26"/>
  <c r="V613" i="26" s="1"/>
  <c r="K613" i="26"/>
  <c r="L490" i="26"/>
  <c r="M490" i="26" s="1"/>
  <c r="O434" i="26"/>
  <c r="P434" i="26"/>
  <c r="N434" i="26"/>
  <c r="K434" i="26"/>
  <c r="N245" i="26"/>
  <c r="V245" i="26" s="1"/>
  <c r="P245" i="26"/>
  <c r="K245" i="26"/>
  <c r="O245" i="26"/>
  <c r="K605" i="26"/>
  <c r="K597" i="26"/>
  <c r="N592" i="26"/>
  <c r="K589" i="26"/>
  <c r="N584" i="26"/>
  <c r="V584" i="26" s="1"/>
  <c r="K581" i="26"/>
  <c r="N576" i="26"/>
  <c r="K573" i="26"/>
  <c r="N568" i="26"/>
  <c r="V568" i="26" s="1"/>
  <c r="K565" i="26"/>
  <c r="N560" i="26"/>
  <c r="V560" i="26" s="1"/>
  <c r="K557" i="26"/>
  <c r="N552" i="26"/>
  <c r="V552" i="26" s="1"/>
  <c r="K549" i="26"/>
  <c r="N544" i="26"/>
  <c r="K541" i="26"/>
  <c r="N536" i="26"/>
  <c r="V536" i="26" s="1"/>
  <c r="K533" i="26"/>
  <c r="N528" i="26"/>
  <c r="V528" i="26" s="1"/>
  <c r="K525" i="26"/>
  <c r="N520" i="26"/>
  <c r="V520" i="26" s="1"/>
  <c r="P501" i="26"/>
  <c r="O501" i="26"/>
  <c r="L499" i="26"/>
  <c r="M499" i="26" s="1"/>
  <c r="P492" i="26"/>
  <c r="N492" i="26"/>
  <c r="O492" i="26"/>
  <c r="P490" i="26"/>
  <c r="N490" i="26"/>
  <c r="V490" i="26" s="1"/>
  <c r="P474" i="26"/>
  <c r="N474" i="26"/>
  <c r="L450" i="26"/>
  <c r="M450" i="26" s="1"/>
  <c r="L446" i="26"/>
  <c r="M446" i="26" s="1"/>
  <c r="L442" i="26"/>
  <c r="M442" i="26"/>
  <c r="O438" i="26"/>
  <c r="P438" i="26"/>
  <c r="N438" i="26"/>
  <c r="K438" i="26"/>
  <c r="L436" i="26"/>
  <c r="M436" i="26"/>
  <c r="L470" i="26"/>
  <c r="M470" i="26" s="1"/>
  <c r="L454" i="26"/>
  <c r="M454" i="26" s="1"/>
  <c r="L452" i="26"/>
  <c r="M452" i="26" s="1"/>
  <c r="O450" i="26"/>
  <c r="P450" i="26"/>
  <c r="N450" i="26"/>
  <c r="L448" i="26"/>
  <c r="M448" i="26" s="1"/>
  <c r="O446" i="26"/>
  <c r="P446" i="26"/>
  <c r="N446" i="26"/>
  <c r="O442" i="26"/>
  <c r="P442" i="26"/>
  <c r="N442" i="26"/>
  <c r="L440" i="26"/>
  <c r="M440" i="26"/>
  <c r="N390" i="26"/>
  <c r="V390" i="26" s="1"/>
  <c r="K390" i="26"/>
  <c r="O390" i="26"/>
  <c r="P390" i="26"/>
  <c r="N322" i="26"/>
  <c r="V322" i="26" s="1"/>
  <c r="O322" i="26"/>
  <c r="P322" i="26"/>
  <c r="K322" i="26"/>
  <c r="K615" i="26"/>
  <c r="K607" i="26"/>
  <c r="K599" i="26"/>
  <c r="K591" i="26"/>
  <c r="K583" i="26"/>
  <c r="M577" i="26"/>
  <c r="K575" i="26"/>
  <c r="K567" i="26"/>
  <c r="O563" i="26"/>
  <c r="K559" i="26"/>
  <c r="O555" i="26"/>
  <c r="M553" i="26"/>
  <c r="K551" i="26"/>
  <c r="O547" i="26"/>
  <c r="M545" i="26"/>
  <c r="K543" i="26"/>
  <c r="O539" i="26"/>
  <c r="K535" i="26"/>
  <c r="O531" i="26"/>
  <c r="K527" i="26"/>
  <c r="O523" i="26"/>
  <c r="K519" i="26"/>
  <c r="P499" i="26"/>
  <c r="N499" i="26"/>
  <c r="V499" i="26" s="1"/>
  <c r="O499" i="26"/>
  <c r="P497" i="26"/>
  <c r="K497" i="26"/>
  <c r="O489" i="26"/>
  <c r="M485" i="26"/>
  <c r="P484" i="26"/>
  <c r="N484" i="26"/>
  <c r="O484" i="26"/>
  <c r="P482" i="26"/>
  <c r="N482" i="26"/>
  <c r="O470" i="26"/>
  <c r="P470" i="26"/>
  <c r="N470" i="26"/>
  <c r="L456" i="26"/>
  <c r="M456" i="26" s="1"/>
  <c r="O454" i="26"/>
  <c r="P454" i="26"/>
  <c r="N454" i="26"/>
  <c r="O612" i="26"/>
  <c r="O604" i="26"/>
  <c r="O596" i="26"/>
  <c r="K592" i="26"/>
  <c r="O588" i="26"/>
  <c r="K584" i="26"/>
  <c r="O580" i="26"/>
  <c r="K576" i="26"/>
  <c r="O572" i="26"/>
  <c r="K568" i="26"/>
  <c r="O564" i="26"/>
  <c r="N563" i="26"/>
  <c r="K560" i="26"/>
  <c r="O556" i="26"/>
  <c r="N555" i="26"/>
  <c r="V555" i="26" s="1"/>
  <c r="K552" i="26"/>
  <c r="O548" i="26"/>
  <c r="N547" i="26"/>
  <c r="V547" i="26" s="1"/>
  <c r="K544" i="26"/>
  <c r="O540" i="26"/>
  <c r="N539" i="26"/>
  <c r="K536" i="26"/>
  <c r="O532" i="26"/>
  <c r="N531" i="26"/>
  <c r="K528" i="26"/>
  <c r="O524" i="26"/>
  <c r="N523" i="26"/>
  <c r="V523" i="26" s="1"/>
  <c r="K520" i="26"/>
  <c r="P493" i="26"/>
  <c r="O493" i="26"/>
  <c r="P477" i="26"/>
  <c r="O477" i="26"/>
  <c r="K477" i="26"/>
  <c r="M464" i="26"/>
  <c r="L460" i="26"/>
  <c r="M460" i="26" s="1"/>
  <c r="O458" i="26"/>
  <c r="P458" i="26"/>
  <c r="N458" i="26"/>
  <c r="L379" i="26"/>
  <c r="M379" i="26"/>
  <c r="L326" i="26"/>
  <c r="M326" i="26"/>
  <c r="P491" i="26"/>
  <c r="N491" i="26"/>
  <c r="O491" i="26"/>
  <c r="P489" i="26"/>
  <c r="K489" i="26"/>
  <c r="P475" i="26"/>
  <c r="N475" i="26"/>
  <c r="O475" i="26"/>
  <c r="O466" i="26"/>
  <c r="P466" i="26"/>
  <c r="N466" i="26"/>
  <c r="O462" i="26"/>
  <c r="P462" i="26"/>
  <c r="N462" i="26"/>
  <c r="N605" i="26"/>
  <c r="N597" i="26"/>
  <c r="V597" i="26" s="1"/>
  <c r="N589" i="26"/>
  <c r="V589" i="26" s="1"/>
  <c r="N581" i="26"/>
  <c r="N573" i="26"/>
  <c r="N565" i="26"/>
  <c r="V565" i="26" s="1"/>
  <c r="N557" i="26"/>
  <c r="V557" i="26" s="1"/>
  <c r="N549" i="26"/>
  <c r="N541" i="26"/>
  <c r="N533" i="26"/>
  <c r="V533" i="26" s="1"/>
  <c r="N525" i="26"/>
  <c r="V525" i="26" s="1"/>
  <c r="P485" i="26"/>
  <c r="O485" i="26"/>
  <c r="P481" i="26"/>
  <c r="K481" i="26"/>
  <c r="O481" i="26"/>
  <c r="N383" i="26"/>
  <c r="O383" i="26"/>
  <c r="P383" i="26"/>
  <c r="K383" i="26"/>
  <c r="K350" i="26"/>
  <c r="N350" i="26"/>
  <c r="V350" i="26" s="1"/>
  <c r="O350" i="26"/>
  <c r="P350" i="26"/>
  <c r="N394" i="26"/>
  <c r="K394" i="26"/>
  <c r="O394" i="26"/>
  <c r="P394" i="26"/>
  <c r="N387" i="26"/>
  <c r="O387" i="26"/>
  <c r="P387" i="26"/>
  <c r="O371" i="26"/>
  <c r="N371" i="26"/>
  <c r="P371" i="26"/>
  <c r="P356" i="26"/>
  <c r="K356" i="26"/>
  <c r="N356" i="26"/>
  <c r="O356" i="26"/>
  <c r="L330" i="26"/>
  <c r="M330" i="26"/>
  <c r="L320" i="26"/>
  <c r="M320" i="26"/>
  <c r="L243" i="26"/>
  <c r="M243" i="26"/>
  <c r="K236" i="26"/>
  <c r="N236" i="26"/>
  <c r="V236" i="26" s="1"/>
  <c r="O236" i="26"/>
  <c r="P236" i="26"/>
  <c r="M227" i="26"/>
  <c r="N386" i="26"/>
  <c r="V386" i="26" s="1"/>
  <c r="K386" i="26"/>
  <c r="O386" i="26"/>
  <c r="P386" i="26"/>
  <c r="N379" i="26"/>
  <c r="V379" i="26" s="1"/>
  <c r="O379" i="26"/>
  <c r="P379" i="26"/>
  <c r="L370" i="26"/>
  <c r="M370" i="26"/>
  <c r="K368" i="26"/>
  <c r="N368" i="26"/>
  <c r="O368" i="26"/>
  <c r="P368" i="26"/>
  <c r="O363" i="26"/>
  <c r="K363" i="26"/>
  <c r="N363" i="26"/>
  <c r="V363" i="26" s="1"/>
  <c r="P363" i="26"/>
  <c r="L348" i="26"/>
  <c r="M348" i="26"/>
  <c r="K329" i="26"/>
  <c r="N329" i="26"/>
  <c r="V329" i="26" s="1"/>
  <c r="O329" i="26"/>
  <c r="P329" i="26"/>
  <c r="O471" i="26"/>
  <c r="P471" i="26"/>
  <c r="O467" i="26"/>
  <c r="P467" i="26"/>
  <c r="O463" i="26"/>
  <c r="P463" i="26"/>
  <c r="O459" i="26"/>
  <c r="P459" i="26"/>
  <c r="O455" i="26"/>
  <c r="P455" i="26"/>
  <c r="O451" i="26"/>
  <c r="P451" i="26"/>
  <c r="O447" i="26"/>
  <c r="P447" i="26"/>
  <c r="O443" i="26"/>
  <c r="P443" i="26"/>
  <c r="O439" i="26"/>
  <c r="P439" i="26"/>
  <c r="O435" i="26"/>
  <c r="P435" i="26"/>
  <c r="N382" i="26"/>
  <c r="V382" i="26" s="1"/>
  <c r="K382" i="26"/>
  <c r="O382" i="26"/>
  <c r="P382" i="26"/>
  <c r="L375" i="26"/>
  <c r="M375" i="26"/>
  <c r="K260" i="26"/>
  <c r="O260" i="26"/>
  <c r="N260" i="26"/>
  <c r="V260" i="26" s="1"/>
  <c r="P260" i="26"/>
  <c r="M457" i="26"/>
  <c r="M395" i="26"/>
  <c r="N378" i="26"/>
  <c r="V378" i="26" s="1"/>
  <c r="K378" i="26"/>
  <c r="O378" i="26"/>
  <c r="P378" i="26"/>
  <c r="M357" i="26"/>
  <c r="O353" i="26"/>
  <c r="K353" i="26"/>
  <c r="N353" i="26"/>
  <c r="V353" i="26" s="1"/>
  <c r="P353" i="26"/>
  <c r="M347" i="26"/>
  <c r="N298" i="26"/>
  <c r="V298" i="26" s="1"/>
  <c r="O298" i="26"/>
  <c r="P298" i="26"/>
  <c r="K298" i="26"/>
  <c r="L277" i="26"/>
  <c r="M277" i="26"/>
  <c r="K275" i="26"/>
  <c r="N275" i="26"/>
  <c r="O275" i="26"/>
  <c r="P275" i="26"/>
  <c r="K495" i="26"/>
  <c r="K487" i="26"/>
  <c r="K479" i="26"/>
  <c r="O472" i="26"/>
  <c r="P472" i="26"/>
  <c r="O468" i="26"/>
  <c r="P468" i="26"/>
  <c r="O464" i="26"/>
  <c r="P464" i="26"/>
  <c r="O460" i="26"/>
  <c r="P460" i="26"/>
  <c r="O456" i="26"/>
  <c r="P456" i="26"/>
  <c r="O452" i="26"/>
  <c r="P452" i="26"/>
  <c r="O448" i="26"/>
  <c r="P448" i="26"/>
  <c r="O444" i="26"/>
  <c r="P444" i="26"/>
  <c r="O440" i="26"/>
  <c r="P440" i="26"/>
  <c r="O436" i="26"/>
  <c r="P436" i="26"/>
  <c r="L362" i="26"/>
  <c r="M362" i="26"/>
  <c r="N338" i="26"/>
  <c r="P338" i="26"/>
  <c r="K338" i="26"/>
  <c r="O338" i="26"/>
  <c r="K305" i="26"/>
  <c r="N305" i="26"/>
  <c r="O305" i="26"/>
  <c r="P305" i="26"/>
  <c r="O476" i="26"/>
  <c r="N395" i="26"/>
  <c r="O395" i="26"/>
  <c r="P395" i="26"/>
  <c r="K376" i="26"/>
  <c r="N376" i="26"/>
  <c r="L340" i="26"/>
  <c r="M340" i="26"/>
  <c r="L315" i="26"/>
  <c r="M315" i="26"/>
  <c r="N476" i="26"/>
  <c r="V476" i="26" s="1"/>
  <c r="O473" i="26"/>
  <c r="P473" i="26"/>
  <c r="N471" i="26"/>
  <c r="V471" i="26" s="1"/>
  <c r="O469" i="26"/>
  <c r="P469" i="26"/>
  <c r="N467" i="26"/>
  <c r="O465" i="26"/>
  <c r="P465" i="26"/>
  <c r="N463" i="26"/>
  <c r="O461" i="26"/>
  <c r="P461" i="26"/>
  <c r="N459" i="26"/>
  <c r="V459" i="26" s="1"/>
  <c r="O457" i="26"/>
  <c r="P457" i="26"/>
  <c r="N455" i="26"/>
  <c r="V455" i="26" s="1"/>
  <c r="O453" i="26"/>
  <c r="P453" i="26"/>
  <c r="N451" i="26"/>
  <c r="O449" i="26"/>
  <c r="P449" i="26"/>
  <c r="N447" i="26"/>
  <c r="O445" i="26"/>
  <c r="P445" i="26"/>
  <c r="N443" i="26"/>
  <c r="V443" i="26" s="1"/>
  <c r="O441" i="26"/>
  <c r="P441" i="26"/>
  <c r="N439" i="26"/>
  <c r="V439" i="26" s="1"/>
  <c r="O437" i="26"/>
  <c r="P437" i="26"/>
  <c r="N435" i="26"/>
  <c r="N391" i="26"/>
  <c r="V391" i="26" s="1"/>
  <c r="O391" i="26"/>
  <c r="P391" i="26"/>
  <c r="K387" i="26"/>
  <c r="K371" i="26"/>
  <c r="L271" i="26"/>
  <c r="M271" i="26"/>
  <c r="L229" i="26"/>
  <c r="M229" i="26"/>
  <c r="M222" i="26"/>
  <c r="K211" i="26"/>
  <c r="N211" i="26"/>
  <c r="O211" i="26"/>
  <c r="P211" i="26"/>
  <c r="K195" i="26"/>
  <c r="N195" i="26"/>
  <c r="O195" i="26"/>
  <c r="P195" i="26"/>
  <c r="K179" i="26"/>
  <c r="N179" i="26"/>
  <c r="O179" i="26"/>
  <c r="P179" i="26"/>
  <c r="K163" i="26"/>
  <c r="N163" i="26"/>
  <c r="O163" i="26"/>
  <c r="P163" i="26"/>
  <c r="L351" i="26"/>
  <c r="M351" i="26"/>
  <c r="N347" i="26"/>
  <c r="V347" i="26" s="1"/>
  <c r="O347" i="26"/>
  <c r="K345" i="26"/>
  <c r="O345" i="26"/>
  <c r="O324" i="26"/>
  <c r="P324" i="26"/>
  <c r="K324" i="26"/>
  <c r="L312" i="26"/>
  <c r="M312" i="26"/>
  <c r="K297" i="26"/>
  <c r="N297" i="26"/>
  <c r="O297" i="26"/>
  <c r="P297" i="26"/>
  <c r="L266" i="26"/>
  <c r="M266" i="26"/>
  <c r="M247" i="26"/>
  <c r="N354" i="26"/>
  <c r="V354" i="26" s="1"/>
  <c r="P354" i="26"/>
  <c r="L314" i="26"/>
  <c r="M314" i="26"/>
  <c r="L282" i="26"/>
  <c r="M282" i="26"/>
  <c r="N262" i="26"/>
  <c r="V262" i="26" s="1"/>
  <c r="O262" i="26"/>
  <c r="K262" i="26"/>
  <c r="P262" i="26"/>
  <c r="M389" i="26"/>
  <c r="O374" i="26"/>
  <c r="O370" i="26"/>
  <c r="L359" i="26"/>
  <c r="M359" i="26"/>
  <c r="L343" i="26"/>
  <c r="M343" i="26"/>
  <c r="N340" i="26"/>
  <c r="V340" i="26" s="1"/>
  <c r="N339" i="26"/>
  <c r="V339" i="26" s="1"/>
  <c r="O339" i="26"/>
  <c r="K337" i="26"/>
  <c r="O337" i="26"/>
  <c r="L328" i="26"/>
  <c r="M328" i="26"/>
  <c r="M323" i="26"/>
  <c r="K321" i="26"/>
  <c r="N321" i="26"/>
  <c r="V321" i="26" s="1"/>
  <c r="O321" i="26"/>
  <c r="N314" i="26"/>
  <c r="V314" i="26" s="1"/>
  <c r="O314" i="26"/>
  <c r="P314" i="26"/>
  <c r="L304" i="26"/>
  <c r="M304" i="26"/>
  <c r="M283" i="26"/>
  <c r="L269" i="26"/>
  <c r="M269" i="26"/>
  <c r="N362" i="26"/>
  <c r="V362" i="26" s="1"/>
  <c r="P362" i="26"/>
  <c r="K352" i="26"/>
  <c r="N352" i="26"/>
  <c r="O348" i="26"/>
  <c r="P348" i="26"/>
  <c r="L346" i="26"/>
  <c r="M346" i="26"/>
  <c r="N330" i="26"/>
  <c r="O330" i="26"/>
  <c r="P330" i="26"/>
  <c r="L325" i="26"/>
  <c r="L306" i="26"/>
  <c r="O271" i="26"/>
  <c r="P271" i="26"/>
  <c r="N271" i="26"/>
  <c r="P433" i="26"/>
  <c r="P432" i="26"/>
  <c r="P431" i="26"/>
  <c r="P430" i="26"/>
  <c r="P429" i="26"/>
  <c r="P428" i="26"/>
  <c r="P427" i="26"/>
  <c r="P426" i="26"/>
  <c r="P425" i="26"/>
  <c r="P424" i="26"/>
  <c r="P423" i="26"/>
  <c r="P422" i="26"/>
  <c r="P421" i="26"/>
  <c r="P420" i="26"/>
  <c r="P419" i="26"/>
  <c r="P418" i="26"/>
  <c r="P417" i="26"/>
  <c r="M374" i="26"/>
  <c r="L367" i="26"/>
  <c r="M367" i="26"/>
  <c r="O364" i="26"/>
  <c r="M349" i="26"/>
  <c r="N346" i="26"/>
  <c r="V346" i="26" s="1"/>
  <c r="P346" i="26"/>
  <c r="M344" i="26"/>
  <c r="O332" i="26"/>
  <c r="P332" i="26"/>
  <c r="K332" i="26"/>
  <c r="K313" i="26"/>
  <c r="N313" i="26"/>
  <c r="V313" i="26" s="1"/>
  <c r="O313" i="26"/>
  <c r="P313" i="26"/>
  <c r="N306" i="26"/>
  <c r="O306" i="26"/>
  <c r="P306" i="26"/>
  <c r="K257" i="26"/>
  <c r="N257" i="26"/>
  <c r="O257" i="26"/>
  <c r="P257" i="26"/>
  <c r="N370" i="26"/>
  <c r="V370" i="26" s="1"/>
  <c r="P370" i="26"/>
  <c r="N364" i="26"/>
  <c r="P361" i="26"/>
  <c r="K360" i="26"/>
  <c r="N360" i="26"/>
  <c r="P358" i="26"/>
  <c r="P347" i="26"/>
  <c r="P342" i="26"/>
  <c r="O340" i="26"/>
  <c r="P340" i="26"/>
  <c r="L302" i="26"/>
  <c r="M302" i="26"/>
  <c r="L290" i="26"/>
  <c r="M290" i="26"/>
  <c r="K115" i="26"/>
  <c r="O115" i="26"/>
  <c r="P115" i="26"/>
  <c r="N115" i="26"/>
  <c r="L59" i="26"/>
  <c r="M59" i="26" s="1"/>
  <c r="L51" i="26"/>
  <c r="M51" i="26" s="1"/>
  <c r="N334" i="26"/>
  <c r="K316" i="26"/>
  <c r="M309" i="26"/>
  <c r="K308" i="26"/>
  <c r="K300" i="26"/>
  <c r="M272" i="26"/>
  <c r="N269" i="26"/>
  <c r="V269" i="26" s="1"/>
  <c r="P269" i="26"/>
  <c r="M267" i="26"/>
  <c r="N254" i="26"/>
  <c r="O254" i="26"/>
  <c r="K252" i="26"/>
  <c r="O252" i="26"/>
  <c r="M249" i="26"/>
  <c r="N229" i="26"/>
  <c r="O229" i="26"/>
  <c r="P229" i="26"/>
  <c r="L225" i="26"/>
  <c r="M225" i="26"/>
  <c r="L219" i="26"/>
  <c r="M219" i="26"/>
  <c r="K149" i="26"/>
  <c r="O149" i="26"/>
  <c r="P149" i="26"/>
  <c r="N149" i="26"/>
  <c r="V149" i="26" s="1"/>
  <c r="O263" i="26"/>
  <c r="P263" i="26"/>
  <c r="L261" i="26"/>
  <c r="M261" i="26"/>
  <c r="K244" i="26"/>
  <c r="O244" i="26"/>
  <c r="P244" i="26"/>
  <c r="L241" i="26"/>
  <c r="M241" i="26"/>
  <c r="K215" i="26"/>
  <c r="N215" i="26"/>
  <c r="V215" i="26" s="1"/>
  <c r="O215" i="26"/>
  <c r="P215" i="26"/>
  <c r="K199" i="26"/>
  <c r="N199" i="26"/>
  <c r="V199" i="26" s="1"/>
  <c r="O199" i="26"/>
  <c r="P199" i="26"/>
  <c r="K183" i="26"/>
  <c r="N183" i="26"/>
  <c r="V183" i="26" s="1"/>
  <c r="O183" i="26"/>
  <c r="P183" i="26"/>
  <c r="K167" i="26"/>
  <c r="N167" i="26"/>
  <c r="V167" i="26" s="1"/>
  <c r="O167" i="26"/>
  <c r="P167" i="26"/>
  <c r="N344" i="26"/>
  <c r="V344" i="26" s="1"/>
  <c r="N336" i="26"/>
  <c r="N328" i="26"/>
  <c r="V328" i="26" s="1"/>
  <c r="M327" i="26"/>
  <c r="N320" i="26"/>
  <c r="V320" i="26" s="1"/>
  <c r="M319" i="26"/>
  <c r="N312" i="26"/>
  <c r="V312" i="26" s="1"/>
  <c r="N304" i="26"/>
  <c r="V304" i="26" s="1"/>
  <c r="M287" i="26"/>
  <c r="O281" i="26"/>
  <c r="M280" i="26"/>
  <c r="O277" i="26"/>
  <c r="M273" i="26"/>
  <c r="O265" i="26"/>
  <c r="M264" i="26"/>
  <c r="N261" i="26"/>
  <c r="P261" i="26"/>
  <c r="M259" i="26"/>
  <c r="L250" i="26"/>
  <c r="M250" i="26"/>
  <c r="N247" i="26"/>
  <c r="V247" i="26" s="1"/>
  <c r="N246" i="26"/>
  <c r="V246" i="26" s="1"/>
  <c r="O246" i="26"/>
  <c r="L235" i="26"/>
  <c r="K228" i="26"/>
  <c r="N228" i="26"/>
  <c r="V228" i="26" s="1"/>
  <c r="O228" i="26"/>
  <c r="P228" i="26"/>
  <c r="N221" i="26"/>
  <c r="V221" i="26" s="1"/>
  <c r="O221" i="26"/>
  <c r="P221" i="26"/>
  <c r="K221" i="26"/>
  <c r="P331" i="26"/>
  <c r="P323" i="26"/>
  <c r="P315" i="26"/>
  <c r="P307" i="26"/>
  <c r="P299" i="26"/>
  <c r="O255" i="26"/>
  <c r="P255" i="26"/>
  <c r="L253" i="26"/>
  <c r="M253" i="26"/>
  <c r="L237" i="26"/>
  <c r="K203" i="26"/>
  <c r="N203" i="26"/>
  <c r="V203" i="26" s="1"/>
  <c r="O203" i="26"/>
  <c r="P203" i="26"/>
  <c r="K187" i="26"/>
  <c r="N187" i="26"/>
  <c r="V187" i="26" s="1"/>
  <c r="O187" i="26"/>
  <c r="P187" i="26"/>
  <c r="K171" i="26"/>
  <c r="N171" i="26"/>
  <c r="V171" i="26" s="1"/>
  <c r="O171" i="26"/>
  <c r="P171" i="26"/>
  <c r="K155" i="26"/>
  <c r="N155" i="26"/>
  <c r="V155" i="26" s="1"/>
  <c r="O155" i="26"/>
  <c r="P155" i="26"/>
  <c r="O331" i="26"/>
  <c r="O323" i="26"/>
  <c r="P316" i="26"/>
  <c r="O315" i="26"/>
  <c r="P308" i="26"/>
  <c r="O307" i="26"/>
  <c r="P300" i="26"/>
  <c r="O299" i="26"/>
  <c r="P278" i="26"/>
  <c r="L274" i="26"/>
  <c r="M274" i="26"/>
  <c r="N270" i="26"/>
  <c r="O270" i="26"/>
  <c r="K268" i="26"/>
  <c r="O268" i="26"/>
  <c r="M256" i="26"/>
  <c r="N253" i="26"/>
  <c r="V253" i="26" s="1"/>
  <c r="P253" i="26"/>
  <c r="M251" i="26"/>
  <c r="N237" i="26"/>
  <c r="O237" i="26"/>
  <c r="P237" i="26"/>
  <c r="L233" i="26"/>
  <c r="M233" i="26"/>
  <c r="L220" i="26"/>
  <c r="M220" i="26"/>
  <c r="N278" i="26"/>
  <c r="V278" i="26" s="1"/>
  <c r="N277" i="26"/>
  <c r="P277" i="26"/>
  <c r="P254" i="26"/>
  <c r="P249" i="26"/>
  <c r="O247" i="26"/>
  <c r="P247" i="26"/>
  <c r="K207" i="26"/>
  <c r="N207" i="26"/>
  <c r="O207" i="26"/>
  <c r="P207" i="26"/>
  <c r="K191" i="26"/>
  <c r="N191" i="26"/>
  <c r="O191" i="26"/>
  <c r="P191" i="26"/>
  <c r="K175" i="26"/>
  <c r="N175" i="26"/>
  <c r="O175" i="26"/>
  <c r="P175" i="26"/>
  <c r="K159" i="26"/>
  <c r="N159" i="26"/>
  <c r="O159" i="26"/>
  <c r="P159" i="26"/>
  <c r="L146" i="26"/>
  <c r="M146" i="26"/>
  <c r="K107" i="26"/>
  <c r="O107" i="26"/>
  <c r="P107" i="26"/>
  <c r="N107" i="26"/>
  <c r="N233" i="26"/>
  <c r="N225" i="26"/>
  <c r="V225" i="26" s="1"/>
  <c r="N217" i="26"/>
  <c r="V217" i="26" s="1"/>
  <c r="O213" i="26"/>
  <c r="O209" i="26"/>
  <c r="O205" i="26"/>
  <c r="O201" i="26"/>
  <c r="O197" i="26"/>
  <c r="O193" i="26"/>
  <c r="O189" i="26"/>
  <c r="O185" i="26"/>
  <c r="O181" i="26"/>
  <c r="O177" i="26"/>
  <c r="O173" i="26"/>
  <c r="O169" i="26"/>
  <c r="O165" i="26"/>
  <c r="O161" i="26"/>
  <c r="O157" i="26"/>
  <c r="O153" i="26"/>
  <c r="L152" i="26"/>
  <c r="M152" i="26"/>
  <c r="K123" i="26"/>
  <c r="O123" i="26"/>
  <c r="P123" i="26"/>
  <c r="N123" i="26"/>
  <c r="K75" i="26"/>
  <c r="O75" i="26"/>
  <c r="P75" i="26"/>
  <c r="N75" i="26"/>
  <c r="P220" i="26"/>
  <c r="N213" i="26"/>
  <c r="V213" i="26" s="1"/>
  <c r="N209" i="26"/>
  <c r="N205" i="26"/>
  <c r="N201" i="26"/>
  <c r="V201" i="26" s="1"/>
  <c r="N197" i="26"/>
  <c r="V197" i="26" s="1"/>
  <c r="N193" i="26"/>
  <c r="N189" i="26"/>
  <c r="N185" i="26"/>
  <c r="V185" i="26" s="1"/>
  <c r="N181" i="26"/>
  <c r="V181" i="26" s="1"/>
  <c r="N177" i="26"/>
  <c r="N173" i="26"/>
  <c r="N169" i="26"/>
  <c r="V169" i="26" s="1"/>
  <c r="N165" i="26"/>
  <c r="V165" i="26" s="1"/>
  <c r="N161" i="26"/>
  <c r="N157" i="26"/>
  <c r="N153" i="26"/>
  <c r="V153" i="26" s="1"/>
  <c r="L147" i="26"/>
  <c r="M147" i="26"/>
  <c r="N267" i="26"/>
  <c r="N259" i="26"/>
  <c r="V259" i="26" s="1"/>
  <c r="N251" i="26"/>
  <c r="V251" i="26" s="1"/>
  <c r="N243" i="26"/>
  <c r="N235" i="26"/>
  <c r="M234" i="26"/>
  <c r="N227" i="26"/>
  <c r="V227" i="26" s="1"/>
  <c r="M226" i="26"/>
  <c r="O220" i="26"/>
  <c r="N219" i="26"/>
  <c r="V219" i="26" s="1"/>
  <c r="M218" i="26"/>
  <c r="O214" i="26"/>
  <c r="O210" i="26"/>
  <c r="M209" i="26"/>
  <c r="O206" i="26"/>
  <c r="M205" i="26"/>
  <c r="O202" i="26"/>
  <c r="M201" i="26"/>
  <c r="O198" i="26"/>
  <c r="M197" i="26"/>
  <c r="O194" i="26"/>
  <c r="M193" i="26"/>
  <c r="O190" i="26"/>
  <c r="M189" i="26"/>
  <c r="O186" i="26"/>
  <c r="O182" i="26"/>
  <c r="M181" i="26"/>
  <c r="O178" i="26"/>
  <c r="M177" i="26"/>
  <c r="O174" i="26"/>
  <c r="O170" i="26"/>
  <c r="M169" i="26"/>
  <c r="O166" i="26"/>
  <c r="M165" i="26"/>
  <c r="O162" i="26"/>
  <c r="M161" i="26"/>
  <c r="O158" i="26"/>
  <c r="O154" i="26"/>
  <c r="M153" i="26"/>
  <c r="P151" i="26"/>
  <c r="O148" i="26"/>
  <c r="P238" i="26"/>
  <c r="N220" i="26"/>
  <c r="V220" i="26" s="1"/>
  <c r="M145" i="26"/>
  <c r="K83" i="26"/>
  <c r="O83" i="26"/>
  <c r="P83" i="26"/>
  <c r="N83" i="26"/>
  <c r="P239" i="26"/>
  <c r="O238" i="26"/>
  <c r="P231" i="26"/>
  <c r="O230" i="26"/>
  <c r="P223" i="26"/>
  <c r="O222" i="26"/>
  <c r="M214" i="26"/>
  <c r="M206" i="26"/>
  <c r="M202" i="26"/>
  <c r="M198" i="26"/>
  <c r="M190" i="26"/>
  <c r="M186" i="26"/>
  <c r="M182" i="26"/>
  <c r="M170" i="26"/>
  <c r="M166" i="26"/>
  <c r="M162" i="26"/>
  <c r="M158" i="26"/>
  <c r="M154" i="26"/>
  <c r="N151" i="26"/>
  <c r="V151" i="26" s="1"/>
  <c r="L148" i="26"/>
  <c r="M148" i="26"/>
  <c r="K91" i="26"/>
  <c r="O91" i="26"/>
  <c r="P91" i="26"/>
  <c r="N91" i="26"/>
  <c r="P216" i="26"/>
  <c r="P212" i="26"/>
  <c r="P208" i="26"/>
  <c r="P204" i="26"/>
  <c r="P200" i="26"/>
  <c r="P196" i="26"/>
  <c r="P192" i="26"/>
  <c r="P188" i="26"/>
  <c r="P184" i="26"/>
  <c r="P180" i="26"/>
  <c r="P176" i="26"/>
  <c r="P172" i="26"/>
  <c r="P168" i="26"/>
  <c r="P164" i="26"/>
  <c r="P160" i="26"/>
  <c r="P156" i="26"/>
  <c r="P152" i="26"/>
  <c r="L151" i="26"/>
  <c r="M151" i="26"/>
  <c r="K99" i="26"/>
  <c r="O99" i="26"/>
  <c r="P99" i="26"/>
  <c r="N99" i="26"/>
  <c r="K67" i="26"/>
  <c r="O67" i="26"/>
  <c r="P67" i="26"/>
  <c r="N67" i="26"/>
  <c r="L120" i="26"/>
  <c r="M120" i="26" s="1"/>
  <c r="L112" i="26"/>
  <c r="M112" i="26" s="1"/>
  <c r="L96" i="26"/>
  <c r="M96" i="26" s="1"/>
  <c r="L126" i="26"/>
  <c r="M126" i="26" s="1"/>
  <c r="L118" i="26"/>
  <c r="M118" i="26" s="1"/>
  <c r="L110" i="26"/>
  <c r="M110" i="26" s="1"/>
  <c r="L86" i="26"/>
  <c r="M86" i="26" s="1"/>
  <c r="L129" i="26"/>
  <c r="M129" i="26" s="1"/>
  <c r="L121" i="26"/>
  <c r="M121" i="26" s="1"/>
  <c r="L113" i="26"/>
  <c r="M113" i="26" s="1"/>
  <c r="L89" i="26"/>
  <c r="M89" i="26" s="1"/>
  <c r="N127" i="26"/>
  <c r="L124" i="26"/>
  <c r="M124" i="26" s="1"/>
  <c r="N119" i="26"/>
  <c r="V119" i="26" s="1"/>
  <c r="L116" i="26"/>
  <c r="M116" i="26" s="1"/>
  <c r="N111" i="26"/>
  <c r="N103" i="26"/>
  <c r="N95" i="26"/>
  <c r="N87" i="26"/>
  <c r="O82" i="26"/>
  <c r="N79" i="26"/>
  <c r="P77" i="26"/>
  <c r="L76" i="26"/>
  <c r="M76" i="26" s="1"/>
  <c r="O74" i="26"/>
  <c r="N71" i="26"/>
  <c r="P69" i="26"/>
  <c r="L68" i="26"/>
  <c r="M68" i="26" s="1"/>
  <c r="O66" i="26"/>
  <c r="N63" i="26"/>
  <c r="L60" i="26"/>
  <c r="M60" i="26" s="1"/>
  <c r="P128" i="26"/>
  <c r="L127" i="26"/>
  <c r="M127" i="26" s="1"/>
  <c r="P120" i="26"/>
  <c r="L119" i="26"/>
  <c r="M119" i="26" s="1"/>
  <c r="P112" i="26"/>
  <c r="L111" i="26"/>
  <c r="M111" i="26" s="1"/>
  <c r="P104" i="26"/>
  <c r="P96" i="26"/>
  <c r="P88" i="26"/>
  <c r="P80" i="26"/>
  <c r="L79" i="26"/>
  <c r="M79" i="26" s="1"/>
  <c r="P72" i="26"/>
  <c r="P64" i="26"/>
  <c r="O128" i="26"/>
  <c r="N125" i="26"/>
  <c r="V125" i="26" s="1"/>
  <c r="L122" i="26"/>
  <c r="M122" i="26" s="1"/>
  <c r="O120" i="26"/>
  <c r="N117" i="26"/>
  <c r="L114" i="26"/>
  <c r="M114" i="26" s="1"/>
  <c r="O112" i="26"/>
  <c r="N109" i="26"/>
  <c r="O104" i="26"/>
  <c r="N101" i="26"/>
  <c r="L98" i="26"/>
  <c r="M98" i="26" s="1"/>
  <c r="O96" i="26"/>
  <c r="N93" i="26"/>
  <c r="L90" i="26"/>
  <c r="M90" i="26" s="1"/>
  <c r="O88" i="26"/>
  <c r="N85" i="26"/>
  <c r="O80" i="26"/>
  <c r="N77" i="26"/>
  <c r="O72" i="26"/>
  <c r="N69" i="26"/>
  <c r="O64" i="26"/>
  <c r="L50" i="26"/>
  <c r="M50" i="26" s="1"/>
  <c r="N128" i="26"/>
  <c r="P126" i="26"/>
  <c r="L125" i="26"/>
  <c r="M125" i="26" s="1"/>
  <c r="N120" i="26"/>
  <c r="V120" i="26" s="1"/>
  <c r="P118" i="26"/>
  <c r="N112" i="26"/>
  <c r="V112" i="26" s="1"/>
  <c r="P110" i="26"/>
  <c r="L109" i="26"/>
  <c r="M109" i="26" s="1"/>
  <c r="N104" i="26"/>
  <c r="P102" i="26"/>
  <c r="L101" i="26"/>
  <c r="M101" i="26" s="1"/>
  <c r="N96" i="26"/>
  <c r="P94" i="26"/>
  <c r="N88" i="26"/>
  <c r="P86" i="26"/>
  <c r="N80" i="26"/>
  <c r="P78" i="26"/>
  <c r="N72" i="26"/>
  <c r="P70" i="26"/>
  <c r="L69" i="26"/>
  <c r="M69" i="26" s="1"/>
  <c r="N64" i="26"/>
  <c r="P62" i="26"/>
  <c r="U101" i="33"/>
  <c r="U102" i="33"/>
  <c r="U103" i="33"/>
  <c r="U104" i="33"/>
  <c r="U105" i="33"/>
  <c r="U106" i="33"/>
  <c r="U98" i="33"/>
  <c r="U97" i="33"/>
  <c r="U100" i="33"/>
  <c r="U99" i="33"/>
  <c r="U96" i="33"/>
  <c r="U95" i="33"/>
  <c r="M285" i="26" l="1"/>
  <c r="V364" i="26"/>
  <c r="M909" i="26"/>
  <c r="M990" i="26"/>
  <c r="V196" i="26"/>
  <c r="V720" i="26"/>
  <c r="V858" i="26"/>
  <c r="V645" i="26"/>
  <c r="V337" i="26"/>
  <c r="V788" i="26"/>
  <c r="V691" i="26"/>
  <c r="V728" i="26"/>
  <c r="V617" i="26"/>
  <c r="M291" i="26"/>
  <c r="M334" i="26"/>
  <c r="M258" i="26"/>
  <c r="M978" i="26"/>
  <c r="M180" i="26"/>
  <c r="V820" i="26"/>
  <c r="M882" i="26"/>
  <c r="V566" i="26"/>
  <c r="M184" i="26"/>
  <c r="V293" i="26"/>
  <c r="V380" i="26"/>
  <c r="V534" i="26"/>
  <c r="V638" i="26"/>
  <c r="V352" i="26"/>
  <c r="L705" i="26"/>
  <c r="M943" i="26"/>
  <c r="M212" i="26"/>
  <c r="V622" i="26"/>
  <c r="V844" i="26"/>
  <c r="V826" i="26"/>
  <c r="V102" i="26"/>
  <c r="V93" i="26"/>
  <c r="V88" i="26"/>
  <c r="V64" i="26"/>
  <c r="V96" i="26"/>
  <c r="V69" i="26"/>
  <c r="V101" i="26"/>
  <c r="V83" i="26"/>
  <c r="V73" i="26"/>
  <c r="V94" i="26"/>
  <c r="V106" i="26"/>
  <c r="V60" i="26"/>
  <c r="V76" i="26"/>
  <c r="V98" i="26"/>
  <c r="V103" i="26"/>
  <c r="V80" i="26"/>
  <c r="V87" i="26"/>
  <c r="V72" i="26"/>
  <c r="V63" i="26"/>
  <c r="V71" i="26"/>
  <c r="V79" i="26"/>
  <c r="V100" i="26"/>
  <c r="V92" i="26"/>
  <c r="V81" i="26"/>
  <c r="V46" i="26"/>
  <c r="V62" i="26"/>
  <c r="V224" i="26"/>
  <c r="V514" i="26"/>
  <c r="V646" i="26"/>
  <c r="V734" i="26"/>
  <c r="V752" i="26"/>
  <c r="V770" i="26"/>
  <c r="V794" i="26"/>
  <c r="V862" i="26"/>
  <c r="V886" i="26"/>
  <c r="V910" i="26"/>
  <c r="V932" i="26"/>
  <c r="V954" i="26"/>
  <c r="V978" i="26"/>
  <c r="V299" i="26"/>
  <c r="V331" i="26"/>
  <c r="V385" i="26"/>
  <c r="V445" i="26"/>
  <c r="V453" i="26"/>
  <c r="V477" i="26"/>
  <c r="V489" i="26"/>
  <c r="V631" i="26"/>
  <c r="V747" i="26"/>
  <c r="V763" i="26"/>
  <c r="V865" i="26"/>
  <c r="V875" i="26"/>
  <c r="V883" i="26"/>
  <c r="V891" i="26"/>
  <c r="V901" i="26"/>
  <c r="V911" i="26"/>
  <c r="V921" i="26"/>
  <c r="V933" i="26"/>
  <c r="V941" i="26"/>
  <c r="V949" i="26"/>
  <c r="V957" i="26"/>
  <c r="V965" i="26"/>
  <c r="V973" i="26"/>
  <c r="V981" i="26"/>
  <c r="V989" i="26"/>
  <c r="V997" i="26"/>
  <c r="V238" i="26"/>
  <c r="V324" i="26"/>
  <c r="V740" i="26"/>
  <c r="V772" i="26"/>
  <c r="V802" i="26"/>
  <c r="V876" i="26"/>
  <c r="V896" i="26"/>
  <c r="V924" i="26"/>
  <c r="V950" i="26"/>
  <c r="V974" i="26"/>
  <c r="V998" i="26"/>
  <c r="V680" i="26"/>
  <c r="V736" i="26"/>
  <c r="V762" i="26"/>
  <c r="V786" i="26"/>
  <c r="V872" i="26"/>
  <c r="V900" i="26"/>
  <c r="V934" i="26"/>
  <c r="V958" i="26"/>
  <c r="V982" i="26"/>
  <c r="V522" i="26"/>
  <c r="V554" i="26"/>
  <c r="V608" i="26"/>
  <c r="M924" i="26"/>
  <c r="V832" i="26"/>
  <c r="M993" i="26"/>
  <c r="V57" i="26"/>
  <c r="V147" i="26"/>
  <c r="V45" i="26"/>
  <c r="V61" i="26"/>
  <c r="V116" i="26"/>
  <c r="V133" i="26"/>
  <c r="V431" i="26"/>
  <c r="V425" i="26"/>
  <c r="V411" i="26"/>
  <c r="V469" i="26"/>
  <c r="V433" i="26"/>
  <c r="V488" i="26"/>
  <c r="V480" i="26"/>
  <c r="V249" i="26"/>
  <c r="V234" i="26"/>
  <c r="V276" i="26"/>
  <c r="V359" i="26"/>
  <c r="V231" i="26"/>
  <c r="V399" i="26"/>
  <c r="V218" i="26"/>
  <c r="V273" i="26"/>
  <c r="V282" i="26"/>
  <c r="V327" i="26"/>
  <c r="V367" i="26"/>
  <c r="V398" i="26"/>
  <c r="V526" i="26"/>
  <c r="V591" i="26"/>
  <c r="V301" i="26"/>
  <c r="V351" i="26"/>
  <c r="V517" i="26"/>
  <c r="V281" i="26"/>
  <c r="V349" i="26"/>
  <c r="V575" i="26"/>
  <c r="V423" i="26"/>
  <c r="V543" i="26"/>
  <c r="V828" i="26"/>
  <c r="M818" i="26"/>
  <c r="V845" i="26"/>
  <c r="V285" i="26"/>
  <c r="V686" i="26"/>
  <c r="V703" i="26"/>
  <c r="V705" i="26"/>
  <c r="V827" i="26"/>
  <c r="V689" i="26"/>
  <c r="V318" i="26"/>
  <c r="V630" i="26"/>
  <c r="V673" i="26"/>
  <c r="V634" i="26"/>
  <c r="V52" i="26"/>
  <c r="V184" i="26"/>
  <c r="V569" i="26"/>
  <c r="V206" i="26"/>
  <c r="V413" i="26"/>
  <c r="V567" i="26"/>
  <c r="V649" i="26"/>
  <c r="V677" i="26"/>
  <c r="V308" i="26"/>
  <c r="V559" i="26"/>
  <c r="V633" i="26"/>
  <c r="V303" i="26"/>
  <c r="V373" i="26"/>
  <c r="V397" i="26"/>
  <c r="V553" i="26"/>
  <c r="V671" i="26"/>
  <c r="V842" i="26"/>
  <c r="V861" i="26"/>
  <c r="V870" i="26"/>
  <c r="V857" i="26"/>
  <c r="V623" i="26"/>
  <c r="V653" i="26"/>
  <c r="V853" i="26"/>
  <c r="V372" i="26"/>
  <c r="V548" i="26"/>
  <c r="V685" i="26"/>
  <c r="V819" i="26"/>
  <c r="V647" i="26"/>
  <c r="V834" i="26"/>
  <c r="V264" i="26"/>
  <c r="V679" i="26"/>
  <c r="V550" i="26"/>
  <c r="V812" i="26"/>
  <c r="V718" i="26"/>
  <c r="V621" i="26"/>
  <c r="V241" i="26"/>
  <c r="V716" i="26"/>
  <c r="V604" i="26"/>
  <c r="V230" i="26"/>
  <c r="V516" i="26"/>
  <c r="V556" i="26"/>
  <c r="V650" i="26"/>
  <c r="V666" i="26"/>
  <c r="V682" i="26"/>
  <c r="V738" i="26"/>
  <c r="V758" i="26"/>
  <c r="V776" i="26"/>
  <c r="V800" i="26"/>
  <c r="V868" i="26"/>
  <c r="V892" i="26"/>
  <c r="V914" i="26"/>
  <c r="V938" i="26"/>
  <c r="V960" i="26"/>
  <c r="V984" i="26"/>
  <c r="V139" i="26"/>
  <c r="V289" i="26"/>
  <c r="V315" i="26"/>
  <c r="V323" i="26"/>
  <c r="V377" i="26"/>
  <c r="V389" i="26"/>
  <c r="V481" i="26"/>
  <c r="V519" i="26"/>
  <c r="V735" i="26"/>
  <c r="V751" i="26"/>
  <c r="V767" i="26"/>
  <c r="V791" i="26"/>
  <c r="V855" i="26"/>
  <c r="V869" i="26"/>
  <c r="V877" i="26"/>
  <c r="V885" i="26"/>
  <c r="V893" i="26"/>
  <c r="V903" i="26"/>
  <c r="V915" i="26"/>
  <c r="V923" i="26"/>
  <c r="V935" i="26"/>
  <c r="V943" i="26"/>
  <c r="V951" i="26"/>
  <c r="V959" i="26"/>
  <c r="V967" i="26"/>
  <c r="V975" i="26"/>
  <c r="V983" i="26"/>
  <c r="V991" i="26"/>
  <c r="V999" i="26"/>
  <c r="V178" i="26"/>
  <c r="V210" i="26"/>
  <c r="V244" i="26"/>
  <c r="V748" i="26"/>
  <c r="V778" i="26"/>
  <c r="V856" i="26"/>
  <c r="V878" i="26"/>
  <c r="V902" i="26"/>
  <c r="V930" i="26"/>
  <c r="V956" i="26"/>
  <c r="V980" i="26"/>
  <c r="V194" i="26"/>
  <c r="V656" i="26"/>
  <c r="V744" i="26"/>
  <c r="V768" i="26"/>
  <c r="V792" i="26"/>
  <c r="V882" i="26"/>
  <c r="V908" i="26"/>
  <c r="V940" i="26"/>
  <c r="V964" i="26"/>
  <c r="V988" i="26"/>
  <c r="V336" i="26"/>
  <c r="V360" i="26"/>
  <c r="V458" i="26"/>
  <c r="V484" i="26"/>
  <c r="M569" i="26"/>
  <c r="V538" i="26"/>
  <c r="M626" i="26"/>
  <c r="V117" i="26"/>
  <c r="V111" i="26"/>
  <c r="V235" i="26"/>
  <c r="V173" i="26"/>
  <c r="V205" i="26"/>
  <c r="V233" i="26"/>
  <c r="V277" i="26"/>
  <c r="V237" i="26"/>
  <c r="V115" i="26"/>
  <c r="M255" i="26"/>
  <c r="V257" i="26"/>
  <c r="V179" i="26"/>
  <c r="V211" i="26"/>
  <c r="V451" i="26"/>
  <c r="V467" i="26"/>
  <c r="V376" i="26"/>
  <c r="V395" i="26"/>
  <c r="V305" i="26"/>
  <c r="V368" i="26"/>
  <c r="V356" i="26"/>
  <c r="V371" i="26"/>
  <c r="V387" i="26"/>
  <c r="V394" i="26"/>
  <c r="V383" i="26"/>
  <c r="V541" i="26"/>
  <c r="V573" i="26"/>
  <c r="V605" i="26"/>
  <c r="V466" i="26"/>
  <c r="V475" i="26"/>
  <c r="V539" i="26"/>
  <c r="V482" i="26"/>
  <c r="V446" i="26"/>
  <c r="V450" i="26"/>
  <c r="V474" i="26"/>
  <c r="V544" i="26"/>
  <c r="V576" i="26"/>
  <c r="V592" i="26"/>
  <c r="V434" i="26"/>
  <c r="V616" i="26"/>
  <c r="M675" i="26"/>
  <c r="M699" i="26"/>
  <c r="V498" i="26"/>
  <c r="M662" i="26"/>
  <c r="V711" i="26"/>
  <c r="L531" i="26"/>
  <c r="V579" i="26"/>
  <c r="V483" i="26"/>
  <c r="V602" i="26"/>
  <c r="V713" i="26"/>
  <c r="V817" i="26"/>
  <c r="V849" i="26"/>
  <c r="V733" i="26"/>
  <c r="V749" i="26"/>
  <c r="V765" i="26"/>
  <c r="V781" i="26"/>
  <c r="V797" i="26"/>
  <c r="V816" i="26"/>
  <c r="V840" i="26"/>
  <c r="M985" i="26"/>
  <c r="V595" i="26"/>
  <c r="V807" i="26"/>
  <c r="V839" i="26"/>
  <c r="V806" i="26"/>
  <c r="V854" i="26"/>
  <c r="V66" i="26"/>
  <c r="V84" i="26"/>
  <c r="M172" i="26"/>
  <c r="V59" i="26"/>
  <c r="V82" i="26"/>
  <c r="V97" i="26"/>
  <c r="V122" i="26"/>
  <c r="V55" i="26"/>
  <c r="V68" i="26"/>
  <c r="V137" i="26"/>
  <c r="V417" i="26"/>
  <c r="M469" i="26"/>
  <c r="V441" i="26"/>
  <c r="V430" i="26"/>
  <c r="V478" i="26"/>
  <c r="V410" i="26"/>
  <c r="V485" i="26"/>
  <c r="L437" i="26"/>
  <c r="V58" i="26"/>
  <c r="V142" i="26"/>
  <c r="V148" i="26"/>
  <c r="V50" i="26"/>
  <c r="V105" i="26"/>
  <c r="V164" i="26"/>
  <c r="V424" i="26"/>
  <c r="V468" i="26"/>
  <c r="V457" i="26"/>
  <c r="V108" i="26"/>
  <c r="V140" i="26"/>
  <c r="V402" i="26"/>
  <c r="V428" i="26"/>
  <c r="V493" i="26"/>
  <c r="V86" i="26"/>
  <c r="V146" i="26"/>
  <c r="V263" i="26"/>
  <c r="V280" i="26"/>
  <c r="V255" i="26"/>
  <c r="V348" i="26"/>
  <c r="V409" i="26"/>
  <c r="V509" i="26"/>
  <c r="V300" i="26"/>
  <c r="V369" i="26"/>
  <c r="V508" i="26"/>
  <c r="V506" i="26"/>
  <c r="V290" i="26"/>
  <c r="V524" i="26"/>
  <c r="V208" i="26"/>
  <c r="V444" i="26"/>
  <c r="V577" i="26"/>
  <c r="V355" i="26"/>
  <c r="V537" i="26"/>
  <c r="V652" i="26"/>
  <c r="V636" i="26"/>
  <c r="V821" i="26"/>
  <c r="V678" i="26"/>
  <c r="V709" i="26"/>
  <c r="V598" i="26"/>
  <c r="V618" i="26"/>
  <c r="V813" i="26"/>
  <c r="V850" i="26"/>
  <c r="V626" i="26"/>
  <c r="V681" i="26"/>
  <c r="V710" i="26"/>
  <c r="V593" i="26"/>
  <c r="V326" i="26"/>
  <c r="V596" i="26"/>
  <c r="V624" i="26"/>
  <c r="V835" i="26"/>
  <c r="L731" i="26"/>
  <c r="V421" i="26"/>
  <c r="V150" i="26"/>
  <c r="V118" i="26"/>
  <c r="V527" i="26"/>
  <c r="V316" i="26"/>
  <c r="V619" i="26"/>
  <c r="V641" i="26"/>
  <c r="V186" i="26"/>
  <c r="V504" i="26"/>
  <c r="V561" i="26"/>
  <c r="V612" i="26"/>
  <c r="V725" i="26"/>
  <c r="V223" i="26"/>
  <c r="V341" i="26"/>
  <c r="V375" i="26"/>
  <c r="V511" i="26"/>
  <c r="V659" i="26"/>
  <c r="V732" i="26"/>
  <c r="V202" i="26"/>
  <c r="V909" i="26"/>
  <c r="V784" i="26"/>
  <c r="V906" i="26"/>
  <c r="V799" i="26"/>
  <c r="V897" i="26"/>
  <c r="V837" i="26"/>
  <c r="V779" i="26"/>
  <c r="V931" i="26"/>
  <c r="V925" i="26"/>
  <c r="V512" i="26"/>
  <c r="V335" i="26"/>
  <c r="V580" i="26"/>
  <c r="V843" i="26"/>
  <c r="V629" i="26"/>
  <c r="V200" i="26"/>
  <c r="V286" i="26"/>
  <c r="V698" i="26"/>
  <c r="V518" i="26"/>
  <c r="V693" i="26"/>
  <c r="V627" i="26"/>
  <c r="V212" i="26"/>
  <c r="V180" i="26"/>
  <c r="V601" i="26"/>
  <c r="V384" i="26"/>
  <c r="V706" i="26"/>
  <c r="V724" i="26"/>
  <c r="V742" i="26"/>
  <c r="V760" i="26"/>
  <c r="V782" i="26"/>
  <c r="V874" i="26"/>
  <c r="V898" i="26"/>
  <c r="V920" i="26"/>
  <c r="V944" i="26"/>
  <c r="V966" i="26"/>
  <c r="V990" i="26"/>
  <c r="V131" i="26"/>
  <c r="V307" i="26"/>
  <c r="V317" i="26"/>
  <c r="V325" i="26"/>
  <c r="V449" i="26"/>
  <c r="V465" i="26"/>
  <c r="V473" i="26"/>
  <c r="V505" i="26"/>
  <c r="V551" i="26"/>
  <c r="V695" i="26"/>
  <c r="V739" i="26"/>
  <c r="V755" i="26"/>
  <c r="V771" i="26"/>
  <c r="V795" i="26"/>
  <c r="V859" i="26"/>
  <c r="V871" i="26"/>
  <c r="V879" i="26"/>
  <c r="V887" i="26"/>
  <c r="V895" i="26"/>
  <c r="V905" i="26"/>
  <c r="V917" i="26"/>
  <c r="V927" i="26"/>
  <c r="V937" i="26"/>
  <c r="V945" i="26"/>
  <c r="V953" i="26"/>
  <c r="V961" i="26"/>
  <c r="V969" i="26"/>
  <c r="V977" i="26"/>
  <c r="V985" i="26"/>
  <c r="V993" i="26"/>
  <c r="V754" i="26"/>
  <c r="V790" i="26"/>
  <c r="V860" i="26"/>
  <c r="V884" i="26"/>
  <c r="V912" i="26"/>
  <c r="V936" i="26"/>
  <c r="V962" i="26"/>
  <c r="V986" i="26"/>
  <c r="V226" i="26"/>
  <c r="V332" i="26"/>
  <c r="V388" i="26"/>
  <c r="V664" i="26"/>
  <c r="V726" i="26"/>
  <c r="V750" i="26"/>
  <c r="V774" i="26"/>
  <c r="V798" i="26"/>
  <c r="V888" i="26"/>
  <c r="V916" i="26"/>
  <c r="V946" i="26"/>
  <c r="V970" i="26"/>
  <c r="V994" i="26"/>
  <c r="V530" i="26"/>
  <c r="V546" i="26"/>
  <c r="V562" i="26"/>
  <c r="M670" i="26"/>
  <c r="V104" i="26"/>
  <c r="V85" i="26"/>
  <c r="V95" i="26"/>
  <c r="V127" i="26"/>
  <c r="M150" i="26"/>
  <c r="M213" i="26"/>
  <c r="V267" i="26"/>
  <c r="V157" i="26"/>
  <c r="V189" i="26"/>
  <c r="V75" i="26"/>
  <c r="V123" i="26"/>
  <c r="V261" i="26"/>
  <c r="V229" i="26"/>
  <c r="V306" i="26"/>
  <c r="V163" i="26"/>
  <c r="V195" i="26"/>
  <c r="V435" i="26"/>
  <c r="V128" i="26"/>
  <c r="V77" i="26"/>
  <c r="V109" i="26"/>
  <c r="V67" i="26"/>
  <c r="V99" i="26"/>
  <c r="V91" i="26"/>
  <c r="M174" i="26"/>
  <c r="M157" i="26"/>
  <c r="M173" i="26"/>
  <c r="V243" i="26"/>
  <c r="V161" i="26"/>
  <c r="V177" i="26"/>
  <c r="V193" i="26"/>
  <c r="V209" i="26"/>
  <c r="V107" i="26"/>
  <c r="V159" i="26"/>
  <c r="V175" i="26"/>
  <c r="V191" i="26"/>
  <c r="V207" i="26"/>
  <c r="M265" i="26"/>
  <c r="V270" i="26"/>
  <c r="M311" i="26"/>
  <c r="V254" i="26"/>
  <c r="V334" i="26"/>
  <c r="M248" i="26"/>
  <c r="V271" i="26"/>
  <c r="V330" i="26"/>
  <c r="M366" i="26"/>
  <c r="V297" i="26"/>
  <c r="V447" i="26"/>
  <c r="V463" i="26"/>
  <c r="M333" i="26"/>
  <c r="V338" i="26"/>
  <c r="V275" i="26"/>
  <c r="M461" i="26"/>
  <c r="V549" i="26"/>
  <c r="V581" i="26"/>
  <c r="V462" i="26"/>
  <c r="V491" i="26"/>
  <c r="V531" i="26"/>
  <c r="V563" i="26"/>
  <c r="V454" i="26"/>
  <c r="V470" i="26"/>
  <c r="V442" i="26"/>
  <c r="V438" i="26"/>
  <c r="V492" i="26"/>
  <c r="V603" i="26"/>
  <c r="V578" i="26"/>
  <c r="L646" i="26"/>
  <c r="V586" i="26"/>
  <c r="V611" i="26"/>
  <c r="V684" i="26"/>
  <c r="V700" i="26"/>
  <c r="V708" i="26"/>
  <c r="V809" i="26"/>
  <c r="V841" i="26"/>
  <c r="M886" i="26"/>
  <c r="L628" i="26"/>
  <c r="V737" i="26"/>
  <c r="V753" i="26"/>
  <c r="V769" i="26"/>
  <c r="V785" i="26"/>
  <c r="V801" i="26"/>
  <c r="V824" i="26"/>
  <c r="V848" i="26"/>
  <c r="M906" i="26"/>
  <c r="M956" i="26"/>
  <c r="M987" i="26"/>
  <c r="V727" i="26"/>
  <c r="V831" i="26"/>
  <c r="V696" i="26"/>
  <c r="V729" i="26"/>
  <c r="V721" i="26"/>
  <c r="V500" i="26"/>
  <c r="V49" i="26"/>
  <c r="V90" i="26"/>
  <c r="V113" i="26"/>
  <c r="V172" i="26"/>
  <c r="V156" i="26"/>
  <c r="V51" i="26"/>
  <c r="V168" i="26"/>
  <c r="V53" i="26"/>
  <c r="V126" i="26"/>
  <c r="V47" i="26"/>
  <c r="V70" i="26"/>
  <c r="V110" i="26"/>
  <c r="V141" i="26"/>
  <c r="V162" i="26"/>
  <c r="V420" i="26"/>
  <c r="V422" i="26"/>
  <c r="V407" i="26"/>
  <c r="V437" i="26"/>
  <c r="V436" i="26"/>
  <c r="V74" i="26"/>
  <c r="V134" i="26"/>
  <c r="V56" i="26"/>
  <c r="V48" i="26"/>
  <c r="V405" i="26"/>
  <c r="V419" i="26"/>
  <c r="V472" i="26"/>
  <c r="V494" i="26"/>
  <c r="V427" i="26"/>
  <c r="V496" i="26"/>
  <c r="V487" i="26"/>
  <c r="V408" i="26"/>
  <c r="V440" i="26"/>
  <c r="V497" i="26"/>
  <c r="V495" i="26"/>
  <c r="V89" i="26"/>
  <c r="M238" i="26"/>
  <c r="V283" i="26"/>
  <c r="V65" i="26"/>
  <c r="V144" i="26"/>
  <c r="V240" i="26"/>
  <c r="V288" i="26"/>
  <c r="V415" i="26"/>
  <c r="V513" i="26"/>
  <c r="M196" i="26"/>
  <c r="V214" i="26"/>
  <c r="V287" i="26"/>
  <c r="V311" i="26"/>
  <c r="V333" i="26"/>
  <c r="V365" i="26"/>
  <c r="V258" i="26"/>
  <c r="V515" i="26"/>
  <c r="V176" i="26"/>
  <c r="V540" i="26"/>
  <c r="V136" i="26"/>
  <c r="V343" i="26"/>
  <c r="V272" i="26"/>
  <c r="V54" i="26"/>
  <c r="V532" i="26"/>
  <c r="V609" i="26"/>
  <c r="V701" i="26"/>
  <c r="V690" i="26"/>
  <c r="V192" i="26"/>
  <c r="V670" i="26"/>
  <c r="V811" i="26"/>
  <c r="V644" i="26"/>
  <c r="V662" i="26"/>
  <c r="V702" i="26"/>
  <c r="V564" i="26"/>
  <c r="V628" i="26"/>
  <c r="V502" i="26"/>
  <c r="V620" i="26"/>
  <c r="V668" i="26"/>
  <c r="V810" i="26"/>
  <c r="V829" i="26"/>
  <c r="V654" i="26"/>
  <c r="V660" i="26"/>
  <c r="V803" i="26"/>
  <c r="V503" i="26"/>
  <c r="V78" i="26"/>
  <c r="V614" i="26"/>
  <c r="V572" i="26"/>
  <c r="V606" i="26"/>
  <c r="V643" i="26"/>
  <c r="V655" i="26"/>
  <c r="M204" i="26"/>
  <c r="V358" i="26"/>
  <c r="V265" i="26"/>
  <c r="V661" i="26"/>
  <c r="V174" i="26"/>
  <c r="V804" i="26"/>
  <c r="V867" i="26"/>
  <c r="V535" i="26"/>
  <c r="V637" i="26"/>
  <c r="V190" i="26"/>
  <c r="V818" i="26"/>
  <c r="V507" i="26"/>
  <c r="V296" i="26"/>
  <c r="V292" i="26"/>
  <c r="V294" i="26"/>
  <c r="V667" i="26"/>
  <c r="V521" i="26"/>
  <c r="V396" i="26"/>
  <c r="V582" i="26"/>
  <c r="V836" i="26"/>
  <c r="V687" i="26"/>
  <c r="V805" i="26"/>
  <c r="V707" i="26"/>
  <c r="V642" i="26"/>
  <c r="V658" i="26"/>
  <c r="V674" i="26"/>
  <c r="V746" i="26"/>
  <c r="V766" i="26"/>
  <c r="V880" i="26"/>
  <c r="V904" i="26"/>
  <c r="V926" i="26"/>
  <c r="V948" i="26"/>
  <c r="V972" i="26"/>
  <c r="V996" i="26"/>
  <c r="V135" i="26"/>
  <c r="V143" i="26"/>
  <c r="V309" i="26"/>
  <c r="V381" i="26"/>
  <c r="V393" i="26"/>
  <c r="V717" i="26"/>
  <c r="V743" i="26"/>
  <c r="V759" i="26"/>
  <c r="V775" i="26"/>
  <c r="V863" i="26"/>
  <c r="V873" i="26"/>
  <c r="V881" i="26"/>
  <c r="V889" i="26"/>
  <c r="V899" i="26"/>
  <c r="V907" i="26"/>
  <c r="V919" i="26"/>
  <c r="V929" i="26"/>
  <c r="V939" i="26"/>
  <c r="V947" i="26"/>
  <c r="V955" i="26"/>
  <c r="V963" i="26"/>
  <c r="V971" i="26"/>
  <c r="V979" i="26"/>
  <c r="V987" i="26"/>
  <c r="V995" i="26"/>
  <c r="V222" i="26"/>
  <c r="V310" i="26"/>
  <c r="V722" i="26"/>
  <c r="V764" i="26"/>
  <c r="V866" i="26"/>
  <c r="V890" i="26"/>
  <c r="V918" i="26"/>
  <c r="V942" i="26"/>
  <c r="V968" i="26"/>
  <c r="V992" i="26"/>
  <c r="V366" i="26"/>
  <c r="V392" i="26"/>
  <c r="V672" i="26"/>
  <c r="V756" i="26"/>
  <c r="V780" i="26"/>
  <c r="V864" i="26"/>
  <c r="V894" i="26"/>
  <c r="V928" i="26"/>
  <c r="V952" i="26"/>
  <c r="V976" i="26"/>
  <c r="V1000" i="26"/>
  <c r="M355" i="26"/>
  <c r="M317" i="26"/>
  <c r="M281" i="26"/>
  <c r="M242" i="26"/>
  <c r="L588" i="26"/>
  <c r="M634" i="26"/>
  <c r="M893" i="26"/>
  <c r="M908" i="26"/>
  <c r="M958" i="26"/>
  <c r="M289" i="26"/>
  <c r="L655" i="26"/>
  <c r="M683" i="26"/>
  <c r="L580" i="26"/>
  <c r="M702" i="26"/>
  <c r="L563" i="26"/>
  <c r="M653" i="26"/>
  <c r="M661" i="26"/>
  <c r="M888" i="26"/>
  <c r="M957" i="26"/>
  <c r="M980" i="26"/>
  <c r="M997" i="26"/>
  <c r="L620" i="26"/>
  <c r="M644" i="26"/>
  <c r="M660" i="26"/>
  <c r="L676" i="26"/>
  <c r="M874" i="26"/>
  <c r="M895" i="26"/>
  <c r="M927" i="26"/>
  <c r="M950" i="26"/>
  <c r="L680" i="26"/>
  <c r="M851" i="26"/>
  <c r="M826" i="26"/>
  <c r="M907" i="26"/>
  <c r="M940" i="26"/>
  <c r="M863" i="26"/>
  <c r="M835" i="26"/>
  <c r="M865" i="26"/>
  <c r="M959" i="26"/>
  <c r="M984" i="26"/>
  <c r="M876" i="26"/>
  <c r="M952" i="26"/>
  <c r="M972" i="26"/>
  <c r="M989" i="26"/>
  <c r="M842" i="26"/>
  <c r="M935" i="26"/>
  <c r="M948" i="26"/>
  <c r="M992" i="26"/>
  <c r="M380" i="26"/>
  <c r="M871" i="26"/>
  <c r="M896" i="26"/>
  <c r="M928" i="26"/>
  <c r="M953" i="26"/>
  <c r="M967" i="26"/>
  <c r="M982" i="26"/>
  <c r="M916" i="26"/>
  <c r="M335" i="26"/>
  <c r="M585" i="26"/>
  <c r="M642" i="26"/>
  <c r="M669" i="26"/>
  <c r="M685" i="26"/>
  <c r="M903" i="26"/>
  <c r="M971" i="26"/>
  <c r="M636" i="26"/>
  <c r="M864" i="26"/>
  <c r="M961" i="26"/>
  <c r="M845" i="26"/>
  <c r="M621" i="26"/>
  <c r="M933" i="26"/>
  <c r="M999" i="26"/>
  <c r="M866" i="26"/>
  <c r="M884" i="26"/>
  <c r="M995" i="26"/>
  <c r="M695" i="26"/>
  <c r="M658" i="26"/>
  <c r="M686" i="26"/>
  <c r="M694" i="26"/>
  <c r="M875" i="26"/>
  <c r="M892" i="26"/>
  <c r="M913" i="26"/>
  <c r="M926" i="26"/>
  <c r="M975" i="26"/>
  <c r="M807" i="26"/>
  <c r="M934" i="26"/>
  <c r="M1000" i="26"/>
  <c r="L732" i="26"/>
  <c r="M837" i="26"/>
  <c r="M709" i="26"/>
  <c r="M803" i="26"/>
  <c r="M381" i="26"/>
  <c r="M663" i="26"/>
  <c r="M879" i="26"/>
  <c r="M915" i="26"/>
  <c r="M988" i="26"/>
  <c r="M609" i="26"/>
  <c r="M624" i="26"/>
  <c r="M910" i="26"/>
  <c r="M936" i="26"/>
  <c r="M829" i="26"/>
  <c r="M969" i="26"/>
  <c r="M860" i="26"/>
  <c r="M872" i="26"/>
  <c r="M904" i="26"/>
  <c r="M963" i="26"/>
  <c r="M821" i="26"/>
  <c r="M853" i="26"/>
  <c r="M278" i="26"/>
  <c r="M667" i="26"/>
  <c r="M873" i="26"/>
  <c r="M930" i="26"/>
  <c r="M728" i="26"/>
  <c r="M295" i="26"/>
  <c r="M627" i="26"/>
  <c r="M679" i="26"/>
  <c r="M877" i="26"/>
  <c r="M839" i="26"/>
  <c r="M859" i="26"/>
  <c r="M656" i="26"/>
  <c r="M973" i="26"/>
  <c r="M632" i="26"/>
  <c r="M938" i="26"/>
  <c r="M974" i="26"/>
  <c r="L674" i="26"/>
  <c r="L706" i="26"/>
  <c r="L641" i="26"/>
  <c r="M881" i="26"/>
  <c r="M857" i="26"/>
  <c r="M923" i="26"/>
  <c r="M331" i="26"/>
  <c r="M617" i="26"/>
  <c r="M625" i="26"/>
  <c r="M901" i="26"/>
  <c r="M917" i="26"/>
  <c r="M955" i="26"/>
  <c r="M932" i="26"/>
  <c r="M294" i="26"/>
  <c r="M384" i="26"/>
  <c r="M185" i="26"/>
  <c r="M918" i="26"/>
  <c r="M946" i="26"/>
  <c r="M891" i="26"/>
  <c r="M224" i="26"/>
  <c r="L633" i="26"/>
  <c r="M883" i="26"/>
  <c r="M977" i="26"/>
  <c r="M847" i="26"/>
  <c r="M921" i="26"/>
  <c r="M976" i="26"/>
  <c r="M998" i="26"/>
  <c r="M223" i="26"/>
  <c r="M178" i="26"/>
  <c r="M430" i="26"/>
  <c r="M631" i="26"/>
  <c r="M887" i="26"/>
  <c r="M945" i="26"/>
  <c r="M210" i="26"/>
  <c r="M293" i="26"/>
  <c r="L682" i="26"/>
  <c r="M966" i="26"/>
  <c r="M861" i="26"/>
  <c r="M870" i="26"/>
  <c r="M878" i="26"/>
  <c r="M912" i="26"/>
  <c r="M664" i="26"/>
  <c r="M834" i="26"/>
  <c r="M539" i="26"/>
  <c r="M369" i="26"/>
  <c r="M194" i="26"/>
  <c r="M361" i="26"/>
  <c r="M561" i="26"/>
  <c r="M671" i="26"/>
  <c r="L710" i="26"/>
  <c r="M645" i="26"/>
  <c r="M693" i="26"/>
  <c r="M964" i="26"/>
  <c r="M986" i="26"/>
  <c r="M858" i="26"/>
  <c r="M880" i="26"/>
  <c r="M889" i="26"/>
  <c r="M897" i="26"/>
  <c r="M914" i="26"/>
  <c r="M925" i="26"/>
  <c r="M970" i="26"/>
  <c r="M341" i="26"/>
  <c r="M590" i="26"/>
  <c r="L824" i="26"/>
  <c r="M843" i="26"/>
  <c r="M303" i="26"/>
  <c r="M276" i="26"/>
  <c r="M279" i="26"/>
  <c r="M593" i="26"/>
  <c r="M654" i="26"/>
  <c r="M678" i="26"/>
  <c r="L726" i="26"/>
  <c r="M890" i="26"/>
  <c r="M898" i="26"/>
  <c r="M942" i="26"/>
  <c r="M949" i="26"/>
  <c r="L652" i="26"/>
  <c r="M823" i="26"/>
  <c r="M855" i="26"/>
  <c r="M954" i="26"/>
  <c r="M981" i="26"/>
  <c r="M813" i="26"/>
  <c r="M819" i="26"/>
  <c r="M270" i="26"/>
  <c r="M869" i="26"/>
  <c r="M885" i="26"/>
  <c r="M900" i="26"/>
  <c r="M922" i="26"/>
  <c r="M944" i="26"/>
  <c r="M951" i="26"/>
  <c r="M902" i="26"/>
  <c r="M929" i="26"/>
  <c r="M965" i="26"/>
  <c r="L810" i="26"/>
  <c r="B119" i="41"/>
  <c r="D119" i="41"/>
  <c r="C122" i="41"/>
  <c r="C123" i="41" s="1"/>
  <c r="C124" i="41" s="1"/>
  <c r="C125" i="41" s="1"/>
  <c r="B113" i="41"/>
  <c r="A117" i="41"/>
  <c r="D117" i="41" s="1"/>
  <c r="D116" i="41"/>
  <c r="B116" i="41"/>
  <c r="A120" i="41"/>
  <c r="A130" i="41"/>
  <c r="D126" i="41"/>
  <c r="B126" i="41"/>
  <c r="A123" i="41"/>
  <c r="M841" i="26"/>
  <c r="M523" i="26"/>
  <c r="M373" i="26"/>
  <c r="M426" i="26"/>
  <c r="M399" i="26"/>
  <c r="M385" i="26"/>
  <c r="M521" i="26"/>
  <c r="M397" i="26"/>
  <c r="L518" i="26"/>
  <c r="M518" i="26" s="1"/>
  <c r="M393" i="26"/>
  <c r="L396" i="26"/>
  <c r="L412" i="26"/>
  <c r="M392" i="26"/>
  <c r="M377" i="26"/>
  <c r="M529" i="26"/>
  <c r="M534" i="26"/>
  <c r="M537" i="26"/>
  <c r="M547" i="26"/>
  <c r="M400" i="26"/>
  <c r="M555" i="26"/>
  <c r="M572" i="26"/>
  <c r="M505" i="26"/>
  <c r="L515" i="26"/>
  <c r="M515" i="26" s="1"/>
  <c r="M509" i="26"/>
  <c r="L507" i="26"/>
  <c r="M507" i="26" s="1"/>
  <c r="M473" i="26"/>
  <c r="J43" i="10"/>
  <c r="H42" i="10"/>
  <c r="M494" i="26"/>
  <c r="M408" i="26"/>
  <c r="M478" i="26"/>
  <c r="L433" i="26"/>
  <c r="L825" i="26"/>
  <c r="M825" i="26"/>
  <c r="M482" i="26"/>
  <c r="M724" i="26"/>
  <c r="L724" i="26"/>
  <c r="M513" i="26"/>
  <c r="M420" i="26"/>
  <c r="L511" i="26"/>
  <c r="M511" i="26" s="1"/>
  <c r="M411" i="26"/>
  <c r="M816" i="26"/>
  <c r="L816" i="26"/>
  <c r="L512" i="26"/>
  <c r="M512" i="26" s="1"/>
  <c r="M612" i="26"/>
  <c r="L612" i="26"/>
  <c r="M548" i="26"/>
  <c r="L548" i="26"/>
  <c r="M604" i="26"/>
  <c r="L604" i="26"/>
  <c r="L550" i="26"/>
  <c r="M550" i="26"/>
  <c r="L506" i="26"/>
  <c r="M506" i="26" s="1"/>
  <c r="L486" i="26"/>
  <c r="M486" i="26" s="1"/>
  <c r="L429" i="26"/>
  <c r="L503" i="26"/>
  <c r="M503" i="26" s="1"/>
  <c r="L409" i="26"/>
  <c r="L364" i="26"/>
  <c r="M364" i="26"/>
  <c r="M716" i="26"/>
  <c r="L716" i="26"/>
  <c r="L542" i="26"/>
  <c r="M542" i="26"/>
  <c r="L208" i="26"/>
  <c r="M208" i="26"/>
  <c r="L284" i="26"/>
  <c r="M284" i="26"/>
  <c r="M808" i="26"/>
  <c r="L808" i="26"/>
  <c r="M301" i="26"/>
  <c r="M868" i="26"/>
  <c r="M919" i="26"/>
  <c r="L307" i="26"/>
  <c r="M307" i="26"/>
  <c r="L398" i="26"/>
  <c r="M398" i="26"/>
  <c r="L372" i="26"/>
  <c r="M372" i="26"/>
  <c r="L526" i="26"/>
  <c r="M526" i="26" s="1"/>
  <c r="L614" i="26"/>
  <c r="M614" i="26"/>
  <c r="L811" i="26"/>
  <c r="M811" i="26"/>
  <c r="L827" i="26"/>
  <c r="M827" i="26"/>
  <c r="L598" i="26"/>
  <c r="M598" i="26"/>
  <c r="M960" i="26"/>
  <c r="L504" i="26"/>
  <c r="M504" i="26" s="1"/>
  <c r="L510" i="26"/>
  <c r="M510" i="26" s="1"/>
  <c r="M532" i="26"/>
  <c r="L532" i="26"/>
  <c r="L231" i="26"/>
  <c r="M231" i="26"/>
  <c r="L239" i="26"/>
  <c r="M239" i="26"/>
  <c r="M310" i="26"/>
  <c r="M318" i="26"/>
  <c r="M419" i="26"/>
  <c r="L558" i="26"/>
  <c r="M558" i="26"/>
  <c r="L566" i="26"/>
  <c r="M566" i="26"/>
  <c r="M540" i="26"/>
  <c r="L540" i="26"/>
  <c r="M217" i="26"/>
  <c r="M701" i="26"/>
  <c r="L388" i="26"/>
  <c r="M388" i="26"/>
  <c r="L524" i="26"/>
  <c r="M524" i="26" s="1"/>
  <c r="L833" i="26"/>
  <c r="M833" i="26"/>
  <c r="L849" i="26"/>
  <c r="M849" i="26"/>
  <c r="M996" i="26"/>
  <c r="L230" i="26"/>
  <c r="M230" i="26"/>
  <c r="L176" i="26"/>
  <c r="M176" i="26"/>
  <c r="L582" i="26"/>
  <c r="M582" i="26"/>
  <c r="L514" i="26"/>
  <c r="M514" i="26" s="1"/>
  <c r="L850" i="26"/>
  <c r="M850" i="26"/>
  <c r="L365" i="26"/>
  <c r="M365" i="26"/>
  <c r="L517" i="26"/>
  <c r="M517" i="26" s="1"/>
  <c r="L501" i="26"/>
  <c r="M501" i="26" s="1"/>
  <c r="L516" i="26"/>
  <c r="M516" i="26" s="1"/>
  <c r="M983" i="26"/>
  <c r="M428" i="26"/>
  <c r="L292" i="26"/>
  <c r="M292" i="26"/>
  <c r="M556" i="26"/>
  <c r="L556" i="26"/>
  <c r="L817" i="26"/>
  <c r="M817" i="26"/>
  <c r="L192" i="26"/>
  <c r="M192" i="26"/>
  <c r="L809" i="26"/>
  <c r="M809" i="26"/>
  <c r="M564" i="26"/>
  <c r="L564" i="26"/>
  <c r="L502" i="26"/>
  <c r="M502" i="26" s="1"/>
  <c r="M596" i="26"/>
  <c r="L596" i="26"/>
  <c r="L404" i="26"/>
  <c r="M465" i="26"/>
  <c r="M403" i="26"/>
  <c r="M418" i="26"/>
  <c r="M453" i="26"/>
  <c r="M432" i="26"/>
  <c r="L432" i="26"/>
  <c r="M423" i="26"/>
  <c r="L423" i="26"/>
  <c r="L424" i="26"/>
  <c r="M424" i="26"/>
  <c r="M413" i="26"/>
  <c r="L413" i="26"/>
  <c r="L406" i="26"/>
  <c r="M406" i="26"/>
  <c r="L476" i="26"/>
  <c r="M476" i="26" s="1"/>
  <c r="L415" i="26"/>
  <c r="M415" i="26"/>
  <c r="L414" i="26"/>
  <c r="M414" i="26"/>
  <c r="M425" i="26"/>
  <c r="L425" i="26"/>
  <c r="M405" i="26"/>
  <c r="L405" i="26"/>
  <c r="L480" i="26"/>
  <c r="M480" i="26" s="1"/>
  <c r="L449" i="26"/>
  <c r="M449" i="26" s="1"/>
  <c r="M422" i="26"/>
  <c r="L407" i="26"/>
  <c r="M407" i="26"/>
  <c r="M421" i="26"/>
  <c r="L421" i="26"/>
  <c r="L427" i="26"/>
  <c r="M427" i="26"/>
  <c r="M401" i="26"/>
  <c r="L401" i="26"/>
  <c r="L488" i="26"/>
  <c r="M488" i="26" s="1"/>
  <c r="M417" i="26"/>
  <c r="L417" i="26"/>
  <c r="M431" i="26"/>
  <c r="L431" i="26"/>
  <c r="L416" i="26"/>
  <c r="M416" i="26"/>
  <c r="L402" i="26"/>
  <c r="M402" i="26"/>
  <c r="L410" i="26"/>
  <c r="M410" i="26"/>
  <c r="L149" i="26"/>
  <c r="M149" i="26"/>
  <c r="L497" i="26"/>
  <c r="M497" i="26" s="1"/>
  <c r="L616" i="26"/>
  <c r="M616" i="26"/>
  <c r="L498" i="26"/>
  <c r="M498" i="26" s="1"/>
  <c r="L740" i="26"/>
  <c r="M740" i="26"/>
  <c r="L836" i="26"/>
  <c r="M836" i="26"/>
  <c r="L754" i="26"/>
  <c r="M754" i="26"/>
  <c r="L786" i="26"/>
  <c r="M786" i="26"/>
  <c r="L75" i="26"/>
  <c r="M75" i="26" s="1"/>
  <c r="L183" i="26"/>
  <c r="M183" i="26"/>
  <c r="L215" i="26"/>
  <c r="M215" i="26"/>
  <c r="L360" i="26"/>
  <c r="M360" i="26"/>
  <c r="L313" i="26"/>
  <c r="M313" i="26"/>
  <c r="L337" i="26"/>
  <c r="M337" i="26"/>
  <c r="L383" i="26"/>
  <c r="M383" i="26"/>
  <c r="L560" i="26"/>
  <c r="M560" i="26"/>
  <c r="L567" i="26"/>
  <c r="M567" i="26"/>
  <c r="L599" i="26"/>
  <c r="M599" i="26"/>
  <c r="L245" i="26"/>
  <c r="M245" i="26"/>
  <c r="L530" i="26"/>
  <c r="M530" i="26"/>
  <c r="L546" i="26"/>
  <c r="M546" i="26"/>
  <c r="L562" i="26"/>
  <c r="M562" i="26"/>
  <c r="M717" i="26"/>
  <c r="L717" i="26"/>
  <c r="L752" i="26"/>
  <c r="M752" i="26"/>
  <c r="L784" i="26"/>
  <c r="M784" i="26"/>
  <c r="L830" i="26"/>
  <c r="M830" i="26"/>
  <c r="L735" i="26"/>
  <c r="M735" i="26"/>
  <c r="L767" i="26"/>
  <c r="M767" i="26"/>
  <c r="L799" i="26"/>
  <c r="M799" i="26"/>
  <c r="M733" i="26"/>
  <c r="L733" i="26"/>
  <c r="M749" i="26"/>
  <c r="L749" i="26"/>
  <c r="M765" i="26"/>
  <c r="L765" i="26"/>
  <c r="M781" i="26"/>
  <c r="L781" i="26"/>
  <c r="M797" i="26"/>
  <c r="L797" i="26"/>
  <c r="L207" i="26"/>
  <c r="M207" i="26"/>
  <c r="L772" i="26"/>
  <c r="M772" i="26"/>
  <c r="L91" i="26"/>
  <c r="M91" i="26" s="1"/>
  <c r="L252" i="26"/>
  <c r="M252" i="26"/>
  <c r="L316" i="26"/>
  <c r="M316" i="26"/>
  <c r="L257" i="26"/>
  <c r="M257" i="26"/>
  <c r="L332" i="26"/>
  <c r="M332" i="26"/>
  <c r="L371" i="26"/>
  <c r="M371" i="26"/>
  <c r="L363" i="26"/>
  <c r="M363" i="26"/>
  <c r="L520" i="26"/>
  <c r="M520" i="26" s="1"/>
  <c r="L592" i="26"/>
  <c r="M592" i="26"/>
  <c r="L527" i="26"/>
  <c r="M527" i="26" s="1"/>
  <c r="M607" i="26"/>
  <c r="L607" i="26"/>
  <c r="L390" i="26"/>
  <c r="M390" i="26"/>
  <c r="L549" i="26"/>
  <c r="M549" i="26"/>
  <c r="L581" i="26"/>
  <c r="M581" i="26"/>
  <c r="L578" i="26"/>
  <c r="M578" i="26"/>
  <c r="L483" i="26"/>
  <c r="M483" i="26" s="1"/>
  <c r="L764" i="26"/>
  <c r="M764" i="26"/>
  <c r="L796" i="26"/>
  <c r="M796" i="26"/>
  <c r="L854" i="26"/>
  <c r="M854" i="26"/>
  <c r="L747" i="26"/>
  <c r="M747" i="26"/>
  <c r="L779" i="26"/>
  <c r="M779" i="26"/>
  <c r="L820" i="26"/>
  <c r="M820" i="26"/>
  <c r="L742" i="26"/>
  <c r="M742" i="26"/>
  <c r="L758" i="26"/>
  <c r="M758" i="26"/>
  <c r="L774" i="26"/>
  <c r="M774" i="26"/>
  <c r="L790" i="26"/>
  <c r="M790" i="26"/>
  <c r="L500" i="26"/>
  <c r="M500" i="26" s="1"/>
  <c r="L155" i="26"/>
  <c r="M155" i="26"/>
  <c r="L573" i="26"/>
  <c r="M573" i="26"/>
  <c r="L600" i="26"/>
  <c r="M600" i="26"/>
  <c r="L787" i="26"/>
  <c r="M787" i="26"/>
  <c r="L228" i="26"/>
  <c r="M228" i="26"/>
  <c r="L324" i="26"/>
  <c r="M324" i="26"/>
  <c r="L179" i="26"/>
  <c r="M179" i="26"/>
  <c r="L211" i="26"/>
  <c r="M211" i="26"/>
  <c r="L387" i="26"/>
  <c r="M387" i="26"/>
  <c r="L305" i="26"/>
  <c r="M305" i="26"/>
  <c r="L394" i="26"/>
  <c r="M394" i="26"/>
  <c r="L544" i="26"/>
  <c r="M544" i="26"/>
  <c r="L551" i="26"/>
  <c r="M551" i="26"/>
  <c r="L575" i="26"/>
  <c r="M575" i="26"/>
  <c r="M615" i="26"/>
  <c r="L615" i="26"/>
  <c r="L608" i="26"/>
  <c r="M608" i="26"/>
  <c r="M725" i="26"/>
  <c r="L725" i="26"/>
  <c r="M730" i="26"/>
  <c r="L730" i="26"/>
  <c r="L744" i="26"/>
  <c r="M744" i="26"/>
  <c r="L776" i="26"/>
  <c r="M776" i="26"/>
  <c r="L814" i="26"/>
  <c r="M814" i="26"/>
  <c r="L759" i="26"/>
  <c r="M759" i="26"/>
  <c r="L791" i="26"/>
  <c r="M791" i="26"/>
  <c r="L844" i="26"/>
  <c r="M844" i="26"/>
  <c r="M737" i="26"/>
  <c r="L737" i="26"/>
  <c r="M753" i="26"/>
  <c r="L753" i="26"/>
  <c r="M769" i="26"/>
  <c r="L769" i="26"/>
  <c r="M785" i="26"/>
  <c r="L785" i="26"/>
  <c r="M801" i="26"/>
  <c r="L801" i="26"/>
  <c r="L308" i="26"/>
  <c r="M308" i="26"/>
  <c r="L543" i="26"/>
  <c r="M543" i="26"/>
  <c r="L594" i="26"/>
  <c r="M594" i="26"/>
  <c r="L159" i="26"/>
  <c r="M159" i="26"/>
  <c r="L191" i="26"/>
  <c r="M191" i="26"/>
  <c r="L171" i="26"/>
  <c r="M171" i="26"/>
  <c r="L203" i="26"/>
  <c r="M203" i="26"/>
  <c r="L221" i="26"/>
  <c r="M221" i="26"/>
  <c r="L115" i="26"/>
  <c r="M115" i="26" s="1"/>
  <c r="L321" i="26"/>
  <c r="M321" i="26"/>
  <c r="L262" i="26"/>
  <c r="M262" i="26"/>
  <c r="L275" i="26"/>
  <c r="M275" i="26"/>
  <c r="L378" i="26"/>
  <c r="M378" i="26"/>
  <c r="L382" i="26"/>
  <c r="M382" i="26"/>
  <c r="L568" i="26"/>
  <c r="M568" i="26"/>
  <c r="L322" i="26"/>
  <c r="M322" i="26"/>
  <c r="L525" i="26"/>
  <c r="M525" i="26" s="1"/>
  <c r="L557" i="26"/>
  <c r="M557" i="26"/>
  <c r="M589" i="26"/>
  <c r="L589" i="26"/>
  <c r="L434" i="26"/>
  <c r="M434" i="26"/>
  <c r="L613" i="26"/>
  <c r="M613" i="26"/>
  <c r="M602" i="26"/>
  <c r="L602" i="26"/>
  <c r="L756" i="26"/>
  <c r="M756" i="26"/>
  <c r="L788" i="26"/>
  <c r="M788" i="26"/>
  <c r="L838" i="26"/>
  <c r="M838" i="26"/>
  <c r="L739" i="26"/>
  <c r="M739" i="26"/>
  <c r="L771" i="26"/>
  <c r="M771" i="26"/>
  <c r="L804" i="26"/>
  <c r="M804" i="26"/>
  <c r="L746" i="26"/>
  <c r="M746" i="26"/>
  <c r="L762" i="26"/>
  <c r="M762" i="26"/>
  <c r="L778" i="26"/>
  <c r="M778" i="26"/>
  <c r="L794" i="26"/>
  <c r="M794" i="26"/>
  <c r="L187" i="26"/>
  <c r="M187" i="26"/>
  <c r="L584" i="26"/>
  <c r="M584" i="26"/>
  <c r="L541" i="26"/>
  <c r="M541" i="26"/>
  <c r="L806" i="26"/>
  <c r="M806" i="26"/>
  <c r="L755" i="26"/>
  <c r="M755" i="26"/>
  <c r="L738" i="26"/>
  <c r="M738" i="26"/>
  <c r="L770" i="26"/>
  <c r="M770" i="26"/>
  <c r="L802" i="26"/>
  <c r="M802" i="26"/>
  <c r="L67" i="26"/>
  <c r="M67" i="26" s="1"/>
  <c r="L123" i="26"/>
  <c r="M123" i="26" s="1"/>
  <c r="L268" i="26"/>
  <c r="M268" i="26"/>
  <c r="L167" i="26"/>
  <c r="M167" i="26"/>
  <c r="L199" i="26"/>
  <c r="M199" i="26"/>
  <c r="L376" i="26"/>
  <c r="M376" i="26"/>
  <c r="L338" i="26"/>
  <c r="M338" i="26"/>
  <c r="L329" i="26"/>
  <c r="M329" i="26"/>
  <c r="L477" i="26"/>
  <c r="M477" i="26" s="1"/>
  <c r="L528" i="26"/>
  <c r="M528" i="26"/>
  <c r="L535" i="26"/>
  <c r="M535" i="26"/>
  <c r="L583" i="26"/>
  <c r="M583" i="26"/>
  <c r="L522" i="26"/>
  <c r="M522" i="26" s="1"/>
  <c r="L538" i="26"/>
  <c r="M538" i="26"/>
  <c r="L554" i="26"/>
  <c r="M554" i="26"/>
  <c r="L570" i="26"/>
  <c r="M570" i="26"/>
  <c r="L586" i="26"/>
  <c r="M586" i="26"/>
  <c r="M713" i="26"/>
  <c r="L713" i="26"/>
  <c r="L736" i="26"/>
  <c r="M736" i="26"/>
  <c r="L768" i="26"/>
  <c r="M768" i="26"/>
  <c r="L800" i="26"/>
  <c r="M800" i="26"/>
  <c r="L751" i="26"/>
  <c r="M751" i="26"/>
  <c r="L783" i="26"/>
  <c r="M783" i="26"/>
  <c r="L828" i="26"/>
  <c r="M828" i="26"/>
  <c r="M719" i="26"/>
  <c r="L719" i="26"/>
  <c r="M729" i="26"/>
  <c r="L729" i="26"/>
  <c r="M741" i="26"/>
  <c r="L741" i="26"/>
  <c r="M757" i="26"/>
  <c r="L757" i="26"/>
  <c r="M773" i="26"/>
  <c r="L773" i="26"/>
  <c r="M789" i="26"/>
  <c r="L789" i="26"/>
  <c r="M832" i="26"/>
  <c r="L832" i="26"/>
  <c r="L495" i="26"/>
  <c r="M495" i="26" s="1"/>
  <c r="L536" i="26"/>
  <c r="M536" i="26"/>
  <c r="L107" i="26"/>
  <c r="M107" i="26" s="1"/>
  <c r="L244" i="26"/>
  <c r="M244" i="26"/>
  <c r="L300" i="26"/>
  <c r="M300" i="26"/>
  <c r="L479" i="26"/>
  <c r="M479" i="26" s="1"/>
  <c r="L236" i="26"/>
  <c r="M236" i="26"/>
  <c r="L481" i="26"/>
  <c r="M481" i="26" s="1"/>
  <c r="L489" i="26"/>
  <c r="M489" i="26" s="1"/>
  <c r="L552" i="26"/>
  <c r="M552" i="26"/>
  <c r="L576" i="26"/>
  <c r="M576" i="26"/>
  <c r="L559" i="26"/>
  <c r="M559" i="26"/>
  <c r="L533" i="26"/>
  <c r="M533" i="26"/>
  <c r="L565" i="26"/>
  <c r="M565" i="26"/>
  <c r="L597" i="26"/>
  <c r="M597" i="26"/>
  <c r="M610" i="26"/>
  <c r="L610" i="26"/>
  <c r="L611" i="26"/>
  <c r="M611" i="26"/>
  <c r="L748" i="26"/>
  <c r="M748" i="26"/>
  <c r="L780" i="26"/>
  <c r="M780" i="26"/>
  <c r="L822" i="26"/>
  <c r="M822" i="26"/>
  <c r="L595" i="26"/>
  <c r="M595" i="26"/>
  <c r="M727" i="26"/>
  <c r="L727" i="26"/>
  <c r="L763" i="26"/>
  <c r="M763" i="26"/>
  <c r="L795" i="26"/>
  <c r="M795" i="26"/>
  <c r="L852" i="26"/>
  <c r="M852" i="26"/>
  <c r="L734" i="26"/>
  <c r="M734" i="26"/>
  <c r="L750" i="26"/>
  <c r="M750" i="26"/>
  <c r="L766" i="26"/>
  <c r="M766" i="26"/>
  <c r="L782" i="26"/>
  <c r="M782" i="26"/>
  <c r="L798" i="26"/>
  <c r="M798" i="26"/>
  <c r="M840" i="26"/>
  <c r="L840" i="26"/>
  <c r="L175" i="26"/>
  <c r="M175" i="26"/>
  <c r="L297" i="26"/>
  <c r="M297" i="26"/>
  <c r="L350" i="26"/>
  <c r="M350" i="26"/>
  <c r="M721" i="26"/>
  <c r="L721" i="26"/>
  <c r="L99" i="26"/>
  <c r="M99" i="26" s="1"/>
  <c r="L83" i="26"/>
  <c r="M83" i="26" s="1"/>
  <c r="L352" i="26"/>
  <c r="M352" i="26"/>
  <c r="L345" i="26"/>
  <c r="M345" i="26"/>
  <c r="L163" i="26"/>
  <c r="M163" i="26"/>
  <c r="L195" i="26"/>
  <c r="M195" i="26"/>
  <c r="L487" i="26"/>
  <c r="M487" i="26" s="1"/>
  <c r="L298" i="26"/>
  <c r="M298" i="26"/>
  <c r="L353" i="26"/>
  <c r="M353" i="26"/>
  <c r="L260" i="26"/>
  <c r="M260" i="26"/>
  <c r="L368" i="26"/>
  <c r="M368" i="26"/>
  <c r="L386" i="26"/>
  <c r="M386" i="26"/>
  <c r="L356" i="26"/>
  <c r="M356" i="26"/>
  <c r="L519" i="26"/>
  <c r="M519" i="26" s="1"/>
  <c r="L591" i="26"/>
  <c r="M591" i="26"/>
  <c r="L438" i="26"/>
  <c r="M438" i="26"/>
  <c r="L605" i="26"/>
  <c r="M605" i="26"/>
  <c r="L760" i="26"/>
  <c r="M760" i="26"/>
  <c r="L792" i="26"/>
  <c r="M792" i="26"/>
  <c r="L846" i="26"/>
  <c r="M846" i="26"/>
  <c r="L743" i="26"/>
  <c r="M743" i="26"/>
  <c r="L775" i="26"/>
  <c r="M775" i="26"/>
  <c r="L812" i="26"/>
  <c r="M812" i="26"/>
  <c r="M745" i="26"/>
  <c r="L745" i="26"/>
  <c r="M761" i="26"/>
  <c r="L761" i="26"/>
  <c r="M777" i="26"/>
  <c r="L777" i="26"/>
  <c r="M793" i="26"/>
  <c r="L793" i="26"/>
  <c r="M848" i="26"/>
  <c r="L848" i="26"/>
  <c r="U93" i="33"/>
  <c r="U94" i="33"/>
  <c r="U6" i="33"/>
  <c r="U7" i="33"/>
  <c r="U8" i="33"/>
  <c r="U9" i="33"/>
  <c r="U10" i="33"/>
  <c r="U11" i="33"/>
  <c r="U12" i="33"/>
  <c r="U13" i="33"/>
  <c r="U14" i="33"/>
  <c r="U15" i="33"/>
  <c r="U16" i="33"/>
  <c r="U65" i="33"/>
  <c r="U66" i="33"/>
  <c r="U67" i="33"/>
  <c r="U68" i="33"/>
  <c r="U69" i="33"/>
  <c r="U70" i="33"/>
  <c r="U71" i="33"/>
  <c r="U72" i="33"/>
  <c r="U73" i="33"/>
  <c r="U74" i="33"/>
  <c r="U75" i="33"/>
  <c r="U76" i="33"/>
  <c r="U77" i="33"/>
  <c r="U78" i="33"/>
  <c r="U79" i="33"/>
  <c r="U80" i="33"/>
  <c r="U81" i="33"/>
  <c r="U82" i="33"/>
  <c r="U83" i="33"/>
  <c r="U84" i="33"/>
  <c r="U85" i="33"/>
  <c r="U86" i="33"/>
  <c r="U87" i="33"/>
  <c r="U88" i="33"/>
  <c r="U89" i="33"/>
  <c r="U90" i="33"/>
  <c r="U91" i="33"/>
  <c r="U92" i="33"/>
  <c r="U146" i="33"/>
  <c r="U147" i="33"/>
  <c r="U148" i="33"/>
  <c r="U198" i="33"/>
  <c r="U199" i="33"/>
  <c r="U201" i="33"/>
  <c r="U202" i="33"/>
  <c r="U237" i="33"/>
  <c r="U238" i="33"/>
  <c r="U287" i="33"/>
  <c r="U288" i="33"/>
  <c r="U289" i="33"/>
  <c r="U299" i="33"/>
  <c r="U300" i="33"/>
  <c r="U301" i="33"/>
  <c r="U302" i="33"/>
  <c r="U303" i="33"/>
  <c r="U304" i="33"/>
  <c r="U305" i="33"/>
  <c r="U306" i="33"/>
  <c r="U307" i="33"/>
  <c r="U308" i="33"/>
  <c r="U309" i="33"/>
  <c r="U310" i="33"/>
  <c r="U311" i="33"/>
  <c r="U312" i="33"/>
  <c r="U313" i="33"/>
  <c r="U314" i="33"/>
  <c r="U315" i="33"/>
  <c r="U316" i="33"/>
  <c r="U317" i="33"/>
  <c r="U318" i="33"/>
  <c r="C126" i="41" l="1"/>
  <c r="C127" i="41" s="1"/>
  <c r="C128" i="41" s="1"/>
  <c r="A134" i="41"/>
  <c r="D130" i="41"/>
  <c r="B130" i="41"/>
  <c r="B117" i="41"/>
  <c r="A121" i="41"/>
  <c r="D121" i="41" s="1"/>
  <c r="B123" i="41"/>
  <c r="D123" i="41"/>
  <c r="D120" i="41"/>
  <c r="B120" i="41"/>
  <c r="A124" i="41"/>
  <c r="A127" i="41"/>
  <c r="J44" i="10"/>
  <c r="H43" i="10"/>
  <c r="K65" i="35"/>
  <c r="K68" i="35"/>
  <c r="L70" i="35"/>
  <c r="L71" i="35"/>
  <c r="K72" i="35"/>
  <c r="K73" i="35"/>
  <c r="K76" i="35"/>
  <c r="L86" i="35"/>
  <c r="L87" i="35"/>
  <c r="K88" i="35"/>
  <c r="K100" i="35"/>
  <c r="L102" i="35"/>
  <c r="L111" i="35"/>
  <c r="K112" i="35"/>
  <c r="K113" i="35"/>
  <c r="K124" i="35"/>
  <c r="L126" i="35"/>
  <c r="L127" i="35"/>
  <c r="K129" i="35"/>
  <c r="K132" i="35"/>
  <c r="L134" i="35"/>
  <c r="L135" i="35"/>
  <c r="K136" i="35"/>
  <c r="K137" i="35"/>
  <c r="K138" i="35"/>
  <c r="L138" i="35"/>
  <c r="K139" i="35"/>
  <c r="L139" i="35"/>
  <c r="K140" i="35"/>
  <c r="L140" i="35"/>
  <c r="K141" i="35"/>
  <c r="L141" i="35"/>
  <c r="L65" i="35"/>
  <c r="K66" i="35"/>
  <c r="K69" i="35"/>
  <c r="K70" i="35"/>
  <c r="K71" i="35"/>
  <c r="L73" i="35"/>
  <c r="K74" i="35"/>
  <c r="K77" i="35"/>
  <c r="K78" i="35"/>
  <c r="K79" i="35"/>
  <c r="K80" i="35"/>
  <c r="L81" i="35"/>
  <c r="K82" i="35"/>
  <c r="K84" i="35"/>
  <c r="K85" i="35"/>
  <c r="K86" i="35"/>
  <c r="K87" i="35"/>
  <c r="L89" i="35"/>
  <c r="K90" i="35"/>
  <c r="K92" i="35"/>
  <c r="K93" i="35"/>
  <c r="K94" i="35"/>
  <c r="K95" i="35"/>
  <c r="K96" i="35"/>
  <c r="L97" i="35"/>
  <c r="K98" i="35"/>
  <c r="K101" i="35"/>
  <c r="K102" i="35"/>
  <c r="K103" i="35"/>
  <c r="K104" i="35"/>
  <c r="L105" i="35"/>
  <c r="K106" i="35"/>
  <c r="K108" i="35"/>
  <c r="K109" i="35"/>
  <c r="K110" i="35"/>
  <c r="K111" i="35"/>
  <c r="L113" i="35"/>
  <c r="K114" i="35"/>
  <c r="K116" i="35"/>
  <c r="K117" i="35"/>
  <c r="K118" i="35"/>
  <c r="K119" i="35"/>
  <c r="K120" i="35"/>
  <c r="L121" i="35"/>
  <c r="K122" i="35"/>
  <c r="K125" i="35"/>
  <c r="K126" i="35"/>
  <c r="K127" i="35"/>
  <c r="K128" i="35"/>
  <c r="L129" i="35"/>
  <c r="K130" i="35"/>
  <c r="K133" i="35"/>
  <c r="K134" i="35"/>
  <c r="K135" i="35"/>
  <c r="L137" i="35"/>
  <c r="L64" i="35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17" i="20"/>
  <c r="B118" i="20"/>
  <c r="B119" i="20"/>
  <c r="B120" i="20"/>
  <c r="B121" i="20"/>
  <c r="B122" i="20"/>
  <c r="B123" i="20"/>
  <c r="B124" i="20"/>
  <c r="B125" i="20"/>
  <c r="C126" i="20"/>
  <c r="C127" i="20"/>
  <c r="B128" i="20"/>
  <c r="C129" i="20"/>
  <c r="B110" i="20"/>
  <c r="C111" i="20"/>
  <c r="B112" i="20"/>
  <c r="B113" i="20"/>
  <c r="B114" i="20"/>
  <c r="C115" i="20"/>
  <c r="B116" i="20"/>
  <c r="Q26" i="26"/>
  <c r="Q27" i="26"/>
  <c r="Q28" i="26"/>
  <c r="Q29" i="26"/>
  <c r="Q30" i="26"/>
  <c r="Q31" i="26"/>
  <c r="Q32" i="26"/>
  <c r="Q33" i="26"/>
  <c r="Q34" i="26"/>
  <c r="Q35" i="26"/>
  <c r="Q36" i="26"/>
  <c r="Q37" i="26"/>
  <c r="Q38" i="26"/>
  <c r="Q39" i="26"/>
  <c r="BA31" i="33" l="1"/>
  <c r="BA32" i="33"/>
  <c r="C129" i="41"/>
  <c r="C130" i="41" s="1"/>
  <c r="C131" i="41" s="1"/>
  <c r="C132" i="41" s="1"/>
  <c r="C133" i="41" s="1"/>
  <c r="D124" i="41"/>
  <c r="B124" i="41"/>
  <c r="A128" i="41"/>
  <c r="B121" i="41"/>
  <c r="A125" i="41"/>
  <c r="D125" i="41" s="1"/>
  <c r="A138" i="41"/>
  <c r="D134" i="41"/>
  <c r="B134" i="41"/>
  <c r="D127" i="41"/>
  <c r="B127" i="41"/>
  <c r="A131" i="41"/>
  <c r="BA30" i="33"/>
  <c r="BA18" i="33"/>
  <c r="J45" i="10"/>
  <c r="H44" i="10"/>
  <c r="M141" i="35"/>
  <c r="B129" i="20"/>
  <c r="C153" i="20"/>
  <c r="C151" i="20"/>
  <c r="C149" i="20"/>
  <c r="C147" i="20"/>
  <c r="C141" i="20"/>
  <c r="C131" i="20"/>
  <c r="C137" i="20"/>
  <c r="B127" i="20"/>
  <c r="C145" i="20"/>
  <c r="C139" i="20"/>
  <c r="C133" i="20"/>
  <c r="C143" i="20"/>
  <c r="C135" i="20"/>
  <c r="C128" i="20"/>
  <c r="C116" i="20"/>
  <c r="B126" i="20"/>
  <c r="C118" i="20"/>
  <c r="C121" i="20"/>
  <c r="C114" i="20"/>
  <c r="C117" i="20"/>
  <c r="C124" i="20"/>
  <c r="C120" i="20"/>
  <c r="C112" i="20"/>
  <c r="M140" i="35"/>
  <c r="M138" i="35"/>
  <c r="C123" i="20"/>
  <c r="C125" i="20"/>
  <c r="B111" i="20"/>
  <c r="C122" i="20"/>
  <c r="B115" i="20"/>
  <c r="C110" i="20"/>
  <c r="M70" i="35"/>
  <c r="M139" i="35"/>
  <c r="M102" i="35"/>
  <c r="M127" i="35"/>
  <c r="M126" i="35"/>
  <c r="M87" i="35"/>
  <c r="M86" i="35"/>
  <c r="K97" i="35"/>
  <c r="M97" i="35" s="1"/>
  <c r="K121" i="35"/>
  <c r="M121" i="35" s="1"/>
  <c r="L110" i="35"/>
  <c r="M110" i="35" s="1"/>
  <c r="L95" i="35"/>
  <c r="M95" i="35" s="1"/>
  <c r="K81" i="35"/>
  <c r="M81" i="35" s="1"/>
  <c r="L119" i="35"/>
  <c r="M119" i="35" s="1"/>
  <c r="K105" i="35"/>
  <c r="M105" i="35" s="1"/>
  <c r="L94" i="35"/>
  <c r="M94" i="35" s="1"/>
  <c r="L118" i="35"/>
  <c r="M118" i="35" s="1"/>
  <c r="L79" i="35"/>
  <c r="M79" i="35" s="1"/>
  <c r="L103" i="35"/>
  <c r="M103" i="35" s="1"/>
  <c r="K89" i="35"/>
  <c r="M89" i="35" s="1"/>
  <c r="L78" i="35"/>
  <c r="M78" i="35" s="1"/>
  <c r="M111" i="35"/>
  <c r="M71" i="35"/>
  <c r="M135" i="35"/>
  <c r="M134" i="35"/>
  <c r="L136" i="35"/>
  <c r="M136" i="35" s="1"/>
  <c r="L132" i="35"/>
  <c r="M132" i="35" s="1"/>
  <c r="L128" i="35"/>
  <c r="M128" i="35" s="1"/>
  <c r="L124" i="35"/>
  <c r="M124" i="35" s="1"/>
  <c r="L120" i="35"/>
  <c r="M120" i="35" s="1"/>
  <c r="L116" i="35"/>
  <c r="M116" i="35" s="1"/>
  <c r="L112" i="35"/>
  <c r="M112" i="35" s="1"/>
  <c r="L108" i="35"/>
  <c r="M108" i="35" s="1"/>
  <c r="L104" i="35"/>
  <c r="M104" i="35" s="1"/>
  <c r="L100" i="35"/>
  <c r="L96" i="35"/>
  <c r="M96" i="35" s="1"/>
  <c r="L92" i="35"/>
  <c r="M92" i="35" s="1"/>
  <c r="L88" i="35"/>
  <c r="M88" i="35" s="1"/>
  <c r="L84" i="35"/>
  <c r="M84" i="35" s="1"/>
  <c r="L80" i="35"/>
  <c r="L76" i="35"/>
  <c r="M76" i="35" s="1"/>
  <c r="L72" i="35"/>
  <c r="M72" i="35" s="1"/>
  <c r="L68" i="35"/>
  <c r="M68" i="35" s="1"/>
  <c r="L131" i="35"/>
  <c r="L107" i="35"/>
  <c r="L99" i="35"/>
  <c r="L91" i="35"/>
  <c r="L67" i="35"/>
  <c r="BA29" i="33"/>
  <c r="L123" i="35"/>
  <c r="L115" i="35"/>
  <c r="L83" i="35"/>
  <c r="L75" i="35"/>
  <c r="K131" i="35"/>
  <c r="K123" i="35"/>
  <c r="K115" i="35"/>
  <c r="K107" i="35"/>
  <c r="K99" i="35"/>
  <c r="K91" i="35"/>
  <c r="K83" i="35"/>
  <c r="K75" i="35"/>
  <c r="K67" i="35"/>
  <c r="BA28" i="33"/>
  <c r="BA24" i="33"/>
  <c r="BA20" i="33"/>
  <c r="K64" i="35"/>
  <c r="M64" i="35" s="1"/>
  <c r="L130" i="35"/>
  <c r="M130" i="35" s="1"/>
  <c r="L122" i="35"/>
  <c r="M122" i="35" s="1"/>
  <c r="L106" i="35"/>
  <c r="M106" i="35" s="1"/>
  <c r="L90" i="35"/>
  <c r="M90" i="35" s="1"/>
  <c r="L82" i="35"/>
  <c r="M82" i="35" s="1"/>
  <c r="L74" i="35"/>
  <c r="M74" i="35" s="1"/>
  <c r="L66" i="35"/>
  <c r="M66" i="35" s="1"/>
  <c r="BA21" i="33"/>
  <c r="L114" i="35"/>
  <c r="M114" i="35" s="1"/>
  <c r="L98" i="35"/>
  <c r="M98" i="35" s="1"/>
  <c r="M137" i="35"/>
  <c r="M129" i="35"/>
  <c r="M113" i="35"/>
  <c r="M73" i="35"/>
  <c r="M65" i="35"/>
  <c r="BA27" i="33"/>
  <c r="BA19" i="33"/>
  <c r="BA25" i="33"/>
  <c r="L133" i="35"/>
  <c r="M133" i="35" s="1"/>
  <c r="L125" i="35"/>
  <c r="M125" i="35" s="1"/>
  <c r="L117" i="35"/>
  <c r="M117" i="35" s="1"/>
  <c r="L109" i="35"/>
  <c r="M109" i="35" s="1"/>
  <c r="L101" i="35"/>
  <c r="M101" i="35" s="1"/>
  <c r="L93" i="35"/>
  <c r="M93" i="35" s="1"/>
  <c r="L85" i="35"/>
  <c r="M85" i="35" s="1"/>
  <c r="L77" i="35"/>
  <c r="M77" i="35" s="1"/>
  <c r="L69" i="35"/>
  <c r="M69" i="35" s="1"/>
  <c r="BA17" i="33"/>
  <c r="BA26" i="33"/>
  <c r="BA22" i="33"/>
  <c r="C119" i="20"/>
  <c r="C113" i="20"/>
  <c r="C152" i="20"/>
  <c r="C150" i="20"/>
  <c r="C148" i="20"/>
  <c r="C146" i="20"/>
  <c r="C144" i="20"/>
  <c r="C142" i="20"/>
  <c r="C140" i="20"/>
  <c r="C138" i="20"/>
  <c r="C136" i="20"/>
  <c r="C134" i="20"/>
  <c r="C132" i="20"/>
  <c r="C130" i="20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BB20" i="33" l="1"/>
  <c r="O35" i="26"/>
  <c r="U35" i="26"/>
  <c r="S35" i="26"/>
  <c r="T35" i="26"/>
  <c r="R35" i="26"/>
  <c r="N27" i="26"/>
  <c r="U27" i="26"/>
  <c r="S27" i="26"/>
  <c r="T27" i="26"/>
  <c r="R27" i="26"/>
  <c r="N31" i="26"/>
  <c r="U31" i="26"/>
  <c r="S31" i="26"/>
  <c r="T31" i="26"/>
  <c r="R31" i="26"/>
  <c r="O38" i="26"/>
  <c r="U38" i="26"/>
  <c r="R38" i="26"/>
  <c r="S38" i="26"/>
  <c r="T38" i="26"/>
  <c r="K34" i="26"/>
  <c r="L34" i="26" s="1"/>
  <c r="U34" i="26"/>
  <c r="R34" i="26"/>
  <c r="S34" i="26"/>
  <c r="T34" i="26"/>
  <c r="O30" i="26"/>
  <c r="U30" i="26"/>
  <c r="R30" i="26"/>
  <c r="S30" i="26"/>
  <c r="T30" i="26"/>
  <c r="K26" i="26"/>
  <c r="U26" i="26"/>
  <c r="R26" i="26"/>
  <c r="T26" i="26"/>
  <c r="S26" i="26"/>
  <c r="P39" i="26"/>
  <c r="U39" i="26"/>
  <c r="S39" i="26"/>
  <c r="T39" i="26"/>
  <c r="R39" i="26"/>
  <c r="N37" i="26"/>
  <c r="U37" i="26"/>
  <c r="R37" i="26"/>
  <c r="S37" i="26"/>
  <c r="T37" i="26"/>
  <c r="K33" i="26"/>
  <c r="M33" i="26" s="1"/>
  <c r="U33" i="26"/>
  <c r="R33" i="26"/>
  <c r="S33" i="26"/>
  <c r="T33" i="26"/>
  <c r="N29" i="26"/>
  <c r="U29" i="26"/>
  <c r="R29" i="26"/>
  <c r="S29" i="26"/>
  <c r="T29" i="26"/>
  <c r="N36" i="26"/>
  <c r="U36" i="26"/>
  <c r="T36" i="26"/>
  <c r="R36" i="26"/>
  <c r="S36" i="26"/>
  <c r="O32" i="26"/>
  <c r="T32" i="26"/>
  <c r="U32" i="26"/>
  <c r="R32" i="26"/>
  <c r="S32" i="26"/>
  <c r="K28" i="26"/>
  <c r="M28" i="26" s="1"/>
  <c r="T28" i="26"/>
  <c r="U28" i="26"/>
  <c r="R28" i="26"/>
  <c r="S28" i="26"/>
  <c r="M80" i="35"/>
  <c r="BB31" i="33"/>
  <c r="BC31" i="33" s="1"/>
  <c r="M100" i="35"/>
  <c r="BB32" i="33"/>
  <c r="BC32" i="33" s="1"/>
  <c r="C134" i="41"/>
  <c r="C135" i="41" s="1"/>
  <c r="C136" i="41" s="1"/>
  <c r="C137" i="41" s="1"/>
  <c r="D128" i="41"/>
  <c r="B128" i="41"/>
  <c r="A132" i="41"/>
  <c r="B131" i="41"/>
  <c r="D131" i="41"/>
  <c r="A142" i="41"/>
  <c r="D138" i="41"/>
  <c r="B138" i="41"/>
  <c r="B125" i="41"/>
  <c r="A129" i="41"/>
  <c r="D129" i="41" s="1"/>
  <c r="A135" i="41"/>
  <c r="BB29" i="33"/>
  <c r="BC29" i="33" s="1"/>
  <c r="BB23" i="33"/>
  <c r="BB30" i="33"/>
  <c r="BC30" i="33" s="1"/>
  <c r="J46" i="10"/>
  <c r="H45" i="10"/>
  <c r="BA23" i="33"/>
  <c r="BA33" i="33" s="1"/>
  <c r="BB25" i="33"/>
  <c r="BC25" i="33" s="1"/>
  <c r="BB22" i="33"/>
  <c r="BC22" i="33" s="1"/>
  <c r="BB28" i="33"/>
  <c r="BC28" i="33" s="1"/>
  <c r="BB26" i="33"/>
  <c r="BC26" i="33" s="1"/>
  <c r="BB21" i="33"/>
  <c r="BC21" i="33" s="1"/>
  <c r="BB24" i="33"/>
  <c r="BC24" i="33" s="1"/>
  <c r="BB17" i="33"/>
  <c r="M131" i="35"/>
  <c r="P31" i="26"/>
  <c r="BB27" i="33"/>
  <c r="BC27" i="33" s="1"/>
  <c r="BB18" i="33"/>
  <c r="BC18" i="33" s="1"/>
  <c r="BB19" i="33"/>
  <c r="BC19" i="33" s="1"/>
  <c r="M123" i="35"/>
  <c r="M75" i="35"/>
  <c r="M83" i="35"/>
  <c r="M91" i="35"/>
  <c r="M115" i="35"/>
  <c r="M99" i="35"/>
  <c r="M107" i="35"/>
  <c r="BC20" i="33"/>
  <c r="M67" i="35"/>
  <c r="O39" i="26"/>
  <c r="N39" i="26"/>
  <c r="P27" i="26"/>
  <c r="K39" i="26"/>
  <c r="L39" i="26" s="1"/>
  <c r="K37" i="26"/>
  <c r="O31" i="26"/>
  <c r="K27" i="26"/>
  <c r="L27" i="26" s="1"/>
  <c r="K35" i="26"/>
  <c r="L35" i="26" s="1"/>
  <c r="K31" i="26"/>
  <c r="P38" i="26"/>
  <c r="K38" i="26"/>
  <c r="P37" i="26"/>
  <c r="P29" i="26"/>
  <c r="L33" i="26"/>
  <c r="K29" i="26"/>
  <c r="P36" i="26"/>
  <c r="P28" i="26"/>
  <c r="O33" i="26"/>
  <c r="P35" i="26"/>
  <c r="N33" i="26"/>
  <c r="P34" i="26"/>
  <c r="P26" i="26"/>
  <c r="P33" i="26"/>
  <c r="P30" i="26"/>
  <c r="N38" i="26"/>
  <c r="P32" i="26"/>
  <c r="L26" i="26"/>
  <c r="N32" i="26"/>
  <c r="O34" i="26"/>
  <c r="O26" i="26"/>
  <c r="O27" i="26"/>
  <c r="N26" i="26"/>
  <c r="K30" i="26"/>
  <c r="O36" i="26"/>
  <c r="N35" i="26"/>
  <c r="K32" i="26"/>
  <c r="O28" i="26"/>
  <c r="O29" i="26"/>
  <c r="N28" i="26"/>
  <c r="N30" i="26"/>
  <c r="K36" i="26"/>
  <c r="N34" i="26"/>
  <c r="O37" i="26"/>
  <c r="A250" i="31"/>
  <c r="A251" i="31"/>
  <c r="A252" i="31"/>
  <c r="A253" i="31"/>
  <c r="A254" i="31"/>
  <c r="A255" i="31"/>
  <c r="A256" i="31"/>
  <c r="A257" i="31"/>
  <c r="A258" i="31"/>
  <c r="A259" i="31"/>
  <c r="A260" i="31"/>
  <c r="A261" i="31"/>
  <c r="A262" i="31"/>
  <c r="A263" i="31"/>
  <c r="A264" i="31"/>
  <c r="A265" i="31"/>
  <c r="A266" i="31"/>
  <c r="A267" i="31"/>
  <c r="A268" i="31"/>
  <c r="A269" i="31"/>
  <c r="A270" i="31"/>
  <c r="A271" i="31"/>
  <c r="A272" i="31"/>
  <c r="A273" i="31"/>
  <c r="A274" i="31"/>
  <c r="A275" i="31"/>
  <c r="A276" i="31"/>
  <c r="A277" i="31"/>
  <c r="A278" i="31"/>
  <c r="A279" i="31"/>
  <c r="A280" i="31"/>
  <c r="A281" i="31"/>
  <c r="A282" i="31"/>
  <c r="A283" i="31"/>
  <c r="A284" i="31"/>
  <c r="A285" i="31"/>
  <c r="A286" i="31"/>
  <c r="A287" i="31"/>
  <c r="A288" i="31"/>
  <c r="A289" i="31"/>
  <c r="A290" i="31"/>
  <c r="A291" i="31"/>
  <c r="A292" i="31"/>
  <c r="A293" i="31"/>
  <c r="A294" i="31"/>
  <c r="A295" i="31"/>
  <c r="A296" i="31"/>
  <c r="A297" i="31"/>
  <c r="A298" i="31"/>
  <c r="A299" i="31"/>
  <c r="A300" i="31"/>
  <c r="A301" i="31"/>
  <c r="A302" i="31"/>
  <c r="A303" i="31"/>
  <c r="A304" i="31"/>
  <c r="A305" i="31"/>
  <c r="A306" i="31"/>
  <c r="A307" i="31"/>
  <c r="A308" i="31"/>
  <c r="A309" i="31"/>
  <c r="A310" i="31"/>
  <c r="A311" i="31"/>
  <c r="A312" i="31"/>
  <c r="A313" i="31"/>
  <c r="A314" i="31"/>
  <c r="A315" i="31"/>
  <c r="A316" i="31"/>
  <c r="A317" i="31"/>
  <c r="A318" i="31"/>
  <c r="A319" i="31"/>
  <c r="A320" i="31"/>
  <c r="A321" i="31"/>
  <c r="A322" i="31"/>
  <c r="A323" i="31"/>
  <c r="A324" i="31"/>
  <c r="A325" i="31"/>
  <c r="A326" i="31"/>
  <c r="A327" i="31"/>
  <c r="A328" i="31"/>
  <c r="A329" i="31"/>
  <c r="A330" i="31"/>
  <c r="A331" i="31"/>
  <c r="A332" i="31"/>
  <c r="A333" i="31"/>
  <c r="A334" i="31"/>
  <c r="A335" i="31"/>
  <c r="A336" i="31"/>
  <c r="A337" i="31"/>
  <c r="A338" i="31"/>
  <c r="A339" i="31"/>
  <c r="A340" i="31"/>
  <c r="A341" i="31"/>
  <c r="A342" i="31"/>
  <c r="A343" i="31"/>
  <c r="A344" i="31"/>
  <c r="A345" i="31"/>
  <c r="A346" i="31"/>
  <c r="A347" i="31"/>
  <c r="A348" i="31"/>
  <c r="A349" i="31"/>
  <c r="A350" i="31"/>
  <c r="A351" i="31"/>
  <c r="A352" i="31"/>
  <c r="A353" i="31"/>
  <c r="A354" i="31"/>
  <c r="A355" i="31"/>
  <c r="A356" i="31"/>
  <c r="A357" i="31"/>
  <c r="A358" i="31"/>
  <c r="A359" i="31"/>
  <c r="A360" i="31"/>
  <c r="A361" i="31"/>
  <c r="A362" i="31"/>
  <c r="A363" i="31"/>
  <c r="A364" i="31"/>
  <c r="A365" i="31"/>
  <c r="A366" i="31"/>
  <c r="A367" i="31"/>
  <c r="A368" i="31"/>
  <c r="A369" i="31"/>
  <c r="A370" i="31"/>
  <c r="A371" i="31"/>
  <c r="A372" i="31"/>
  <c r="A373" i="31"/>
  <c r="A374" i="31"/>
  <c r="A375" i="31"/>
  <c r="A376" i="31"/>
  <c r="A377" i="31"/>
  <c r="A378" i="31"/>
  <c r="A379" i="31"/>
  <c r="A380" i="31"/>
  <c r="A381" i="31"/>
  <c r="A382" i="31"/>
  <c r="A383" i="31"/>
  <c r="A384" i="31"/>
  <c r="A385" i="31"/>
  <c r="A386" i="31"/>
  <c r="A387" i="31"/>
  <c r="A388" i="31"/>
  <c r="A389" i="31"/>
  <c r="A390" i="31"/>
  <c r="A391" i="31"/>
  <c r="A392" i="31"/>
  <c r="A393" i="31"/>
  <c r="A394" i="31"/>
  <c r="A395" i="31"/>
  <c r="A396" i="31"/>
  <c r="A397" i="31"/>
  <c r="A398" i="31"/>
  <c r="A399" i="31"/>
  <c r="A400" i="31"/>
  <c r="A401" i="31"/>
  <c r="A402" i="31"/>
  <c r="A403" i="31"/>
  <c r="A404" i="31"/>
  <c r="A405" i="31"/>
  <c r="A406" i="31"/>
  <c r="A407" i="31"/>
  <c r="A408" i="31"/>
  <c r="A409" i="31"/>
  <c r="A410" i="31"/>
  <c r="A411" i="31"/>
  <c r="A412" i="31"/>
  <c r="A413" i="31"/>
  <c r="A414" i="31"/>
  <c r="A415" i="31"/>
  <c r="A416" i="31"/>
  <c r="A417" i="31"/>
  <c r="A418" i="31"/>
  <c r="A419" i="31"/>
  <c r="A420" i="31"/>
  <c r="A421" i="31"/>
  <c r="A422" i="31"/>
  <c r="A423" i="31"/>
  <c r="A424" i="31"/>
  <c r="A425" i="31"/>
  <c r="A426" i="31"/>
  <c r="A427" i="31"/>
  <c r="A428" i="31"/>
  <c r="A429" i="31"/>
  <c r="A430" i="31"/>
  <c r="A431" i="31"/>
  <c r="A432" i="31"/>
  <c r="A433" i="31"/>
  <c r="A434" i="31"/>
  <c r="A435" i="31"/>
  <c r="A436" i="31"/>
  <c r="A437" i="31"/>
  <c r="A438" i="31"/>
  <c r="A439" i="31"/>
  <c r="A440" i="31"/>
  <c r="A441" i="31"/>
  <c r="A442" i="31"/>
  <c r="A443" i="31"/>
  <c r="A444" i="31"/>
  <c r="A445" i="31"/>
  <c r="A446" i="31"/>
  <c r="A447" i="31"/>
  <c r="A448" i="31"/>
  <c r="A449" i="31"/>
  <c r="A450" i="31"/>
  <c r="A451" i="31"/>
  <c r="A452" i="31"/>
  <c r="A453" i="31"/>
  <c r="A454" i="31"/>
  <c r="A455" i="31"/>
  <c r="A456" i="31"/>
  <c r="A457" i="31"/>
  <c r="A458" i="31"/>
  <c r="A459" i="31"/>
  <c r="A460" i="31"/>
  <c r="A461" i="31"/>
  <c r="A462" i="31"/>
  <c r="A463" i="31"/>
  <c r="A464" i="31"/>
  <c r="A465" i="31"/>
  <c r="A466" i="31"/>
  <c r="A467" i="31"/>
  <c r="A468" i="31"/>
  <c r="A469" i="31"/>
  <c r="A470" i="31"/>
  <c r="A471" i="31"/>
  <c r="A472" i="31"/>
  <c r="A473" i="31"/>
  <c r="A474" i="31"/>
  <c r="A475" i="31"/>
  <c r="A476" i="31"/>
  <c r="A477" i="31"/>
  <c r="A478" i="31"/>
  <c r="A479" i="31"/>
  <c r="A480" i="31"/>
  <c r="A481" i="31"/>
  <c r="A482" i="31"/>
  <c r="A483" i="31"/>
  <c r="A484" i="31"/>
  <c r="A485" i="31"/>
  <c r="A486" i="31"/>
  <c r="A487" i="31"/>
  <c r="A488" i="31"/>
  <c r="A489" i="31"/>
  <c r="A490" i="31"/>
  <c r="A491" i="31"/>
  <c r="A492" i="31"/>
  <c r="A493" i="31"/>
  <c r="A494" i="31"/>
  <c r="A495" i="31"/>
  <c r="A496" i="31"/>
  <c r="A497" i="31"/>
  <c r="A498" i="31"/>
  <c r="A499" i="31"/>
  <c r="A500" i="31"/>
  <c r="A501" i="31"/>
  <c r="A502" i="31"/>
  <c r="A503" i="31"/>
  <c r="A504" i="31"/>
  <c r="A505" i="31"/>
  <c r="A506" i="31"/>
  <c r="A507" i="31"/>
  <c r="A508" i="31"/>
  <c r="A509" i="31"/>
  <c r="A510" i="31"/>
  <c r="A511" i="31"/>
  <c r="A512" i="31"/>
  <c r="A513" i="31"/>
  <c r="A514" i="31"/>
  <c r="A515" i="31"/>
  <c r="A516" i="31"/>
  <c r="A517" i="31"/>
  <c r="A518" i="31"/>
  <c r="A519" i="31"/>
  <c r="A520" i="31"/>
  <c r="A521" i="31"/>
  <c r="A522" i="31"/>
  <c r="A523" i="31"/>
  <c r="A524" i="31"/>
  <c r="A525" i="31"/>
  <c r="A526" i="31"/>
  <c r="A527" i="31"/>
  <c r="A528" i="31"/>
  <c r="A529" i="31"/>
  <c r="A530" i="31"/>
  <c r="A531" i="31"/>
  <c r="A532" i="31"/>
  <c r="A533" i="31"/>
  <c r="A534" i="31"/>
  <c r="A535" i="31"/>
  <c r="A536" i="31"/>
  <c r="A537" i="31"/>
  <c r="A538" i="31"/>
  <c r="A539" i="31"/>
  <c r="A540" i="31"/>
  <c r="A541" i="31"/>
  <c r="A542" i="31"/>
  <c r="A543" i="31"/>
  <c r="A544" i="31"/>
  <c r="A545" i="31"/>
  <c r="A546" i="31"/>
  <c r="A547" i="31"/>
  <c r="A548" i="31"/>
  <c r="A549" i="31"/>
  <c r="A550" i="31"/>
  <c r="A551" i="31"/>
  <c r="A552" i="31"/>
  <c r="A553" i="31"/>
  <c r="A554" i="31"/>
  <c r="A555" i="31"/>
  <c r="A556" i="31"/>
  <c r="A557" i="31"/>
  <c r="A558" i="31"/>
  <c r="A559" i="31"/>
  <c r="A560" i="31"/>
  <c r="A561" i="31"/>
  <c r="A562" i="31"/>
  <c r="A563" i="31"/>
  <c r="A564" i="31"/>
  <c r="A565" i="31"/>
  <c r="A566" i="31"/>
  <c r="A567" i="31"/>
  <c r="A568" i="31"/>
  <c r="A569" i="31"/>
  <c r="A570" i="31"/>
  <c r="A571" i="31"/>
  <c r="A572" i="31"/>
  <c r="A573" i="31"/>
  <c r="A574" i="31"/>
  <c r="A575" i="31"/>
  <c r="A576" i="31"/>
  <c r="A577" i="31"/>
  <c r="A578" i="31"/>
  <c r="A579" i="31"/>
  <c r="A580" i="31"/>
  <c r="A581" i="31"/>
  <c r="A582" i="31"/>
  <c r="A583" i="31"/>
  <c r="A584" i="31"/>
  <c r="A585" i="31"/>
  <c r="A586" i="31"/>
  <c r="A587" i="31"/>
  <c r="A588" i="31"/>
  <c r="A589" i="31"/>
  <c r="A590" i="31"/>
  <c r="A591" i="31"/>
  <c r="A592" i="31"/>
  <c r="A593" i="31"/>
  <c r="A594" i="31"/>
  <c r="A595" i="31"/>
  <c r="A596" i="31"/>
  <c r="A597" i="31"/>
  <c r="A598" i="31"/>
  <c r="A599" i="31"/>
  <c r="A600" i="31"/>
  <c r="A601" i="31"/>
  <c r="A602" i="31"/>
  <c r="A603" i="31"/>
  <c r="A604" i="31"/>
  <c r="A605" i="31"/>
  <c r="A606" i="31"/>
  <c r="A607" i="31"/>
  <c r="A608" i="31"/>
  <c r="A609" i="31"/>
  <c r="A610" i="31"/>
  <c r="A611" i="31"/>
  <c r="A612" i="31"/>
  <c r="A613" i="31"/>
  <c r="A614" i="31"/>
  <c r="A615" i="31"/>
  <c r="A616" i="31"/>
  <c r="A617" i="31"/>
  <c r="A618" i="31"/>
  <c r="A619" i="31"/>
  <c r="A620" i="31"/>
  <c r="A621" i="31"/>
  <c r="A622" i="31"/>
  <c r="A623" i="31"/>
  <c r="A624" i="31"/>
  <c r="A625" i="31"/>
  <c r="A626" i="31"/>
  <c r="A627" i="31"/>
  <c r="A628" i="31"/>
  <c r="A629" i="31"/>
  <c r="A630" i="31"/>
  <c r="A631" i="31"/>
  <c r="A632" i="31"/>
  <c r="A633" i="31"/>
  <c r="A634" i="31"/>
  <c r="A635" i="31"/>
  <c r="A636" i="31"/>
  <c r="A637" i="31"/>
  <c r="A638" i="31"/>
  <c r="A639" i="31"/>
  <c r="A640" i="31"/>
  <c r="A641" i="31"/>
  <c r="A642" i="31"/>
  <c r="A643" i="31"/>
  <c r="A644" i="31"/>
  <c r="A645" i="31"/>
  <c r="A646" i="31"/>
  <c r="A647" i="31"/>
  <c r="A648" i="31"/>
  <c r="A649" i="31"/>
  <c r="A650" i="31"/>
  <c r="A651" i="31"/>
  <c r="A652" i="31"/>
  <c r="A653" i="31"/>
  <c r="A654" i="31"/>
  <c r="A655" i="31"/>
  <c r="A656" i="31"/>
  <c r="A657" i="31"/>
  <c r="A658" i="31"/>
  <c r="A659" i="31"/>
  <c r="A660" i="31"/>
  <c r="A661" i="31"/>
  <c r="A662" i="31"/>
  <c r="A663" i="31"/>
  <c r="A664" i="31"/>
  <c r="A665" i="31"/>
  <c r="A666" i="31"/>
  <c r="A667" i="31"/>
  <c r="A668" i="31"/>
  <c r="A669" i="31"/>
  <c r="A670" i="31"/>
  <c r="A671" i="31"/>
  <c r="A672" i="31"/>
  <c r="A673" i="31"/>
  <c r="A674" i="31"/>
  <c r="A675" i="31"/>
  <c r="A676" i="31"/>
  <c r="A677" i="31"/>
  <c r="A678" i="31"/>
  <c r="A679" i="31"/>
  <c r="A680" i="31"/>
  <c r="A681" i="31"/>
  <c r="A682" i="31"/>
  <c r="A683" i="31"/>
  <c r="A684" i="31"/>
  <c r="A685" i="31"/>
  <c r="A686" i="31"/>
  <c r="A687" i="31"/>
  <c r="A688" i="31"/>
  <c r="A689" i="31"/>
  <c r="A690" i="31"/>
  <c r="A691" i="31"/>
  <c r="A692" i="31"/>
  <c r="A693" i="31"/>
  <c r="A694" i="31"/>
  <c r="A695" i="31"/>
  <c r="A696" i="31"/>
  <c r="A697" i="31"/>
  <c r="A698" i="31"/>
  <c r="A699" i="31"/>
  <c r="A700" i="31"/>
  <c r="A701" i="31"/>
  <c r="A702" i="31"/>
  <c r="A703" i="31"/>
  <c r="A704" i="31"/>
  <c r="A705" i="31"/>
  <c r="A706" i="31"/>
  <c r="A707" i="31"/>
  <c r="A708" i="31"/>
  <c r="A709" i="31"/>
  <c r="A710" i="31"/>
  <c r="A711" i="31"/>
  <c r="A712" i="31"/>
  <c r="A713" i="31"/>
  <c r="A714" i="31"/>
  <c r="A715" i="31"/>
  <c r="A716" i="31"/>
  <c r="A717" i="31"/>
  <c r="A718" i="31"/>
  <c r="A719" i="31"/>
  <c r="A720" i="31"/>
  <c r="A721" i="31"/>
  <c r="A722" i="31"/>
  <c r="A723" i="31"/>
  <c r="A724" i="31"/>
  <c r="A725" i="31"/>
  <c r="A726" i="31"/>
  <c r="A727" i="31"/>
  <c r="A728" i="31"/>
  <c r="A729" i="31"/>
  <c r="A730" i="31"/>
  <c r="A731" i="31"/>
  <c r="A732" i="31"/>
  <c r="A733" i="31"/>
  <c r="A734" i="31"/>
  <c r="A735" i="31"/>
  <c r="A736" i="31"/>
  <c r="A737" i="31"/>
  <c r="A738" i="31"/>
  <c r="M26" i="26" l="1"/>
  <c r="L28" i="26"/>
  <c r="M34" i="26"/>
  <c r="V33" i="26"/>
  <c r="V28" i="26"/>
  <c r="V35" i="26"/>
  <c r="V34" i="26"/>
  <c r="V30" i="26"/>
  <c r="V26" i="26"/>
  <c r="V32" i="26"/>
  <c r="V38" i="26"/>
  <c r="V39" i="26"/>
  <c r="V36" i="26"/>
  <c r="V29" i="26"/>
  <c r="V31" i="26"/>
  <c r="V27" i="26"/>
  <c r="V37" i="26"/>
  <c r="A146" i="41"/>
  <c r="D142" i="41"/>
  <c r="B142" i="41"/>
  <c r="B135" i="41"/>
  <c r="D135" i="41"/>
  <c r="B129" i="41"/>
  <c r="A133" i="41"/>
  <c r="D133" i="41" s="1"/>
  <c r="D132" i="41"/>
  <c r="B132" i="41"/>
  <c r="A136" i="41"/>
  <c r="C138" i="41"/>
  <c r="C139" i="41" s="1"/>
  <c r="C140" i="41" s="1"/>
  <c r="C141" i="41" s="1"/>
  <c r="A139" i="41"/>
  <c r="BC23" i="33"/>
  <c r="J47" i="10"/>
  <c r="H46" i="10"/>
  <c r="M27" i="26"/>
  <c r="M39" i="26"/>
  <c r="BC17" i="33"/>
  <c r="BB33" i="33"/>
  <c r="M37" i="26"/>
  <c r="L37" i="26"/>
  <c r="M35" i="26"/>
  <c r="L38" i="26"/>
  <c r="M38" i="26" s="1"/>
  <c r="L31" i="26"/>
  <c r="M31" i="26"/>
  <c r="L29" i="26"/>
  <c r="M29" i="26"/>
  <c r="L32" i="26"/>
  <c r="M32" i="26"/>
  <c r="M36" i="26"/>
  <c r="L36" i="26"/>
  <c r="M30" i="26"/>
  <c r="L30" i="26"/>
  <c r="B139" i="41" l="1"/>
  <c r="D139" i="41"/>
  <c r="A150" i="41"/>
  <c r="D146" i="41"/>
  <c r="B146" i="41"/>
  <c r="C142" i="41"/>
  <c r="C143" i="41" s="1"/>
  <c r="C144" i="41" s="1"/>
  <c r="C145" i="41" s="1"/>
  <c r="B133" i="41"/>
  <c r="A137" i="41"/>
  <c r="D137" i="41" s="1"/>
  <c r="D136" i="41"/>
  <c r="B136" i="41"/>
  <c r="A140" i="41"/>
  <c r="A143" i="41"/>
  <c r="BC33" i="33"/>
  <c r="J48" i="10"/>
  <c r="H47" i="10"/>
  <c r="V200" i="33"/>
  <c r="U200" i="33" s="1"/>
  <c r="M16" i="33"/>
  <c r="M15" i="33"/>
  <c r="B137" i="41" l="1"/>
  <c r="A141" i="41"/>
  <c r="D141" i="41" s="1"/>
  <c r="D140" i="41"/>
  <c r="B140" i="41"/>
  <c r="A144" i="41"/>
  <c r="A154" i="41"/>
  <c r="D150" i="41"/>
  <c r="B150" i="41"/>
  <c r="D143" i="41"/>
  <c r="B143" i="41"/>
  <c r="C146" i="41"/>
  <c r="C147" i="41" s="1"/>
  <c r="C148" i="41" s="1"/>
  <c r="C149" i="41" s="1"/>
  <c r="A147" i="41"/>
  <c r="J49" i="10"/>
  <c r="H48" i="10"/>
  <c r="X329" i="33"/>
  <c r="W329" i="33"/>
  <c r="V197" i="33"/>
  <c r="U197" i="33" s="1"/>
  <c r="B147" i="41" l="1"/>
  <c r="D147" i="41"/>
  <c r="D144" i="41"/>
  <c r="B144" i="41"/>
  <c r="A148" i="41"/>
  <c r="C150" i="41"/>
  <c r="C151" i="41" s="1"/>
  <c r="C152" i="41" s="1"/>
  <c r="C153" i="41" s="1"/>
  <c r="A158" i="41"/>
  <c r="D154" i="41"/>
  <c r="B154" i="41"/>
  <c r="B141" i="41"/>
  <c r="A145" i="41"/>
  <c r="D145" i="41" s="1"/>
  <c r="A151" i="41"/>
  <c r="J50" i="10"/>
  <c r="H49" i="10"/>
  <c r="U274" i="33"/>
  <c r="U272" i="33"/>
  <c r="U273" i="33"/>
  <c r="N26" i="34"/>
  <c r="O26" i="34"/>
  <c r="P26" i="34"/>
  <c r="M26" i="34"/>
  <c r="N19" i="34"/>
  <c r="O19" i="34"/>
  <c r="P19" i="34"/>
  <c r="M19" i="34"/>
  <c r="K26" i="34"/>
  <c r="B151" i="41" l="1"/>
  <c r="D151" i="41"/>
  <c r="D148" i="41"/>
  <c r="B148" i="41"/>
  <c r="A152" i="41"/>
  <c r="B145" i="41"/>
  <c r="A149" i="41"/>
  <c r="D149" i="41" s="1"/>
  <c r="A162" i="41"/>
  <c r="B158" i="41"/>
  <c r="D158" i="41"/>
  <c r="C154" i="41"/>
  <c r="C155" i="41" s="1"/>
  <c r="C156" i="41" s="1"/>
  <c r="C157" i="41" s="1"/>
  <c r="A155" i="41"/>
  <c r="J51" i="10"/>
  <c r="H50" i="10"/>
  <c r="Y362" i="22"/>
  <c r="Z362" i="22"/>
  <c r="AA362" i="22"/>
  <c r="AB362" i="22"/>
  <c r="Y363" i="22"/>
  <c r="Z363" i="22"/>
  <c r="AA363" i="22"/>
  <c r="AB363" i="22"/>
  <c r="Y364" i="22"/>
  <c r="Z364" i="22"/>
  <c r="AA364" i="22"/>
  <c r="AB364" i="22"/>
  <c r="Y365" i="22"/>
  <c r="Z365" i="22"/>
  <c r="AA365" i="22"/>
  <c r="AB365" i="22"/>
  <c r="Y366" i="22"/>
  <c r="Z366" i="22"/>
  <c r="AA366" i="22"/>
  <c r="AB366" i="22"/>
  <c r="Y367" i="22"/>
  <c r="Z367" i="22"/>
  <c r="AA367" i="22"/>
  <c r="AB367" i="22"/>
  <c r="Y368" i="22"/>
  <c r="Z368" i="22"/>
  <c r="AA368" i="22"/>
  <c r="AB368" i="22"/>
  <c r="Y369" i="22"/>
  <c r="Z369" i="22"/>
  <c r="AA369" i="22"/>
  <c r="AB369" i="22"/>
  <c r="Y370" i="22"/>
  <c r="Z370" i="22"/>
  <c r="AA370" i="22"/>
  <c r="AB370" i="22"/>
  <c r="Y371" i="22"/>
  <c r="Z371" i="22"/>
  <c r="AA371" i="22"/>
  <c r="AB371" i="22"/>
  <c r="Y372" i="22"/>
  <c r="Z372" i="22"/>
  <c r="AA372" i="22"/>
  <c r="AB372" i="22"/>
  <c r="Y373" i="22"/>
  <c r="Z373" i="22"/>
  <c r="AA373" i="22"/>
  <c r="AB373" i="22"/>
  <c r="Y374" i="22"/>
  <c r="Z374" i="22"/>
  <c r="AA374" i="22"/>
  <c r="AB374" i="22"/>
  <c r="Y375" i="22"/>
  <c r="Z375" i="22"/>
  <c r="AA375" i="22"/>
  <c r="AB375" i="22"/>
  <c r="Y376" i="22"/>
  <c r="Z376" i="22"/>
  <c r="AA376" i="22"/>
  <c r="AB376" i="22"/>
  <c r="Y377" i="22"/>
  <c r="Z377" i="22"/>
  <c r="AA377" i="22"/>
  <c r="AB377" i="22"/>
  <c r="Y378" i="22"/>
  <c r="Z378" i="22"/>
  <c r="AA378" i="22"/>
  <c r="AB378" i="22"/>
  <c r="Y379" i="22"/>
  <c r="Z379" i="22"/>
  <c r="AA379" i="22"/>
  <c r="AB379" i="22"/>
  <c r="Y380" i="22"/>
  <c r="Z380" i="22"/>
  <c r="AA380" i="22"/>
  <c r="AB380" i="22"/>
  <c r="Y381" i="22"/>
  <c r="Z381" i="22"/>
  <c r="AA381" i="22"/>
  <c r="AB381" i="22"/>
  <c r="Y382" i="22"/>
  <c r="Z382" i="22"/>
  <c r="AA382" i="22"/>
  <c r="AB382" i="22"/>
  <c r="Y383" i="22"/>
  <c r="Z383" i="22"/>
  <c r="AA383" i="22"/>
  <c r="AB383" i="22"/>
  <c r="Y384" i="22"/>
  <c r="Z384" i="22"/>
  <c r="AA384" i="22"/>
  <c r="AB384" i="22"/>
  <c r="Y385" i="22"/>
  <c r="Z385" i="22"/>
  <c r="AA385" i="22"/>
  <c r="AB385" i="22"/>
  <c r="Y386" i="22"/>
  <c r="Z386" i="22"/>
  <c r="AA386" i="22"/>
  <c r="AB386" i="22"/>
  <c r="Y387" i="22"/>
  <c r="Z387" i="22"/>
  <c r="AA387" i="22"/>
  <c r="AB387" i="22"/>
  <c r="Y388" i="22"/>
  <c r="Z388" i="22"/>
  <c r="AA388" i="22"/>
  <c r="AB388" i="22"/>
  <c r="Y389" i="22"/>
  <c r="Z389" i="22"/>
  <c r="AA389" i="22"/>
  <c r="AB389" i="22"/>
  <c r="Y390" i="22"/>
  <c r="Z390" i="22"/>
  <c r="AA390" i="22"/>
  <c r="AB390" i="22"/>
  <c r="Y391" i="22"/>
  <c r="Z391" i="22"/>
  <c r="AA391" i="22"/>
  <c r="AB391" i="22"/>
  <c r="Y392" i="22"/>
  <c r="Z392" i="22"/>
  <c r="AA392" i="22"/>
  <c r="AB392" i="22"/>
  <c r="Y393" i="22"/>
  <c r="Z393" i="22"/>
  <c r="AA393" i="22"/>
  <c r="AB393" i="22"/>
  <c r="Y394" i="22"/>
  <c r="Z394" i="22"/>
  <c r="AA394" i="22"/>
  <c r="AB394" i="22"/>
  <c r="Y395" i="22"/>
  <c r="Z395" i="22"/>
  <c r="AA395" i="22"/>
  <c r="AB395" i="22"/>
  <c r="Y396" i="22"/>
  <c r="Z396" i="22"/>
  <c r="AA396" i="22"/>
  <c r="AB396" i="22"/>
  <c r="Y397" i="22"/>
  <c r="Z397" i="22"/>
  <c r="AA397" i="22"/>
  <c r="AB397" i="22"/>
  <c r="Y398" i="22"/>
  <c r="Z398" i="22"/>
  <c r="AA398" i="22"/>
  <c r="AB398" i="22"/>
  <c r="Y399" i="22"/>
  <c r="Z399" i="22"/>
  <c r="AA399" i="22"/>
  <c r="AB399" i="22"/>
  <c r="Y400" i="22"/>
  <c r="Z400" i="22"/>
  <c r="AA400" i="22"/>
  <c r="AB400" i="22"/>
  <c r="Y401" i="22"/>
  <c r="Z401" i="22"/>
  <c r="AA401" i="22"/>
  <c r="AB401" i="22"/>
  <c r="Y402" i="22"/>
  <c r="Z402" i="22"/>
  <c r="AA402" i="22"/>
  <c r="AB402" i="22"/>
  <c r="Y403" i="22"/>
  <c r="Z403" i="22"/>
  <c r="AA403" i="22"/>
  <c r="AB403" i="22"/>
  <c r="Y404" i="22"/>
  <c r="Z404" i="22"/>
  <c r="AA404" i="22"/>
  <c r="AB404" i="22"/>
  <c r="Y405" i="22"/>
  <c r="Z405" i="22"/>
  <c r="AA405" i="22"/>
  <c r="AB405" i="22"/>
  <c r="Y406" i="22"/>
  <c r="Z406" i="22"/>
  <c r="AA406" i="22"/>
  <c r="AB406" i="22"/>
  <c r="Y407" i="22"/>
  <c r="Z407" i="22"/>
  <c r="AA407" i="22"/>
  <c r="AB407" i="22"/>
  <c r="Y408" i="22"/>
  <c r="Z408" i="22"/>
  <c r="AA408" i="22"/>
  <c r="AB408" i="22"/>
  <c r="Y409" i="22"/>
  <c r="Z409" i="22"/>
  <c r="AA409" i="22"/>
  <c r="AB409" i="22"/>
  <c r="Y410" i="22"/>
  <c r="Z410" i="22"/>
  <c r="AA410" i="22"/>
  <c r="AB410" i="22"/>
  <c r="Y411" i="22"/>
  <c r="Z411" i="22"/>
  <c r="AA411" i="22"/>
  <c r="AB411" i="22"/>
  <c r="Y412" i="22"/>
  <c r="Z412" i="22"/>
  <c r="AA412" i="22"/>
  <c r="AB412" i="22"/>
  <c r="Y413" i="22"/>
  <c r="Z413" i="22"/>
  <c r="AA413" i="22"/>
  <c r="AB413" i="22"/>
  <c r="Y414" i="22"/>
  <c r="Z414" i="22"/>
  <c r="AA414" i="22"/>
  <c r="AB414" i="22"/>
  <c r="Y415" i="22"/>
  <c r="Z415" i="22"/>
  <c r="AA415" i="22"/>
  <c r="AB415" i="22"/>
  <c r="Y416" i="22"/>
  <c r="Z416" i="22"/>
  <c r="AA416" i="22"/>
  <c r="AB416" i="22"/>
  <c r="Y417" i="22"/>
  <c r="Z417" i="22"/>
  <c r="AA417" i="22"/>
  <c r="AB417" i="22"/>
  <c r="Y418" i="22"/>
  <c r="Z418" i="22"/>
  <c r="AA418" i="22"/>
  <c r="AB418" i="22"/>
  <c r="Y419" i="22"/>
  <c r="Z419" i="22"/>
  <c r="AA419" i="22"/>
  <c r="AB419" i="22"/>
  <c r="Y420" i="22"/>
  <c r="Z420" i="22"/>
  <c r="AA420" i="22"/>
  <c r="AB420" i="22"/>
  <c r="Y421" i="22"/>
  <c r="Z421" i="22"/>
  <c r="AA421" i="22"/>
  <c r="AB421" i="22"/>
  <c r="Y422" i="22"/>
  <c r="Z422" i="22"/>
  <c r="AA422" i="22"/>
  <c r="AB422" i="22"/>
  <c r="Y423" i="22"/>
  <c r="Z423" i="22"/>
  <c r="AA423" i="22"/>
  <c r="AB423" i="22"/>
  <c r="Y424" i="22"/>
  <c r="Z424" i="22"/>
  <c r="AA424" i="22"/>
  <c r="AB424" i="22"/>
  <c r="Y425" i="22"/>
  <c r="Z425" i="22"/>
  <c r="AA425" i="22"/>
  <c r="AB425" i="22"/>
  <c r="Y426" i="22"/>
  <c r="Z426" i="22"/>
  <c r="AA426" i="22"/>
  <c r="AB426" i="22"/>
  <c r="Y427" i="22"/>
  <c r="Z427" i="22"/>
  <c r="AA427" i="22"/>
  <c r="AB427" i="22"/>
  <c r="Y428" i="22"/>
  <c r="Z428" i="22"/>
  <c r="AA428" i="22"/>
  <c r="AB428" i="22"/>
  <c r="Y429" i="22"/>
  <c r="Z429" i="22"/>
  <c r="AA429" i="22"/>
  <c r="AB429" i="22"/>
  <c r="Y430" i="22"/>
  <c r="Z430" i="22"/>
  <c r="AA430" i="22"/>
  <c r="AB430" i="22"/>
  <c r="Y431" i="22"/>
  <c r="Z431" i="22"/>
  <c r="AA431" i="22"/>
  <c r="AB431" i="22"/>
  <c r="Y432" i="22"/>
  <c r="Z432" i="22"/>
  <c r="AA432" i="22"/>
  <c r="AB432" i="22"/>
  <c r="Y433" i="22"/>
  <c r="Z433" i="22"/>
  <c r="AA433" i="22"/>
  <c r="AB433" i="22"/>
  <c r="Y434" i="22"/>
  <c r="Z434" i="22"/>
  <c r="AA434" i="22"/>
  <c r="AB434" i="22"/>
  <c r="Y435" i="22"/>
  <c r="Z435" i="22"/>
  <c r="AA435" i="22"/>
  <c r="AB435" i="22"/>
  <c r="Y436" i="22"/>
  <c r="Z436" i="22"/>
  <c r="AA436" i="22"/>
  <c r="AB436" i="22"/>
  <c r="Y437" i="22"/>
  <c r="Z437" i="22"/>
  <c r="AA437" i="22"/>
  <c r="AB437" i="22"/>
  <c r="Y438" i="22"/>
  <c r="Z438" i="22"/>
  <c r="AA438" i="22"/>
  <c r="AB438" i="22"/>
  <c r="Y439" i="22"/>
  <c r="Z439" i="22"/>
  <c r="AA439" i="22"/>
  <c r="AB439" i="22"/>
  <c r="Y440" i="22"/>
  <c r="Z440" i="22"/>
  <c r="AA440" i="22"/>
  <c r="AB440" i="22"/>
  <c r="Y441" i="22"/>
  <c r="Z441" i="22"/>
  <c r="AA441" i="22"/>
  <c r="AB441" i="22"/>
  <c r="Y442" i="22"/>
  <c r="Z442" i="22"/>
  <c r="AA442" i="22"/>
  <c r="AB442" i="22"/>
  <c r="Y443" i="22"/>
  <c r="Z443" i="22"/>
  <c r="AA443" i="22"/>
  <c r="AB443" i="22"/>
  <c r="Y444" i="22"/>
  <c r="Z444" i="22"/>
  <c r="AA444" i="22"/>
  <c r="AB444" i="22"/>
  <c r="Y445" i="22"/>
  <c r="Z445" i="22"/>
  <c r="AA445" i="22"/>
  <c r="AB445" i="22"/>
  <c r="Y446" i="22"/>
  <c r="Z446" i="22"/>
  <c r="AA446" i="22"/>
  <c r="AB446" i="22"/>
  <c r="Y447" i="22"/>
  <c r="Z447" i="22"/>
  <c r="AA447" i="22"/>
  <c r="AB447" i="22"/>
  <c r="Y448" i="22"/>
  <c r="Z448" i="22"/>
  <c r="AA448" i="22"/>
  <c r="AB448" i="22"/>
  <c r="Y449" i="22"/>
  <c r="Z449" i="22"/>
  <c r="AA449" i="22"/>
  <c r="AB449" i="22"/>
  <c r="Y450" i="22"/>
  <c r="Z450" i="22"/>
  <c r="AA450" i="22"/>
  <c r="AB450" i="22"/>
  <c r="Y451" i="22"/>
  <c r="Z451" i="22"/>
  <c r="AA451" i="22"/>
  <c r="AB451" i="22"/>
  <c r="Y452" i="22"/>
  <c r="Z452" i="22"/>
  <c r="AA452" i="22"/>
  <c r="AB452" i="22"/>
  <c r="Y453" i="22"/>
  <c r="Z453" i="22"/>
  <c r="AA453" i="22"/>
  <c r="AB453" i="22"/>
  <c r="Y454" i="22"/>
  <c r="Z454" i="22"/>
  <c r="AA454" i="22"/>
  <c r="AB454" i="22"/>
  <c r="Y455" i="22"/>
  <c r="Z455" i="22"/>
  <c r="AA455" i="22"/>
  <c r="AB455" i="22"/>
  <c r="Y456" i="22"/>
  <c r="Z456" i="22"/>
  <c r="AA456" i="22"/>
  <c r="AB456" i="22"/>
  <c r="Y457" i="22"/>
  <c r="Z457" i="22"/>
  <c r="AA457" i="22"/>
  <c r="AB457" i="22"/>
  <c r="Y458" i="22"/>
  <c r="Z458" i="22"/>
  <c r="AA458" i="22"/>
  <c r="AB458" i="22"/>
  <c r="Y459" i="22"/>
  <c r="Z459" i="22"/>
  <c r="AA459" i="22"/>
  <c r="AB459" i="22"/>
  <c r="Y460" i="22"/>
  <c r="Z460" i="22"/>
  <c r="AA460" i="22"/>
  <c r="AB460" i="22"/>
  <c r="Y461" i="22"/>
  <c r="Z461" i="22"/>
  <c r="AA461" i="22"/>
  <c r="AB461" i="22"/>
  <c r="Y462" i="22"/>
  <c r="Z462" i="22"/>
  <c r="AA462" i="22"/>
  <c r="AB462" i="22"/>
  <c r="Y463" i="22"/>
  <c r="Z463" i="22"/>
  <c r="AA463" i="22"/>
  <c r="AB463" i="22"/>
  <c r="Y464" i="22"/>
  <c r="Z464" i="22"/>
  <c r="AA464" i="22"/>
  <c r="AB464" i="22"/>
  <c r="Y465" i="22"/>
  <c r="Z465" i="22"/>
  <c r="AA465" i="22"/>
  <c r="AB465" i="22"/>
  <c r="Y466" i="22"/>
  <c r="Z466" i="22"/>
  <c r="AA466" i="22"/>
  <c r="AB466" i="22"/>
  <c r="Y467" i="22"/>
  <c r="Z467" i="22"/>
  <c r="AA467" i="22"/>
  <c r="AB467" i="22"/>
  <c r="Y468" i="22"/>
  <c r="Z468" i="22"/>
  <c r="AA468" i="22"/>
  <c r="AB468" i="22"/>
  <c r="Y469" i="22"/>
  <c r="Z469" i="22"/>
  <c r="AA469" i="22"/>
  <c r="AB469" i="22"/>
  <c r="Y470" i="22"/>
  <c r="Z470" i="22"/>
  <c r="AA470" i="22"/>
  <c r="AB470" i="22"/>
  <c r="Y471" i="22"/>
  <c r="Z471" i="22"/>
  <c r="AA471" i="22"/>
  <c r="AB471" i="22"/>
  <c r="Y472" i="22"/>
  <c r="Z472" i="22"/>
  <c r="AA472" i="22"/>
  <c r="AB472" i="22"/>
  <c r="Y473" i="22"/>
  <c r="Z473" i="22"/>
  <c r="AA473" i="22"/>
  <c r="AB473" i="22"/>
  <c r="Y474" i="22"/>
  <c r="Z474" i="22"/>
  <c r="AA474" i="22"/>
  <c r="AB474" i="22"/>
  <c r="Y475" i="22"/>
  <c r="Z475" i="22"/>
  <c r="AA475" i="22"/>
  <c r="AB475" i="22"/>
  <c r="Y476" i="22"/>
  <c r="Z476" i="22"/>
  <c r="AA476" i="22"/>
  <c r="AB476" i="22"/>
  <c r="Y477" i="22"/>
  <c r="Z477" i="22"/>
  <c r="AA477" i="22"/>
  <c r="AB477" i="22"/>
  <c r="Y478" i="22"/>
  <c r="Z478" i="22"/>
  <c r="AA478" i="22"/>
  <c r="AB478" i="22"/>
  <c r="Y479" i="22"/>
  <c r="Z479" i="22"/>
  <c r="AA479" i="22"/>
  <c r="AB479" i="22"/>
  <c r="Y480" i="22"/>
  <c r="Z480" i="22"/>
  <c r="AA480" i="22"/>
  <c r="AB480" i="22"/>
  <c r="Y481" i="22"/>
  <c r="Z481" i="22"/>
  <c r="AA481" i="22"/>
  <c r="AB481" i="22"/>
  <c r="Y482" i="22"/>
  <c r="Z482" i="22"/>
  <c r="AA482" i="22"/>
  <c r="AB482" i="22"/>
  <c r="Y483" i="22"/>
  <c r="Z483" i="22"/>
  <c r="AA483" i="22"/>
  <c r="AB483" i="22"/>
  <c r="Y484" i="22"/>
  <c r="Z484" i="22"/>
  <c r="AA484" i="22"/>
  <c r="AB484" i="22"/>
  <c r="Y485" i="22"/>
  <c r="Z485" i="22"/>
  <c r="AA485" i="22"/>
  <c r="AB485" i="22"/>
  <c r="Y486" i="22"/>
  <c r="Z486" i="22"/>
  <c r="AA486" i="22"/>
  <c r="AB486" i="22"/>
  <c r="Y487" i="22"/>
  <c r="Z487" i="22"/>
  <c r="AA487" i="22"/>
  <c r="AB487" i="22"/>
  <c r="Y488" i="22"/>
  <c r="Z488" i="22"/>
  <c r="AA488" i="22"/>
  <c r="AB488" i="22"/>
  <c r="Y489" i="22"/>
  <c r="Z489" i="22"/>
  <c r="AA489" i="22"/>
  <c r="AB489" i="22"/>
  <c r="Y490" i="22"/>
  <c r="Z490" i="22"/>
  <c r="AA490" i="22"/>
  <c r="AB490" i="22"/>
  <c r="Y491" i="22"/>
  <c r="Z491" i="22"/>
  <c r="AA491" i="22"/>
  <c r="AB491" i="22"/>
  <c r="Y492" i="22"/>
  <c r="Z492" i="22"/>
  <c r="AA492" i="22"/>
  <c r="AB492" i="22"/>
  <c r="Y493" i="22"/>
  <c r="Z493" i="22"/>
  <c r="AA493" i="22"/>
  <c r="AB493" i="22"/>
  <c r="Y494" i="22"/>
  <c r="Z494" i="22"/>
  <c r="AA494" i="22"/>
  <c r="AB494" i="22"/>
  <c r="Y495" i="22"/>
  <c r="Z495" i="22"/>
  <c r="AA495" i="22"/>
  <c r="AB495" i="22"/>
  <c r="Y496" i="22"/>
  <c r="Z496" i="22"/>
  <c r="AA496" i="22"/>
  <c r="AB496" i="22"/>
  <c r="Y497" i="22"/>
  <c r="Z497" i="22"/>
  <c r="AA497" i="22"/>
  <c r="AB497" i="22"/>
  <c r="Y498" i="22"/>
  <c r="Z498" i="22"/>
  <c r="AA498" i="22"/>
  <c r="AB498" i="22"/>
  <c r="Y499" i="22"/>
  <c r="Z499" i="22"/>
  <c r="AA499" i="22"/>
  <c r="AB499" i="22"/>
  <c r="Y500" i="22"/>
  <c r="Z500" i="22"/>
  <c r="AA500" i="22"/>
  <c r="AB500" i="22"/>
  <c r="Y501" i="22"/>
  <c r="Z501" i="22"/>
  <c r="AA501" i="22"/>
  <c r="AB501" i="22"/>
  <c r="Y502" i="22"/>
  <c r="Z502" i="22"/>
  <c r="AA502" i="22"/>
  <c r="AB502" i="22"/>
  <c r="Y503" i="22"/>
  <c r="Z503" i="22"/>
  <c r="AA503" i="22"/>
  <c r="AB503" i="22"/>
  <c r="Y504" i="22"/>
  <c r="Z504" i="22"/>
  <c r="AA504" i="22"/>
  <c r="AB504" i="22"/>
  <c r="Y505" i="22"/>
  <c r="Z505" i="22"/>
  <c r="AA505" i="22"/>
  <c r="AB505" i="22"/>
  <c r="Y506" i="22"/>
  <c r="Z506" i="22"/>
  <c r="AA506" i="22"/>
  <c r="AB506" i="22"/>
  <c r="Y507" i="22"/>
  <c r="Z507" i="22"/>
  <c r="AA507" i="22"/>
  <c r="AB507" i="22"/>
  <c r="Y508" i="22"/>
  <c r="Z508" i="22"/>
  <c r="AA508" i="22"/>
  <c r="AB508" i="22"/>
  <c r="Y509" i="22"/>
  <c r="Z509" i="22"/>
  <c r="AA509" i="22"/>
  <c r="AB509" i="22"/>
  <c r="Y510" i="22"/>
  <c r="Z510" i="22"/>
  <c r="AA510" i="22"/>
  <c r="AB510" i="22"/>
  <c r="Y511" i="22"/>
  <c r="Z511" i="22"/>
  <c r="AA511" i="22"/>
  <c r="AB511" i="22"/>
  <c r="Y512" i="22"/>
  <c r="Z512" i="22"/>
  <c r="AA512" i="22"/>
  <c r="AB512" i="22"/>
  <c r="Y513" i="22"/>
  <c r="Z513" i="22"/>
  <c r="AA513" i="22"/>
  <c r="AB513" i="22"/>
  <c r="Y514" i="22"/>
  <c r="Z514" i="22"/>
  <c r="AA514" i="22"/>
  <c r="AB514" i="22"/>
  <c r="Y515" i="22"/>
  <c r="Z515" i="22"/>
  <c r="AA515" i="22"/>
  <c r="AB515" i="22"/>
  <c r="Y516" i="22"/>
  <c r="Z516" i="22"/>
  <c r="AA516" i="22"/>
  <c r="AB516" i="22"/>
  <c r="Y517" i="22"/>
  <c r="Z517" i="22"/>
  <c r="AA517" i="22"/>
  <c r="AB517" i="22"/>
  <c r="Y518" i="22"/>
  <c r="Z518" i="22"/>
  <c r="AA518" i="22"/>
  <c r="AB518" i="22"/>
  <c r="Y519" i="22"/>
  <c r="Z519" i="22"/>
  <c r="AA519" i="22"/>
  <c r="AB519" i="22"/>
  <c r="Y520" i="22"/>
  <c r="Z520" i="22"/>
  <c r="AA520" i="22"/>
  <c r="AB520" i="22"/>
  <c r="Y521" i="22"/>
  <c r="Z521" i="22"/>
  <c r="AA521" i="22"/>
  <c r="AB521" i="22"/>
  <c r="Y522" i="22"/>
  <c r="Z522" i="22"/>
  <c r="AA522" i="22"/>
  <c r="AB522" i="22"/>
  <c r="Y523" i="22"/>
  <c r="Z523" i="22"/>
  <c r="AA523" i="22"/>
  <c r="AB523" i="22"/>
  <c r="Y524" i="22"/>
  <c r="Z524" i="22"/>
  <c r="AA524" i="22"/>
  <c r="AB524" i="22"/>
  <c r="Y525" i="22"/>
  <c r="Z525" i="22"/>
  <c r="AA525" i="22"/>
  <c r="AB525" i="22"/>
  <c r="Y526" i="22"/>
  <c r="Z526" i="22"/>
  <c r="AA526" i="22"/>
  <c r="AB526" i="22"/>
  <c r="Y527" i="22"/>
  <c r="Z527" i="22"/>
  <c r="AA527" i="22"/>
  <c r="AB527" i="22"/>
  <c r="Y528" i="22"/>
  <c r="Z528" i="22"/>
  <c r="AA528" i="22"/>
  <c r="AB528" i="22"/>
  <c r="Y529" i="22"/>
  <c r="Z529" i="22"/>
  <c r="AA529" i="22"/>
  <c r="AB529" i="22"/>
  <c r="Y530" i="22"/>
  <c r="Z530" i="22"/>
  <c r="AA530" i="22"/>
  <c r="AB530" i="22"/>
  <c r="Y531" i="22"/>
  <c r="Z531" i="22"/>
  <c r="AA531" i="22"/>
  <c r="AB531" i="22"/>
  <c r="Y532" i="22"/>
  <c r="Z532" i="22"/>
  <c r="AA532" i="22"/>
  <c r="AB532" i="22"/>
  <c r="Y533" i="22"/>
  <c r="Z533" i="22"/>
  <c r="AA533" i="22"/>
  <c r="AB533" i="22"/>
  <c r="Y534" i="22"/>
  <c r="Z534" i="22"/>
  <c r="AA534" i="22"/>
  <c r="AB534" i="22"/>
  <c r="Y535" i="22"/>
  <c r="Z535" i="22"/>
  <c r="AA535" i="22"/>
  <c r="AB535" i="22"/>
  <c r="Y536" i="22"/>
  <c r="Z536" i="22"/>
  <c r="AA536" i="22"/>
  <c r="AB536" i="22"/>
  <c r="Y537" i="22"/>
  <c r="Z537" i="22"/>
  <c r="AA537" i="22"/>
  <c r="AB537" i="22"/>
  <c r="Y538" i="22"/>
  <c r="Z538" i="22"/>
  <c r="AA538" i="22"/>
  <c r="AB538" i="22"/>
  <c r="Y539" i="22"/>
  <c r="Z539" i="22"/>
  <c r="AA539" i="22"/>
  <c r="AB539" i="22"/>
  <c r="Y540" i="22"/>
  <c r="Z540" i="22"/>
  <c r="AA540" i="22"/>
  <c r="AB540" i="22"/>
  <c r="C158" i="41" l="1"/>
  <c r="C159" i="41" s="1"/>
  <c r="C160" i="41" s="1"/>
  <c r="B149" i="41"/>
  <c r="A153" i="41"/>
  <c r="D153" i="41" s="1"/>
  <c r="A166" i="41"/>
  <c r="D162" i="41"/>
  <c r="B162" i="41"/>
  <c r="B155" i="41"/>
  <c r="D155" i="41"/>
  <c r="D152" i="41"/>
  <c r="B152" i="41"/>
  <c r="A156" i="41"/>
  <c r="A159" i="41"/>
  <c r="J52" i="10"/>
  <c r="H51" i="10"/>
  <c r="K31" i="34"/>
  <c r="J376" i="33"/>
  <c r="I376" i="33"/>
  <c r="E376" i="33"/>
  <c r="D5" i="32"/>
  <c r="G5" i="32" s="1"/>
  <c r="E5" i="32"/>
  <c r="F5" i="32"/>
  <c r="D6" i="32"/>
  <c r="G6" i="32" s="1"/>
  <c r="E6" i="32"/>
  <c r="F6" i="32"/>
  <c r="D7" i="32"/>
  <c r="G7" i="32" s="1"/>
  <c r="E7" i="32"/>
  <c r="F7" i="32"/>
  <c r="D8" i="32"/>
  <c r="G8" i="32" s="1"/>
  <c r="E8" i="32"/>
  <c r="F8" i="32"/>
  <c r="D9" i="32"/>
  <c r="G9" i="32" s="1"/>
  <c r="E9" i="32"/>
  <c r="F9" i="32"/>
  <c r="D10" i="32"/>
  <c r="G10" i="32" s="1"/>
  <c r="E10" i="32"/>
  <c r="F10" i="32"/>
  <c r="D11" i="32"/>
  <c r="G11" i="32" s="1"/>
  <c r="E11" i="32"/>
  <c r="F11" i="32"/>
  <c r="D12" i="32"/>
  <c r="G12" i="32" s="1"/>
  <c r="E12" i="32"/>
  <c r="F12" i="32"/>
  <c r="D13" i="32"/>
  <c r="G13" i="32" s="1"/>
  <c r="E13" i="32"/>
  <c r="F13" i="32"/>
  <c r="D14" i="32"/>
  <c r="G14" i="32" s="1"/>
  <c r="E14" i="32"/>
  <c r="F14" i="32"/>
  <c r="D15" i="32"/>
  <c r="G15" i="32" s="1"/>
  <c r="E15" i="32"/>
  <c r="F15" i="32"/>
  <c r="D16" i="32"/>
  <c r="G16" i="32" s="1"/>
  <c r="E16" i="32"/>
  <c r="F16" i="32"/>
  <c r="D17" i="32"/>
  <c r="G17" i="32" s="1"/>
  <c r="E17" i="32"/>
  <c r="F17" i="32"/>
  <c r="D18" i="32"/>
  <c r="G18" i="32" s="1"/>
  <c r="E18" i="32"/>
  <c r="F18" i="32"/>
  <c r="D19" i="32"/>
  <c r="G19" i="32" s="1"/>
  <c r="E19" i="32"/>
  <c r="F19" i="32"/>
  <c r="D20" i="32"/>
  <c r="G20" i="32" s="1"/>
  <c r="E20" i="32"/>
  <c r="F20" i="32"/>
  <c r="D21" i="32"/>
  <c r="G21" i="32" s="1"/>
  <c r="E21" i="32"/>
  <c r="F21" i="32"/>
  <c r="D22" i="32"/>
  <c r="G22" i="32" s="1"/>
  <c r="E22" i="32"/>
  <c r="F22" i="32"/>
  <c r="D23" i="32"/>
  <c r="G23" i="32" s="1"/>
  <c r="E23" i="32"/>
  <c r="F23" i="32"/>
  <c r="D24" i="32"/>
  <c r="G24" i="32" s="1"/>
  <c r="E24" i="32"/>
  <c r="F24" i="32"/>
  <c r="D25" i="32"/>
  <c r="G25" i="32" s="1"/>
  <c r="E25" i="32"/>
  <c r="F25" i="32"/>
  <c r="D26" i="32"/>
  <c r="G26" i="32" s="1"/>
  <c r="E26" i="32"/>
  <c r="F26" i="32"/>
  <c r="D27" i="32"/>
  <c r="G27" i="32" s="1"/>
  <c r="E27" i="32"/>
  <c r="F27" i="32"/>
  <c r="D28" i="32"/>
  <c r="G28" i="32" s="1"/>
  <c r="E28" i="32"/>
  <c r="F28" i="32"/>
  <c r="D29" i="32"/>
  <c r="G29" i="32" s="1"/>
  <c r="E29" i="32"/>
  <c r="F29" i="32"/>
  <c r="D30" i="32"/>
  <c r="G30" i="32" s="1"/>
  <c r="E30" i="32"/>
  <c r="F30" i="32"/>
  <c r="D31" i="32"/>
  <c r="G31" i="32" s="1"/>
  <c r="E31" i="32"/>
  <c r="F31" i="32"/>
  <c r="D32" i="32"/>
  <c r="G32" i="32" s="1"/>
  <c r="E32" i="32"/>
  <c r="F32" i="32"/>
  <c r="D33" i="32"/>
  <c r="G33" i="32" s="1"/>
  <c r="E33" i="32"/>
  <c r="F33" i="32"/>
  <c r="D34" i="32"/>
  <c r="G34" i="32" s="1"/>
  <c r="E34" i="32"/>
  <c r="F34" i="32"/>
  <c r="D35" i="32"/>
  <c r="G35" i="32" s="1"/>
  <c r="E35" i="32"/>
  <c r="F35" i="32"/>
  <c r="D36" i="32"/>
  <c r="G36" i="32" s="1"/>
  <c r="E36" i="32"/>
  <c r="F36" i="32"/>
  <c r="D37" i="32"/>
  <c r="G37" i="32" s="1"/>
  <c r="E37" i="32"/>
  <c r="F37" i="32"/>
  <c r="D38" i="32"/>
  <c r="G38" i="32" s="1"/>
  <c r="E38" i="32"/>
  <c r="F38" i="32"/>
  <c r="D39" i="32"/>
  <c r="G39" i="32" s="1"/>
  <c r="E39" i="32"/>
  <c r="F39" i="32"/>
  <c r="D40" i="32"/>
  <c r="G40" i="32" s="1"/>
  <c r="E40" i="32"/>
  <c r="F40" i="32"/>
  <c r="D41" i="32"/>
  <c r="G41" i="32" s="1"/>
  <c r="E41" i="32"/>
  <c r="F41" i="32"/>
  <c r="D42" i="32"/>
  <c r="G42" i="32" s="1"/>
  <c r="E42" i="32"/>
  <c r="F42" i="32"/>
  <c r="D43" i="32"/>
  <c r="G43" i="32" s="1"/>
  <c r="E43" i="32"/>
  <c r="F43" i="32"/>
  <c r="D44" i="32"/>
  <c r="G44" i="32" s="1"/>
  <c r="E44" i="32"/>
  <c r="F44" i="32"/>
  <c r="D45" i="32"/>
  <c r="G45" i="32" s="1"/>
  <c r="E45" i="32"/>
  <c r="F45" i="32"/>
  <c r="D46" i="32"/>
  <c r="G46" i="32" s="1"/>
  <c r="E46" i="32"/>
  <c r="F46" i="32"/>
  <c r="D47" i="32"/>
  <c r="G47" i="32" s="1"/>
  <c r="E47" i="32"/>
  <c r="F47" i="32"/>
  <c r="D48" i="32"/>
  <c r="G48" i="32" s="1"/>
  <c r="E48" i="32"/>
  <c r="F48" i="32"/>
  <c r="D49" i="32"/>
  <c r="G49" i="32" s="1"/>
  <c r="E49" i="32"/>
  <c r="F49" i="32"/>
  <c r="D50" i="32"/>
  <c r="G50" i="32" s="1"/>
  <c r="E50" i="32"/>
  <c r="F50" i="32"/>
  <c r="D51" i="32"/>
  <c r="G51" i="32" s="1"/>
  <c r="E51" i="32"/>
  <c r="F51" i="32"/>
  <c r="D52" i="32"/>
  <c r="G52" i="32" s="1"/>
  <c r="E52" i="32"/>
  <c r="F52" i="32"/>
  <c r="D53" i="32"/>
  <c r="G53" i="32" s="1"/>
  <c r="E53" i="32"/>
  <c r="F53" i="32"/>
  <c r="D54" i="32"/>
  <c r="G54" i="32" s="1"/>
  <c r="E54" i="32"/>
  <c r="F54" i="32"/>
  <c r="D55" i="32"/>
  <c r="G55" i="32" s="1"/>
  <c r="E55" i="32"/>
  <c r="F55" i="32"/>
  <c r="D56" i="32"/>
  <c r="G56" i="32" s="1"/>
  <c r="E56" i="32"/>
  <c r="F56" i="32"/>
  <c r="D57" i="32"/>
  <c r="G57" i="32" s="1"/>
  <c r="E57" i="32"/>
  <c r="F57" i="32"/>
  <c r="D58" i="32"/>
  <c r="G58" i="32" s="1"/>
  <c r="E58" i="32"/>
  <c r="F58" i="32"/>
  <c r="D59" i="32"/>
  <c r="G59" i="32" s="1"/>
  <c r="E59" i="32"/>
  <c r="F59" i="32"/>
  <c r="D60" i="32"/>
  <c r="G60" i="32" s="1"/>
  <c r="E60" i="32"/>
  <c r="F60" i="32"/>
  <c r="D61" i="32"/>
  <c r="G61" i="32" s="1"/>
  <c r="E61" i="32"/>
  <c r="F61" i="32"/>
  <c r="D62" i="32"/>
  <c r="G62" i="32" s="1"/>
  <c r="E62" i="32"/>
  <c r="F62" i="32"/>
  <c r="D63" i="32"/>
  <c r="G63" i="32" s="1"/>
  <c r="E63" i="32"/>
  <c r="F63" i="32"/>
  <c r="D64" i="32"/>
  <c r="G64" i="32" s="1"/>
  <c r="E64" i="32"/>
  <c r="F64" i="32"/>
  <c r="D65" i="32"/>
  <c r="G65" i="32" s="1"/>
  <c r="E65" i="32"/>
  <c r="F65" i="32"/>
  <c r="D66" i="32"/>
  <c r="G66" i="32" s="1"/>
  <c r="E66" i="32"/>
  <c r="F66" i="32"/>
  <c r="D67" i="32"/>
  <c r="G67" i="32" s="1"/>
  <c r="E67" i="32"/>
  <c r="F67" i="32"/>
  <c r="D68" i="32"/>
  <c r="G68" i="32" s="1"/>
  <c r="E68" i="32"/>
  <c r="F68" i="32"/>
  <c r="D69" i="32"/>
  <c r="G69" i="32" s="1"/>
  <c r="E69" i="32"/>
  <c r="F69" i="32"/>
  <c r="D70" i="32"/>
  <c r="G70" i="32" s="1"/>
  <c r="E70" i="32"/>
  <c r="F70" i="32"/>
  <c r="D71" i="32"/>
  <c r="G71" i="32" s="1"/>
  <c r="E71" i="32"/>
  <c r="F71" i="32"/>
  <c r="D72" i="32"/>
  <c r="G72" i="32" s="1"/>
  <c r="E72" i="32"/>
  <c r="F72" i="32"/>
  <c r="D73" i="32"/>
  <c r="G73" i="32" s="1"/>
  <c r="E73" i="32"/>
  <c r="F73" i="32"/>
  <c r="D74" i="32"/>
  <c r="G74" i="32" s="1"/>
  <c r="E74" i="32"/>
  <c r="F74" i="32"/>
  <c r="D75" i="32"/>
  <c r="G75" i="32" s="1"/>
  <c r="E75" i="32"/>
  <c r="F75" i="32"/>
  <c r="D76" i="32"/>
  <c r="G76" i="32" s="1"/>
  <c r="E76" i="32"/>
  <c r="F76" i="32"/>
  <c r="D77" i="32"/>
  <c r="G77" i="32" s="1"/>
  <c r="E77" i="32"/>
  <c r="F77" i="32"/>
  <c r="D78" i="32"/>
  <c r="G78" i="32" s="1"/>
  <c r="E78" i="32"/>
  <c r="F78" i="32"/>
  <c r="D79" i="32"/>
  <c r="G79" i="32" s="1"/>
  <c r="E79" i="32"/>
  <c r="F79" i="32"/>
  <c r="D80" i="32"/>
  <c r="G80" i="32" s="1"/>
  <c r="E80" i="32"/>
  <c r="F80" i="32"/>
  <c r="D81" i="32"/>
  <c r="G81" i="32" s="1"/>
  <c r="E81" i="32"/>
  <c r="F81" i="32"/>
  <c r="D82" i="32"/>
  <c r="G82" i="32" s="1"/>
  <c r="E82" i="32"/>
  <c r="F82" i="32"/>
  <c r="D83" i="32"/>
  <c r="G83" i="32" s="1"/>
  <c r="E83" i="32"/>
  <c r="F83" i="32"/>
  <c r="D84" i="32"/>
  <c r="G84" i="32" s="1"/>
  <c r="E84" i="32"/>
  <c r="F84" i="32"/>
  <c r="D85" i="32"/>
  <c r="G85" i="32" s="1"/>
  <c r="E85" i="32"/>
  <c r="F85" i="32"/>
  <c r="D86" i="32"/>
  <c r="G86" i="32" s="1"/>
  <c r="E86" i="32"/>
  <c r="F86" i="32"/>
  <c r="D87" i="32"/>
  <c r="G87" i="32" s="1"/>
  <c r="E87" i="32"/>
  <c r="F87" i="32"/>
  <c r="D88" i="32"/>
  <c r="G88" i="32" s="1"/>
  <c r="E88" i="32"/>
  <c r="F88" i="32"/>
  <c r="D89" i="32"/>
  <c r="G89" i="32" s="1"/>
  <c r="E89" i="32"/>
  <c r="F89" i="32"/>
  <c r="D90" i="32"/>
  <c r="G90" i="32" s="1"/>
  <c r="E90" i="32"/>
  <c r="F90" i="32"/>
  <c r="D91" i="32"/>
  <c r="G91" i="32" s="1"/>
  <c r="E91" i="32"/>
  <c r="F91" i="32"/>
  <c r="D92" i="32"/>
  <c r="G92" i="32" s="1"/>
  <c r="E92" i="32"/>
  <c r="F92" i="32"/>
  <c r="D93" i="32"/>
  <c r="G93" i="32" s="1"/>
  <c r="E93" i="32"/>
  <c r="F93" i="32"/>
  <c r="D94" i="32"/>
  <c r="G94" i="32" s="1"/>
  <c r="E94" i="32"/>
  <c r="F94" i="32"/>
  <c r="D95" i="32"/>
  <c r="G95" i="32" s="1"/>
  <c r="E95" i="32"/>
  <c r="F95" i="32"/>
  <c r="D96" i="32"/>
  <c r="G96" i="32" s="1"/>
  <c r="E96" i="32"/>
  <c r="F96" i="32"/>
  <c r="D97" i="32"/>
  <c r="G97" i="32" s="1"/>
  <c r="E97" i="32"/>
  <c r="F97" i="32"/>
  <c r="D98" i="32"/>
  <c r="G98" i="32" s="1"/>
  <c r="E98" i="32"/>
  <c r="F98" i="32"/>
  <c r="D99" i="32"/>
  <c r="G99" i="32" s="1"/>
  <c r="E99" i="32"/>
  <c r="F99" i="32"/>
  <c r="D100" i="32"/>
  <c r="G100" i="32" s="1"/>
  <c r="E100" i="32"/>
  <c r="F100" i="32"/>
  <c r="D101" i="32"/>
  <c r="G101" i="32" s="1"/>
  <c r="E101" i="32"/>
  <c r="F101" i="32"/>
  <c r="D102" i="32"/>
  <c r="G102" i="32" s="1"/>
  <c r="E102" i="32"/>
  <c r="F102" i="32"/>
  <c r="D103" i="32"/>
  <c r="G103" i="32" s="1"/>
  <c r="E103" i="32"/>
  <c r="F103" i="32"/>
  <c r="D104" i="32"/>
  <c r="G104" i="32" s="1"/>
  <c r="E104" i="32"/>
  <c r="F104" i="32"/>
  <c r="D105" i="32"/>
  <c r="G105" i="32" s="1"/>
  <c r="E105" i="32"/>
  <c r="F105" i="32"/>
  <c r="D106" i="32"/>
  <c r="G106" i="32" s="1"/>
  <c r="E106" i="32"/>
  <c r="F106" i="32"/>
  <c r="D107" i="32"/>
  <c r="G107" i="32" s="1"/>
  <c r="E107" i="32"/>
  <c r="F107" i="32"/>
  <c r="D108" i="32"/>
  <c r="G108" i="32" s="1"/>
  <c r="E108" i="32"/>
  <c r="F108" i="32"/>
  <c r="D109" i="32"/>
  <c r="G109" i="32" s="1"/>
  <c r="E109" i="32"/>
  <c r="F109" i="32"/>
  <c r="D110" i="32"/>
  <c r="G110" i="32" s="1"/>
  <c r="E110" i="32"/>
  <c r="F110" i="32"/>
  <c r="D111" i="32"/>
  <c r="G111" i="32" s="1"/>
  <c r="E111" i="32"/>
  <c r="F111" i="32"/>
  <c r="D112" i="32"/>
  <c r="G112" i="32" s="1"/>
  <c r="E112" i="32"/>
  <c r="F112" i="32"/>
  <c r="D113" i="32"/>
  <c r="G113" i="32" s="1"/>
  <c r="E113" i="32"/>
  <c r="F113" i="32"/>
  <c r="D114" i="32"/>
  <c r="G114" i="32" s="1"/>
  <c r="E114" i="32"/>
  <c r="F114" i="32"/>
  <c r="D115" i="32"/>
  <c r="G115" i="32" s="1"/>
  <c r="E115" i="32"/>
  <c r="F115" i="32"/>
  <c r="D116" i="32"/>
  <c r="G116" i="32" s="1"/>
  <c r="E116" i="32"/>
  <c r="F116" i="32"/>
  <c r="D117" i="32"/>
  <c r="G117" i="32" s="1"/>
  <c r="E117" i="32"/>
  <c r="F117" i="32"/>
  <c r="D118" i="32"/>
  <c r="G118" i="32" s="1"/>
  <c r="E118" i="32"/>
  <c r="F118" i="32"/>
  <c r="D119" i="32"/>
  <c r="G119" i="32" s="1"/>
  <c r="E119" i="32"/>
  <c r="F119" i="32"/>
  <c r="D120" i="32"/>
  <c r="G120" i="32" s="1"/>
  <c r="E120" i="32"/>
  <c r="F120" i="32"/>
  <c r="D121" i="32"/>
  <c r="G121" i="32" s="1"/>
  <c r="E121" i="32"/>
  <c r="F121" i="32"/>
  <c r="D122" i="32"/>
  <c r="G122" i="32" s="1"/>
  <c r="E122" i="32"/>
  <c r="F122" i="32"/>
  <c r="D123" i="32"/>
  <c r="G123" i="32" s="1"/>
  <c r="E123" i="32"/>
  <c r="F123" i="32"/>
  <c r="D124" i="32"/>
  <c r="G124" i="32" s="1"/>
  <c r="E124" i="32"/>
  <c r="F124" i="32"/>
  <c r="D125" i="32"/>
  <c r="G125" i="32" s="1"/>
  <c r="E125" i="32"/>
  <c r="F125" i="32"/>
  <c r="D126" i="32"/>
  <c r="G126" i="32" s="1"/>
  <c r="E126" i="32"/>
  <c r="F126" i="32"/>
  <c r="D127" i="32"/>
  <c r="G127" i="32" s="1"/>
  <c r="E127" i="32"/>
  <c r="F127" i="32"/>
  <c r="D128" i="32"/>
  <c r="G128" i="32" s="1"/>
  <c r="E128" i="32"/>
  <c r="F128" i="32"/>
  <c r="D129" i="32"/>
  <c r="G129" i="32" s="1"/>
  <c r="E129" i="32"/>
  <c r="F129" i="32"/>
  <c r="D130" i="32"/>
  <c r="G130" i="32" s="1"/>
  <c r="E130" i="32"/>
  <c r="F130" i="32"/>
  <c r="D131" i="32"/>
  <c r="G131" i="32" s="1"/>
  <c r="E131" i="32"/>
  <c r="F131" i="32"/>
  <c r="D132" i="32"/>
  <c r="G132" i="32" s="1"/>
  <c r="E132" i="32"/>
  <c r="F132" i="32"/>
  <c r="D133" i="32"/>
  <c r="G133" i="32" s="1"/>
  <c r="E133" i="32"/>
  <c r="F133" i="32"/>
  <c r="D134" i="32"/>
  <c r="G134" i="32" s="1"/>
  <c r="E134" i="32"/>
  <c r="F134" i="32"/>
  <c r="D135" i="32"/>
  <c r="G135" i="32" s="1"/>
  <c r="E135" i="32"/>
  <c r="F135" i="32"/>
  <c r="D136" i="32"/>
  <c r="G136" i="32" s="1"/>
  <c r="E136" i="32"/>
  <c r="F136" i="32"/>
  <c r="D137" i="32"/>
  <c r="G137" i="32" s="1"/>
  <c r="E137" i="32"/>
  <c r="F137" i="32"/>
  <c r="D138" i="32"/>
  <c r="G138" i="32" s="1"/>
  <c r="E138" i="32"/>
  <c r="F138" i="32"/>
  <c r="D139" i="32"/>
  <c r="G139" i="32" s="1"/>
  <c r="E139" i="32"/>
  <c r="F139" i="32"/>
  <c r="D140" i="32"/>
  <c r="G140" i="32" s="1"/>
  <c r="E140" i="32"/>
  <c r="F140" i="32"/>
  <c r="D141" i="32"/>
  <c r="G141" i="32" s="1"/>
  <c r="E141" i="32"/>
  <c r="F141" i="32"/>
  <c r="D142" i="32"/>
  <c r="G142" i="32" s="1"/>
  <c r="E142" i="32"/>
  <c r="F142" i="32"/>
  <c r="D143" i="32"/>
  <c r="G143" i="32" s="1"/>
  <c r="E143" i="32"/>
  <c r="F143" i="32"/>
  <c r="D144" i="32"/>
  <c r="G144" i="32" s="1"/>
  <c r="E144" i="32"/>
  <c r="F144" i="32"/>
  <c r="D145" i="32"/>
  <c r="G145" i="32" s="1"/>
  <c r="E145" i="32"/>
  <c r="F145" i="32"/>
  <c r="D146" i="32"/>
  <c r="G146" i="32" s="1"/>
  <c r="E146" i="32"/>
  <c r="F146" i="32"/>
  <c r="D147" i="32"/>
  <c r="G147" i="32" s="1"/>
  <c r="E147" i="32"/>
  <c r="F147" i="32"/>
  <c r="D148" i="32"/>
  <c r="G148" i="32" s="1"/>
  <c r="E148" i="32"/>
  <c r="F148" i="32"/>
  <c r="D149" i="32"/>
  <c r="G149" i="32" s="1"/>
  <c r="E149" i="32"/>
  <c r="F149" i="32"/>
  <c r="D150" i="32"/>
  <c r="G150" i="32" s="1"/>
  <c r="E150" i="32"/>
  <c r="F150" i="32"/>
  <c r="D151" i="32"/>
  <c r="G151" i="32" s="1"/>
  <c r="E151" i="32"/>
  <c r="F151" i="32"/>
  <c r="D152" i="32"/>
  <c r="G152" i="32" s="1"/>
  <c r="E152" i="32"/>
  <c r="F152" i="32"/>
  <c r="D153" i="32"/>
  <c r="G153" i="32" s="1"/>
  <c r="E153" i="32"/>
  <c r="F153" i="32"/>
  <c r="D154" i="32"/>
  <c r="G154" i="32" s="1"/>
  <c r="E154" i="32"/>
  <c r="F154" i="32"/>
  <c r="D155" i="32"/>
  <c r="G155" i="32" s="1"/>
  <c r="E155" i="32"/>
  <c r="F155" i="32"/>
  <c r="D156" i="32"/>
  <c r="G156" i="32" s="1"/>
  <c r="E156" i="32"/>
  <c r="F156" i="32"/>
  <c r="D157" i="32"/>
  <c r="G157" i="32" s="1"/>
  <c r="E157" i="32"/>
  <c r="F157" i="32"/>
  <c r="D158" i="32"/>
  <c r="G158" i="32" s="1"/>
  <c r="E158" i="32"/>
  <c r="F158" i="32"/>
  <c r="D159" i="32"/>
  <c r="G159" i="32" s="1"/>
  <c r="E159" i="32"/>
  <c r="F159" i="32"/>
  <c r="D160" i="32"/>
  <c r="G160" i="32" s="1"/>
  <c r="E160" i="32"/>
  <c r="F160" i="32"/>
  <c r="D161" i="32"/>
  <c r="G161" i="32" s="1"/>
  <c r="E161" i="32"/>
  <c r="F161" i="32"/>
  <c r="D162" i="32"/>
  <c r="G162" i="32" s="1"/>
  <c r="E162" i="32"/>
  <c r="F162" i="32"/>
  <c r="D163" i="32"/>
  <c r="G163" i="32" s="1"/>
  <c r="E163" i="32"/>
  <c r="F163" i="32"/>
  <c r="D164" i="32"/>
  <c r="G164" i="32" s="1"/>
  <c r="E164" i="32"/>
  <c r="F164" i="32"/>
  <c r="D165" i="32"/>
  <c r="G165" i="32" s="1"/>
  <c r="E165" i="32"/>
  <c r="F165" i="32"/>
  <c r="D166" i="32"/>
  <c r="G166" i="32" s="1"/>
  <c r="E166" i="32"/>
  <c r="F166" i="32"/>
  <c r="D167" i="32"/>
  <c r="G167" i="32" s="1"/>
  <c r="E167" i="32"/>
  <c r="F167" i="32"/>
  <c r="D168" i="32"/>
  <c r="G168" i="32" s="1"/>
  <c r="E168" i="32"/>
  <c r="F168" i="32"/>
  <c r="D169" i="32"/>
  <c r="G169" i="32" s="1"/>
  <c r="E169" i="32"/>
  <c r="F169" i="32"/>
  <c r="D170" i="32"/>
  <c r="G170" i="32" s="1"/>
  <c r="E170" i="32"/>
  <c r="F170" i="32"/>
  <c r="D171" i="32"/>
  <c r="G171" i="32" s="1"/>
  <c r="E171" i="32"/>
  <c r="F171" i="32"/>
  <c r="D172" i="32"/>
  <c r="G172" i="32" s="1"/>
  <c r="E172" i="32"/>
  <c r="F172" i="32"/>
  <c r="D173" i="32"/>
  <c r="G173" i="32" s="1"/>
  <c r="E173" i="32"/>
  <c r="F173" i="32"/>
  <c r="D174" i="32"/>
  <c r="G174" i="32" s="1"/>
  <c r="E174" i="32"/>
  <c r="F174" i="32"/>
  <c r="D175" i="32"/>
  <c r="G175" i="32" s="1"/>
  <c r="E175" i="32"/>
  <c r="F175" i="32"/>
  <c r="D176" i="32"/>
  <c r="G176" i="32" s="1"/>
  <c r="E176" i="32"/>
  <c r="F176" i="32"/>
  <c r="D177" i="32"/>
  <c r="G177" i="32" s="1"/>
  <c r="E177" i="32"/>
  <c r="F177" i="32"/>
  <c r="D178" i="32"/>
  <c r="G178" i="32" s="1"/>
  <c r="E178" i="32"/>
  <c r="F178" i="32"/>
  <c r="D179" i="32"/>
  <c r="G179" i="32" s="1"/>
  <c r="E179" i="32"/>
  <c r="F179" i="32"/>
  <c r="D180" i="32"/>
  <c r="G180" i="32" s="1"/>
  <c r="E180" i="32"/>
  <c r="F180" i="32"/>
  <c r="D181" i="32"/>
  <c r="G181" i="32" s="1"/>
  <c r="E181" i="32"/>
  <c r="F181" i="32"/>
  <c r="D182" i="32"/>
  <c r="G182" i="32" s="1"/>
  <c r="E182" i="32"/>
  <c r="F182" i="32"/>
  <c r="D183" i="32"/>
  <c r="G183" i="32" s="1"/>
  <c r="E183" i="32"/>
  <c r="F183" i="32"/>
  <c r="D184" i="32"/>
  <c r="G184" i="32" s="1"/>
  <c r="E184" i="32"/>
  <c r="F184" i="32"/>
  <c r="D185" i="32"/>
  <c r="G185" i="32" s="1"/>
  <c r="E185" i="32"/>
  <c r="F185" i="32"/>
  <c r="D186" i="32"/>
  <c r="G186" i="32" s="1"/>
  <c r="E186" i="32"/>
  <c r="F186" i="32"/>
  <c r="D187" i="32"/>
  <c r="G187" i="32" s="1"/>
  <c r="E187" i="32"/>
  <c r="F187" i="32"/>
  <c r="D188" i="32"/>
  <c r="G188" i="32" s="1"/>
  <c r="E188" i="32"/>
  <c r="F188" i="32"/>
  <c r="D189" i="32"/>
  <c r="G189" i="32" s="1"/>
  <c r="E189" i="32"/>
  <c r="F189" i="32"/>
  <c r="D190" i="32"/>
  <c r="G190" i="32" s="1"/>
  <c r="E190" i="32"/>
  <c r="F190" i="32"/>
  <c r="D191" i="32"/>
  <c r="G191" i="32" s="1"/>
  <c r="E191" i="32"/>
  <c r="F191" i="32"/>
  <c r="D192" i="32"/>
  <c r="G192" i="32" s="1"/>
  <c r="E192" i="32"/>
  <c r="F192" i="32"/>
  <c r="D193" i="32"/>
  <c r="G193" i="32" s="1"/>
  <c r="E193" i="32"/>
  <c r="F193" i="32"/>
  <c r="D194" i="32"/>
  <c r="G194" i="32" s="1"/>
  <c r="E194" i="32"/>
  <c r="F194" i="32"/>
  <c r="D195" i="32"/>
  <c r="G195" i="32" s="1"/>
  <c r="E195" i="32"/>
  <c r="F195" i="32"/>
  <c r="D196" i="32"/>
  <c r="G196" i="32" s="1"/>
  <c r="E196" i="32"/>
  <c r="F196" i="32"/>
  <c r="D197" i="32"/>
  <c r="G197" i="32" s="1"/>
  <c r="E197" i="32"/>
  <c r="F197" i="32"/>
  <c r="D198" i="32"/>
  <c r="G198" i="32" s="1"/>
  <c r="E198" i="32"/>
  <c r="F198" i="32"/>
  <c r="D199" i="32"/>
  <c r="G199" i="32" s="1"/>
  <c r="E199" i="32"/>
  <c r="F199" i="32"/>
  <c r="D200" i="32"/>
  <c r="G200" i="32" s="1"/>
  <c r="E200" i="32"/>
  <c r="F200" i="32"/>
  <c r="D201" i="32"/>
  <c r="G201" i="32" s="1"/>
  <c r="E201" i="32"/>
  <c r="F201" i="32"/>
  <c r="D202" i="32"/>
  <c r="G202" i="32" s="1"/>
  <c r="E202" i="32"/>
  <c r="F202" i="32"/>
  <c r="D203" i="32"/>
  <c r="G203" i="32" s="1"/>
  <c r="E203" i="32"/>
  <c r="F203" i="32"/>
  <c r="D204" i="32"/>
  <c r="G204" i="32" s="1"/>
  <c r="E204" i="32"/>
  <c r="F204" i="32"/>
  <c r="D205" i="32"/>
  <c r="G205" i="32" s="1"/>
  <c r="E205" i="32"/>
  <c r="F205" i="32"/>
  <c r="D206" i="32"/>
  <c r="G206" i="32" s="1"/>
  <c r="E206" i="32"/>
  <c r="F206" i="32"/>
  <c r="D207" i="32"/>
  <c r="G207" i="32" s="1"/>
  <c r="E207" i="32"/>
  <c r="F207" i="32"/>
  <c r="D208" i="32"/>
  <c r="G208" i="32" s="1"/>
  <c r="E208" i="32"/>
  <c r="F208" i="32"/>
  <c r="D209" i="32"/>
  <c r="G209" i="32" s="1"/>
  <c r="E209" i="32"/>
  <c r="F209" i="32"/>
  <c r="D210" i="32"/>
  <c r="G210" i="32" s="1"/>
  <c r="E210" i="32"/>
  <c r="F210" i="32"/>
  <c r="D211" i="32"/>
  <c r="G211" i="32" s="1"/>
  <c r="E211" i="32"/>
  <c r="F211" i="32"/>
  <c r="D212" i="32"/>
  <c r="G212" i="32" s="1"/>
  <c r="E212" i="32"/>
  <c r="F212" i="32"/>
  <c r="D213" i="32"/>
  <c r="G213" i="32" s="1"/>
  <c r="E213" i="32"/>
  <c r="F213" i="32"/>
  <c r="D214" i="32"/>
  <c r="G214" i="32" s="1"/>
  <c r="E214" i="32"/>
  <c r="F214" i="32"/>
  <c r="D215" i="32"/>
  <c r="G215" i="32" s="1"/>
  <c r="E215" i="32"/>
  <c r="F215" i="32"/>
  <c r="D216" i="32"/>
  <c r="G216" i="32" s="1"/>
  <c r="E216" i="32"/>
  <c r="F216" i="32"/>
  <c r="D217" i="32"/>
  <c r="G217" i="32" s="1"/>
  <c r="E217" i="32"/>
  <c r="F217" i="32"/>
  <c r="D218" i="32"/>
  <c r="G218" i="32" s="1"/>
  <c r="E218" i="32"/>
  <c r="F218" i="32"/>
  <c r="D219" i="32"/>
  <c r="G219" i="32" s="1"/>
  <c r="E219" i="32"/>
  <c r="F219" i="32"/>
  <c r="D220" i="32"/>
  <c r="G220" i="32" s="1"/>
  <c r="E220" i="32"/>
  <c r="F220" i="32"/>
  <c r="D221" i="32"/>
  <c r="G221" i="32" s="1"/>
  <c r="E221" i="32"/>
  <c r="F221" i="32"/>
  <c r="D222" i="32"/>
  <c r="G222" i="32" s="1"/>
  <c r="E222" i="32"/>
  <c r="F222" i="32"/>
  <c r="D223" i="32"/>
  <c r="G223" i="32" s="1"/>
  <c r="E223" i="32"/>
  <c r="F223" i="32"/>
  <c r="D224" i="32"/>
  <c r="G224" i="32" s="1"/>
  <c r="E224" i="32"/>
  <c r="F224" i="32"/>
  <c r="F4" i="32"/>
  <c r="E4" i="32"/>
  <c r="D4" i="32"/>
  <c r="G4" i="32" s="1"/>
  <c r="C161" i="41" l="1"/>
  <c r="C162" i="41" s="1"/>
  <c r="C163" i="41" s="1"/>
  <c r="C164" i="41" s="1"/>
  <c r="C165" i="41" s="1"/>
  <c r="B153" i="41"/>
  <c r="A157" i="41"/>
  <c r="D157" i="41" s="1"/>
  <c r="D159" i="41"/>
  <c r="B159" i="41"/>
  <c r="D156" i="41"/>
  <c r="B156" i="41"/>
  <c r="A160" i="41"/>
  <c r="A170" i="41"/>
  <c r="D166" i="41"/>
  <c r="B166" i="41"/>
  <c r="A163" i="41"/>
  <c r="J53" i="10"/>
  <c r="H52" i="10"/>
  <c r="B101" i="20"/>
  <c r="Q41" i="26"/>
  <c r="Q42" i="26"/>
  <c r="Q43" i="26"/>
  <c r="Q44" i="26"/>
  <c r="Q40" i="26"/>
  <c r="AT1" i="33"/>
  <c r="C166" i="41" l="1"/>
  <c r="C167" i="41" s="1"/>
  <c r="C168" i="41" s="1"/>
  <c r="D160" i="41"/>
  <c r="B160" i="41"/>
  <c r="A164" i="41"/>
  <c r="D170" i="41"/>
  <c r="B170" i="41"/>
  <c r="B157" i="41"/>
  <c r="A161" i="41"/>
  <c r="D161" i="41" s="1"/>
  <c r="B163" i="41"/>
  <c r="D163" i="41"/>
  <c r="A167" i="41"/>
  <c r="J54" i="10"/>
  <c r="H53" i="10"/>
  <c r="C80" i="20"/>
  <c r="C32" i="20"/>
  <c r="C23" i="20"/>
  <c r="C96" i="20"/>
  <c r="C64" i="20"/>
  <c r="C40" i="20"/>
  <c r="C16" i="20"/>
  <c r="C103" i="20"/>
  <c r="C79" i="20"/>
  <c r="C55" i="20"/>
  <c r="C39" i="20"/>
  <c r="C7" i="20"/>
  <c r="C102" i="20"/>
  <c r="C78" i="20"/>
  <c r="C62" i="20"/>
  <c r="C38" i="20"/>
  <c r="C30" i="20"/>
  <c r="C6" i="20"/>
  <c r="C101" i="20"/>
  <c r="C85" i="20"/>
  <c r="C61" i="20"/>
  <c r="C45" i="20"/>
  <c r="C37" i="20"/>
  <c r="C21" i="20"/>
  <c r="C5" i="20"/>
  <c r="C100" i="20"/>
  <c r="C84" i="20"/>
  <c r="C68" i="20"/>
  <c r="C52" i="20"/>
  <c r="C36" i="20"/>
  <c r="C12" i="20"/>
  <c r="C107" i="20"/>
  <c r="C91" i="20"/>
  <c r="C75" i="20"/>
  <c r="C51" i="20"/>
  <c r="C11" i="20"/>
  <c r="C104" i="20"/>
  <c r="C72" i="20"/>
  <c r="C48" i="20"/>
  <c r="C24" i="20"/>
  <c r="C95" i="20"/>
  <c r="C63" i="20"/>
  <c r="C15" i="20"/>
  <c r="C4" i="20"/>
  <c r="C86" i="20"/>
  <c r="C54" i="20"/>
  <c r="C14" i="20"/>
  <c r="C98" i="20"/>
  <c r="C82" i="20"/>
  <c r="C74" i="20"/>
  <c r="C66" i="20"/>
  <c r="C58" i="20"/>
  <c r="C50" i="20"/>
  <c r="C42" i="20"/>
  <c r="C34" i="20"/>
  <c r="C26" i="20"/>
  <c r="C18" i="20"/>
  <c r="C10" i="20"/>
  <c r="C88" i="20"/>
  <c r="C56" i="20"/>
  <c r="C8" i="20"/>
  <c r="C87" i="20"/>
  <c r="C71" i="20"/>
  <c r="C47" i="20"/>
  <c r="C31" i="20"/>
  <c r="C94" i="20"/>
  <c r="C70" i="20"/>
  <c r="C46" i="20"/>
  <c r="C22" i="20"/>
  <c r="C109" i="20"/>
  <c r="C93" i="20"/>
  <c r="C77" i="20"/>
  <c r="C69" i="20"/>
  <c r="C53" i="20"/>
  <c r="C29" i="20"/>
  <c r="C13" i="20"/>
  <c r="C108" i="20"/>
  <c r="C92" i="20"/>
  <c r="C76" i="20"/>
  <c r="C60" i="20"/>
  <c r="C44" i="20"/>
  <c r="C28" i="20"/>
  <c r="C20" i="20"/>
  <c r="C99" i="20"/>
  <c r="C83" i="20"/>
  <c r="C67" i="20"/>
  <c r="C59" i="20"/>
  <c r="C43" i="20"/>
  <c r="C35" i="20"/>
  <c r="C27" i="20"/>
  <c r="C19" i="20"/>
  <c r="C90" i="20"/>
  <c r="B109" i="20"/>
  <c r="C105" i="20"/>
  <c r="C97" i="20"/>
  <c r="C89" i="20"/>
  <c r="C81" i="20"/>
  <c r="C73" i="20"/>
  <c r="C65" i="20"/>
  <c r="C57" i="20"/>
  <c r="C49" i="20"/>
  <c r="C41" i="20"/>
  <c r="C33" i="20"/>
  <c r="C25" i="20"/>
  <c r="C17" i="20"/>
  <c r="C9" i="20"/>
  <c r="B106" i="20"/>
  <c r="C106" i="20"/>
  <c r="B103" i="20"/>
  <c r="B102" i="20"/>
  <c r="B108" i="20"/>
  <c r="B107" i="20"/>
  <c r="B105" i="20"/>
  <c r="B104" i="20"/>
  <c r="C169" i="41" l="1"/>
  <c r="B167" i="41"/>
  <c r="D167" i="41"/>
  <c r="B161" i="41"/>
  <c r="A165" i="41"/>
  <c r="D165" i="41" s="1"/>
  <c r="D164" i="41"/>
  <c r="B164" i="41"/>
  <c r="A168" i="41"/>
  <c r="C170" i="41"/>
  <c r="C171" i="41" s="1"/>
  <c r="C172" i="41" s="1"/>
  <c r="C173" i="41" s="1"/>
  <c r="A171" i="41"/>
  <c r="J55" i="10"/>
  <c r="H54" i="10"/>
  <c r="U5" i="33"/>
  <c r="B165" i="41" l="1"/>
  <c r="A169" i="41"/>
  <c r="D169" i="41" s="1"/>
  <c r="D168" i="41"/>
  <c r="B168" i="41"/>
  <c r="A172" i="41"/>
  <c r="D171" i="41"/>
  <c r="B171" i="41"/>
  <c r="J56" i="10"/>
  <c r="H55" i="10"/>
  <c r="V329" i="33"/>
  <c r="Y329" i="33"/>
  <c r="AB3" i="33"/>
  <c r="AG3" i="33" s="1"/>
  <c r="AC3" i="33"/>
  <c r="AH3" i="33" s="1"/>
  <c r="AD3" i="33"/>
  <c r="AI3" i="33" s="1"/>
  <c r="AA3" i="33"/>
  <c r="AF3" i="33" s="1"/>
  <c r="D172" i="41" l="1"/>
  <c r="B172" i="41"/>
  <c r="B169" i="41"/>
  <c r="A173" i="41"/>
  <c r="J57" i="10"/>
  <c r="H56" i="10"/>
  <c r="U329" i="33"/>
  <c r="K17" i="34"/>
  <c r="K28" i="34"/>
  <c r="K23" i="34"/>
  <c r="K29" i="34"/>
  <c r="K22" i="34"/>
  <c r="K19" i="34"/>
  <c r="K18" i="34"/>
  <c r="K24" i="34"/>
  <c r="K30" i="34"/>
  <c r="K20" i="34"/>
  <c r="K27" i="34"/>
  <c r="K25" i="34"/>
  <c r="K11" i="34"/>
  <c r="K12" i="34"/>
  <c r="K8" i="34"/>
  <c r="K7" i="34"/>
  <c r="K21" i="34"/>
  <c r="K3" i="34"/>
  <c r="K6" i="34"/>
  <c r="K4" i="34"/>
  <c r="K5" i="34"/>
  <c r="K10" i="34"/>
  <c r="K13" i="34"/>
  <c r="K14" i="34"/>
  <c r="K15" i="34"/>
  <c r="K16" i="34"/>
  <c r="K2" i="34"/>
  <c r="K9" i="34"/>
  <c r="P4" i="12"/>
  <c r="P5" i="12"/>
  <c r="P6" i="12"/>
  <c r="P7" i="12"/>
  <c r="P8" i="12"/>
  <c r="P9" i="12"/>
  <c r="P10" i="12"/>
  <c r="P11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P59" i="12"/>
  <c r="P60" i="12"/>
  <c r="P61" i="12"/>
  <c r="P62" i="12"/>
  <c r="P63" i="12"/>
  <c r="P64" i="12"/>
  <c r="P65" i="12"/>
  <c r="P66" i="12"/>
  <c r="P67" i="12"/>
  <c r="P68" i="12"/>
  <c r="P69" i="12"/>
  <c r="P70" i="12"/>
  <c r="P71" i="12"/>
  <c r="P72" i="12"/>
  <c r="P73" i="12"/>
  <c r="P74" i="12"/>
  <c r="P75" i="12"/>
  <c r="P76" i="12"/>
  <c r="P77" i="12"/>
  <c r="P78" i="12"/>
  <c r="P79" i="12"/>
  <c r="P80" i="12"/>
  <c r="P81" i="12"/>
  <c r="P82" i="12"/>
  <c r="P83" i="12"/>
  <c r="P84" i="12"/>
  <c r="P85" i="12"/>
  <c r="P86" i="12"/>
  <c r="P87" i="12"/>
  <c r="P88" i="12"/>
  <c r="P89" i="12"/>
  <c r="P90" i="12"/>
  <c r="B173" i="41" l="1"/>
  <c r="D173" i="41"/>
  <c r="P57" i="10"/>
  <c r="H57" i="10"/>
  <c r="X1" i="30"/>
  <c r="J8" i="30"/>
  <c r="J6" i="30"/>
  <c r="J7" i="30"/>
  <c r="F3" i="31"/>
  <c r="AC64" i="25"/>
  <c r="AD64" i="25"/>
  <c r="AC65" i="25"/>
  <c r="AD65" i="25"/>
  <c r="AC66" i="25"/>
  <c r="AD66" i="25"/>
  <c r="AC67" i="25"/>
  <c r="AD67" i="25"/>
  <c r="AC68" i="25"/>
  <c r="AD68" i="25"/>
  <c r="AC69" i="25"/>
  <c r="AD69" i="25"/>
  <c r="AC70" i="25"/>
  <c r="AD70" i="25"/>
  <c r="AC71" i="25"/>
  <c r="AD71" i="25"/>
  <c r="AC72" i="25"/>
  <c r="AD72" i="25"/>
  <c r="AC73" i="25"/>
  <c r="AD73" i="25"/>
  <c r="AC74" i="25"/>
  <c r="AD74" i="25"/>
  <c r="AC75" i="25"/>
  <c r="AD75" i="25"/>
  <c r="AC76" i="25"/>
  <c r="AD76" i="25"/>
  <c r="AC77" i="25"/>
  <c r="AD77" i="25"/>
  <c r="AC78" i="25"/>
  <c r="AD78" i="25"/>
  <c r="AC79" i="25"/>
  <c r="AD79" i="25"/>
  <c r="AC80" i="25"/>
  <c r="AD80" i="25"/>
  <c r="AC81" i="25"/>
  <c r="AD81" i="25"/>
  <c r="AC82" i="25"/>
  <c r="AD82" i="25"/>
  <c r="AC83" i="25"/>
  <c r="AD83" i="25"/>
  <c r="AC84" i="25"/>
  <c r="AD84" i="25"/>
  <c r="AC85" i="25"/>
  <c r="AD85" i="25"/>
  <c r="AC86" i="25"/>
  <c r="AD86" i="25"/>
  <c r="AC87" i="25"/>
  <c r="AD87" i="25"/>
  <c r="AC88" i="25"/>
  <c r="AD88" i="25"/>
  <c r="AC89" i="25"/>
  <c r="AD89" i="25"/>
  <c r="AC90" i="25"/>
  <c r="AD90" i="25"/>
  <c r="AC91" i="25"/>
  <c r="AD91" i="25"/>
  <c r="AC92" i="25"/>
  <c r="AD92" i="25"/>
  <c r="AC93" i="25"/>
  <c r="AD93" i="25"/>
  <c r="AC94" i="25"/>
  <c r="AD94" i="25"/>
  <c r="AC95" i="25"/>
  <c r="AD95" i="25"/>
  <c r="AC96" i="25"/>
  <c r="AD96" i="25"/>
  <c r="AC97" i="25"/>
  <c r="AD97" i="25"/>
  <c r="AC98" i="25"/>
  <c r="AD98" i="25"/>
  <c r="AC99" i="25"/>
  <c r="AD99" i="25"/>
  <c r="AC100" i="25"/>
  <c r="AD100" i="25"/>
  <c r="AC101" i="25"/>
  <c r="AD101" i="25"/>
  <c r="AC102" i="25"/>
  <c r="AD102" i="25"/>
  <c r="AC103" i="25"/>
  <c r="AD103" i="25"/>
  <c r="AC104" i="25"/>
  <c r="AD104" i="25"/>
  <c r="AC105" i="25"/>
  <c r="AD105" i="25"/>
  <c r="AC106" i="25"/>
  <c r="AD106" i="25"/>
  <c r="AC107" i="25"/>
  <c r="AD107" i="25"/>
  <c r="AC108" i="25"/>
  <c r="AD108" i="25"/>
  <c r="AC109" i="25"/>
  <c r="AD109" i="25"/>
  <c r="AC110" i="25"/>
  <c r="AD110" i="25"/>
  <c r="AC111" i="25"/>
  <c r="AD111" i="25"/>
  <c r="AC112" i="25"/>
  <c r="AD112" i="25"/>
  <c r="AC113" i="25"/>
  <c r="AD113" i="25"/>
  <c r="AC114" i="25"/>
  <c r="AD114" i="25"/>
  <c r="AC115" i="25"/>
  <c r="AD115" i="25"/>
  <c r="AC116" i="25"/>
  <c r="AD116" i="25"/>
  <c r="AC117" i="25"/>
  <c r="AD117" i="25"/>
  <c r="AC118" i="25"/>
  <c r="AD118" i="25"/>
  <c r="AC119" i="25"/>
  <c r="AD119" i="25"/>
  <c r="AC120" i="25"/>
  <c r="AD120" i="25"/>
  <c r="AC121" i="25"/>
  <c r="AD121" i="25"/>
  <c r="AC122" i="25"/>
  <c r="AD122" i="25"/>
  <c r="AC123" i="25"/>
  <c r="AD123" i="25"/>
  <c r="AC124" i="25"/>
  <c r="AD124" i="25"/>
  <c r="AC125" i="25"/>
  <c r="AD125" i="25"/>
  <c r="AC126" i="25"/>
  <c r="AD126" i="25"/>
  <c r="AC127" i="25"/>
  <c r="AD127" i="25"/>
  <c r="AC128" i="25"/>
  <c r="AD128" i="25"/>
  <c r="AC129" i="25"/>
  <c r="AD129" i="25"/>
  <c r="AC130" i="25"/>
  <c r="AD130" i="25"/>
  <c r="AC131" i="25"/>
  <c r="AD131" i="25"/>
  <c r="AC132" i="25"/>
  <c r="AD132" i="25"/>
  <c r="AC133" i="25"/>
  <c r="AD133" i="25"/>
  <c r="AC134" i="25"/>
  <c r="AD134" i="25"/>
  <c r="AC135" i="25"/>
  <c r="AD135" i="25"/>
  <c r="AC136" i="25"/>
  <c r="AD136" i="25"/>
  <c r="AC137" i="25"/>
  <c r="AD137" i="25"/>
  <c r="AC138" i="25"/>
  <c r="AD138" i="25"/>
  <c r="AC139" i="25"/>
  <c r="AD139" i="25"/>
  <c r="AC140" i="25"/>
  <c r="AD140" i="25"/>
  <c r="AC141" i="25"/>
  <c r="AD141" i="25"/>
  <c r="AC142" i="25"/>
  <c r="AD142" i="25"/>
  <c r="AC143" i="25"/>
  <c r="AD143" i="25"/>
  <c r="AC144" i="25"/>
  <c r="AD144" i="25"/>
  <c r="AC145" i="25"/>
  <c r="AD145" i="25"/>
  <c r="AC146" i="25"/>
  <c r="AD146" i="25"/>
  <c r="AC147" i="25"/>
  <c r="AD147" i="25"/>
  <c r="AC148" i="25"/>
  <c r="AD148" i="25"/>
  <c r="AC149" i="25"/>
  <c r="AD149" i="25"/>
  <c r="AC150" i="25"/>
  <c r="AD150" i="25"/>
  <c r="AC151" i="25"/>
  <c r="AD151" i="25"/>
  <c r="AC152" i="25"/>
  <c r="AD152" i="25"/>
  <c r="AC153" i="25"/>
  <c r="AD153" i="25"/>
  <c r="AC154" i="25"/>
  <c r="AD154" i="25"/>
  <c r="AC155" i="25"/>
  <c r="AD155" i="25"/>
  <c r="AC156" i="25"/>
  <c r="AD156" i="25"/>
  <c r="AC157" i="25"/>
  <c r="AD157" i="25"/>
  <c r="AC158" i="25"/>
  <c r="AD158" i="25"/>
  <c r="AC159" i="25"/>
  <c r="AD159" i="25"/>
  <c r="AC160" i="25"/>
  <c r="AD160" i="25"/>
  <c r="AC161" i="25"/>
  <c r="AD161" i="25"/>
  <c r="AC162" i="25"/>
  <c r="AD162" i="25"/>
  <c r="AC163" i="25"/>
  <c r="AD163" i="25"/>
  <c r="AC164" i="25"/>
  <c r="AD164" i="25"/>
  <c r="AC165" i="25"/>
  <c r="AD165" i="25"/>
  <c r="AC166" i="25"/>
  <c r="AD166" i="25"/>
  <c r="AC167" i="25"/>
  <c r="AD167" i="25"/>
  <c r="AC168" i="25"/>
  <c r="AD168" i="25"/>
  <c r="AC169" i="25"/>
  <c r="AD169" i="25"/>
  <c r="AC170" i="25"/>
  <c r="AD170" i="25"/>
  <c r="AC171" i="25"/>
  <c r="AD171" i="25"/>
  <c r="AC172" i="25"/>
  <c r="AD172" i="25"/>
  <c r="AC173" i="25"/>
  <c r="AD173" i="25"/>
  <c r="AC174" i="25"/>
  <c r="AD174" i="25"/>
  <c r="AC175" i="25"/>
  <c r="AD175" i="25"/>
  <c r="AC176" i="25"/>
  <c r="AD176" i="25"/>
  <c r="AC177" i="25"/>
  <c r="AD177" i="25"/>
  <c r="AC178" i="25"/>
  <c r="AD178" i="25"/>
  <c r="AC179" i="25"/>
  <c r="AD179" i="25"/>
  <c r="AC180" i="25"/>
  <c r="AD180" i="25"/>
  <c r="AC181" i="25"/>
  <c r="AD181" i="25"/>
  <c r="AC182" i="25"/>
  <c r="AD182" i="25"/>
  <c r="AC183" i="25"/>
  <c r="AD183" i="25"/>
  <c r="AC184" i="25"/>
  <c r="AD184" i="25"/>
  <c r="AC185" i="25"/>
  <c r="AD185" i="25"/>
  <c r="AC186" i="25"/>
  <c r="AD186" i="25"/>
  <c r="AC187" i="25"/>
  <c r="AD187" i="25"/>
  <c r="AC188" i="25"/>
  <c r="AD188" i="25"/>
  <c r="AC189" i="25"/>
  <c r="AD189" i="25"/>
  <c r="AC190" i="25"/>
  <c r="AD190" i="25"/>
  <c r="AC191" i="25"/>
  <c r="AD191" i="25"/>
  <c r="AC192" i="25"/>
  <c r="AD192" i="25"/>
  <c r="AC193" i="25"/>
  <c r="AD193" i="25"/>
  <c r="AC194" i="25"/>
  <c r="AD194" i="25"/>
  <c r="AC195" i="25"/>
  <c r="AD195" i="25"/>
  <c r="AC196" i="25"/>
  <c r="AD196" i="25"/>
  <c r="AC197" i="25"/>
  <c r="AD197" i="25"/>
  <c r="AC198" i="25"/>
  <c r="AD198" i="25"/>
  <c r="AC199" i="25"/>
  <c r="AD199" i="25"/>
  <c r="AC200" i="25"/>
  <c r="AD200" i="25"/>
  <c r="AC201" i="25"/>
  <c r="AD201" i="25"/>
  <c r="AC202" i="25"/>
  <c r="AD202" i="25"/>
  <c r="AC203" i="25"/>
  <c r="AD203" i="25"/>
  <c r="AC204" i="25"/>
  <c r="AD204" i="25"/>
  <c r="AC205" i="25"/>
  <c r="AD205" i="25"/>
  <c r="AC206" i="25"/>
  <c r="AD206" i="25"/>
  <c r="AC207" i="25"/>
  <c r="AD207" i="25"/>
  <c r="AC208" i="25"/>
  <c r="AD208" i="25"/>
  <c r="AC209" i="25"/>
  <c r="AD209" i="25"/>
  <c r="AC210" i="25"/>
  <c r="AD210" i="25"/>
  <c r="AC211" i="25"/>
  <c r="AD211" i="25"/>
  <c r="AC212" i="25"/>
  <c r="AD212" i="25"/>
  <c r="AC213" i="25"/>
  <c r="AD213" i="25"/>
  <c r="AC214" i="25"/>
  <c r="AD214" i="25"/>
  <c r="AC215" i="25"/>
  <c r="AD215" i="25"/>
  <c r="AC216" i="25"/>
  <c r="AD216" i="25"/>
  <c r="AC217" i="25"/>
  <c r="AD217" i="25"/>
  <c r="AC218" i="25"/>
  <c r="AD218" i="25"/>
  <c r="AC219" i="25"/>
  <c r="AD219" i="25"/>
  <c r="AC220" i="25"/>
  <c r="AD220" i="25"/>
  <c r="AC221" i="25"/>
  <c r="AD221" i="25"/>
  <c r="AC222" i="25"/>
  <c r="AD222" i="25"/>
  <c r="AC223" i="25"/>
  <c r="AD223" i="25"/>
  <c r="AC224" i="25"/>
  <c r="AD224" i="25"/>
  <c r="AC225" i="25"/>
  <c r="AD225" i="25"/>
  <c r="AC226" i="25"/>
  <c r="AD226" i="25"/>
  <c r="AC227" i="25"/>
  <c r="AD227" i="25"/>
  <c r="AC228" i="25"/>
  <c r="AD228" i="25"/>
  <c r="AC229" i="25"/>
  <c r="AD229" i="25"/>
  <c r="AC230" i="25"/>
  <c r="AD230" i="25"/>
  <c r="AC231" i="25"/>
  <c r="AD231" i="25"/>
  <c r="AC232" i="25"/>
  <c r="AD232" i="25"/>
  <c r="AC233" i="25"/>
  <c r="AD233" i="25"/>
  <c r="AC234" i="25"/>
  <c r="AD234" i="25"/>
  <c r="AC235" i="25"/>
  <c r="AD235" i="25"/>
  <c r="AC236" i="25"/>
  <c r="AD236" i="25"/>
  <c r="AC237" i="25"/>
  <c r="AD237" i="25"/>
  <c r="AC238" i="25"/>
  <c r="AD238" i="25"/>
  <c r="AC239" i="25"/>
  <c r="AD239" i="25"/>
  <c r="AC240" i="25"/>
  <c r="AD240" i="25"/>
  <c r="AC241" i="25"/>
  <c r="AD241" i="25"/>
  <c r="AC242" i="25"/>
  <c r="AD242" i="25"/>
  <c r="AC243" i="25"/>
  <c r="AD243" i="25"/>
  <c r="AC244" i="25"/>
  <c r="AD244" i="25"/>
  <c r="AC245" i="25"/>
  <c r="AD245" i="25"/>
  <c r="AC246" i="25"/>
  <c r="AD246" i="25"/>
  <c r="AC247" i="25"/>
  <c r="AD247" i="25"/>
  <c r="AC248" i="25"/>
  <c r="AD248" i="25"/>
  <c r="AC249" i="25"/>
  <c r="AD249" i="25"/>
  <c r="AC250" i="25"/>
  <c r="AD250" i="25"/>
  <c r="AC251" i="25"/>
  <c r="AD251" i="25"/>
  <c r="AC252" i="25"/>
  <c r="AD252" i="25"/>
  <c r="AC253" i="25"/>
  <c r="AD253" i="25"/>
  <c r="AC254" i="25"/>
  <c r="AD254" i="25"/>
  <c r="AC255" i="25"/>
  <c r="AD255" i="25"/>
  <c r="AC256" i="25"/>
  <c r="AD256" i="25"/>
  <c r="AC257" i="25"/>
  <c r="AD257" i="25"/>
  <c r="AC258" i="25"/>
  <c r="AD258" i="25"/>
  <c r="AC259" i="25"/>
  <c r="AD259" i="25"/>
  <c r="AC260" i="25"/>
  <c r="AD260" i="25"/>
  <c r="AC261" i="25"/>
  <c r="AD261" i="25"/>
  <c r="AC262" i="25"/>
  <c r="AD262" i="25"/>
  <c r="AC263" i="25"/>
  <c r="AD263" i="25"/>
  <c r="AC264" i="25"/>
  <c r="AD264" i="25"/>
  <c r="AC265" i="25"/>
  <c r="AD265" i="25"/>
  <c r="AC266" i="25"/>
  <c r="AD266" i="25"/>
  <c r="AC267" i="25"/>
  <c r="AD267" i="25"/>
  <c r="AC268" i="25"/>
  <c r="AD268" i="25"/>
  <c r="AC269" i="25"/>
  <c r="AD269" i="25"/>
  <c r="AC270" i="25"/>
  <c r="AD270" i="25"/>
  <c r="AC271" i="25"/>
  <c r="AD271" i="25"/>
  <c r="AC272" i="25"/>
  <c r="AD272" i="25"/>
  <c r="AC273" i="25"/>
  <c r="AD273" i="25"/>
  <c r="AC274" i="25"/>
  <c r="AD274" i="25"/>
  <c r="AC275" i="25"/>
  <c r="AD275" i="25"/>
  <c r="AC276" i="25"/>
  <c r="AD276" i="25"/>
  <c r="AC277" i="25"/>
  <c r="AD277" i="25"/>
  <c r="AC278" i="25"/>
  <c r="AD278" i="25"/>
  <c r="AC279" i="25"/>
  <c r="AD279" i="25"/>
  <c r="AC280" i="25"/>
  <c r="AD280" i="25"/>
  <c r="AC281" i="25"/>
  <c r="AD281" i="25"/>
  <c r="AC282" i="25"/>
  <c r="AD282" i="25"/>
  <c r="AC283" i="25"/>
  <c r="AD283" i="25"/>
  <c r="AC284" i="25"/>
  <c r="AD284" i="25"/>
  <c r="AC285" i="25"/>
  <c r="AD285" i="25"/>
  <c r="AC286" i="25"/>
  <c r="AD286" i="25"/>
  <c r="AC287" i="25"/>
  <c r="AD287" i="25"/>
  <c r="AC288" i="25"/>
  <c r="AD288" i="25"/>
  <c r="AC289" i="25"/>
  <c r="AD289" i="25"/>
  <c r="AC290" i="25"/>
  <c r="AD290" i="25"/>
  <c r="AC291" i="25"/>
  <c r="AD291" i="25"/>
  <c r="AC292" i="25"/>
  <c r="AD292" i="25"/>
  <c r="AC293" i="25"/>
  <c r="AD293" i="25"/>
  <c r="AC294" i="25"/>
  <c r="AD294" i="25"/>
  <c r="AC295" i="25"/>
  <c r="AD295" i="25"/>
  <c r="AC296" i="25"/>
  <c r="AD296" i="25"/>
  <c r="AC297" i="25"/>
  <c r="AD297" i="25"/>
  <c r="AC298" i="25"/>
  <c r="AD298" i="25"/>
  <c r="AC299" i="25"/>
  <c r="AD299" i="25"/>
  <c r="AC300" i="25"/>
  <c r="AD300" i="25"/>
  <c r="AC301" i="25"/>
  <c r="AD301" i="25"/>
  <c r="AC302" i="25"/>
  <c r="AD302" i="25"/>
  <c r="AC303" i="25"/>
  <c r="AD303" i="25"/>
  <c r="AC304" i="25"/>
  <c r="AD304" i="25"/>
  <c r="AC305" i="25"/>
  <c r="AD305" i="25"/>
  <c r="AC306" i="25"/>
  <c r="AD306" i="25"/>
  <c r="AC307" i="25"/>
  <c r="AD307" i="25"/>
  <c r="AD63" i="25"/>
  <c r="AC63" i="25"/>
  <c r="AB64" i="25"/>
  <c r="AB65" i="25"/>
  <c r="AB66" i="25"/>
  <c r="AB67" i="25"/>
  <c r="AB68" i="25"/>
  <c r="AB69" i="25"/>
  <c r="AB70" i="25"/>
  <c r="AB71" i="25"/>
  <c r="AB72" i="25"/>
  <c r="AB73" i="25"/>
  <c r="AB74" i="25"/>
  <c r="AB75" i="25"/>
  <c r="AB76" i="25"/>
  <c r="AB77" i="25"/>
  <c r="AB78" i="25"/>
  <c r="AB79" i="25"/>
  <c r="AB80" i="25"/>
  <c r="AB81" i="25"/>
  <c r="AB82" i="25"/>
  <c r="AB83" i="25"/>
  <c r="AB84" i="25"/>
  <c r="AB85" i="25"/>
  <c r="AB86" i="25"/>
  <c r="AB87" i="25"/>
  <c r="AB88" i="25"/>
  <c r="AB89" i="25"/>
  <c r="AB90" i="25"/>
  <c r="AB91" i="25"/>
  <c r="AB92" i="25"/>
  <c r="AB93" i="25"/>
  <c r="AB94" i="25"/>
  <c r="AB95" i="25"/>
  <c r="AB96" i="25"/>
  <c r="AB97" i="25"/>
  <c r="AB98" i="25"/>
  <c r="AB99" i="25"/>
  <c r="AB100" i="25"/>
  <c r="AB101" i="25"/>
  <c r="AB102" i="25"/>
  <c r="AB104" i="25"/>
  <c r="AB105" i="25"/>
  <c r="AB106" i="25"/>
  <c r="AB107" i="25"/>
  <c r="AB108" i="25"/>
  <c r="AB109" i="25"/>
  <c r="AB110" i="25"/>
  <c r="AB111" i="25"/>
  <c r="AB112" i="25"/>
  <c r="AB113" i="25"/>
  <c r="AB114" i="25"/>
  <c r="AB115" i="25"/>
  <c r="AB116" i="25"/>
  <c r="AB117" i="25"/>
  <c r="AB118" i="25"/>
  <c r="AB119" i="25"/>
  <c r="AB120" i="25"/>
  <c r="AB121" i="25"/>
  <c r="AB122" i="25"/>
  <c r="AB123" i="25"/>
  <c r="AB124" i="25"/>
  <c r="AB125" i="25"/>
  <c r="AB126" i="25"/>
  <c r="AB127" i="25"/>
  <c r="AB128" i="25"/>
  <c r="AB129" i="25"/>
  <c r="AB130" i="25"/>
  <c r="AB131" i="25"/>
  <c r="AB132" i="25"/>
  <c r="AB133" i="25"/>
  <c r="AB134" i="25"/>
  <c r="AB135" i="25"/>
  <c r="AB136" i="25"/>
  <c r="AB137" i="25"/>
  <c r="AB138" i="25"/>
  <c r="AB139" i="25"/>
  <c r="AB140" i="25"/>
  <c r="AB141" i="25"/>
  <c r="AB142" i="25"/>
  <c r="AB143" i="25"/>
  <c r="AB144" i="25"/>
  <c r="AB145" i="25"/>
  <c r="AB146" i="25"/>
  <c r="AB147" i="25"/>
  <c r="AB148" i="25"/>
  <c r="AB149" i="25"/>
  <c r="AB150" i="25"/>
  <c r="AB151" i="25"/>
  <c r="AB152" i="25"/>
  <c r="AB153" i="25"/>
  <c r="AB154" i="25"/>
  <c r="AB155" i="25"/>
  <c r="AB156" i="25"/>
  <c r="AB157" i="25"/>
  <c r="AB158" i="25"/>
  <c r="AB159" i="25"/>
  <c r="AB160" i="25"/>
  <c r="AB161" i="25"/>
  <c r="AB162" i="25"/>
  <c r="AB163" i="25"/>
  <c r="AB164" i="25"/>
  <c r="AB165" i="25"/>
  <c r="AB166" i="25"/>
  <c r="AB167" i="25"/>
  <c r="AB168" i="25"/>
  <c r="AB169" i="25"/>
  <c r="AB170" i="25"/>
  <c r="AB171" i="25"/>
  <c r="AB172" i="25"/>
  <c r="AB173" i="25"/>
  <c r="AB174" i="25"/>
  <c r="AB175" i="25"/>
  <c r="AB176" i="25"/>
  <c r="AB177" i="25"/>
  <c r="AB178" i="25"/>
  <c r="AB179" i="25"/>
  <c r="AB180" i="25"/>
  <c r="AB181" i="25"/>
  <c r="AB182" i="25"/>
  <c r="AB183" i="25"/>
  <c r="AB184" i="25"/>
  <c r="AB185" i="25"/>
  <c r="AB186" i="25"/>
  <c r="AB187" i="25"/>
  <c r="AB188" i="25"/>
  <c r="AB189" i="25"/>
  <c r="AB190" i="25"/>
  <c r="AB191" i="25"/>
  <c r="AB192" i="25"/>
  <c r="AB193" i="25"/>
  <c r="AB194" i="25"/>
  <c r="AB195" i="25"/>
  <c r="AB196" i="25"/>
  <c r="AB197" i="25"/>
  <c r="AB198" i="25"/>
  <c r="AB199" i="25"/>
  <c r="AB200" i="25"/>
  <c r="AB201" i="25"/>
  <c r="AB202" i="25"/>
  <c r="AB203" i="25"/>
  <c r="AB204" i="25"/>
  <c r="AB205" i="25"/>
  <c r="AB206" i="25"/>
  <c r="AB207" i="25"/>
  <c r="AB208" i="25"/>
  <c r="AB209" i="25"/>
  <c r="AB210" i="25"/>
  <c r="AB211" i="25"/>
  <c r="AB212" i="25"/>
  <c r="AB213" i="25"/>
  <c r="AB214" i="25"/>
  <c r="AB215" i="25"/>
  <c r="AB216" i="25"/>
  <c r="AB217" i="25"/>
  <c r="AB218" i="25"/>
  <c r="AB219" i="25"/>
  <c r="AB220" i="25"/>
  <c r="AB221" i="25"/>
  <c r="AB222" i="25"/>
  <c r="AB223" i="25"/>
  <c r="AB224" i="25"/>
  <c r="AB225" i="25"/>
  <c r="AB226" i="25"/>
  <c r="AB227" i="25"/>
  <c r="AB228" i="25"/>
  <c r="AB229" i="25"/>
  <c r="AB230" i="25"/>
  <c r="AB231" i="25"/>
  <c r="AB232" i="25"/>
  <c r="AB233" i="25"/>
  <c r="AB234" i="25"/>
  <c r="AB235" i="25"/>
  <c r="AB236" i="25"/>
  <c r="AB237" i="25"/>
  <c r="AB238" i="25"/>
  <c r="AB239" i="25"/>
  <c r="AB240" i="25"/>
  <c r="AB241" i="25"/>
  <c r="AB242" i="25"/>
  <c r="AB243" i="25"/>
  <c r="AB244" i="25"/>
  <c r="AB245" i="25"/>
  <c r="AB246" i="25"/>
  <c r="AB247" i="25"/>
  <c r="AB248" i="25"/>
  <c r="AB249" i="25"/>
  <c r="AB250" i="25"/>
  <c r="AB251" i="25"/>
  <c r="AB252" i="25"/>
  <c r="AB253" i="25"/>
  <c r="AB254" i="25"/>
  <c r="AB255" i="25"/>
  <c r="AB256" i="25"/>
  <c r="AB257" i="25"/>
  <c r="AB258" i="25"/>
  <c r="AB259" i="25"/>
  <c r="AB260" i="25"/>
  <c r="AB261" i="25"/>
  <c r="AB262" i="25"/>
  <c r="AB263" i="25"/>
  <c r="AB264" i="25"/>
  <c r="AB265" i="25"/>
  <c r="AB266" i="25"/>
  <c r="AB267" i="25"/>
  <c r="AB268" i="25"/>
  <c r="AB269" i="25"/>
  <c r="AB270" i="25"/>
  <c r="AB271" i="25"/>
  <c r="AB272" i="25"/>
  <c r="AB273" i="25"/>
  <c r="AB274" i="25"/>
  <c r="AB275" i="25"/>
  <c r="AB276" i="25"/>
  <c r="AB277" i="25"/>
  <c r="AB278" i="25"/>
  <c r="AB279" i="25"/>
  <c r="AB280" i="25"/>
  <c r="AB281" i="25"/>
  <c r="AB282" i="25"/>
  <c r="AB283" i="25"/>
  <c r="AB284" i="25"/>
  <c r="AB285" i="25"/>
  <c r="AB286" i="25"/>
  <c r="AB287" i="25"/>
  <c r="AB288" i="25"/>
  <c r="AB289" i="25"/>
  <c r="AB290" i="25"/>
  <c r="AB291" i="25"/>
  <c r="AB292" i="25"/>
  <c r="AB293" i="25"/>
  <c r="AB294" i="25"/>
  <c r="AB295" i="25"/>
  <c r="AB296" i="25"/>
  <c r="AB297" i="25"/>
  <c r="AB298" i="25"/>
  <c r="AB299" i="25"/>
  <c r="AB300" i="25"/>
  <c r="AB301" i="25"/>
  <c r="AB302" i="25"/>
  <c r="AB303" i="25"/>
  <c r="AB304" i="25"/>
  <c r="AB305" i="25"/>
  <c r="AB306" i="25"/>
  <c r="AB307" i="25"/>
  <c r="AB63" i="25"/>
  <c r="AA67" i="22"/>
  <c r="AB67" i="22"/>
  <c r="AA68" i="22"/>
  <c r="AB68" i="22"/>
  <c r="AA69" i="22"/>
  <c r="AB69" i="22"/>
  <c r="AA70" i="22"/>
  <c r="AB70" i="22"/>
  <c r="AA71" i="22"/>
  <c r="AB71" i="22"/>
  <c r="AA72" i="22"/>
  <c r="AB72" i="22"/>
  <c r="AA73" i="22"/>
  <c r="AB73" i="22"/>
  <c r="AA74" i="22"/>
  <c r="AB74" i="22"/>
  <c r="AA75" i="22"/>
  <c r="AB75" i="22"/>
  <c r="AA76" i="22"/>
  <c r="AB76" i="22"/>
  <c r="AA77" i="22"/>
  <c r="AB77" i="22"/>
  <c r="AA78" i="22"/>
  <c r="AB78" i="22"/>
  <c r="AA79" i="22"/>
  <c r="AB79" i="22"/>
  <c r="AA80" i="22"/>
  <c r="AB80" i="22"/>
  <c r="AA81" i="22"/>
  <c r="AB81" i="22"/>
  <c r="AA82" i="22"/>
  <c r="AB82" i="22"/>
  <c r="AA83" i="22"/>
  <c r="AB83" i="22"/>
  <c r="AA84" i="22"/>
  <c r="AB84" i="22"/>
  <c r="AA85" i="22"/>
  <c r="AB85" i="22"/>
  <c r="AA86" i="22"/>
  <c r="AB86" i="22"/>
  <c r="AA87" i="22"/>
  <c r="AB87" i="22"/>
  <c r="AA88" i="22"/>
  <c r="AB88" i="22"/>
  <c r="AA89" i="22"/>
  <c r="AB89" i="22"/>
  <c r="AA90" i="22"/>
  <c r="AB90" i="22"/>
  <c r="AA91" i="22"/>
  <c r="AB91" i="22"/>
  <c r="AA92" i="22"/>
  <c r="AB92" i="22"/>
  <c r="AA93" i="22"/>
  <c r="AB93" i="22"/>
  <c r="AA94" i="22"/>
  <c r="AB94" i="22"/>
  <c r="AA95" i="22"/>
  <c r="AB95" i="22"/>
  <c r="AA96" i="22"/>
  <c r="AB96" i="22"/>
  <c r="AA97" i="22"/>
  <c r="AB97" i="22"/>
  <c r="AA98" i="22"/>
  <c r="AB98" i="22"/>
  <c r="AA99" i="22"/>
  <c r="AB99" i="22"/>
  <c r="AA100" i="22"/>
  <c r="AB100" i="22"/>
  <c r="AA101" i="22"/>
  <c r="AB101" i="22"/>
  <c r="AA102" i="22"/>
  <c r="AB102" i="22"/>
  <c r="AA103" i="22"/>
  <c r="AB103" i="22"/>
  <c r="AA104" i="22"/>
  <c r="AB104" i="22"/>
  <c r="AA105" i="22"/>
  <c r="AB105" i="22"/>
  <c r="AA106" i="22"/>
  <c r="AB106" i="22"/>
  <c r="AA107" i="22"/>
  <c r="AB107" i="22"/>
  <c r="AA108" i="22"/>
  <c r="AB108" i="22"/>
  <c r="AA109" i="22"/>
  <c r="AB109" i="22"/>
  <c r="AA110" i="22"/>
  <c r="AB110" i="22"/>
  <c r="AA111" i="22"/>
  <c r="AB111" i="22"/>
  <c r="AA112" i="22"/>
  <c r="AB112" i="22"/>
  <c r="AA113" i="22"/>
  <c r="AB113" i="22"/>
  <c r="AA114" i="22"/>
  <c r="AB114" i="22"/>
  <c r="AA115" i="22"/>
  <c r="AB115" i="22"/>
  <c r="AA116" i="22"/>
  <c r="AB116" i="22"/>
  <c r="AA117" i="22"/>
  <c r="AB117" i="22"/>
  <c r="AA118" i="22"/>
  <c r="AB118" i="22"/>
  <c r="AA119" i="22"/>
  <c r="AB119" i="22"/>
  <c r="AA120" i="22"/>
  <c r="AB120" i="22"/>
  <c r="AA121" i="22"/>
  <c r="AB121" i="22"/>
  <c r="AA122" i="22"/>
  <c r="AB122" i="22"/>
  <c r="AA123" i="22"/>
  <c r="AB123" i="22"/>
  <c r="AA124" i="22"/>
  <c r="AB124" i="22"/>
  <c r="AA125" i="22"/>
  <c r="AB125" i="22"/>
  <c r="AA126" i="22"/>
  <c r="AB126" i="22"/>
  <c r="AA127" i="22"/>
  <c r="AB127" i="22"/>
  <c r="AA128" i="22"/>
  <c r="AB128" i="22"/>
  <c r="AA129" i="22"/>
  <c r="AB129" i="22"/>
  <c r="AA130" i="22"/>
  <c r="AB130" i="22"/>
  <c r="AA131" i="22"/>
  <c r="AB131" i="22"/>
  <c r="AA132" i="22"/>
  <c r="AB132" i="22"/>
  <c r="AA133" i="22"/>
  <c r="AB133" i="22"/>
  <c r="AA134" i="22"/>
  <c r="AB134" i="22"/>
  <c r="AA135" i="22"/>
  <c r="AB135" i="22"/>
  <c r="AA136" i="22"/>
  <c r="AB136" i="22"/>
  <c r="AA137" i="22"/>
  <c r="AB137" i="22"/>
  <c r="AA138" i="22"/>
  <c r="AB138" i="22"/>
  <c r="AA139" i="22"/>
  <c r="AB139" i="22"/>
  <c r="AA140" i="22"/>
  <c r="AB140" i="22"/>
  <c r="AA141" i="22"/>
  <c r="AB141" i="22"/>
  <c r="AA142" i="22"/>
  <c r="AB142" i="22"/>
  <c r="AA143" i="22"/>
  <c r="AB143" i="22"/>
  <c r="AA144" i="22"/>
  <c r="AB144" i="22"/>
  <c r="AA145" i="22"/>
  <c r="AB145" i="22"/>
  <c r="AA146" i="22"/>
  <c r="AB146" i="22"/>
  <c r="AA147" i="22"/>
  <c r="AB147" i="22"/>
  <c r="AA148" i="22"/>
  <c r="AB148" i="22"/>
  <c r="AA149" i="22"/>
  <c r="AB149" i="22"/>
  <c r="AA150" i="22"/>
  <c r="AB150" i="22"/>
  <c r="AA151" i="22"/>
  <c r="AB151" i="22"/>
  <c r="AA152" i="22"/>
  <c r="AB152" i="22"/>
  <c r="AA153" i="22"/>
  <c r="AB153" i="22"/>
  <c r="AA154" i="22"/>
  <c r="AB154" i="22"/>
  <c r="AA155" i="22"/>
  <c r="AB155" i="22"/>
  <c r="AA156" i="22"/>
  <c r="AB156" i="22"/>
  <c r="AA157" i="22"/>
  <c r="AB157" i="22"/>
  <c r="AA158" i="22"/>
  <c r="AB158" i="22"/>
  <c r="AA159" i="22"/>
  <c r="AB159" i="22"/>
  <c r="AA160" i="22"/>
  <c r="AB160" i="22"/>
  <c r="AA161" i="22"/>
  <c r="AB161" i="22"/>
  <c r="AA162" i="22"/>
  <c r="AB162" i="22"/>
  <c r="AA163" i="22"/>
  <c r="AB163" i="22"/>
  <c r="AA164" i="22"/>
  <c r="AB164" i="22"/>
  <c r="AA165" i="22"/>
  <c r="AB165" i="22"/>
  <c r="AA166" i="22"/>
  <c r="AB166" i="22"/>
  <c r="AA167" i="22"/>
  <c r="AB167" i="22"/>
  <c r="AA168" i="22"/>
  <c r="AB168" i="22"/>
  <c r="AA169" i="22"/>
  <c r="AB169" i="22"/>
  <c r="AA170" i="22"/>
  <c r="AB170" i="22"/>
  <c r="AA171" i="22"/>
  <c r="AB171" i="22"/>
  <c r="AA172" i="22"/>
  <c r="AB172" i="22"/>
  <c r="AA173" i="22"/>
  <c r="AB173" i="22"/>
  <c r="AA174" i="22"/>
  <c r="AB174" i="22"/>
  <c r="AA175" i="22"/>
  <c r="AB175" i="22"/>
  <c r="AA176" i="22"/>
  <c r="AB176" i="22"/>
  <c r="AA177" i="22"/>
  <c r="AB177" i="22"/>
  <c r="AA178" i="22"/>
  <c r="AB178" i="22"/>
  <c r="AA179" i="22"/>
  <c r="AB179" i="22"/>
  <c r="AA180" i="22"/>
  <c r="AB180" i="22"/>
  <c r="AA181" i="22"/>
  <c r="AB181" i="22"/>
  <c r="AA182" i="22"/>
  <c r="AB182" i="22"/>
  <c r="AA183" i="22"/>
  <c r="AB183" i="22"/>
  <c r="AA184" i="22"/>
  <c r="AB184" i="22"/>
  <c r="AA185" i="22"/>
  <c r="AB185" i="22"/>
  <c r="AA186" i="22"/>
  <c r="AB186" i="22"/>
  <c r="AA187" i="22"/>
  <c r="AB187" i="22"/>
  <c r="AA188" i="22"/>
  <c r="AB188" i="22"/>
  <c r="AA189" i="22"/>
  <c r="AB189" i="22"/>
  <c r="AA190" i="22"/>
  <c r="AB190" i="22"/>
  <c r="AA191" i="22"/>
  <c r="AB191" i="22"/>
  <c r="AA192" i="22"/>
  <c r="AB192" i="22"/>
  <c r="AA193" i="22"/>
  <c r="AB193" i="22"/>
  <c r="AA194" i="22"/>
  <c r="AB194" i="22"/>
  <c r="AA195" i="22"/>
  <c r="AB195" i="22"/>
  <c r="AA196" i="22"/>
  <c r="AB196" i="22"/>
  <c r="AA197" i="22"/>
  <c r="AB197" i="22"/>
  <c r="AA198" i="22"/>
  <c r="AB198" i="22"/>
  <c r="AA199" i="22"/>
  <c r="AB199" i="22"/>
  <c r="AA200" i="22"/>
  <c r="AB200" i="22"/>
  <c r="AA201" i="22"/>
  <c r="AB201" i="22"/>
  <c r="AA202" i="22"/>
  <c r="AB202" i="22"/>
  <c r="AA203" i="22"/>
  <c r="AB203" i="22"/>
  <c r="AA204" i="22"/>
  <c r="AB204" i="22"/>
  <c r="AA205" i="22"/>
  <c r="AB205" i="22"/>
  <c r="AA206" i="22"/>
  <c r="AB206" i="22"/>
  <c r="AA207" i="22"/>
  <c r="AB207" i="22"/>
  <c r="AA208" i="22"/>
  <c r="AB208" i="22"/>
  <c r="AA209" i="22"/>
  <c r="AB209" i="22"/>
  <c r="AA210" i="22"/>
  <c r="AB210" i="22"/>
  <c r="AA211" i="22"/>
  <c r="AB211" i="22"/>
  <c r="AA212" i="22"/>
  <c r="AB212" i="22"/>
  <c r="AA213" i="22"/>
  <c r="AB213" i="22"/>
  <c r="AA214" i="22"/>
  <c r="AB214" i="22"/>
  <c r="AA215" i="22"/>
  <c r="AB215" i="22"/>
  <c r="AA216" i="22"/>
  <c r="AB216" i="22"/>
  <c r="AA217" i="22"/>
  <c r="AB217" i="22"/>
  <c r="AA218" i="22"/>
  <c r="AB218" i="22"/>
  <c r="AA219" i="22"/>
  <c r="AB219" i="22"/>
  <c r="AA220" i="22"/>
  <c r="AB220" i="22"/>
  <c r="AA221" i="22"/>
  <c r="AB221" i="22"/>
  <c r="AA222" i="22"/>
  <c r="AB222" i="22"/>
  <c r="AA223" i="22"/>
  <c r="AB223" i="22"/>
  <c r="AA224" i="22"/>
  <c r="AB224" i="22"/>
  <c r="AA225" i="22"/>
  <c r="AB225" i="22"/>
  <c r="AA226" i="22"/>
  <c r="AB226" i="22"/>
  <c r="AA227" i="22"/>
  <c r="AB227" i="22"/>
  <c r="AA228" i="22"/>
  <c r="AB228" i="22"/>
  <c r="AA229" i="22"/>
  <c r="AB229" i="22"/>
  <c r="AA230" i="22"/>
  <c r="AB230" i="22"/>
  <c r="AA231" i="22"/>
  <c r="AB231" i="22"/>
  <c r="AA232" i="22"/>
  <c r="AB232" i="22"/>
  <c r="AA233" i="22"/>
  <c r="AB233" i="22"/>
  <c r="AA234" i="22"/>
  <c r="AB234" i="22"/>
  <c r="AA235" i="22"/>
  <c r="AB235" i="22"/>
  <c r="AA236" i="22"/>
  <c r="AB236" i="22"/>
  <c r="AA237" i="22"/>
  <c r="AB237" i="22"/>
  <c r="AA238" i="22"/>
  <c r="AB238" i="22"/>
  <c r="AA239" i="22"/>
  <c r="AB239" i="22"/>
  <c r="AA240" i="22"/>
  <c r="AB240" i="22"/>
  <c r="AA241" i="22"/>
  <c r="AB241" i="22"/>
  <c r="AA242" i="22"/>
  <c r="AB242" i="22"/>
  <c r="AA243" i="22"/>
  <c r="AB243" i="22"/>
  <c r="AA244" i="22"/>
  <c r="AB244" i="22"/>
  <c r="AA245" i="22"/>
  <c r="AB245" i="22"/>
  <c r="AA246" i="22"/>
  <c r="AB246" i="22"/>
  <c r="AA247" i="22"/>
  <c r="AB247" i="22"/>
  <c r="AA248" i="22"/>
  <c r="AB248" i="22"/>
  <c r="AA249" i="22"/>
  <c r="AB249" i="22"/>
  <c r="AA250" i="22"/>
  <c r="AB250" i="22"/>
  <c r="AA251" i="22"/>
  <c r="AB251" i="22"/>
  <c r="AA252" i="22"/>
  <c r="AB252" i="22"/>
  <c r="AA253" i="22"/>
  <c r="AB253" i="22"/>
  <c r="AA254" i="22"/>
  <c r="AB254" i="22"/>
  <c r="AA255" i="22"/>
  <c r="AB255" i="22"/>
  <c r="AA256" i="22"/>
  <c r="AB256" i="22"/>
  <c r="AA257" i="22"/>
  <c r="AB257" i="22"/>
  <c r="AA258" i="22"/>
  <c r="AB258" i="22"/>
  <c r="AA259" i="22"/>
  <c r="AB259" i="22"/>
  <c r="AA260" i="22"/>
  <c r="AB260" i="22"/>
  <c r="AA261" i="22"/>
  <c r="AB261" i="22"/>
  <c r="AA262" i="22"/>
  <c r="AB262" i="22"/>
  <c r="AA263" i="22"/>
  <c r="AB263" i="22"/>
  <c r="AA264" i="22"/>
  <c r="AB264" i="22"/>
  <c r="AA265" i="22"/>
  <c r="AB265" i="22"/>
  <c r="AA266" i="22"/>
  <c r="AB266" i="22"/>
  <c r="AA267" i="22"/>
  <c r="AB267" i="22"/>
  <c r="AA268" i="22"/>
  <c r="AB268" i="22"/>
  <c r="AA269" i="22"/>
  <c r="AB269" i="22"/>
  <c r="AA270" i="22"/>
  <c r="AB270" i="22"/>
  <c r="AA271" i="22"/>
  <c r="AB271" i="22"/>
  <c r="AA272" i="22"/>
  <c r="AB272" i="22"/>
  <c r="AA273" i="22"/>
  <c r="AB273" i="22"/>
  <c r="AA274" i="22"/>
  <c r="AB274" i="22"/>
  <c r="AA275" i="22"/>
  <c r="AB275" i="22"/>
  <c r="AA276" i="22"/>
  <c r="AB276" i="22"/>
  <c r="AA277" i="22"/>
  <c r="AB277" i="22"/>
  <c r="AA278" i="22"/>
  <c r="AB278" i="22"/>
  <c r="AA279" i="22"/>
  <c r="AB279" i="22"/>
  <c r="AA280" i="22"/>
  <c r="AB280" i="22"/>
  <c r="AA281" i="22"/>
  <c r="AB281" i="22"/>
  <c r="AA282" i="22"/>
  <c r="AB282" i="22"/>
  <c r="AA283" i="22"/>
  <c r="AB283" i="22"/>
  <c r="AA284" i="22"/>
  <c r="AB284" i="22"/>
  <c r="AA285" i="22"/>
  <c r="AB285" i="22"/>
  <c r="AA286" i="22"/>
  <c r="AB286" i="22"/>
  <c r="AA287" i="22"/>
  <c r="AB287" i="22"/>
  <c r="AA288" i="22"/>
  <c r="AB288" i="22"/>
  <c r="AA289" i="22"/>
  <c r="AB289" i="22"/>
  <c r="AA290" i="22"/>
  <c r="AB290" i="22"/>
  <c r="AA291" i="22"/>
  <c r="AB291" i="22"/>
  <c r="AA292" i="22"/>
  <c r="AB292" i="22"/>
  <c r="AA293" i="22"/>
  <c r="AB293" i="22"/>
  <c r="AA294" i="22"/>
  <c r="AB294" i="22"/>
  <c r="AA295" i="22"/>
  <c r="AB295" i="22"/>
  <c r="AA296" i="22"/>
  <c r="AB296" i="22"/>
  <c r="AA297" i="22"/>
  <c r="AB297" i="22"/>
  <c r="AA298" i="22"/>
  <c r="AB298" i="22"/>
  <c r="AA299" i="22"/>
  <c r="AB299" i="22"/>
  <c r="AA300" i="22"/>
  <c r="AB300" i="22"/>
  <c r="AA301" i="22"/>
  <c r="AB301" i="22"/>
  <c r="AA302" i="22"/>
  <c r="AB302" i="22"/>
  <c r="AA303" i="22"/>
  <c r="AB303" i="22"/>
  <c r="AA304" i="22"/>
  <c r="AB304" i="22"/>
  <c r="AA305" i="22"/>
  <c r="AB305" i="22"/>
  <c r="AA306" i="22"/>
  <c r="AB306" i="22"/>
  <c r="AA307" i="22"/>
  <c r="AB307" i="22"/>
  <c r="AA308" i="22"/>
  <c r="AB308" i="22"/>
  <c r="AA309" i="22"/>
  <c r="AB309" i="22"/>
  <c r="AA310" i="22"/>
  <c r="AB310" i="22"/>
  <c r="AA311" i="22"/>
  <c r="AB311" i="22"/>
  <c r="AA312" i="22"/>
  <c r="AB312" i="22"/>
  <c r="AA313" i="22"/>
  <c r="AB313" i="22"/>
  <c r="AA314" i="22"/>
  <c r="AB314" i="22"/>
  <c r="AA315" i="22"/>
  <c r="AB315" i="22"/>
  <c r="AA316" i="22"/>
  <c r="AB316" i="22"/>
  <c r="AA317" i="22"/>
  <c r="AB317" i="22"/>
  <c r="AA318" i="22"/>
  <c r="AB318" i="22"/>
  <c r="AA319" i="22"/>
  <c r="AB319" i="22"/>
  <c r="AA320" i="22"/>
  <c r="AB320" i="22"/>
  <c r="AA321" i="22"/>
  <c r="AB321" i="22"/>
  <c r="AA322" i="22"/>
  <c r="AB322" i="22"/>
  <c r="AA323" i="22"/>
  <c r="AB323" i="22"/>
  <c r="AA324" i="22"/>
  <c r="AB324" i="22"/>
  <c r="AA325" i="22"/>
  <c r="AB325" i="22"/>
  <c r="AA326" i="22"/>
  <c r="AB326" i="22"/>
  <c r="AA327" i="22"/>
  <c r="AB327" i="22"/>
  <c r="AA328" i="22"/>
  <c r="AB328" i="22"/>
  <c r="AA329" i="22"/>
  <c r="AB329" i="22"/>
  <c r="AA330" i="22"/>
  <c r="AB330" i="22"/>
  <c r="AA331" i="22"/>
  <c r="AB331" i="22"/>
  <c r="AA332" i="22"/>
  <c r="AB332" i="22"/>
  <c r="AA333" i="22"/>
  <c r="AB333" i="22"/>
  <c r="AA334" i="22"/>
  <c r="AB334" i="22"/>
  <c r="AA335" i="22"/>
  <c r="AB335" i="22"/>
  <c r="AA336" i="22"/>
  <c r="AB336" i="22"/>
  <c r="AA337" i="22"/>
  <c r="AB337" i="22"/>
  <c r="AA338" i="22"/>
  <c r="AB338" i="22"/>
  <c r="AA339" i="22"/>
  <c r="AB339" i="22"/>
  <c r="AA340" i="22"/>
  <c r="AB340" i="22"/>
  <c r="AA341" i="22"/>
  <c r="AB341" i="22"/>
  <c r="AA342" i="22"/>
  <c r="AB342" i="22"/>
  <c r="AA343" i="22"/>
  <c r="AB343" i="22"/>
  <c r="AA344" i="22"/>
  <c r="AB344" i="22"/>
  <c r="AA345" i="22"/>
  <c r="AB345" i="22"/>
  <c r="AA346" i="22"/>
  <c r="AB346" i="22"/>
  <c r="AA347" i="22"/>
  <c r="AB347" i="22"/>
  <c r="AA348" i="22"/>
  <c r="AB348" i="22"/>
  <c r="AA349" i="22"/>
  <c r="AB349" i="22"/>
  <c r="AA350" i="22"/>
  <c r="AB350" i="22"/>
  <c r="AA351" i="22"/>
  <c r="AB351" i="22"/>
  <c r="AA352" i="22"/>
  <c r="AB352" i="22"/>
  <c r="AA353" i="22"/>
  <c r="AB353" i="22"/>
  <c r="AA354" i="22"/>
  <c r="AB354" i="22"/>
  <c r="AA355" i="22"/>
  <c r="AB355" i="22"/>
  <c r="AA356" i="22"/>
  <c r="AB356" i="22"/>
  <c r="AA357" i="22"/>
  <c r="AB357" i="22"/>
  <c r="AA358" i="22"/>
  <c r="AB358" i="22"/>
  <c r="AA359" i="22"/>
  <c r="AB359" i="22"/>
  <c r="AA360" i="22"/>
  <c r="AB360" i="22"/>
  <c r="AA361" i="22"/>
  <c r="AB361" i="22"/>
  <c r="AB66" i="22"/>
  <c r="AA66" i="22"/>
  <c r="Z125" i="22"/>
  <c r="Z126" i="22"/>
  <c r="Z127" i="22"/>
  <c r="Z128" i="22"/>
  <c r="Z129" i="22"/>
  <c r="Z130" i="22"/>
  <c r="Z131" i="22"/>
  <c r="Z132" i="22"/>
  <c r="Z133" i="22"/>
  <c r="Z134" i="22"/>
  <c r="Z135" i="22"/>
  <c r="Z136" i="22"/>
  <c r="Z137" i="22"/>
  <c r="Z138" i="22"/>
  <c r="Z139" i="22"/>
  <c r="Z140" i="22"/>
  <c r="Z141" i="22"/>
  <c r="Z142" i="22"/>
  <c r="Z143" i="22"/>
  <c r="Z144" i="22"/>
  <c r="Z145" i="22"/>
  <c r="Z146" i="22"/>
  <c r="Z147" i="22"/>
  <c r="Z148" i="22"/>
  <c r="Z149" i="22"/>
  <c r="Z150" i="22"/>
  <c r="Z151" i="22"/>
  <c r="Z152" i="22"/>
  <c r="Z153" i="22"/>
  <c r="Z154" i="22"/>
  <c r="Z155" i="22"/>
  <c r="Z156" i="22"/>
  <c r="Z157" i="22"/>
  <c r="Z158" i="22"/>
  <c r="Z159" i="22"/>
  <c r="Z160" i="22"/>
  <c r="Z161" i="22"/>
  <c r="Z162" i="22"/>
  <c r="Z163" i="22"/>
  <c r="Z164" i="22"/>
  <c r="Z165" i="22"/>
  <c r="Z166" i="22"/>
  <c r="Z167" i="22"/>
  <c r="Z168" i="22"/>
  <c r="Z169" i="22"/>
  <c r="Z170" i="22"/>
  <c r="Z171" i="22"/>
  <c r="Z172" i="22"/>
  <c r="Z173" i="22"/>
  <c r="Z174" i="22"/>
  <c r="Z175" i="22"/>
  <c r="Z176" i="22"/>
  <c r="Z177" i="22"/>
  <c r="Z178" i="22"/>
  <c r="Z179" i="22"/>
  <c r="Z180" i="22"/>
  <c r="Z181" i="22"/>
  <c r="Z182" i="22"/>
  <c r="Z183" i="22"/>
  <c r="Z184" i="22"/>
  <c r="Z185" i="22"/>
  <c r="Z186" i="22"/>
  <c r="Z187" i="22"/>
  <c r="Z188" i="22"/>
  <c r="Z189" i="22"/>
  <c r="Z190" i="22"/>
  <c r="Z191" i="22"/>
  <c r="Z192" i="22"/>
  <c r="Z193" i="22"/>
  <c r="Z194" i="22"/>
  <c r="Z195" i="22"/>
  <c r="Z196" i="22"/>
  <c r="Z197" i="22"/>
  <c r="Z198" i="22"/>
  <c r="Z199" i="22"/>
  <c r="Z200" i="22"/>
  <c r="Z201" i="22"/>
  <c r="Z202" i="22"/>
  <c r="Z203" i="22"/>
  <c r="Z204" i="22"/>
  <c r="Z205" i="22"/>
  <c r="Z206" i="22"/>
  <c r="Z207" i="22"/>
  <c r="Z208" i="22"/>
  <c r="Z209" i="22"/>
  <c r="Z210" i="22"/>
  <c r="Z211" i="22"/>
  <c r="Z212" i="22"/>
  <c r="Z213" i="22"/>
  <c r="Z214" i="22"/>
  <c r="Z215" i="22"/>
  <c r="Z216" i="22"/>
  <c r="Z217" i="22"/>
  <c r="Z218" i="22"/>
  <c r="Z219" i="22"/>
  <c r="Z220" i="22"/>
  <c r="Z221" i="22"/>
  <c r="Z222" i="22"/>
  <c r="Z223" i="22"/>
  <c r="Z224" i="22"/>
  <c r="Z225" i="22"/>
  <c r="Z226" i="22"/>
  <c r="Z227" i="22"/>
  <c r="Z228" i="22"/>
  <c r="Z229" i="22"/>
  <c r="Z230" i="22"/>
  <c r="Z231" i="22"/>
  <c r="Z232" i="22"/>
  <c r="Z233" i="22"/>
  <c r="Z234" i="22"/>
  <c r="Z235" i="22"/>
  <c r="Z236" i="22"/>
  <c r="Z237" i="22"/>
  <c r="Z238" i="22"/>
  <c r="Z239" i="22"/>
  <c r="Z240" i="22"/>
  <c r="Z241" i="22"/>
  <c r="Z242" i="22"/>
  <c r="Z243" i="22"/>
  <c r="Z244" i="22"/>
  <c r="Z245" i="22"/>
  <c r="Z246" i="22"/>
  <c r="Z247" i="22"/>
  <c r="Z248" i="22"/>
  <c r="Z249" i="22"/>
  <c r="Z250" i="22"/>
  <c r="Z251" i="22"/>
  <c r="Z252" i="22"/>
  <c r="Z253" i="22"/>
  <c r="Z254" i="22"/>
  <c r="Z255" i="22"/>
  <c r="Z256" i="22"/>
  <c r="Z257" i="22"/>
  <c r="Z258" i="22"/>
  <c r="Z259" i="22"/>
  <c r="Z260" i="22"/>
  <c r="Z261" i="22"/>
  <c r="Z262" i="22"/>
  <c r="Z263" i="22"/>
  <c r="Z264" i="22"/>
  <c r="Z265" i="22"/>
  <c r="Z266" i="22"/>
  <c r="Z267" i="22"/>
  <c r="Z268" i="22"/>
  <c r="Z269" i="22"/>
  <c r="Z270" i="22"/>
  <c r="Z271" i="22"/>
  <c r="Z272" i="22"/>
  <c r="Z273" i="22"/>
  <c r="Z274" i="22"/>
  <c r="Z275" i="22"/>
  <c r="Z276" i="22"/>
  <c r="Z277" i="22"/>
  <c r="Z278" i="22"/>
  <c r="Z279" i="22"/>
  <c r="Z280" i="22"/>
  <c r="Z281" i="22"/>
  <c r="Z282" i="22"/>
  <c r="Z283" i="22"/>
  <c r="Z284" i="22"/>
  <c r="Z285" i="22"/>
  <c r="Z286" i="22"/>
  <c r="Z287" i="22"/>
  <c r="Z288" i="22"/>
  <c r="Z289" i="22"/>
  <c r="Z290" i="22"/>
  <c r="Z291" i="22"/>
  <c r="Z292" i="22"/>
  <c r="Z293" i="22"/>
  <c r="Z294" i="22"/>
  <c r="Z295" i="22"/>
  <c r="Z296" i="22"/>
  <c r="Z297" i="22"/>
  <c r="Z298" i="22"/>
  <c r="Z299" i="22"/>
  <c r="Z300" i="22"/>
  <c r="Z301" i="22"/>
  <c r="Z302" i="22"/>
  <c r="Z303" i="22"/>
  <c r="Z304" i="22"/>
  <c r="Z305" i="22"/>
  <c r="Z306" i="22"/>
  <c r="Z307" i="22"/>
  <c r="Z308" i="22"/>
  <c r="Z309" i="22"/>
  <c r="Z310" i="22"/>
  <c r="Z311" i="22"/>
  <c r="Z312" i="22"/>
  <c r="Z313" i="22"/>
  <c r="Z314" i="22"/>
  <c r="Z315" i="22"/>
  <c r="Z316" i="22"/>
  <c r="Z317" i="22"/>
  <c r="Z318" i="22"/>
  <c r="Z319" i="22"/>
  <c r="Z320" i="22"/>
  <c r="Z321" i="22"/>
  <c r="Z322" i="22"/>
  <c r="Z323" i="22"/>
  <c r="Z324" i="22"/>
  <c r="Z325" i="22"/>
  <c r="Z326" i="22"/>
  <c r="Z327" i="22"/>
  <c r="Z328" i="22"/>
  <c r="Z329" i="22"/>
  <c r="Z330" i="22"/>
  <c r="Z331" i="22"/>
  <c r="Z332" i="22"/>
  <c r="Z333" i="22"/>
  <c r="Z334" i="22"/>
  <c r="Z335" i="22"/>
  <c r="Z336" i="22"/>
  <c r="Z337" i="22"/>
  <c r="Z338" i="22"/>
  <c r="Z339" i="22"/>
  <c r="Z340" i="22"/>
  <c r="Z341" i="22"/>
  <c r="Z342" i="22"/>
  <c r="Z343" i="22"/>
  <c r="Z344" i="22"/>
  <c r="Z345" i="22"/>
  <c r="Z346" i="22"/>
  <c r="Z347" i="22"/>
  <c r="Z348" i="22"/>
  <c r="Z349" i="22"/>
  <c r="Z350" i="22"/>
  <c r="Z351" i="22"/>
  <c r="Z352" i="22"/>
  <c r="Z353" i="22"/>
  <c r="Z354" i="22"/>
  <c r="Z355" i="22"/>
  <c r="Z356" i="22"/>
  <c r="Z357" i="22"/>
  <c r="Z358" i="22"/>
  <c r="Z359" i="22"/>
  <c r="Z360" i="22"/>
  <c r="Z361" i="22"/>
  <c r="Z67" i="22"/>
  <c r="Z68" i="22"/>
  <c r="Z69" i="22"/>
  <c r="Z70" i="22"/>
  <c r="Z71" i="22"/>
  <c r="Z72" i="22"/>
  <c r="Z73" i="22"/>
  <c r="Z74" i="22"/>
  <c r="Z75" i="22"/>
  <c r="Z76" i="22"/>
  <c r="Z77" i="22"/>
  <c r="Z78" i="22"/>
  <c r="Z79" i="22"/>
  <c r="Z80" i="22"/>
  <c r="Z81" i="22"/>
  <c r="Z82" i="22"/>
  <c r="Z83" i="22"/>
  <c r="Z84" i="22"/>
  <c r="Z85" i="22"/>
  <c r="Z86" i="22"/>
  <c r="Z87" i="22"/>
  <c r="Z88" i="22"/>
  <c r="Z89" i="22"/>
  <c r="Z90" i="22"/>
  <c r="Z91" i="22"/>
  <c r="Z92" i="22"/>
  <c r="Z93" i="22"/>
  <c r="Z94" i="22"/>
  <c r="Z95" i="22"/>
  <c r="Z96" i="22"/>
  <c r="Z97" i="22"/>
  <c r="Z98" i="22"/>
  <c r="Z99" i="22"/>
  <c r="Z100" i="22"/>
  <c r="Z101" i="22"/>
  <c r="Z102" i="22"/>
  <c r="Z103" i="22"/>
  <c r="Z104" i="22"/>
  <c r="Z105" i="22"/>
  <c r="Z106" i="22"/>
  <c r="Z107" i="22"/>
  <c r="Z108" i="22"/>
  <c r="Z109" i="22"/>
  <c r="Z110" i="22"/>
  <c r="Z111" i="22"/>
  <c r="Z112" i="22"/>
  <c r="Z113" i="22"/>
  <c r="Z114" i="22"/>
  <c r="Z115" i="22"/>
  <c r="Z116" i="22"/>
  <c r="Z117" i="22"/>
  <c r="Z118" i="22"/>
  <c r="Z119" i="22"/>
  <c r="Z120" i="22"/>
  <c r="Z121" i="22"/>
  <c r="Z122" i="22"/>
  <c r="Z123" i="22"/>
  <c r="Z124" i="22"/>
  <c r="Z66" i="22"/>
  <c r="Y67" i="22"/>
  <c r="Y68" i="22"/>
  <c r="Y69" i="22"/>
  <c r="Y70" i="22"/>
  <c r="Y71" i="22"/>
  <c r="Y72" i="22"/>
  <c r="Y73" i="22"/>
  <c r="Y74" i="22"/>
  <c r="Y75" i="22"/>
  <c r="Y76" i="22"/>
  <c r="Y77" i="22"/>
  <c r="Y78" i="22"/>
  <c r="Y79" i="22"/>
  <c r="Y80" i="22"/>
  <c r="Y81" i="22"/>
  <c r="Y82" i="22"/>
  <c r="Y83" i="22"/>
  <c r="Y84" i="22"/>
  <c r="Y85" i="22"/>
  <c r="Y86" i="22"/>
  <c r="Y87" i="22"/>
  <c r="Y88" i="22"/>
  <c r="Y89" i="22"/>
  <c r="Y90" i="22"/>
  <c r="Y91" i="22"/>
  <c r="Y92" i="22"/>
  <c r="Y93" i="22"/>
  <c r="Y94" i="22"/>
  <c r="Y95" i="22"/>
  <c r="Y96" i="22"/>
  <c r="Y97" i="22"/>
  <c r="Y98" i="22"/>
  <c r="Y99" i="22"/>
  <c r="Y100" i="22"/>
  <c r="Y101" i="22"/>
  <c r="Y102" i="22"/>
  <c r="Y103" i="22"/>
  <c r="Y104" i="22"/>
  <c r="Y105" i="22"/>
  <c r="Y106" i="22"/>
  <c r="Y107" i="22"/>
  <c r="Y108" i="22"/>
  <c r="Y109" i="22"/>
  <c r="Y110" i="22"/>
  <c r="Y111" i="22"/>
  <c r="Y112" i="22"/>
  <c r="Y113" i="22"/>
  <c r="Y114" i="22"/>
  <c r="Y115" i="22"/>
  <c r="Y116" i="22"/>
  <c r="Y117" i="22"/>
  <c r="Y118" i="22"/>
  <c r="Y119" i="22"/>
  <c r="Y120" i="22"/>
  <c r="Y121" i="22"/>
  <c r="Y122" i="22"/>
  <c r="Y123" i="22"/>
  <c r="Y124" i="22"/>
  <c r="Y125" i="22"/>
  <c r="Y126" i="22"/>
  <c r="Y127" i="22"/>
  <c r="Y128" i="22"/>
  <c r="Y129" i="22"/>
  <c r="Y130" i="22"/>
  <c r="Y131" i="22"/>
  <c r="Y132" i="22"/>
  <c r="Y133" i="22"/>
  <c r="Y134" i="22"/>
  <c r="Y135" i="22"/>
  <c r="Y136" i="22"/>
  <c r="Y137" i="22"/>
  <c r="Y138" i="22"/>
  <c r="Y139" i="22"/>
  <c r="Y140" i="22"/>
  <c r="Y141" i="22"/>
  <c r="Y142" i="22"/>
  <c r="Y143" i="22"/>
  <c r="Y144" i="22"/>
  <c r="Y145" i="22"/>
  <c r="Y146" i="22"/>
  <c r="Y147" i="22"/>
  <c r="Y148" i="22"/>
  <c r="Y149" i="22"/>
  <c r="Y150" i="22"/>
  <c r="Y151" i="22"/>
  <c r="Y152" i="22"/>
  <c r="Y153" i="22"/>
  <c r="Y154" i="22"/>
  <c r="Y155" i="22"/>
  <c r="Y156" i="22"/>
  <c r="Y157" i="22"/>
  <c r="Y158" i="22"/>
  <c r="Y159" i="22"/>
  <c r="Y160" i="22"/>
  <c r="Y161" i="22"/>
  <c r="Y162" i="22"/>
  <c r="Y163" i="22"/>
  <c r="Y164" i="22"/>
  <c r="Y165" i="22"/>
  <c r="Y166" i="22"/>
  <c r="Y167" i="22"/>
  <c r="Y168" i="22"/>
  <c r="Y169" i="22"/>
  <c r="Y170" i="22"/>
  <c r="Y171" i="22"/>
  <c r="Y172" i="22"/>
  <c r="Y173" i="22"/>
  <c r="Y174" i="22"/>
  <c r="Y175" i="22"/>
  <c r="Y176" i="22"/>
  <c r="Y177" i="22"/>
  <c r="Y178" i="22"/>
  <c r="Y179" i="22"/>
  <c r="Y180" i="22"/>
  <c r="Y181" i="22"/>
  <c r="Y182" i="22"/>
  <c r="Y183" i="22"/>
  <c r="Y184" i="22"/>
  <c r="Y185" i="22"/>
  <c r="Y186" i="22"/>
  <c r="Y187" i="22"/>
  <c r="Y188" i="22"/>
  <c r="Y189" i="22"/>
  <c r="Y190" i="22"/>
  <c r="Y191" i="22"/>
  <c r="Y192" i="22"/>
  <c r="Y193" i="22"/>
  <c r="Y194" i="22"/>
  <c r="Y195" i="22"/>
  <c r="Y196" i="22"/>
  <c r="Y197" i="22"/>
  <c r="Y198" i="22"/>
  <c r="Y199" i="22"/>
  <c r="Y200" i="22"/>
  <c r="Y201" i="22"/>
  <c r="Y202" i="22"/>
  <c r="Y203" i="22"/>
  <c r="Y204" i="22"/>
  <c r="Y205" i="22"/>
  <c r="Y206" i="22"/>
  <c r="Y207" i="22"/>
  <c r="Y208" i="22"/>
  <c r="Y209" i="22"/>
  <c r="Y210" i="22"/>
  <c r="Y211" i="22"/>
  <c r="Y212" i="22"/>
  <c r="Y213" i="22"/>
  <c r="Y214" i="22"/>
  <c r="Y215" i="22"/>
  <c r="Y216" i="22"/>
  <c r="Y217" i="22"/>
  <c r="Y218" i="22"/>
  <c r="Y219" i="22"/>
  <c r="Y220" i="22"/>
  <c r="Y221" i="22"/>
  <c r="Y222" i="22"/>
  <c r="Y223" i="22"/>
  <c r="Y224" i="22"/>
  <c r="Y225" i="22"/>
  <c r="Y226" i="22"/>
  <c r="Y227" i="22"/>
  <c r="Y228" i="22"/>
  <c r="Y229" i="22"/>
  <c r="Y230" i="22"/>
  <c r="Y231" i="22"/>
  <c r="Y232" i="22"/>
  <c r="Y233" i="22"/>
  <c r="Y234" i="22"/>
  <c r="Y235" i="22"/>
  <c r="Y236" i="22"/>
  <c r="Y237" i="22"/>
  <c r="Y238" i="22"/>
  <c r="Y239" i="22"/>
  <c r="Y240" i="22"/>
  <c r="Y241" i="22"/>
  <c r="Y242" i="22"/>
  <c r="Y243" i="22"/>
  <c r="Y244" i="22"/>
  <c r="Y245" i="22"/>
  <c r="Y246" i="22"/>
  <c r="Y247" i="22"/>
  <c r="Y248" i="22"/>
  <c r="Y249" i="22"/>
  <c r="Y250" i="22"/>
  <c r="Y251" i="22"/>
  <c r="Y252" i="22"/>
  <c r="Y253" i="22"/>
  <c r="Y254" i="22"/>
  <c r="Y255" i="22"/>
  <c r="Y256" i="22"/>
  <c r="Y257" i="22"/>
  <c r="Y258" i="22"/>
  <c r="Y259" i="22"/>
  <c r="Y260" i="22"/>
  <c r="Y261" i="22"/>
  <c r="Y262" i="22"/>
  <c r="Y263" i="22"/>
  <c r="Y264" i="22"/>
  <c r="Y265" i="22"/>
  <c r="Y266" i="22"/>
  <c r="Y267" i="22"/>
  <c r="Y268" i="22"/>
  <c r="Y269" i="22"/>
  <c r="Y270" i="22"/>
  <c r="Y271" i="22"/>
  <c r="Y272" i="22"/>
  <c r="Y273" i="22"/>
  <c r="Y274" i="22"/>
  <c r="Y275" i="22"/>
  <c r="Y276" i="22"/>
  <c r="Y277" i="22"/>
  <c r="Y278" i="22"/>
  <c r="Y279" i="22"/>
  <c r="Y280" i="22"/>
  <c r="Y281" i="22"/>
  <c r="Y282" i="22"/>
  <c r="Y283" i="22"/>
  <c r="Y284" i="22"/>
  <c r="Y285" i="22"/>
  <c r="Y286" i="22"/>
  <c r="Y287" i="22"/>
  <c r="Y288" i="22"/>
  <c r="Y289" i="22"/>
  <c r="Y290" i="22"/>
  <c r="Y291" i="22"/>
  <c r="Y292" i="22"/>
  <c r="Y293" i="22"/>
  <c r="Y294" i="22"/>
  <c r="Y295" i="22"/>
  <c r="Y296" i="22"/>
  <c r="Y297" i="22"/>
  <c r="Y298" i="22"/>
  <c r="Y299" i="22"/>
  <c r="Y300" i="22"/>
  <c r="Y301" i="22"/>
  <c r="Y302" i="22"/>
  <c r="Y303" i="22"/>
  <c r="Y304" i="22"/>
  <c r="Y305" i="22"/>
  <c r="Y306" i="22"/>
  <c r="Y307" i="22"/>
  <c r="Y308" i="22"/>
  <c r="Y309" i="22"/>
  <c r="Y310" i="22"/>
  <c r="Y311" i="22"/>
  <c r="Y312" i="22"/>
  <c r="Y313" i="22"/>
  <c r="Y314" i="22"/>
  <c r="Y315" i="22"/>
  <c r="Y316" i="22"/>
  <c r="Y317" i="22"/>
  <c r="Y318" i="22"/>
  <c r="Y319" i="22"/>
  <c r="Y320" i="22"/>
  <c r="Y321" i="22"/>
  <c r="Y322" i="22"/>
  <c r="Y323" i="22"/>
  <c r="Y324" i="22"/>
  <c r="Y325" i="22"/>
  <c r="Y326" i="22"/>
  <c r="Y327" i="22"/>
  <c r="Y328" i="22"/>
  <c r="Y329" i="22"/>
  <c r="Y330" i="22"/>
  <c r="Y331" i="22"/>
  <c r="Y332" i="22"/>
  <c r="Y333" i="22"/>
  <c r="Y334" i="22"/>
  <c r="Y335" i="22"/>
  <c r="Y336" i="22"/>
  <c r="Y337" i="22"/>
  <c r="Y338" i="22"/>
  <c r="Y339" i="22"/>
  <c r="Y340" i="22"/>
  <c r="Y341" i="22"/>
  <c r="Y342" i="22"/>
  <c r="Y343" i="22"/>
  <c r="Y344" i="22"/>
  <c r="Y345" i="22"/>
  <c r="Y346" i="22"/>
  <c r="Y347" i="22"/>
  <c r="Y348" i="22"/>
  <c r="Y349" i="22"/>
  <c r="Y350" i="22"/>
  <c r="Y351" i="22"/>
  <c r="Y352" i="22"/>
  <c r="Y353" i="22"/>
  <c r="Y354" i="22"/>
  <c r="Y355" i="22"/>
  <c r="Y356" i="22"/>
  <c r="Y357" i="22"/>
  <c r="Y358" i="22"/>
  <c r="Y359" i="22"/>
  <c r="Y360" i="22"/>
  <c r="Y361" i="22"/>
  <c r="Y66" i="22"/>
  <c r="I67" i="22"/>
  <c r="J67" i="22" s="1"/>
  <c r="N67" i="22"/>
  <c r="O67" i="22"/>
  <c r="P67" i="22"/>
  <c r="Q67" i="22"/>
  <c r="I68" i="22"/>
  <c r="J68" i="22" s="1"/>
  <c r="N68" i="22"/>
  <c r="O68" i="22"/>
  <c r="P68" i="22"/>
  <c r="Q68" i="22"/>
  <c r="X70" i="22"/>
  <c r="X78" i="22"/>
  <c r="X86" i="22"/>
  <c r="X100" i="22"/>
  <c r="X126" i="22"/>
  <c r="X134" i="22"/>
  <c r="X140" i="22"/>
  <c r="X148" i="22"/>
  <c r="X228" i="22"/>
  <c r="X236" i="22"/>
  <c r="X448" i="22"/>
  <c r="X475" i="22"/>
  <c r="X496" i="22"/>
  <c r="X502" i="22"/>
  <c r="X507" i="22"/>
  <c r="X510" i="22"/>
  <c r="X513" i="22"/>
  <c r="X534" i="22"/>
  <c r="Q66" i="22"/>
  <c r="P66" i="22"/>
  <c r="O66" i="22"/>
  <c r="N66" i="22"/>
  <c r="I66" i="22"/>
  <c r="J66" i="22" s="1"/>
  <c r="J64" i="25"/>
  <c r="J65" i="25"/>
  <c r="J66" i="25"/>
  <c r="K66" i="25" s="1"/>
  <c r="J67" i="25"/>
  <c r="AE67" i="25" s="1"/>
  <c r="J68" i="25"/>
  <c r="J69" i="25"/>
  <c r="AE69" i="25" s="1"/>
  <c r="J70" i="25"/>
  <c r="J71" i="25"/>
  <c r="AE71" i="25" s="1"/>
  <c r="J72" i="25"/>
  <c r="K72" i="25" s="1"/>
  <c r="J73" i="25"/>
  <c r="O73" i="25" s="1"/>
  <c r="P73" i="25" s="1"/>
  <c r="Q73" i="25" s="1"/>
  <c r="R73" i="25" s="1"/>
  <c r="S73" i="25" s="1"/>
  <c r="T73" i="25" s="1"/>
  <c r="J74" i="25"/>
  <c r="J75" i="25"/>
  <c r="AE75" i="25" s="1"/>
  <c r="J76" i="25"/>
  <c r="O76" i="25" s="1"/>
  <c r="P76" i="25" s="1"/>
  <c r="Q76" i="25" s="1"/>
  <c r="R76" i="25" s="1"/>
  <c r="S76" i="25" s="1"/>
  <c r="T76" i="25" s="1"/>
  <c r="J77" i="25"/>
  <c r="AE77" i="25" s="1"/>
  <c r="J78" i="25"/>
  <c r="K78" i="25" s="1"/>
  <c r="J79" i="25"/>
  <c r="AE79" i="25" s="1"/>
  <c r="J80" i="25"/>
  <c r="K80" i="25" s="1"/>
  <c r="J81" i="25"/>
  <c r="J82" i="25"/>
  <c r="J83" i="25"/>
  <c r="O83" i="25" s="1"/>
  <c r="P83" i="25" s="1"/>
  <c r="Q83" i="25" s="1"/>
  <c r="R83" i="25" s="1"/>
  <c r="S83" i="25" s="1"/>
  <c r="T83" i="25" s="1"/>
  <c r="J84" i="25"/>
  <c r="J85" i="25"/>
  <c r="AE85" i="25" s="1"/>
  <c r="J86" i="25"/>
  <c r="K86" i="25" s="1"/>
  <c r="J87" i="25"/>
  <c r="J88" i="25"/>
  <c r="J89" i="25"/>
  <c r="O89" i="25" s="1"/>
  <c r="P89" i="25" s="1"/>
  <c r="Q89" i="25" s="1"/>
  <c r="R89" i="25" s="1"/>
  <c r="S89" i="25" s="1"/>
  <c r="T89" i="25" s="1"/>
  <c r="J90" i="25"/>
  <c r="J91" i="25"/>
  <c r="J92" i="25"/>
  <c r="J93" i="25"/>
  <c r="AE93" i="25" s="1"/>
  <c r="J94" i="25"/>
  <c r="J95" i="25"/>
  <c r="AE95" i="25" s="1"/>
  <c r="J96" i="25"/>
  <c r="K96" i="25" s="1"/>
  <c r="J97" i="25"/>
  <c r="O97" i="25" s="1"/>
  <c r="P97" i="25" s="1"/>
  <c r="Q97" i="25" s="1"/>
  <c r="R97" i="25" s="1"/>
  <c r="S97" i="25" s="1"/>
  <c r="T97" i="25" s="1"/>
  <c r="J98" i="25"/>
  <c r="K98" i="25" s="1"/>
  <c r="J99" i="25"/>
  <c r="J100" i="25"/>
  <c r="J101" i="25"/>
  <c r="AE101" i="25" s="1"/>
  <c r="J102" i="25"/>
  <c r="K102" i="25" s="1"/>
  <c r="J103" i="25"/>
  <c r="K103" i="25" s="1"/>
  <c r="M103" i="25" s="1"/>
  <c r="J104" i="25"/>
  <c r="J105" i="25"/>
  <c r="O105" i="25" s="1"/>
  <c r="P105" i="25" s="1"/>
  <c r="Q105" i="25" s="1"/>
  <c r="R105" i="25" s="1"/>
  <c r="S105" i="25" s="1"/>
  <c r="T105" i="25" s="1"/>
  <c r="J106" i="25"/>
  <c r="J107" i="25"/>
  <c r="AE107" i="25" s="1"/>
  <c r="J108" i="25"/>
  <c r="O108" i="25" s="1"/>
  <c r="P108" i="25" s="1"/>
  <c r="Q108" i="25" s="1"/>
  <c r="R108" i="25" s="1"/>
  <c r="S108" i="25" s="1"/>
  <c r="T108" i="25" s="1"/>
  <c r="J109" i="25"/>
  <c r="AE109" i="25" s="1"/>
  <c r="J110" i="25"/>
  <c r="O110" i="25" s="1"/>
  <c r="P110" i="25" s="1"/>
  <c r="Q110" i="25" s="1"/>
  <c r="R110" i="25" s="1"/>
  <c r="S110" i="25" s="1"/>
  <c r="T110" i="25" s="1"/>
  <c r="J111" i="25"/>
  <c r="AE111" i="25" s="1"/>
  <c r="J112" i="25"/>
  <c r="J113" i="25"/>
  <c r="J114" i="25"/>
  <c r="J115" i="25"/>
  <c r="K115" i="25" s="1"/>
  <c r="L115" i="25" s="1"/>
  <c r="J116" i="25"/>
  <c r="J117" i="25"/>
  <c r="AE117" i="25" s="1"/>
  <c r="J118" i="25"/>
  <c r="J119" i="25"/>
  <c r="AE119" i="25" s="1"/>
  <c r="J120" i="25"/>
  <c r="K120" i="25" s="1"/>
  <c r="J121" i="25"/>
  <c r="J122" i="25"/>
  <c r="K122" i="25" s="1"/>
  <c r="J123" i="25"/>
  <c r="AE123" i="25" s="1"/>
  <c r="J124" i="25"/>
  <c r="J125" i="25"/>
  <c r="AE125" i="25" s="1"/>
  <c r="J126" i="25"/>
  <c r="AE126" i="25" s="1"/>
  <c r="J127" i="25"/>
  <c r="K127" i="25" s="1"/>
  <c r="L127" i="25" s="1"/>
  <c r="J128" i="25"/>
  <c r="J129" i="25"/>
  <c r="O129" i="25" s="1"/>
  <c r="P129" i="25" s="1"/>
  <c r="Q129" i="25" s="1"/>
  <c r="R129" i="25" s="1"/>
  <c r="S129" i="25" s="1"/>
  <c r="T129" i="25" s="1"/>
  <c r="J130" i="25"/>
  <c r="AE130" i="25" s="1"/>
  <c r="J131" i="25"/>
  <c r="AE131" i="25" s="1"/>
  <c r="J132" i="25"/>
  <c r="O132" i="25" s="1"/>
  <c r="P132" i="25" s="1"/>
  <c r="Q132" i="25" s="1"/>
  <c r="R132" i="25" s="1"/>
  <c r="S132" i="25" s="1"/>
  <c r="T132" i="25" s="1"/>
  <c r="J133" i="25"/>
  <c r="AE133" i="25" s="1"/>
  <c r="J134" i="25"/>
  <c r="AE134" i="25" s="1"/>
  <c r="J135" i="25"/>
  <c r="O135" i="25" s="1"/>
  <c r="P135" i="25" s="1"/>
  <c r="Q135" i="25" s="1"/>
  <c r="R135" i="25" s="1"/>
  <c r="S135" i="25" s="1"/>
  <c r="T135" i="25" s="1"/>
  <c r="J136" i="25"/>
  <c r="AE136" i="25" s="1"/>
  <c r="J137" i="25"/>
  <c r="K137" i="25" s="1"/>
  <c r="L137" i="25" s="1"/>
  <c r="J138" i="25"/>
  <c r="J139" i="25"/>
  <c r="AE139" i="25" s="1"/>
  <c r="J140" i="25"/>
  <c r="O140" i="25" s="1"/>
  <c r="P140" i="25" s="1"/>
  <c r="Q140" i="25" s="1"/>
  <c r="R140" i="25" s="1"/>
  <c r="S140" i="25" s="1"/>
  <c r="T140" i="25" s="1"/>
  <c r="J141" i="25"/>
  <c r="AE141" i="25" s="1"/>
  <c r="J142" i="25"/>
  <c r="AE142" i="25" s="1"/>
  <c r="J143" i="25"/>
  <c r="AE143" i="25" s="1"/>
  <c r="J144" i="25"/>
  <c r="AE144" i="25" s="1"/>
  <c r="J145" i="25"/>
  <c r="J146" i="25"/>
  <c r="AE146" i="25" s="1"/>
  <c r="J147" i="25"/>
  <c r="O147" i="25" s="1"/>
  <c r="P147" i="25" s="1"/>
  <c r="Q147" i="25" s="1"/>
  <c r="R147" i="25" s="1"/>
  <c r="S147" i="25" s="1"/>
  <c r="T147" i="25" s="1"/>
  <c r="J148" i="25"/>
  <c r="AE148" i="25" s="1"/>
  <c r="J149" i="25"/>
  <c r="K149" i="25" s="1"/>
  <c r="J150" i="25"/>
  <c r="AE150" i="25" s="1"/>
  <c r="J151" i="25"/>
  <c r="O151" i="25" s="1"/>
  <c r="P151" i="25" s="1"/>
  <c r="Q151" i="25" s="1"/>
  <c r="R151" i="25" s="1"/>
  <c r="S151" i="25" s="1"/>
  <c r="T151" i="25" s="1"/>
  <c r="J152" i="25"/>
  <c r="AE152" i="25" s="1"/>
  <c r="J153" i="25"/>
  <c r="J154" i="25"/>
  <c r="O154" i="25" s="1"/>
  <c r="P154" i="25" s="1"/>
  <c r="Q154" i="25" s="1"/>
  <c r="R154" i="25" s="1"/>
  <c r="S154" i="25" s="1"/>
  <c r="T154" i="25" s="1"/>
  <c r="J155" i="25"/>
  <c r="O155" i="25" s="1"/>
  <c r="P155" i="25" s="1"/>
  <c r="Q155" i="25" s="1"/>
  <c r="R155" i="25" s="1"/>
  <c r="S155" i="25" s="1"/>
  <c r="T155" i="25" s="1"/>
  <c r="J156" i="25"/>
  <c r="AE156" i="25" s="1"/>
  <c r="J157" i="25"/>
  <c r="K157" i="25" s="1"/>
  <c r="J158" i="25"/>
  <c r="K158" i="25" s="1"/>
  <c r="J159" i="25"/>
  <c r="AE159" i="25" s="1"/>
  <c r="J160" i="25"/>
  <c r="J161" i="25"/>
  <c r="J162" i="25"/>
  <c r="AE162" i="25" s="1"/>
  <c r="J163" i="25"/>
  <c r="J164" i="25"/>
  <c r="J165" i="25"/>
  <c r="K165" i="25" s="1"/>
  <c r="J166" i="25"/>
  <c r="AE166" i="25" s="1"/>
  <c r="J167" i="25"/>
  <c r="K167" i="25" s="1"/>
  <c r="J168" i="25"/>
  <c r="J169" i="25"/>
  <c r="K169" i="25" s="1"/>
  <c r="J170" i="25"/>
  <c r="AE170" i="25" s="1"/>
  <c r="J171" i="25"/>
  <c r="AE171" i="25" s="1"/>
  <c r="J172" i="25"/>
  <c r="O172" i="25" s="1"/>
  <c r="P172" i="25" s="1"/>
  <c r="Q172" i="25" s="1"/>
  <c r="R172" i="25" s="1"/>
  <c r="S172" i="25" s="1"/>
  <c r="T172" i="25" s="1"/>
  <c r="J173" i="25"/>
  <c r="J174" i="25"/>
  <c r="AE174" i="25" s="1"/>
  <c r="J175" i="25"/>
  <c r="AE175" i="25" s="1"/>
  <c r="J176" i="25"/>
  <c r="O176" i="25" s="1"/>
  <c r="P176" i="25" s="1"/>
  <c r="Q176" i="25" s="1"/>
  <c r="R176" i="25" s="1"/>
  <c r="S176" i="25" s="1"/>
  <c r="T176" i="25" s="1"/>
  <c r="J177" i="25"/>
  <c r="K177" i="25" s="1"/>
  <c r="J178" i="25"/>
  <c r="AE178" i="25" s="1"/>
  <c r="J179" i="25"/>
  <c r="AE179" i="25" s="1"/>
  <c r="J180" i="25"/>
  <c r="K180" i="25" s="1"/>
  <c r="L180" i="25" s="1"/>
  <c r="J181" i="25"/>
  <c r="J182" i="25"/>
  <c r="O182" i="25" s="1"/>
  <c r="P182" i="25" s="1"/>
  <c r="Q182" i="25" s="1"/>
  <c r="R182" i="25" s="1"/>
  <c r="S182" i="25" s="1"/>
  <c r="T182" i="25" s="1"/>
  <c r="J183" i="25"/>
  <c r="J184" i="25"/>
  <c r="O184" i="25" s="1"/>
  <c r="P184" i="25" s="1"/>
  <c r="Q184" i="25" s="1"/>
  <c r="R184" i="25" s="1"/>
  <c r="S184" i="25" s="1"/>
  <c r="T184" i="25" s="1"/>
  <c r="J185" i="25"/>
  <c r="K185" i="25" s="1"/>
  <c r="J186" i="25"/>
  <c r="AE186" i="25" s="1"/>
  <c r="J187" i="25"/>
  <c r="AE187" i="25" s="1"/>
  <c r="J188" i="25"/>
  <c r="J189" i="25"/>
  <c r="O189" i="25" s="1"/>
  <c r="P189" i="25" s="1"/>
  <c r="Q189" i="25" s="1"/>
  <c r="R189" i="25" s="1"/>
  <c r="S189" i="25" s="1"/>
  <c r="T189" i="25" s="1"/>
  <c r="J190" i="25"/>
  <c r="J191" i="25"/>
  <c r="AE191" i="25" s="1"/>
  <c r="J192" i="25"/>
  <c r="O192" i="25" s="1"/>
  <c r="P192" i="25" s="1"/>
  <c r="Q192" i="25" s="1"/>
  <c r="R192" i="25" s="1"/>
  <c r="S192" i="25" s="1"/>
  <c r="T192" i="25" s="1"/>
  <c r="J193" i="25"/>
  <c r="J194" i="25"/>
  <c r="AE194" i="25" s="1"/>
  <c r="J195" i="25"/>
  <c r="AE195" i="25" s="1"/>
  <c r="J196" i="25"/>
  <c r="K196" i="25" s="1"/>
  <c r="L196" i="25" s="1"/>
  <c r="J197" i="25"/>
  <c r="O197" i="25" s="1"/>
  <c r="P197" i="25" s="1"/>
  <c r="Q197" i="25" s="1"/>
  <c r="R197" i="25" s="1"/>
  <c r="S197" i="25" s="1"/>
  <c r="T197" i="25" s="1"/>
  <c r="J198" i="25"/>
  <c r="O198" i="25" s="1"/>
  <c r="P198" i="25" s="1"/>
  <c r="Q198" i="25" s="1"/>
  <c r="R198" i="25" s="1"/>
  <c r="S198" i="25" s="1"/>
  <c r="T198" i="25" s="1"/>
  <c r="J199" i="25"/>
  <c r="AE199" i="25" s="1"/>
  <c r="J200" i="25"/>
  <c r="O200" i="25" s="1"/>
  <c r="P200" i="25" s="1"/>
  <c r="Q200" i="25" s="1"/>
  <c r="R200" i="25" s="1"/>
  <c r="S200" i="25" s="1"/>
  <c r="T200" i="25" s="1"/>
  <c r="J201" i="25"/>
  <c r="K201" i="25" s="1"/>
  <c r="L201" i="25" s="1"/>
  <c r="J202" i="25"/>
  <c r="AE202" i="25" s="1"/>
  <c r="J203" i="25"/>
  <c r="AE203" i="25" s="1"/>
  <c r="J204" i="25"/>
  <c r="K204" i="25" s="1"/>
  <c r="L204" i="25" s="1"/>
  <c r="J205" i="25"/>
  <c r="O205" i="25" s="1"/>
  <c r="P205" i="25" s="1"/>
  <c r="Q205" i="25" s="1"/>
  <c r="R205" i="25" s="1"/>
  <c r="S205" i="25" s="1"/>
  <c r="T205" i="25" s="1"/>
  <c r="J206" i="25"/>
  <c r="J207" i="25"/>
  <c r="J208" i="25"/>
  <c r="J209" i="25"/>
  <c r="K209" i="25" s="1"/>
  <c r="J210" i="25"/>
  <c r="AE210" i="25" s="1"/>
  <c r="J211" i="25"/>
  <c r="AE211" i="25" s="1"/>
  <c r="J212" i="25"/>
  <c r="K212" i="25" s="1"/>
  <c r="L212" i="25" s="1"/>
  <c r="J213" i="25"/>
  <c r="O213" i="25" s="1"/>
  <c r="P213" i="25" s="1"/>
  <c r="Q213" i="25" s="1"/>
  <c r="R213" i="25" s="1"/>
  <c r="S213" i="25" s="1"/>
  <c r="T213" i="25" s="1"/>
  <c r="J214" i="25"/>
  <c r="J215" i="25"/>
  <c r="K215" i="25" s="1"/>
  <c r="L215" i="25" s="1"/>
  <c r="J216" i="25"/>
  <c r="O216" i="25" s="1"/>
  <c r="P216" i="25" s="1"/>
  <c r="Q216" i="25" s="1"/>
  <c r="R216" i="25" s="1"/>
  <c r="S216" i="25" s="1"/>
  <c r="T216" i="25" s="1"/>
  <c r="J217" i="25"/>
  <c r="K217" i="25" s="1"/>
  <c r="J218" i="25"/>
  <c r="AE218" i="25" s="1"/>
  <c r="J219" i="25"/>
  <c r="AE219" i="25" s="1"/>
  <c r="J220" i="25"/>
  <c r="K220" i="25" s="1"/>
  <c r="J221" i="25"/>
  <c r="AE221" i="25" s="1"/>
  <c r="J222" i="25"/>
  <c r="J223" i="25"/>
  <c r="K223" i="25" s="1"/>
  <c r="J224" i="25"/>
  <c r="J225" i="25"/>
  <c r="J226" i="25"/>
  <c r="J227" i="25"/>
  <c r="AE227" i="25" s="1"/>
  <c r="J228" i="25"/>
  <c r="K228" i="25" s="1"/>
  <c r="J229" i="25"/>
  <c r="AE229" i="25" s="1"/>
  <c r="J230" i="25"/>
  <c r="J231" i="25"/>
  <c r="K231" i="25" s="1"/>
  <c r="L231" i="25" s="1"/>
  <c r="J232" i="25"/>
  <c r="J233" i="25"/>
  <c r="J234" i="25"/>
  <c r="K234" i="25" s="1"/>
  <c r="J235" i="25"/>
  <c r="AE235" i="25" s="1"/>
  <c r="J236" i="25"/>
  <c r="J237" i="25"/>
  <c r="K237" i="25" s="1"/>
  <c r="L237" i="25" s="1"/>
  <c r="J238" i="25"/>
  <c r="J239" i="25"/>
  <c r="AE239" i="25" s="1"/>
  <c r="J240" i="25"/>
  <c r="O240" i="25" s="1"/>
  <c r="P240" i="25" s="1"/>
  <c r="Q240" i="25" s="1"/>
  <c r="R240" i="25" s="1"/>
  <c r="S240" i="25" s="1"/>
  <c r="T240" i="25" s="1"/>
  <c r="J241" i="25"/>
  <c r="K241" i="25" s="1"/>
  <c r="L241" i="25" s="1"/>
  <c r="J242" i="25"/>
  <c r="O242" i="25" s="1"/>
  <c r="P242" i="25" s="1"/>
  <c r="Q242" i="25" s="1"/>
  <c r="R242" i="25" s="1"/>
  <c r="S242" i="25" s="1"/>
  <c r="T242" i="25" s="1"/>
  <c r="J243" i="25"/>
  <c r="AE243" i="25" s="1"/>
  <c r="J244" i="25"/>
  <c r="J245" i="25"/>
  <c r="J246" i="25"/>
  <c r="J247" i="25"/>
  <c r="O247" i="25" s="1"/>
  <c r="P247" i="25" s="1"/>
  <c r="Q247" i="25" s="1"/>
  <c r="R247" i="25" s="1"/>
  <c r="S247" i="25" s="1"/>
  <c r="T247" i="25" s="1"/>
  <c r="J248" i="25"/>
  <c r="J249" i="25"/>
  <c r="J250" i="25"/>
  <c r="AE250" i="25" s="1"/>
  <c r="J251" i="25"/>
  <c r="AE251" i="25" s="1"/>
  <c r="J252" i="25"/>
  <c r="J253" i="25"/>
  <c r="J254" i="25"/>
  <c r="AE254" i="25" s="1"/>
  <c r="J255" i="25"/>
  <c r="K255" i="25" s="1"/>
  <c r="J256" i="25"/>
  <c r="J257" i="25"/>
  <c r="O257" i="25" s="1"/>
  <c r="P257" i="25" s="1"/>
  <c r="Q257" i="25" s="1"/>
  <c r="R257" i="25" s="1"/>
  <c r="S257" i="25" s="1"/>
  <c r="T257" i="25" s="1"/>
  <c r="J258" i="25"/>
  <c r="AE258" i="25" s="1"/>
  <c r="J259" i="25"/>
  <c r="AE259" i="25" s="1"/>
  <c r="J260" i="25"/>
  <c r="J261" i="25"/>
  <c r="K261" i="25" s="1"/>
  <c r="L261" i="25" s="1"/>
  <c r="J262" i="25"/>
  <c r="AE262" i="25" s="1"/>
  <c r="J263" i="25"/>
  <c r="K263" i="25" s="1"/>
  <c r="J264" i="25"/>
  <c r="J265" i="25"/>
  <c r="AE265" i="25" s="1"/>
  <c r="J266" i="25"/>
  <c r="J267" i="25"/>
  <c r="AE267" i="25" s="1"/>
  <c r="J268" i="25"/>
  <c r="O268" i="25" s="1"/>
  <c r="P268" i="25" s="1"/>
  <c r="Q268" i="25" s="1"/>
  <c r="R268" i="25" s="1"/>
  <c r="S268" i="25" s="1"/>
  <c r="T268" i="25" s="1"/>
  <c r="J269" i="25"/>
  <c r="J270" i="25"/>
  <c r="O270" i="25" s="1"/>
  <c r="P270" i="25" s="1"/>
  <c r="Q270" i="25" s="1"/>
  <c r="R270" i="25" s="1"/>
  <c r="S270" i="25" s="1"/>
  <c r="T270" i="25" s="1"/>
  <c r="J271" i="25"/>
  <c r="O271" i="25" s="1"/>
  <c r="P271" i="25" s="1"/>
  <c r="Q271" i="25" s="1"/>
  <c r="R271" i="25" s="1"/>
  <c r="S271" i="25" s="1"/>
  <c r="T271" i="25" s="1"/>
  <c r="J272" i="25"/>
  <c r="K272" i="25" s="1"/>
  <c r="L272" i="25" s="1"/>
  <c r="J273" i="25"/>
  <c r="O273" i="25" s="1"/>
  <c r="P273" i="25" s="1"/>
  <c r="Q273" i="25" s="1"/>
  <c r="R273" i="25" s="1"/>
  <c r="S273" i="25" s="1"/>
  <c r="T273" i="25" s="1"/>
  <c r="J274" i="25"/>
  <c r="J275" i="25"/>
  <c r="K275" i="25" s="1"/>
  <c r="L275" i="25" s="1"/>
  <c r="J276" i="25"/>
  <c r="O276" i="25" s="1"/>
  <c r="P276" i="25" s="1"/>
  <c r="Q276" i="25" s="1"/>
  <c r="R276" i="25" s="1"/>
  <c r="S276" i="25" s="1"/>
  <c r="T276" i="25" s="1"/>
  <c r="J277" i="25"/>
  <c r="J278" i="25"/>
  <c r="O278" i="25" s="1"/>
  <c r="P278" i="25" s="1"/>
  <c r="Q278" i="25" s="1"/>
  <c r="R278" i="25" s="1"/>
  <c r="S278" i="25" s="1"/>
  <c r="T278" i="25" s="1"/>
  <c r="J279" i="25"/>
  <c r="K279" i="25" s="1"/>
  <c r="J280" i="25"/>
  <c r="K280" i="25" s="1"/>
  <c r="L280" i="25" s="1"/>
  <c r="J281" i="25"/>
  <c r="O281" i="25" s="1"/>
  <c r="P281" i="25" s="1"/>
  <c r="Q281" i="25" s="1"/>
  <c r="R281" i="25" s="1"/>
  <c r="S281" i="25" s="1"/>
  <c r="T281" i="25" s="1"/>
  <c r="J282" i="25"/>
  <c r="O282" i="25" s="1"/>
  <c r="P282" i="25" s="1"/>
  <c r="Q282" i="25" s="1"/>
  <c r="R282" i="25" s="1"/>
  <c r="S282" i="25" s="1"/>
  <c r="T282" i="25" s="1"/>
  <c r="J283" i="25"/>
  <c r="K283" i="25" s="1"/>
  <c r="J284" i="25"/>
  <c r="O284" i="25" s="1"/>
  <c r="P284" i="25" s="1"/>
  <c r="Q284" i="25" s="1"/>
  <c r="R284" i="25" s="1"/>
  <c r="S284" i="25" s="1"/>
  <c r="T284" i="25" s="1"/>
  <c r="J285" i="25"/>
  <c r="J286" i="25"/>
  <c r="O286" i="25" s="1"/>
  <c r="P286" i="25" s="1"/>
  <c r="Q286" i="25" s="1"/>
  <c r="R286" i="25" s="1"/>
  <c r="S286" i="25" s="1"/>
  <c r="T286" i="25" s="1"/>
  <c r="J287" i="25"/>
  <c r="K287" i="25" s="1"/>
  <c r="J288" i="25"/>
  <c r="O288" i="25" s="1"/>
  <c r="P288" i="25" s="1"/>
  <c r="Q288" i="25" s="1"/>
  <c r="R288" i="25" s="1"/>
  <c r="S288" i="25" s="1"/>
  <c r="T288" i="25" s="1"/>
  <c r="J289" i="25"/>
  <c r="J290" i="25"/>
  <c r="K290" i="25" s="1"/>
  <c r="J291" i="25"/>
  <c r="O291" i="25" s="1"/>
  <c r="P291" i="25" s="1"/>
  <c r="Q291" i="25" s="1"/>
  <c r="R291" i="25" s="1"/>
  <c r="S291" i="25" s="1"/>
  <c r="T291" i="25" s="1"/>
  <c r="J292" i="25"/>
  <c r="K292" i="25" s="1"/>
  <c r="J293" i="25"/>
  <c r="AE293" i="25" s="1"/>
  <c r="J294" i="25"/>
  <c r="O294" i="25" s="1"/>
  <c r="P294" i="25" s="1"/>
  <c r="Q294" i="25" s="1"/>
  <c r="R294" i="25" s="1"/>
  <c r="S294" i="25" s="1"/>
  <c r="T294" i="25" s="1"/>
  <c r="J295" i="25"/>
  <c r="K295" i="25" s="1"/>
  <c r="J296" i="25"/>
  <c r="O296" i="25" s="1"/>
  <c r="P296" i="25" s="1"/>
  <c r="Q296" i="25" s="1"/>
  <c r="R296" i="25" s="1"/>
  <c r="S296" i="25" s="1"/>
  <c r="T296" i="25" s="1"/>
  <c r="J297" i="25"/>
  <c r="J298" i="25"/>
  <c r="O298" i="25" s="1"/>
  <c r="P298" i="25" s="1"/>
  <c r="Q298" i="25" s="1"/>
  <c r="R298" i="25" s="1"/>
  <c r="S298" i="25" s="1"/>
  <c r="T298" i="25" s="1"/>
  <c r="J299" i="25"/>
  <c r="O299" i="25" s="1"/>
  <c r="P299" i="25" s="1"/>
  <c r="Q299" i="25" s="1"/>
  <c r="R299" i="25" s="1"/>
  <c r="S299" i="25" s="1"/>
  <c r="T299" i="25" s="1"/>
  <c r="J300" i="25"/>
  <c r="K300" i="25" s="1"/>
  <c r="J301" i="25"/>
  <c r="AE301" i="25" s="1"/>
  <c r="J302" i="25"/>
  <c r="O302" i="25" s="1"/>
  <c r="P302" i="25" s="1"/>
  <c r="Q302" i="25" s="1"/>
  <c r="R302" i="25" s="1"/>
  <c r="S302" i="25" s="1"/>
  <c r="T302" i="25" s="1"/>
  <c r="J303" i="25"/>
  <c r="K303" i="25" s="1"/>
  <c r="J304" i="25"/>
  <c r="O304" i="25" s="1"/>
  <c r="P304" i="25" s="1"/>
  <c r="Q304" i="25" s="1"/>
  <c r="R304" i="25" s="1"/>
  <c r="S304" i="25" s="1"/>
  <c r="T304" i="25" s="1"/>
  <c r="J305" i="25"/>
  <c r="J306" i="25"/>
  <c r="K306" i="25" s="1"/>
  <c r="J307" i="25"/>
  <c r="O307" i="25" s="1"/>
  <c r="P307" i="25" s="1"/>
  <c r="Q307" i="25" s="1"/>
  <c r="R307" i="25" s="1"/>
  <c r="S307" i="25" s="1"/>
  <c r="T307" i="25" s="1"/>
  <c r="X536" i="22" l="1"/>
  <c r="X537" i="22"/>
  <c r="X520" i="22"/>
  <c r="X528" i="22"/>
  <c r="X535" i="22"/>
  <c r="X538" i="22"/>
  <c r="X530" i="22"/>
  <c r="X522" i="22"/>
  <c r="X529" i="22"/>
  <c r="X527" i="22"/>
  <c r="X526" i="22"/>
  <c r="X512" i="22"/>
  <c r="X481" i="22"/>
  <c r="X497" i="22"/>
  <c r="X471" i="22"/>
  <c r="X482" i="22"/>
  <c r="X479" i="22"/>
  <c r="X473" i="22"/>
  <c r="X521" i="22"/>
  <c r="X519" i="22"/>
  <c r="X518" i="22"/>
  <c r="X503" i="22"/>
  <c r="X487" i="22"/>
  <c r="X489" i="22"/>
  <c r="X480" i="22"/>
  <c r="X474" i="22"/>
  <c r="X511" i="22"/>
  <c r="X498" i="22"/>
  <c r="X495" i="22"/>
  <c r="X442" i="22"/>
  <c r="X451" i="22"/>
  <c r="X450" i="22"/>
  <c r="X447" i="22"/>
  <c r="X465" i="22"/>
  <c r="X441" i="22"/>
  <c r="X463" i="22"/>
  <c r="X457" i="22"/>
  <c r="X433" i="22"/>
  <c r="X455" i="22"/>
  <c r="X458" i="22"/>
  <c r="X449" i="22"/>
  <c r="X434" i="22"/>
  <c r="X464" i="22"/>
  <c r="X456" i="22"/>
  <c r="X439" i="22"/>
  <c r="X425" i="22"/>
  <c r="X431" i="22"/>
  <c r="X426" i="22"/>
  <c r="X427" i="22"/>
  <c r="X410" i="22"/>
  <c r="AB41" i="22"/>
  <c r="Y41" i="22"/>
  <c r="Z41" i="22"/>
  <c r="AA41" i="22"/>
  <c r="O290" i="25"/>
  <c r="P290" i="25" s="1"/>
  <c r="Q290" i="25" s="1"/>
  <c r="R290" i="25" s="1"/>
  <c r="S290" i="25" s="1"/>
  <c r="T290" i="25" s="1"/>
  <c r="AC359" i="22"/>
  <c r="AC351" i="22"/>
  <c r="AC343" i="22"/>
  <c r="AC335" i="22"/>
  <c r="AC327" i="22"/>
  <c r="AC319" i="22"/>
  <c r="AC311" i="22"/>
  <c r="AC303" i="22"/>
  <c r="AC295" i="22"/>
  <c r="AC287" i="22"/>
  <c r="AC279" i="22"/>
  <c r="K307" i="25"/>
  <c r="O295" i="25"/>
  <c r="P295" i="25" s="1"/>
  <c r="Q295" i="25" s="1"/>
  <c r="R295" i="25" s="1"/>
  <c r="S295" i="25" s="1"/>
  <c r="T295" i="25" s="1"/>
  <c r="O287" i="25"/>
  <c r="P287" i="25" s="1"/>
  <c r="Q287" i="25" s="1"/>
  <c r="R287" i="25" s="1"/>
  <c r="S287" i="25" s="1"/>
  <c r="T287" i="25" s="1"/>
  <c r="O301" i="25"/>
  <c r="P301" i="25" s="1"/>
  <c r="Q301" i="25" s="1"/>
  <c r="R301" i="25" s="1"/>
  <c r="S301" i="25" s="1"/>
  <c r="T301" i="25" s="1"/>
  <c r="K282" i="25"/>
  <c r="O283" i="25"/>
  <c r="P283" i="25" s="1"/>
  <c r="Q283" i="25" s="1"/>
  <c r="R283" i="25" s="1"/>
  <c r="S283" i="25" s="1"/>
  <c r="T283" i="25" s="1"/>
  <c r="K301" i="25"/>
  <c r="M301" i="25" s="1"/>
  <c r="K298" i="25"/>
  <c r="K278" i="25"/>
  <c r="M278" i="25" s="1"/>
  <c r="O306" i="25"/>
  <c r="P306" i="25" s="1"/>
  <c r="Q306" i="25" s="1"/>
  <c r="R306" i="25" s="1"/>
  <c r="S306" i="25" s="1"/>
  <c r="T306" i="25" s="1"/>
  <c r="K289" i="25"/>
  <c r="L289" i="25" s="1"/>
  <c r="X401" i="22"/>
  <c r="K305" i="25"/>
  <c r="L305" i="25" s="1"/>
  <c r="K302" i="25"/>
  <c r="K291" i="25"/>
  <c r="K285" i="25"/>
  <c r="K284" i="25"/>
  <c r="M284" i="25" s="1"/>
  <c r="M280" i="25"/>
  <c r="O303" i="25"/>
  <c r="P303" i="25" s="1"/>
  <c r="Q303" i="25" s="1"/>
  <c r="R303" i="25" s="1"/>
  <c r="S303" i="25" s="1"/>
  <c r="T303" i="25" s="1"/>
  <c r="N280" i="25"/>
  <c r="AA280" i="25" s="1"/>
  <c r="A221" i="31" s="1"/>
  <c r="X394" i="22"/>
  <c r="X423" i="22"/>
  <c r="X411" i="22"/>
  <c r="X391" i="22"/>
  <c r="X418" i="22"/>
  <c r="X403" i="22"/>
  <c r="X415" i="22"/>
  <c r="X409" i="22"/>
  <c r="X399" i="22"/>
  <c r="X402" i="22"/>
  <c r="X393" i="22"/>
  <c r="X419" i="22"/>
  <c r="X417" i="22"/>
  <c r="AC357" i="22"/>
  <c r="AC349" i="22"/>
  <c r="AC333" i="22"/>
  <c r="AC325" i="22"/>
  <c r="AC317" i="22"/>
  <c r="AC309" i="22"/>
  <c r="AC301" i="22"/>
  <c r="X407" i="22"/>
  <c r="X395" i="22"/>
  <c r="L306" i="25"/>
  <c r="N306" i="25" s="1"/>
  <c r="M306" i="25"/>
  <c r="AF301" i="25"/>
  <c r="AF293" i="25"/>
  <c r="L290" i="25"/>
  <c r="N290" i="25" s="1"/>
  <c r="M290" i="25"/>
  <c r="L283" i="25"/>
  <c r="N283" i="25" s="1"/>
  <c r="AE307" i="25"/>
  <c r="AF307" i="25" s="1"/>
  <c r="AE299" i="25"/>
  <c r="AF299" i="25" s="1"/>
  <c r="AE291" i="25"/>
  <c r="AF291" i="25" s="1"/>
  <c r="AE283" i="25"/>
  <c r="AF283" i="25" s="1"/>
  <c r="AE306" i="25"/>
  <c r="AF306" i="25" s="1"/>
  <c r="AE298" i="25"/>
  <c r="AF298" i="25" s="1"/>
  <c r="AE290" i="25"/>
  <c r="AF290" i="25" s="1"/>
  <c r="AE282" i="25"/>
  <c r="AF282" i="25" s="1"/>
  <c r="AE305" i="25"/>
  <c r="AF305" i="25" s="1"/>
  <c r="AE297" i="25"/>
  <c r="AF297" i="25" s="1"/>
  <c r="AE289" i="25"/>
  <c r="AF289" i="25" s="1"/>
  <c r="AE281" i="25"/>
  <c r="AF281" i="25" s="1"/>
  <c r="K286" i="25"/>
  <c r="AE304" i="25"/>
  <c r="AF304" i="25" s="1"/>
  <c r="AE296" i="25"/>
  <c r="AF296" i="25" s="1"/>
  <c r="AE288" i="25"/>
  <c r="AF288" i="25" s="1"/>
  <c r="AE280" i="25"/>
  <c r="AF280" i="25" s="1"/>
  <c r="AE303" i="25"/>
  <c r="AF303" i="25" s="1"/>
  <c r="AE295" i="25"/>
  <c r="AF295" i="25" s="1"/>
  <c r="AE287" i="25"/>
  <c r="AF287" i="25" s="1"/>
  <c r="O293" i="25"/>
  <c r="P293" i="25" s="1"/>
  <c r="Q293" i="25" s="1"/>
  <c r="R293" i="25" s="1"/>
  <c r="S293" i="25" s="1"/>
  <c r="T293" i="25" s="1"/>
  <c r="K299" i="25"/>
  <c r="K297" i="25"/>
  <c r="L297" i="25" s="1"/>
  <c r="O280" i="25"/>
  <c r="P280" i="25" s="1"/>
  <c r="Q280" i="25" s="1"/>
  <c r="R280" i="25" s="1"/>
  <c r="S280" i="25" s="1"/>
  <c r="T280" i="25" s="1"/>
  <c r="AE302" i="25"/>
  <c r="AF302" i="25" s="1"/>
  <c r="AE294" i="25"/>
  <c r="AF294" i="25" s="1"/>
  <c r="AE286" i="25"/>
  <c r="AF286" i="25" s="1"/>
  <c r="K294" i="25"/>
  <c r="K293" i="25"/>
  <c r="M293" i="25" s="1"/>
  <c r="AE285" i="25"/>
  <c r="AF285" i="25" s="1"/>
  <c r="AE300" i="25"/>
  <c r="AF300" i="25" s="1"/>
  <c r="AE292" i="25"/>
  <c r="AF292" i="25" s="1"/>
  <c r="AE284" i="25"/>
  <c r="AF284" i="25" s="1"/>
  <c r="X387" i="22"/>
  <c r="X379" i="22"/>
  <c r="K271" i="25"/>
  <c r="O102" i="25"/>
  <c r="P102" i="25" s="1"/>
  <c r="Q102" i="25" s="1"/>
  <c r="R102" i="25" s="1"/>
  <c r="S102" i="25" s="1"/>
  <c r="T102" i="25" s="1"/>
  <c r="AE279" i="25"/>
  <c r="AF279" i="25" s="1"/>
  <c r="AE278" i="25"/>
  <c r="AF278" i="25" s="1"/>
  <c r="X386" i="22"/>
  <c r="X385" i="22"/>
  <c r="X383" i="22"/>
  <c r="M137" i="25"/>
  <c r="O107" i="25"/>
  <c r="P107" i="25" s="1"/>
  <c r="Q107" i="25" s="1"/>
  <c r="R107" i="25" s="1"/>
  <c r="S107" i="25" s="1"/>
  <c r="T107" i="25" s="1"/>
  <c r="K114" i="25"/>
  <c r="M114" i="25" s="1"/>
  <c r="AC293" i="22"/>
  <c r="AC285" i="22"/>
  <c r="X214" i="22"/>
  <c r="X377" i="22"/>
  <c r="X300" i="22"/>
  <c r="AC362" i="22"/>
  <c r="AC354" i="22"/>
  <c r="AC346" i="22"/>
  <c r="AC338" i="22"/>
  <c r="AC330" i="22"/>
  <c r="AC322" i="22"/>
  <c r="AC314" i="22"/>
  <c r="AC306" i="22"/>
  <c r="AC298" i="22"/>
  <c r="AC290" i="22"/>
  <c r="AC282" i="22"/>
  <c r="X354" i="22"/>
  <c r="AC118" i="22"/>
  <c r="AC110" i="22"/>
  <c r="AC102" i="22"/>
  <c r="AC94" i="22"/>
  <c r="AC86" i="22"/>
  <c r="AC78" i="22"/>
  <c r="AC70" i="22"/>
  <c r="K276" i="25"/>
  <c r="K274" i="25"/>
  <c r="K273" i="25"/>
  <c r="M273" i="25" s="1"/>
  <c r="K259" i="25"/>
  <c r="L259" i="25" s="1"/>
  <c r="AE277" i="25"/>
  <c r="AF277" i="25" s="1"/>
  <c r="AE269" i="25"/>
  <c r="AF269" i="25" s="1"/>
  <c r="AE276" i="25"/>
  <c r="AF276" i="25" s="1"/>
  <c r="AE268" i="25"/>
  <c r="AF268" i="25" s="1"/>
  <c r="AE275" i="25"/>
  <c r="AF275" i="25" s="1"/>
  <c r="AE274" i="25"/>
  <c r="AF274" i="25" s="1"/>
  <c r="AE273" i="25"/>
  <c r="AF273" i="25" s="1"/>
  <c r="O274" i="25"/>
  <c r="P274" i="25" s="1"/>
  <c r="Q274" i="25" s="1"/>
  <c r="R274" i="25" s="1"/>
  <c r="S274" i="25" s="1"/>
  <c r="T274" i="25" s="1"/>
  <c r="N272" i="25"/>
  <c r="O269" i="25"/>
  <c r="P269" i="25" s="1"/>
  <c r="Q269" i="25" s="1"/>
  <c r="R269" i="25" s="1"/>
  <c r="S269" i="25" s="1"/>
  <c r="T269" i="25" s="1"/>
  <c r="AE272" i="25"/>
  <c r="AF272" i="25" s="1"/>
  <c r="O277" i="25"/>
  <c r="P277" i="25" s="1"/>
  <c r="Q277" i="25" s="1"/>
  <c r="R277" i="25" s="1"/>
  <c r="S277" i="25" s="1"/>
  <c r="T277" i="25" s="1"/>
  <c r="O275" i="25"/>
  <c r="P275" i="25" s="1"/>
  <c r="Q275" i="25" s="1"/>
  <c r="R275" i="25" s="1"/>
  <c r="S275" i="25" s="1"/>
  <c r="T275" i="25" s="1"/>
  <c r="K269" i="25"/>
  <c r="L269" i="25" s="1"/>
  <c r="K111" i="25"/>
  <c r="M111" i="25" s="1"/>
  <c r="AE271" i="25"/>
  <c r="AF271" i="25" s="1"/>
  <c r="AE270" i="25"/>
  <c r="AF270" i="25" s="1"/>
  <c r="X375" i="22"/>
  <c r="X370" i="22"/>
  <c r="X378" i="22"/>
  <c r="X369" i="22"/>
  <c r="AC356" i="22"/>
  <c r="AC348" i="22"/>
  <c r="AC340" i="22"/>
  <c r="AC332" i="22"/>
  <c r="AC324" i="22"/>
  <c r="AC316" i="22"/>
  <c r="AC308" i="22"/>
  <c r="AC300" i="22"/>
  <c r="AC292" i="22"/>
  <c r="AC284" i="22"/>
  <c r="AC276" i="22"/>
  <c r="AC268" i="22"/>
  <c r="AC260" i="22"/>
  <c r="AC252" i="22"/>
  <c r="AC244" i="22"/>
  <c r="AC236" i="22"/>
  <c r="AC228" i="22"/>
  <c r="AC220" i="22"/>
  <c r="AC212" i="22"/>
  <c r="AC204" i="22"/>
  <c r="AC196" i="22"/>
  <c r="AC188" i="22"/>
  <c r="AC180" i="22"/>
  <c r="AC172" i="22"/>
  <c r="AC164" i="22"/>
  <c r="AC156" i="22"/>
  <c r="AC148" i="22"/>
  <c r="AC140" i="22"/>
  <c r="AC132" i="22"/>
  <c r="AC124" i="22"/>
  <c r="AC116" i="22"/>
  <c r="AC108" i="22"/>
  <c r="AC100" i="22"/>
  <c r="AC92" i="22"/>
  <c r="AC84" i="22"/>
  <c r="AC76" i="22"/>
  <c r="AC68" i="22"/>
  <c r="AC347" i="22"/>
  <c r="AC341" i="22"/>
  <c r="AC277" i="22"/>
  <c r="X371" i="22"/>
  <c r="AC360" i="22"/>
  <c r="AC352" i="22"/>
  <c r="AC344" i="22"/>
  <c r="AC336" i="22"/>
  <c r="AC328" i="22"/>
  <c r="AC320" i="22"/>
  <c r="AC312" i="22"/>
  <c r="AC304" i="22"/>
  <c r="AC296" i="22"/>
  <c r="AC288" i="22"/>
  <c r="AC280" i="22"/>
  <c r="K265" i="25"/>
  <c r="M265" i="25" s="1"/>
  <c r="O232" i="25"/>
  <c r="P232" i="25" s="1"/>
  <c r="Q232" i="25" s="1"/>
  <c r="R232" i="25" s="1"/>
  <c r="S232" i="25" s="1"/>
  <c r="T232" i="25" s="1"/>
  <c r="O215" i="25"/>
  <c r="P215" i="25" s="1"/>
  <c r="Q215" i="25" s="1"/>
  <c r="R215" i="25" s="1"/>
  <c r="S215" i="25" s="1"/>
  <c r="T215" i="25" s="1"/>
  <c r="K193" i="25"/>
  <c r="L193" i="25" s="1"/>
  <c r="K159" i="25"/>
  <c r="L159" i="25" s="1"/>
  <c r="K172" i="25"/>
  <c r="L172" i="25" s="1"/>
  <c r="K82" i="25"/>
  <c r="L82" i="25" s="1"/>
  <c r="K243" i="25"/>
  <c r="L243" i="25" s="1"/>
  <c r="N243" i="25" s="1"/>
  <c r="O166" i="25"/>
  <c r="P166" i="25" s="1"/>
  <c r="Q166" i="25" s="1"/>
  <c r="R166" i="25" s="1"/>
  <c r="S166" i="25" s="1"/>
  <c r="T166" i="25" s="1"/>
  <c r="O111" i="25"/>
  <c r="P111" i="25" s="1"/>
  <c r="Q111" i="25" s="1"/>
  <c r="R111" i="25" s="1"/>
  <c r="S111" i="25" s="1"/>
  <c r="T111" i="25" s="1"/>
  <c r="K95" i="25"/>
  <c r="M95" i="25" s="1"/>
  <c r="O203" i="25"/>
  <c r="P203" i="25" s="1"/>
  <c r="Q203" i="25" s="1"/>
  <c r="R203" i="25" s="1"/>
  <c r="S203" i="25" s="1"/>
  <c r="T203" i="25" s="1"/>
  <c r="K267" i="25"/>
  <c r="M267" i="25" s="1"/>
  <c r="K188" i="25"/>
  <c r="L188" i="25" s="1"/>
  <c r="K145" i="25"/>
  <c r="L145" i="25" s="1"/>
  <c r="N145" i="25" s="1"/>
  <c r="K195" i="25"/>
  <c r="L195" i="25" s="1"/>
  <c r="K150" i="25"/>
  <c r="L150" i="25" s="1"/>
  <c r="X284" i="22"/>
  <c r="X156" i="22"/>
  <c r="X308" i="22"/>
  <c r="X277" i="22"/>
  <c r="K68" i="22"/>
  <c r="M68" i="22" s="1"/>
  <c r="X68" i="22" s="1"/>
  <c r="L68" i="22"/>
  <c r="X301" i="22"/>
  <c r="X101" i="22"/>
  <c r="X356" i="22"/>
  <c r="X118" i="22"/>
  <c r="AC361" i="22"/>
  <c r="AC353" i="22"/>
  <c r="AC345" i="22"/>
  <c r="AC337" i="22"/>
  <c r="AC329" i="22"/>
  <c r="AC321" i="22"/>
  <c r="AC313" i="22"/>
  <c r="AC305" i="22"/>
  <c r="AC297" i="22"/>
  <c r="AC289" i="22"/>
  <c r="AC281" i="22"/>
  <c r="AC273" i="22"/>
  <c r="AC265" i="22"/>
  <c r="AC257" i="22"/>
  <c r="AC249" i="22"/>
  <c r="AC241" i="22"/>
  <c r="AC233" i="22"/>
  <c r="AC225" i="22"/>
  <c r="AC217" i="22"/>
  <c r="AC209" i="22"/>
  <c r="AC201" i="22"/>
  <c r="AC193" i="22"/>
  <c r="AC185" i="22"/>
  <c r="AC177" i="22"/>
  <c r="AC169" i="22"/>
  <c r="AC161" i="22"/>
  <c r="AC153" i="22"/>
  <c r="AC145" i="22"/>
  <c r="AC137" i="22"/>
  <c r="AC129" i="22"/>
  <c r="X323" i="22"/>
  <c r="X331" i="22"/>
  <c r="X324" i="22"/>
  <c r="AC358" i="22"/>
  <c r="AC350" i="22"/>
  <c r="AC342" i="22"/>
  <c r="AC334" i="22"/>
  <c r="AC326" i="22"/>
  <c r="AC318" i="22"/>
  <c r="AC310" i="22"/>
  <c r="AC302" i="22"/>
  <c r="AC294" i="22"/>
  <c r="AC286" i="22"/>
  <c r="AC278" i="22"/>
  <c r="AC270" i="22"/>
  <c r="AC262" i="22"/>
  <c r="AC254" i="22"/>
  <c r="AC246" i="22"/>
  <c r="AC238" i="22"/>
  <c r="AC230" i="22"/>
  <c r="AC222" i="22"/>
  <c r="AC214" i="22"/>
  <c r="AC206" i="22"/>
  <c r="AC198" i="22"/>
  <c r="AC190" i="22"/>
  <c r="AC182" i="22"/>
  <c r="AC174" i="22"/>
  <c r="AC166" i="22"/>
  <c r="AC158" i="22"/>
  <c r="AC150" i="22"/>
  <c r="AC142" i="22"/>
  <c r="AC134" i="22"/>
  <c r="AC126" i="22"/>
  <c r="AC339" i="22"/>
  <c r="AC331" i="22"/>
  <c r="AC323" i="22"/>
  <c r="AC315" i="22"/>
  <c r="AC307" i="22"/>
  <c r="AC299" i="22"/>
  <c r="AC291" i="22"/>
  <c r="AC283" i="22"/>
  <c r="AC269" i="22"/>
  <c r="AC261" i="22"/>
  <c r="AC253" i="22"/>
  <c r="AC245" i="22"/>
  <c r="AC237" i="22"/>
  <c r="AC229" i="22"/>
  <c r="AC221" i="22"/>
  <c r="AC213" i="22"/>
  <c r="AC205" i="22"/>
  <c r="AC197" i="22"/>
  <c r="AC189" i="22"/>
  <c r="AC181" i="22"/>
  <c r="AC173" i="22"/>
  <c r="AC165" i="22"/>
  <c r="AC157" i="22"/>
  <c r="AC149" i="22"/>
  <c r="AC141" i="22"/>
  <c r="AC133" i="22"/>
  <c r="AC125" i="22"/>
  <c r="AC117" i="22"/>
  <c r="AC109" i="22"/>
  <c r="AC101" i="22"/>
  <c r="AC93" i="22"/>
  <c r="AC85" i="22"/>
  <c r="AC77" i="22"/>
  <c r="AC69" i="22"/>
  <c r="X362" i="22"/>
  <c r="X355" i="22"/>
  <c r="X318" i="22"/>
  <c r="X317" i="22"/>
  <c r="X235" i="22"/>
  <c r="AC66" i="22"/>
  <c r="X299" i="22"/>
  <c r="O258" i="25"/>
  <c r="P258" i="25" s="1"/>
  <c r="Q258" i="25" s="1"/>
  <c r="R258" i="25" s="1"/>
  <c r="S258" i="25" s="1"/>
  <c r="T258" i="25" s="1"/>
  <c r="O145" i="25"/>
  <c r="P145" i="25" s="1"/>
  <c r="Q145" i="25" s="1"/>
  <c r="R145" i="25" s="1"/>
  <c r="S145" i="25" s="1"/>
  <c r="T145" i="25" s="1"/>
  <c r="O137" i="25"/>
  <c r="P137" i="25" s="1"/>
  <c r="Q137" i="25" s="1"/>
  <c r="R137" i="25" s="1"/>
  <c r="S137" i="25" s="1"/>
  <c r="T137" i="25" s="1"/>
  <c r="O119" i="25"/>
  <c r="P119" i="25" s="1"/>
  <c r="Q119" i="25" s="1"/>
  <c r="R119" i="25" s="1"/>
  <c r="S119" i="25" s="1"/>
  <c r="T119" i="25" s="1"/>
  <c r="K258" i="25"/>
  <c r="M258" i="25" s="1"/>
  <c r="O243" i="25"/>
  <c r="P243" i="25" s="1"/>
  <c r="Q243" i="25" s="1"/>
  <c r="R243" i="25" s="1"/>
  <c r="S243" i="25" s="1"/>
  <c r="T243" i="25" s="1"/>
  <c r="K236" i="25"/>
  <c r="M236" i="25" s="1"/>
  <c r="O214" i="25"/>
  <c r="P214" i="25" s="1"/>
  <c r="Q214" i="25" s="1"/>
  <c r="R214" i="25" s="1"/>
  <c r="S214" i="25" s="1"/>
  <c r="T214" i="25" s="1"/>
  <c r="N137" i="25"/>
  <c r="K119" i="25"/>
  <c r="L119" i="25" s="1"/>
  <c r="K75" i="25"/>
  <c r="L75" i="25" s="1"/>
  <c r="K244" i="25"/>
  <c r="M244" i="25" s="1"/>
  <c r="O187" i="25"/>
  <c r="P187" i="25" s="1"/>
  <c r="Q187" i="25" s="1"/>
  <c r="R187" i="25" s="1"/>
  <c r="S187" i="25" s="1"/>
  <c r="T187" i="25" s="1"/>
  <c r="O174" i="25"/>
  <c r="P174" i="25" s="1"/>
  <c r="Q174" i="25" s="1"/>
  <c r="R174" i="25" s="1"/>
  <c r="S174" i="25" s="1"/>
  <c r="T174" i="25" s="1"/>
  <c r="K166" i="25"/>
  <c r="M166" i="25" s="1"/>
  <c r="O143" i="25"/>
  <c r="P143" i="25" s="1"/>
  <c r="Q143" i="25" s="1"/>
  <c r="R143" i="25" s="1"/>
  <c r="S143" i="25" s="1"/>
  <c r="T143" i="25" s="1"/>
  <c r="O78" i="25"/>
  <c r="P78" i="25" s="1"/>
  <c r="Q78" i="25" s="1"/>
  <c r="R78" i="25" s="1"/>
  <c r="S78" i="25" s="1"/>
  <c r="T78" i="25" s="1"/>
  <c r="O262" i="25"/>
  <c r="P262" i="25" s="1"/>
  <c r="Q262" i="25" s="1"/>
  <c r="R262" i="25" s="1"/>
  <c r="S262" i="25" s="1"/>
  <c r="T262" i="25" s="1"/>
  <c r="O160" i="25"/>
  <c r="P160" i="25" s="1"/>
  <c r="Q160" i="25" s="1"/>
  <c r="R160" i="25" s="1"/>
  <c r="S160" i="25" s="1"/>
  <c r="T160" i="25" s="1"/>
  <c r="K143" i="25"/>
  <c r="L143" i="25" s="1"/>
  <c r="N143" i="25" s="1"/>
  <c r="X348" i="22"/>
  <c r="X367" i="22"/>
  <c r="X357" i="22"/>
  <c r="X340" i="22"/>
  <c r="X220" i="22"/>
  <c r="X341" i="22"/>
  <c r="X332" i="22"/>
  <c r="X275" i="22"/>
  <c r="X267" i="22"/>
  <c r="X110" i="22"/>
  <c r="X92" i="22"/>
  <c r="X347" i="22"/>
  <c r="X333" i="22"/>
  <c r="X325" i="22"/>
  <c r="X268" i="22"/>
  <c r="X244" i="22"/>
  <c r="X165" i="22"/>
  <c r="X291" i="22"/>
  <c r="X253" i="22"/>
  <c r="X316" i="22"/>
  <c r="X292" i="22"/>
  <c r="X285" i="22"/>
  <c r="X330" i="22"/>
  <c r="X260" i="22"/>
  <c r="X173" i="22"/>
  <c r="X109" i="22"/>
  <c r="X76" i="22"/>
  <c r="X339" i="22"/>
  <c r="X293" i="22"/>
  <c r="X196" i="22"/>
  <c r="X188" i="22"/>
  <c r="X132" i="22"/>
  <c r="X363" i="22"/>
  <c r="X349" i="22"/>
  <c r="X346" i="22"/>
  <c r="X171" i="22"/>
  <c r="X164" i="22"/>
  <c r="AC363" i="22"/>
  <c r="AC355" i="22"/>
  <c r="AC271" i="22"/>
  <c r="AC263" i="22"/>
  <c r="AC255" i="22"/>
  <c r="AC247" i="22"/>
  <c r="AC239" i="22"/>
  <c r="AC231" i="22"/>
  <c r="AC223" i="22"/>
  <c r="AC215" i="22"/>
  <c r="AC207" i="22"/>
  <c r="AC199" i="22"/>
  <c r="AC191" i="22"/>
  <c r="AC183" i="22"/>
  <c r="AC175" i="22"/>
  <c r="AC167" i="22"/>
  <c r="AC159" i="22"/>
  <c r="AC151" i="22"/>
  <c r="AC143" i="22"/>
  <c r="AC135" i="22"/>
  <c r="AC127" i="22"/>
  <c r="AC119" i="22"/>
  <c r="AC111" i="22"/>
  <c r="AC103" i="22"/>
  <c r="AC95" i="22"/>
  <c r="AC87" i="22"/>
  <c r="AC79" i="22"/>
  <c r="AC71" i="22"/>
  <c r="X338" i="22"/>
  <c r="X108" i="22"/>
  <c r="AC274" i="22"/>
  <c r="AC266" i="22"/>
  <c r="AC258" i="22"/>
  <c r="AC250" i="22"/>
  <c r="AC242" i="22"/>
  <c r="AC234" i="22"/>
  <c r="AC226" i="22"/>
  <c r="AC218" i="22"/>
  <c r="AC210" i="22"/>
  <c r="AC202" i="22"/>
  <c r="AC194" i="22"/>
  <c r="AC186" i="22"/>
  <c r="AC178" i="22"/>
  <c r="AC170" i="22"/>
  <c r="AC162" i="22"/>
  <c r="AC154" i="22"/>
  <c r="AC146" i="22"/>
  <c r="AC138" i="22"/>
  <c r="AC130" i="22"/>
  <c r="AC121" i="22"/>
  <c r="AC113" i="22"/>
  <c r="AC105" i="22"/>
  <c r="AC97" i="22"/>
  <c r="AC89" i="22"/>
  <c r="AC81" i="22"/>
  <c r="AC73" i="22"/>
  <c r="X206" i="22"/>
  <c r="AC272" i="22"/>
  <c r="AC264" i="22"/>
  <c r="AC256" i="22"/>
  <c r="AC248" i="22"/>
  <c r="AC240" i="22"/>
  <c r="AC232" i="22"/>
  <c r="AC224" i="22"/>
  <c r="AC216" i="22"/>
  <c r="AC208" i="22"/>
  <c r="AC200" i="22"/>
  <c r="AC192" i="22"/>
  <c r="AC184" i="22"/>
  <c r="AC176" i="22"/>
  <c r="AC168" i="22"/>
  <c r="AC160" i="22"/>
  <c r="AC152" i="22"/>
  <c r="AC144" i="22"/>
  <c r="AC136" i="22"/>
  <c r="AC128" i="22"/>
  <c r="AC120" i="22"/>
  <c r="AC112" i="22"/>
  <c r="AC104" i="22"/>
  <c r="AC96" i="22"/>
  <c r="AC88" i="22"/>
  <c r="AC80" i="22"/>
  <c r="AC72" i="22"/>
  <c r="M185" i="25"/>
  <c r="L185" i="25"/>
  <c r="N185" i="25" s="1"/>
  <c r="K252" i="25"/>
  <c r="L252" i="25" s="1"/>
  <c r="K218" i="25"/>
  <c r="M218" i="25" s="1"/>
  <c r="O211" i="25"/>
  <c r="P211" i="25" s="1"/>
  <c r="Q211" i="25" s="1"/>
  <c r="R211" i="25" s="1"/>
  <c r="S211" i="25" s="1"/>
  <c r="T211" i="25" s="1"/>
  <c r="AF109" i="25"/>
  <c r="AF101" i="25"/>
  <c r="AF85" i="25"/>
  <c r="O139" i="25"/>
  <c r="P139" i="25" s="1"/>
  <c r="Q139" i="25" s="1"/>
  <c r="R139" i="25" s="1"/>
  <c r="S139" i="25" s="1"/>
  <c r="T139" i="25" s="1"/>
  <c r="O71" i="25"/>
  <c r="P71" i="25" s="1"/>
  <c r="Q71" i="25" s="1"/>
  <c r="R71" i="25" s="1"/>
  <c r="S71" i="25" s="1"/>
  <c r="T71" i="25" s="1"/>
  <c r="O267" i="25"/>
  <c r="P267" i="25" s="1"/>
  <c r="Q267" i="25" s="1"/>
  <c r="R267" i="25" s="1"/>
  <c r="S267" i="25" s="1"/>
  <c r="T267" i="25" s="1"/>
  <c r="O261" i="25"/>
  <c r="P261" i="25" s="1"/>
  <c r="Q261" i="25" s="1"/>
  <c r="R261" i="25" s="1"/>
  <c r="S261" i="25" s="1"/>
  <c r="T261" i="25" s="1"/>
  <c r="O239" i="25"/>
  <c r="P239" i="25" s="1"/>
  <c r="Q239" i="25" s="1"/>
  <c r="R239" i="25" s="1"/>
  <c r="S239" i="25" s="1"/>
  <c r="T239" i="25" s="1"/>
  <c r="K174" i="25"/>
  <c r="M174" i="25" s="1"/>
  <c r="O171" i="25"/>
  <c r="P171" i="25" s="1"/>
  <c r="Q171" i="25" s="1"/>
  <c r="R171" i="25" s="1"/>
  <c r="S171" i="25" s="1"/>
  <c r="T171" i="25" s="1"/>
  <c r="K139" i="25"/>
  <c r="L139" i="25" s="1"/>
  <c r="N139" i="25" s="1"/>
  <c r="K107" i="25"/>
  <c r="L107" i="25" s="1"/>
  <c r="O95" i="25"/>
  <c r="P95" i="25" s="1"/>
  <c r="Q95" i="25" s="1"/>
  <c r="R95" i="25" s="1"/>
  <c r="S95" i="25" s="1"/>
  <c r="T95" i="25" s="1"/>
  <c r="K79" i="25"/>
  <c r="L79" i="25" s="1"/>
  <c r="K71" i="25"/>
  <c r="M71" i="25" s="1"/>
  <c r="AF67" i="25"/>
  <c r="K250" i="25"/>
  <c r="K239" i="25"/>
  <c r="L239" i="25" s="1"/>
  <c r="O153" i="25"/>
  <c r="P153" i="25" s="1"/>
  <c r="Q153" i="25" s="1"/>
  <c r="R153" i="25" s="1"/>
  <c r="S153" i="25" s="1"/>
  <c r="T153" i="25" s="1"/>
  <c r="L103" i="25"/>
  <c r="N103" i="25" s="1"/>
  <c r="O86" i="25"/>
  <c r="P86" i="25" s="1"/>
  <c r="Q86" i="25" s="1"/>
  <c r="R86" i="25" s="1"/>
  <c r="S86" i="25" s="1"/>
  <c r="T86" i="25" s="1"/>
  <c r="M201" i="25"/>
  <c r="O159" i="25"/>
  <c r="P159" i="25" s="1"/>
  <c r="Q159" i="25" s="1"/>
  <c r="R159" i="25" s="1"/>
  <c r="S159" i="25" s="1"/>
  <c r="T159" i="25" s="1"/>
  <c r="O123" i="25"/>
  <c r="P123" i="25" s="1"/>
  <c r="Q123" i="25" s="1"/>
  <c r="R123" i="25" s="1"/>
  <c r="S123" i="25" s="1"/>
  <c r="T123" i="25" s="1"/>
  <c r="O259" i="25"/>
  <c r="P259" i="25" s="1"/>
  <c r="Q259" i="25" s="1"/>
  <c r="R259" i="25" s="1"/>
  <c r="S259" i="25" s="1"/>
  <c r="T259" i="25" s="1"/>
  <c r="K254" i="25"/>
  <c r="O126" i="25"/>
  <c r="P126" i="25" s="1"/>
  <c r="Q126" i="25" s="1"/>
  <c r="R126" i="25" s="1"/>
  <c r="S126" i="25" s="1"/>
  <c r="T126" i="25" s="1"/>
  <c r="K123" i="25"/>
  <c r="L123" i="25" s="1"/>
  <c r="N123" i="25" s="1"/>
  <c r="O75" i="25"/>
  <c r="P75" i="25" s="1"/>
  <c r="Q75" i="25" s="1"/>
  <c r="R75" i="25" s="1"/>
  <c r="S75" i="25" s="1"/>
  <c r="T75" i="25" s="1"/>
  <c r="K67" i="25"/>
  <c r="L209" i="25"/>
  <c r="N209" i="25" s="1"/>
  <c r="M209" i="25"/>
  <c r="L169" i="25"/>
  <c r="N169" i="25" s="1"/>
  <c r="M169" i="25"/>
  <c r="L177" i="25"/>
  <c r="N177" i="25" s="1"/>
  <c r="M177" i="25"/>
  <c r="L149" i="25"/>
  <c r="N149" i="25" s="1"/>
  <c r="M149" i="25"/>
  <c r="L217" i="25"/>
  <c r="N217" i="25" s="1"/>
  <c r="M217" i="25"/>
  <c r="L220" i="25"/>
  <c r="N220" i="25" s="1"/>
  <c r="L263" i="25"/>
  <c r="N263" i="25" s="1"/>
  <c r="L255" i="25"/>
  <c r="N255" i="25" s="1"/>
  <c r="M255" i="25"/>
  <c r="AE253" i="25"/>
  <c r="AF253" i="25" s="1"/>
  <c r="K246" i="25"/>
  <c r="M246" i="25" s="1"/>
  <c r="AE246" i="25"/>
  <c r="AF246" i="25" s="1"/>
  <c r="K238" i="25"/>
  <c r="L238" i="25" s="1"/>
  <c r="N238" i="25" s="1"/>
  <c r="AE238" i="25"/>
  <c r="AF238" i="25" s="1"/>
  <c r="O225" i="25"/>
  <c r="P225" i="25" s="1"/>
  <c r="Q225" i="25" s="1"/>
  <c r="R225" i="25" s="1"/>
  <c r="S225" i="25" s="1"/>
  <c r="T225" i="25" s="1"/>
  <c r="AE225" i="25"/>
  <c r="AF225" i="25" s="1"/>
  <c r="K224" i="25"/>
  <c r="AE224" i="25"/>
  <c r="AF224" i="25" s="1"/>
  <c r="K216" i="25"/>
  <c r="AE216" i="25"/>
  <c r="AF216" i="25" s="1"/>
  <c r="K208" i="25"/>
  <c r="L208" i="25" s="1"/>
  <c r="AE208" i="25"/>
  <c r="AF208" i="25" s="1"/>
  <c r="K191" i="25"/>
  <c r="M191" i="25" s="1"/>
  <c r="K179" i="25"/>
  <c r="O164" i="25"/>
  <c r="P164" i="25" s="1"/>
  <c r="Q164" i="25" s="1"/>
  <c r="R164" i="25" s="1"/>
  <c r="S164" i="25" s="1"/>
  <c r="T164" i="25" s="1"/>
  <c r="AE164" i="25"/>
  <c r="AF164" i="25" s="1"/>
  <c r="O138" i="25"/>
  <c r="P138" i="25" s="1"/>
  <c r="Q138" i="25" s="1"/>
  <c r="R138" i="25" s="1"/>
  <c r="S138" i="25" s="1"/>
  <c r="T138" i="25" s="1"/>
  <c r="AE138" i="25"/>
  <c r="AF138" i="25" s="1"/>
  <c r="O134" i="25"/>
  <c r="P134" i="25" s="1"/>
  <c r="Q134" i="25" s="1"/>
  <c r="R134" i="25" s="1"/>
  <c r="S134" i="25" s="1"/>
  <c r="T134" i="25" s="1"/>
  <c r="K131" i="25"/>
  <c r="L131" i="25" s="1"/>
  <c r="N131" i="25" s="1"/>
  <c r="K128" i="25"/>
  <c r="L128" i="25" s="1"/>
  <c r="AE128" i="25"/>
  <c r="AF128" i="25" s="1"/>
  <c r="O91" i="25"/>
  <c r="P91" i="25" s="1"/>
  <c r="Q91" i="25" s="1"/>
  <c r="R91" i="25" s="1"/>
  <c r="S91" i="25" s="1"/>
  <c r="T91" i="25" s="1"/>
  <c r="AE91" i="25"/>
  <c r="AF91" i="25" s="1"/>
  <c r="O84" i="25"/>
  <c r="P84" i="25" s="1"/>
  <c r="Q84" i="25" s="1"/>
  <c r="R84" i="25" s="1"/>
  <c r="S84" i="25" s="1"/>
  <c r="T84" i="25" s="1"/>
  <c r="AE84" i="25"/>
  <c r="AF84" i="25" s="1"/>
  <c r="AF156" i="25"/>
  <c r="AF148" i="25"/>
  <c r="O209" i="25"/>
  <c r="P209" i="25" s="1"/>
  <c r="Q209" i="25" s="1"/>
  <c r="R209" i="25" s="1"/>
  <c r="S209" i="25" s="1"/>
  <c r="T209" i="25" s="1"/>
  <c r="AE209" i="25"/>
  <c r="AF209" i="25" s="1"/>
  <c r="K206" i="25"/>
  <c r="M206" i="25" s="1"/>
  <c r="AE206" i="25"/>
  <c r="AF206" i="25" s="1"/>
  <c r="O196" i="25"/>
  <c r="P196" i="25" s="1"/>
  <c r="Q196" i="25" s="1"/>
  <c r="R196" i="25" s="1"/>
  <c r="S196" i="25" s="1"/>
  <c r="T196" i="25" s="1"/>
  <c r="AE196" i="25"/>
  <c r="AF196" i="25" s="1"/>
  <c r="K190" i="25"/>
  <c r="AE190" i="25"/>
  <c r="AF190" i="25" s="1"/>
  <c r="K181" i="25"/>
  <c r="L181" i="25" s="1"/>
  <c r="N181" i="25" s="1"/>
  <c r="AE181" i="25"/>
  <c r="AF181" i="25" s="1"/>
  <c r="O169" i="25"/>
  <c r="P169" i="25" s="1"/>
  <c r="Q169" i="25" s="1"/>
  <c r="R169" i="25" s="1"/>
  <c r="S169" i="25" s="1"/>
  <c r="T169" i="25" s="1"/>
  <c r="AE169" i="25"/>
  <c r="AF169" i="25" s="1"/>
  <c r="O158" i="25"/>
  <c r="P158" i="25" s="1"/>
  <c r="Q158" i="25" s="1"/>
  <c r="R158" i="25" s="1"/>
  <c r="S158" i="25" s="1"/>
  <c r="T158" i="25" s="1"/>
  <c r="AE158" i="25"/>
  <c r="AF158" i="25" s="1"/>
  <c r="K154" i="25"/>
  <c r="L154" i="25" s="1"/>
  <c r="AE154" i="25"/>
  <c r="AF154" i="25" s="1"/>
  <c r="AE149" i="25"/>
  <c r="AF149" i="25" s="1"/>
  <c r="K105" i="25"/>
  <c r="L105" i="25" s="1"/>
  <c r="N105" i="25" s="1"/>
  <c r="AE105" i="25"/>
  <c r="AF105" i="25" s="1"/>
  <c r="O100" i="25"/>
  <c r="P100" i="25" s="1"/>
  <c r="Q100" i="25" s="1"/>
  <c r="R100" i="25" s="1"/>
  <c r="S100" i="25" s="1"/>
  <c r="T100" i="25" s="1"/>
  <c r="AE100" i="25"/>
  <c r="AF100" i="25" s="1"/>
  <c r="K97" i="25"/>
  <c r="L97" i="25" s="1"/>
  <c r="N97" i="25" s="1"/>
  <c r="AE97" i="25"/>
  <c r="AF97" i="25" s="1"/>
  <c r="K94" i="25"/>
  <c r="M94" i="25" s="1"/>
  <c r="O94" i="25"/>
  <c r="P94" i="25" s="1"/>
  <c r="Q94" i="25" s="1"/>
  <c r="R94" i="25" s="1"/>
  <c r="S94" i="25" s="1"/>
  <c r="T94" i="25" s="1"/>
  <c r="AE94" i="25"/>
  <c r="AF94" i="25" s="1"/>
  <c r="K74" i="25"/>
  <c r="L74" i="25" s="1"/>
  <c r="AE74" i="25"/>
  <c r="AF74" i="25" s="1"/>
  <c r="AF267" i="25"/>
  <c r="AF259" i="25"/>
  <c r="AF251" i="25"/>
  <c r="AF243" i="25"/>
  <c r="AF235" i="25"/>
  <c r="AF227" i="25"/>
  <c r="AF219" i="25"/>
  <c r="AF211" i="25"/>
  <c r="AF203" i="25"/>
  <c r="AF195" i="25"/>
  <c r="AF187" i="25"/>
  <c r="AF179" i="25"/>
  <c r="AF171" i="25"/>
  <c r="AF139" i="25"/>
  <c r="AF131" i="25"/>
  <c r="AF123" i="25"/>
  <c r="AF107" i="25"/>
  <c r="K266" i="25"/>
  <c r="M266" i="25" s="1"/>
  <c r="AE266" i="25"/>
  <c r="AF266" i="25" s="1"/>
  <c r="O227" i="25"/>
  <c r="P227" i="25" s="1"/>
  <c r="Q227" i="25" s="1"/>
  <c r="R227" i="25" s="1"/>
  <c r="S227" i="25" s="1"/>
  <c r="T227" i="25" s="1"/>
  <c r="K200" i="25"/>
  <c r="L200" i="25" s="1"/>
  <c r="N200" i="25" s="1"/>
  <c r="AE200" i="25"/>
  <c r="AF200" i="25" s="1"/>
  <c r="K197" i="25"/>
  <c r="L197" i="25" s="1"/>
  <c r="N197" i="25" s="1"/>
  <c r="AE197" i="25"/>
  <c r="AF197" i="25" s="1"/>
  <c r="K184" i="25"/>
  <c r="N184" i="25" s="1"/>
  <c r="AE184" i="25"/>
  <c r="AF184" i="25" s="1"/>
  <c r="O161" i="25"/>
  <c r="P161" i="25" s="1"/>
  <c r="Q161" i="25" s="1"/>
  <c r="R161" i="25" s="1"/>
  <c r="S161" i="25" s="1"/>
  <c r="T161" i="25" s="1"/>
  <c r="AE161" i="25"/>
  <c r="AF161" i="25" s="1"/>
  <c r="K161" i="25"/>
  <c r="K151" i="25"/>
  <c r="M151" i="25" s="1"/>
  <c r="AE151" i="25"/>
  <c r="AF151" i="25" s="1"/>
  <c r="K129" i="25"/>
  <c r="M129" i="25" s="1"/>
  <c r="AE129" i="25"/>
  <c r="AF129" i="25" s="1"/>
  <c r="O92" i="25"/>
  <c r="P92" i="25" s="1"/>
  <c r="Q92" i="25" s="1"/>
  <c r="R92" i="25" s="1"/>
  <c r="S92" i="25" s="1"/>
  <c r="T92" i="25" s="1"/>
  <c r="AE92" i="25"/>
  <c r="AF92" i="25" s="1"/>
  <c r="O251" i="25"/>
  <c r="P251" i="25" s="1"/>
  <c r="Q251" i="25" s="1"/>
  <c r="R251" i="25" s="1"/>
  <c r="S251" i="25" s="1"/>
  <c r="T251" i="25" s="1"/>
  <c r="O231" i="25"/>
  <c r="P231" i="25" s="1"/>
  <c r="Q231" i="25" s="1"/>
  <c r="R231" i="25" s="1"/>
  <c r="S231" i="25" s="1"/>
  <c r="T231" i="25" s="1"/>
  <c r="AE231" i="25"/>
  <c r="AF231" i="25" s="1"/>
  <c r="O201" i="25"/>
  <c r="P201" i="25" s="1"/>
  <c r="Q201" i="25" s="1"/>
  <c r="R201" i="25" s="1"/>
  <c r="S201" i="25" s="1"/>
  <c r="T201" i="25" s="1"/>
  <c r="AE201" i="25"/>
  <c r="AF201" i="25" s="1"/>
  <c r="O185" i="25"/>
  <c r="P185" i="25" s="1"/>
  <c r="Q185" i="25" s="1"/>
  <c r="R185" i="25" s="1"/>
  <c r="S185" i="25" s="1"/>
  <c r="T185" i="25" s="1"/>
  <c r="AE185" i="25"/>
  <c r="AF185" i="25" s="1"/>
  <c r="K176" i="25"/>
  <c r="L176" i="25" s="1"/>
  <c r="N176" i="25" s="1"/>
  <c r="AE176" i="25"/>
  <c r="AF176" i="25" s="1"/>
  <c r="K160" i="25"/>
  <c r="AE160" i="25"/>
  <c r="AF160" i="25" s="1"/>
  <c r="K155" i="25"/>
  <c r="AE155" i="25"/>
  <c r="AF155" i="25" s="1"/>
  <c r="K135" i="25"/>
  <c r="AE135" i="25"/>
  <c r="AF135" i="25" s="1"/>
  <c r="O115" i="25"/>
  <c r="P115" i="25" s="1"/>
  <c r="Q115" i="25" s="1"/>
  <c r="R115" i="25" s="1"/>
  <c r="S115" i="25" s="1"/>
  <c r="T115" i="25" s="1"/>
  <c r="K112" i="25"/>
  <c r="L112" i="25" s="1"/>
  <c r="N112" i="25" s="1"/>
  <c r="AE112" i="25"/>
  <c r="AF112" i="25" s="1"/>
  <c r="AE103" i="25"/>
  <c r="AF103" i="25" s="1"/>
  <c r="O103" i="25"/>
  <c r="P103" i="25" s="1"/>
  <c r="Q103" i="25" s="1"/>
  <c r="R103" i="25" s="1"/>
  <c r="S103" i="25" s="1"/>
  <c r="T103" i="25" s="1"/>
  <c r="AE87" i="25"/>
  <c r="AF87" i="25" s="1"/>
  <c r="K87" i="25"/>
  <c r="O87" i="25"/>
  <c r="P87" i="25" s="1"/>
  <c r="Q87" i="25" s="1"/>
  <c r="R87" i="25" s="1"/>
  <c r="S87" i="25" s="1"/>
  <c r="T87" i="25" s="1"/>
  <c r="K64" i="25"/>
  <c r="L64" i="25" s="1"/>
  <c r="AE64" i="25"/>
  <c r="AF64" i="25" s="1"/>
  <c r="N261" i="25"/>
  <c r="O244" i="25"/>
  <c r="P244" i="25" s="1"/>
  <c r="Q244" i="25" s="1"/>
  <c r="R244" i="25" s="1"/>
  <c r="S244" i="25" s="1"/>
  <c r="T244" i="25" s="1"/>
  <c r="AE244" i="25"/>
  <c r="AF244" i="25" s="1"/>
  <c r="K262" i="25"/>
  <c r="M262" i="25" s="1"/>
  <c r="M261" i="25"/>
  <c r="AE245" i="25"/>
  <c r="AF245" i="25" s="1"/>
  <c r="K240" i="25"/>
  <c r="AE240" i="25"/>
  <c r="AF240" i="25" s="1"/>
  <c r="O235" i="25"/>
  <c r="P235" i="25" s="1"/>
  <c r="Q235" i="25" s="1"/>
  <c r="R235" i="25" s="1"/>
  <c r="S235" i="25" s="1"/>
  <c r="T235" i="25" s="1"/>
  <c r="O234" i="25"/>
  <c r="P234" i="25" s="1"/>
  <c r="Q234" i="25" s="1"/>
  <c r="R234" i="25" s="1"/>
  <c r="S234" i="25" s="1"/>
  <c r="T234" i="25" s="1"/>
  <c r="O233" i="25"/>
  <c r="P233" i="25" s="1"/>
  <c r="Q233" i="25" s="1"/>
  <c r="R233" i="25" s="1"/>
  <c r="S233" i="25" s="1"/>
  <c r="T233" i="25" s="1"/>
  <c r="AE233" i="25"/>
  <c r="AF233" i="25" s="1"/>
  <c r="K232" i="25"/>
  <c r="AE232" i="25"/>
  <c r="AF232" i="25" s="1"/>
  <c r="O229" i="25"/>
  <c r="P229" i="25" s="1"/>
  <c r="Q229" i="25" s="1"/>
  <c r="R229" i="25" s="1"/>
  <c r="S229" i="25" s="1"/>
  <c r="T229" i="25" s="1"/>
  <c r="O228" i="25"/>
  <c r="P228" i="25" s="1"/>
  <c r="Q228" i="25" s="1"/>
  <c r="R228" i="25" s="1"/>
  <c r="S228" i="25" s="1"/>
  <c r="T228" i="25" s="1"/>
  <c r="AE228" i="25"/>
  <c r="AF228" i="25" s="1"/>
  <c r="K227" i="25"/>
  <c r="K222" i="25"/>
  <c r="AE222" i="25"/>
  <c r="AF222" i="25" s="1"/>
  <c r="O219" i="25"/>
  <c r="P219" i="25" s="1"/>
  <c r="Q219" i="25" s="1"/>
  <c r="R219" i="25" s="1"/>
  <c r="S219" i="25" s="1"/>
  <c r="T219" i="25" s="1"/>
  <c r="O212" i="25"/>
  <c r="P212" i="25" s="1"/>
  <c r="Q212" i="25" s="1"/>
  <c r="R212" i="25" s="1"/>
  <c r="S212" i="25" s="1"/>
  <c r="T212" i="25" s="1"/>
  <c r="AE212" i="25"/>
  <c r="AF212" i="25" s="1"/>
  <c r="K211" i="25"/>
  <c r="K207" i="25"/>
  <c r="L207" i="25" s="1"/>
  <c r="N207" i="25" s="1"/>
  <c r="AE207" i="25"/>
  <c r="AF207" i="25" s="1"/>
  <c r="K198" i="25"/>
  <c r="L198" i="25" s="1"/>
  <c r="AE198" i="25"/>
  <c r="AF198" i="25" s="1"/>
  <c r="K192" i="25"/>
  <c r="L192" i="25" s="1"/>
  <c r="N192" i="25" s="1"/>
  <c r="AE192" i="25"/>
  <c r="AF192" i="25" s="1"/>
  <c r="O179" i="25"/>
  <c r="P179" i="25" s="1"/>
  <c r="Q179" i="25" s="1"/>
  <c r="R179" i="25" s="1"/>
  <c r="S179" i="25" s="1"/>
  <c r="T179" i="25" s="1"/>
  <c r="K171" i="25"/>
  <c r="O167" i="25"/>
  <c r="P167" i="25" s="1"/>
  <c r="Q167" i="25" s="1"/>
  <c r="R167" i="25" s="1"/>
  <c r="S167" i="25" s="1"/>
  <c r="T167" i="25" s="1"/>
  <c r="AE167" i="25"/>
  <c r="AF167" i="25" s="1"/>
  <c r="K141" i="25"/>
  <c r="M141" i="25" s="1"/>
  <c r="O124" i="25"/>
  <c r="P124" i="25" s="1"/>
  <c r="Q124" i="25" s="1"/>
  <c r="R124" i="25" s="1"/>
  <c r="S124" i="25" s="1"/>
  <c r="T124" i="25" s="1"/>
  <c r="AE124" i="25"/>
  <c r="AF124" i="25" s="1"/>
  <c r="K106" i="25"/>
  <c r="M106" i="25" s="1"/>
  <c r="AE106" i="25"/>
  <c r="AF106" i="25" s="1"/>
  <c r="AE98" i="25"/>
  <c r="AF98" i="25" s="1"/>
  <c r="AE90" i="25"/>
  <c r="AF90" i="25" s="1"/>
  <c r="K90" i="25"/>
  <c r="M90" i="25" s="1"/>
  <c r="K226" i="25"/>
  <c r="M226" i="25" s="1"/>
  <c r="AE226" i="25"/>
  <c r="AF226" i="25" s="1"/>
  <c r="O260" i="25"/>
  <c r="P260" i="25" s="1"/>
  <c r="Q260" i="25" s="1"/>
  <c r="R260" i="25" s="1"/>
  <c r="S260" i="25" s="1"/>
  <c r="T260" i="25" s="1"/>
  <c r="AE260" i="25"/>
  <c r="AF260" i="25" s="1"/>
  <c r="O263" i="25"/>
  <c r="P263" i="25" s="1"/>
  <c r="Q263" i="25" s="1"/>
  <c r="R263" i="25" s="1"/>
  <c r="S263" i="25" s="1"/>
  <c r="T263" i="25" s="1"/>
  <c r="AE263" i="25"/>
  <c r="AF263" i="25" s="1"/>
  <c r="O241" i="25"/>
  <c r="P241" i="25" s="1"/>
  <c r="Q241" i="25" s="1"/>
  <c r="R241" i="25" s="1"/>
  <c r="S241" i="25" s="1"/>
  <c r="T241" i="25" s="1"/>
  <c r="AE241" i="25"/>
  <c r="AF241" i="25" s="1"/>
  <c r="AE237" i="25"/>
  <c r="AF237" i="25" s="1"/>
  <c r="K182" i="25"/>
  <c r="M182" i="25" s="1"/>
  <c r="AE182" i="25"/>
  <c r="AF182" i="25" s="1"/>
  <c r="O177" i="25"/>
  <c r="P177" i="25" s="1"/>
  <c r="Q177" i="25" s="1"/>
  <c r="R177" i="25" s="1"/>
  <c r="S177" i="25" s="1"/>
  <c r="T177" i="25" s="1"/>
  <c r="AE177" i="25"/>
  <c r="AF177" i="25" s="1"/>
  <c r="K147" i="25"/>
  <c r="AE147" i="25"/>
  <c r="AF147" i="25" s="1"/>
  <c r="K121" i="25"/>
  <c r="AE121" i="25"/>
  <c r="AF121" i="25" s="1"/>
  <c r="O121" i="25"/>
  <c r="P121" i="25" s="1"/>
  <c r="Q121" i="25" s="1"/>
  <c r="R121" i="25" s="1"/>
  <c r="S121" i="25" s="1"/>
  <c r="T121" i="25" s="1"/>
  <c r="AE115" i="25"/>
  <c r="AF115" i="25" s="1"/>
  <c r="K104" i="25"/>
  <c r="N104" i="25" s="1"/>
  <c r="AE104" i="25"/>
  <c r="AF104" i="25" s="1"/>
  <c r="K83" i="25"/>
  <c r="L83" i="25" s="1"/>
  <c r="AE83" i="25"/>
  <c r="AF83" i="25" s="1"/>
  <c r="K70" i="25"/>
  <c r="M70" i="25" s="1"/>
  <c r="O70" i="25"/>
  <c r="P70" i="25" s="1"/>
  <c r="Q70" i="25" s="1"/>
  <c r="R70" i="25" s="1"/>
  <c r="S70" i="25" s="1"/>
  <c r="T70" i="25" s="1"/>
  <c r="AE70" i="25"/>
  <c r="AF70" i="25" s="1"/>
  <c r="K257" i="25"/>
  <c r="L257" i="25" s="1"/>
  <c r="AE257" i="25"/>
  <c r="AF257" i="25" s="1"/>
  <c r="K247" i="25"/>
  <c r="M247" i="25" s="1"/>
  <c r="AE247" i="25"/>
  <c r="AF247" i="25" s="1"/>
  <c r="K248" i="25"/>
  <c r="AE248" i="25"/>
  <c r="AF248" i="25" s="1"/>
  <c r="O223" i="25"/>
  <c r="P223" i="25" s="1"/>
  <c r="Q223" i="25" s="1"/>
  <c r="R223" i="25" s="1"/>
  <c r="S223" i="25" s="1"/>
  <c r="T223" i="25" s="1"/>
  <c r="AE223" i="25"/>
  <c r="AF223" i="25" s="1"/>
  <c r="K264" i="25"/>
  <c r="L264" i="25" s="1"/>
  <c r="AE264" i="25"/>
  <c r="AF264" i="25" s="1"/>
  <c r="AE261" i="25"/>
  <c r="AF261" i="25" s="1"/>
  <c r="O252" i="25"/>
  <c r="P252" i="25" s="1"/>
  <c r="Q252" i="25" s="1"/>
  <c r="R252" i="25" s="1"/>
  <c r="S252" i="25" s="1"/>
  <c r="T252" i="25" s="1"/>
  <c r="AE252" i="25"/>
  <c r="AF252" i="25" s="1"/>
  <c r="O250" i="25"/>
  <c r="P250" i="25" s="1"/>
  <c r="Q250" i="25" s="1"/>
  <c r="R250" i="25" s="1"/>
  <c r="S250" i="25" s="1"/>
  <c r="T250" i="25" s="1"/>
  <c r="K249" i="25"/>
  <c r="M249" i="25" s="1"/>
  <c r="AE249" i="25"/>
  <c r="AF249" i="25" s="1"/>
  <c r="O236" i="25"/>
  <c r="P236" i="25" s="1"/>
  <c r="Q236" i="25" s="1"/>
  <c r="R236" i="25" s="1"/>
  <c r="S236" i="25" s="1"/>
  <c r="T236" i="25" s="1"/>
  <c r="AE236" i="25"/>
  <c r="AF236" i="25" s="1"/>
  <c r="K235" i="25"/>
  <c r="O224" i="25"/>
  <c r="P224" i="25" s="1"/>
  <c r="Q224" i="25" s="1"/>
  <c r="R224" i="25" s="1"/>
  <c r="S224" i="25" s="1"/>
  <c r="T224" i="25" s="1"/>
  <c r="AE215" i="25"/>
  <c r="AF215" i="25" s="1"/>
  <c r="K213" i="25"/>
  <c r="M213" i="25" s="1"/>
  <c r="AE213" i="25"/>
  <c r="AF213" i="25" s="1"/>
  <c r="O204" i="25"/>
  <c r="P204" i="25" s="1"/>
  <c r="Q204" i="25" s="1"/>
  <c r="R204" i="25" s="1"/>
  <c r="S204" i="25" s="1"/>
  <c r="T204" i="25" s="1"/>
  <c r="AE204" i="25"/>
  <c r="AF204" i="25" s="1"/>
  <c r="K203" i="25"/>
  <c r="O195" i="25"/>
  <c r="P195" i="25" s="1"/>
  <c r="Q195" i="25" s="1"/>
  <c r="R195" i="25" s="1"/>
  <c r="S195" i="25" s="1"/>
  <c r="T195" i="25" s="1"/>
  <c r="O193" i="25"/>
  <c r="P193" i="25" s="1"/>
  <c r="Q193" i="25" s="1"/>
  <c r="R193" i="25" s="1"/>
  <c r="S193" i="25" s="1"/>
  <c r="T193" i="25" s="1"/>
  <c r="AE193" i="25"/>
  <c r="AF193" i="25" s="1"/>
  <c r="O190" i="25"/>
  <c r="P190" i="25" s="1"/>
  <c r="Q190" i="25" s="1"/>
  <c r="R190" i="25" s="1"/>
  <c r="S190" i="25" s="1"/>
  <c r="T190" i="25" s="1"/>
  <c r="O188" i="25"/>
  <c r="P188" i="25" s="1"/>
  <c r="Q188" i="25" s="1"/>
  <c r="R188" i="25" s="1"/>
  <c r="S188" i="25" s="1"/>
  <c r="T188" i="25" s="1"/>
  <c r="AE188" i="25"/>
  <c r="AF188" i="25" s="1"/>
  <c r="K187" i="25"/>
  <c r="K183" i="25"/>
  <c r="L183" i="25" s="1"/>
  <c r="N183" i="25" s="1"/>
  <c r="AE183" i="25"/>
  <c r="AF183" i="25" s="1"/>
  <c r="K173" i="25"/>
  <c r="M173" i="25" s="1"/>
  <c r="AE173" i="25"/>
  <c r="AF173" i="25" s="1"/>
  <c r="AE157" i="25"/>
  <c r="AF157" i="25" s="1"/>
  <c r="O149" i="25"/>
  <c r="P149" i="25" s="1"/>
  <c r="Q149" i="25" s="1"/>
  <c r="R149" i="25" s="1"/>
  <c r="S149" i="25" s="1"/>
  <c r="T149" i="25" s="1"/>
  <c r="O127" i="25"/>
  <c r="P127" i="25" s="1"/>
  <c r="Q127" i="25" s="1"/>
  <c r="R127" i="25" s="1"/>
  <c r="S127" i="25" s="1"/>
  <c r="T127" i="25" s="1"/>
  <c r="AE127" i="25"/>
  <c r="AF127" i="25" s="1"/>
  <c r="K118" i="25"/>
  <c r="L118" i="25" s="1"/>
  <c r="O118" i="25"/>
  <c r="P118" i="25" s="1"/>
  <c r="Q118" i="25" s="1"/>
  <c r="R118" i="25" s="1"/>
  <c r="S118" i="25" s="1"/>
  <c r="T118" i="25" s="1"/>
  <c r="AE118" i="25"/>
  <c r="AF118" i="25" s="1"/>
  <c r="K113" i="25"/>
  <c r="M113" i="25" s="1"/>
  <c r="AE113" i="25"/>
  <c r="AF113" i="25" s="1"/>
  <c r="O113" i="25"/>
  <c r="P113" i="25" s="1"/>
  <c r="Q113" i="25" s="1"/>
  <c r="R113" i="25" s="1"/>
  <c r="S113" i="25" s="1"/>
  <c r="T113" i="25" s="1"/>
  <c r="K88" i="25"/>
  <c r="M88" i="25" s="1"/>
  <c r="AE88" i="25"/>
  <c r="AF88" i="25" s="1"/>
  <c r="K81" i="25"/>
  <c r="M81" i="25" s="1"/>
  <c r="AE81" i="25"/>
  <c r="AF81" i="25" s="1"/>
  <c r="O81" i="25"/>
  <c r="P81" i="25" s="1"/>
  <c r="Q81" i="25" s="1"/>
  <c r="R81" i="25" s="1"/>
  <c r="S81" i="25" s="1"/>
  <c r="T81" i="25" s="1"/>
  <c r="O265" i="25"/>
  <c r="P265" i="25" s="1"/>
  <c r="Q265" i="25" s="1"/>
  <c r="R265" i="25" s="1"/>
  <c r="S265" i="25" s="1"/>
  <c r="T265" i="25" s="1"/>
  <c r="O254" i="25"/>
  <c r="P254" i="25" s="1"/>
  <c r="Q254" i="25" s="1"/>
  <c r="R254" i="25" s="1"/>
  <c r="S254" i="25" s="1"/>
  <c r="T254" i="25" s="1"/>
  <c r="O266" i="25"/>
  <c r="P266" i="25" s="1"/>
  <c r="Q266" i="25" s="1"/>
  <c r="R266" i="25" s="1"/>
  <c r="S266" i="25" s="1"/>
  <c r="T266" i="25" s="1"/>
  <c r="K256" i="25"/>
  <c r="AE256" i="25"/>
  <c r="AF256" i="25" s="1"/>
  <c r="O255" i="25"/>
  <c r="P255" i="25" s="1"/>
  <c r="Q255" i="25" s="1"/>
  <c r="R255" i="25" s="1"/>
  <c r="S255" i="25" s="1"/>
  <c r="T255" i="25" s="1"/>
  <c r="AE255" i="25"/>
  <c r="AF255" i="25" s="1"/>
  <c r="O253" i="25"/>
  <c r="P253" i="25" s="1"/>
  <c r="Q253" i="25" s="1"/>
  <c r="R253" i="25" s="1"/>
  <c r="S253" i="25" s="1"/>
  <c r="T253" i="25" s="1"/>
  <c r="K251" i="25"/>
  <c r="O246" i="25"/>
  <c r="P246" i="25" s="1"/>
  <c r="Q246" i="25" s="1"/>
  <c r="R246" i="25" s="1"/>
  <c r="S246" i="25" s="1"/>
  <c r="T246" i="25" s="1"/>
  <c r="K242" i="25"/>
  <c r="M242" i="25" s="1"/>
  <c r="AE242" i="25"/>
  <c r="AF242" i="25" s="1"/>
  <c r="AE234" i="25"/>
  <c r="AF234" i="25" s="1"/>
  <c r="O230" i="25"/>
  <c r="P230" i="25" s="1"/>
  <c r="Q230" i="25" s="1"/>
  <c r="R230" i="25" s="1"/>
  <c r="S230" i="25" s="1"/>
  <c r="T230" i="25" s="1"/>
  <c r="AE230" i="25"/>
  <c r="AF230" i="25" s="1"/>
  <c r="K225" i="25"/>
  <c r="O220" i="25"/>
  <c r="P220" i="25" s="1"/>
  <c r="Q220" i="25" s="1"/>
  <c r="R220" i="25" s="1"/>
  <c r="S220" i="25" s="1"/>
  <c r="T220" i="25" s="1"/>
  <c r="AE220" i="25"/>
  <c r="AF220" i="25" s="1"/>
  <c r="K219" i="25"/>
  <c r="O217" i="25"/>
  <c r="P217" i="25" s="1"/>
  <c r="Q217" i="25" s="1"/>
  <c r="R217" i="25" s="1"/>
  <c r="S217" i="25" s="1"/>
  <c r="T217" i="25" s="1"/>
  <c r="AE217" i="25"/>
  <c r="AF217" i="25" s="1"/>
  <c r="K214" i="25"/>
  <c r="AE214" i="25"/>
  <c r="AF214" i="25" s="1"/>
  <c r="O208" i="25"/>
  <c r="P208" i="25" s="1"/>
  <c r="Q208" i="25" s="1"/>
  <c r="R208" i="25" s="1"/>
  <c r="S208" i="25" s="1"/>
  <c r="T208" i="25" s="1"/>
  <c r="K205" i="25"/>
  <c r="M205" i="25" s="1"/>
  <c r="AE205" i="25"/>
  <c r="AF205" i="25" s="1"/>
  <c r="K189" i="25"/>
  <c r="L189" i="25" s="1"/>
  <c r="N189" i="25" s="1"/>
  <c r="AE189" i="25"/>
  <c r="AF189" i="25" s="1"/>
  <c r="O180" i="25"/>
  <c r="P180" i="25" s="1"/>
  <c r="Q180" i="25" s="1"/>
  <c r="R180" i="25" s="1"/>
  <c r="S180" i="25" s="1"/>
  <c r="T180" i="25" s="1"/>
  <c r="AE180" i="25"/>
  <c r="AF180" i="25" s="1"/>
  <c r="K175" i="25"/>
  <c r="M175" i="25" s="1"/>
  <c r="K168" i="25"/>
  <c r="M168" i="25" s="1"/>
  <c r="O168" i="25"/>
  <c r="P168" i="25" s="1"/>
  <c r="Q168" i="25" s="1"/>
  <c r="R168" i="25" s="1"/>
  <c r="S168" i="25" s="1"/>
  <c r="T168" i="25" s="1"/>
  <c r="AE168" i="25"/>
  <c r="AF168" i="25" s="1"/>
  <c r="K164" i="25"/>
  <c r="M164" i="25" s="1"/>
  <c r="K163" i="25"/>
  <c r="AE163" i="25"/>
  <c r="AF163" i="25" s="1"/>
  <c r="O163" i="25"/>
  <c r="P163" i="25" s="1"/>
  <c r="Q163" i="25" s="1"/>
  <c r="R163" i="25" s="1"/>
  <c r="S163" i="25" s="1"/>
  <c r="T163" i="25" s="1"/>
  <c r="O150" i="25"/>
  <c r="P150" i="25" s="1"/>
  <c r="Q150" i="25" s="1"/>
  <c r="R150" i="25" s="1"/>
  <c r="S150" i="25" s="1"/>
  <c r="T150" i="25" s="1"/>
  <c r="O131" i="25"/>
  <c r="P131" i="25" s="1"/>
  <c r="Q131" i="25" s="1"/>
  <c r="R131" i="25" s="1"/>
  <c r="S131" i="25" s="1"/>
  <c r="T131" i="25" s="1"/>
  <c r="O116" i="25"/>
  <c r="P116" i="25" s="1"/>
  <c r="Q116" i="25" s="1"/>
  <c r="R116" i="25" s="1"/>
  <c r="S116" i="25" s="1"/>
  <c r="T116" i="25" s="1"/>
  <c r="AE116" i="25"/>
  <c r="AF116" i="25" s="1"/>
  <c r="K110" i="25"/>
  <c r="M110" i="25" s="1"/>
  <c r="AE110" i="25"/>
  <c r="AF110" i="25" s="1"/>
  <c r="AE99" i="25"/>
  <c r="AF99" i="25" s="1"/>
  <c r="K99" i="25"/>
  <c r="L99" i="25" s="1"/>
  <c r="O99" i="25"/>
  <c r="P99" i="25" s="1"/>
  <c r="Q99" i="25" s="1"/>
  <c r="R99" i="25" s="1"/>
  <c r="S99" i="25" s="1"/>
  <c r="T99" i="25" s="1"/>
  <c r="K91" i="25"/>
  <c r="L91" i="25" s="1"/>
  <c r="K65" i="25"/>
  <c r="M65" i="25" s="1"/>
  <c r="AE65" i="25"/>
  <c r="AF65" i="25" s="1"/>
  <c r="O65" i="25"/>
  <c r="P65" i="25" s="1"/>
  <c r="AF229" i="25"/>
  <c r="AF221" i="25"/>
  <c r="AF141" i="25"/>
  <c r="AF133" i="25"/>
  <c r="AF125" i="25"/>
  <c r="AF117" i="25"/>
  <c r="AF93" i="25"/>
  <c r="AF77" i="25"/>
  <c r="AF69" i="25"/>
  <c r="AF265" i="25"/>
  <c r="AE96" i="25"/>
  <c r="AF96" i="25" s="1"/>
  <c r="AE86" i="25"/>
  <c r="AF86" i="25" s="1"/>
  <c r="O68" i="25"/>
  <c r="P68" i="25" s="1"/>
  <c r="Q68" i="25" s="1"/>
  <c r="R68" i="25" s="1"/>
  <c r="S68" i="25" s="1"/>
  <c r="T68" i="25" s="1"/>
  <c r="AE68" i="25"/>
  <c r="AF68" i="25" s="1"/>
  <c r="AF152" i="25"/>
  <c r="AF144" i="25"/>
  <c r="AF136" i="25"/>
  <c r="O79" i="25"/>
  <c r="P79" i="25" s="1"/>
  <c r="Q79" i="25" s="1"/>
  <c r="R79" i="25" s="1"/>
  <c r="S79" i="25" s="1"/>
  <c r="T79" i="25" s="1"/>
  <c r="AF239" i="25"/>
  <c r="AF199" i="25"/>
  <c r="AF191" i="25"/>
  <c r="AF175" i="25"/>
  <c r="AF159" i="25"/>
  <c r="AF143" i="25"/>
  <c r="AF119" i="25"/>
  <c r="AF111" i="25"/>
  <c r="AF95" i="25"/>
  <c r="AF79" i="25"/>
  <c r="AF71" i="25"/>
  <c r="AE72" i="25"/>
  <c r="AF72" i="25" s="1"/>
  <c r="K89" i="25"/>
  <c r="L89" i="25" s="1"/>
  <c r="N89" i="25" s="1"/>
  <c r="AE89" i="25"/>
  <c r="AF89" i="25" s="1"/>
  <c r="AF262" i="25"/>
  <c r="AF254" i="25"/>
  <c r="AF174" i="25"/>
  <c r="AF166" i="25"/>
  <c r="AF150" i="25"/>
  <c r="AF142" i="25"/>
  <c r="AF134" i="25"/>
  <c r="AF126" i="25"/>
  <c r="AE165" i="25"/>
  <c r="AF165" i="25" s="1"/>
  <c r="AE114" i="25"/>
  <c r="AF114" i="25" s="1"/>
  <c r="AE82" i="25"/>
  <c r="AF82" i="25" s="1"/>
  <c r="AE172" i="25"/>
  <c r="AF172" i="25" s="1"/>
  <c r="AE140" i="25"/>
  <c r="AF140" i="25" s="1"/>
  <c r="AE132" i="25"/>
  <c r="AF132" i="25" s="1"/>
  <c r="AE102" i="25"/>
  <c r="AF102" i="25" s="1"/>
  <c r="AE80" i="25"/>
  <c r="AF80" i="25" s="1"/>
  <c r="K73" i="25"/>
  <c r="L73" i="25" s="1"/>
  <c r="N73" i="25" s="1"/>
  <c r="AE73" i="25"/>
  <c r="AF73" i="25" s="1"/>
  <c r="AE122" i="25"/>
  <c r="AF122" i="25" s="1"/>
  <c r="AF75" i="25"/>
  <c r="AE120" i="25"/>
  <c r="AF120" i="25" s="1"/>
  <c r="AE78" i="25"/>
  <c r="AF78" i="25" s="1"/>
  <c r="O67" i="25"/>
  <c r="P67" i="25" s="1"/>
  <c r="Q67" i="25" s="1"/>
  <c r="R67" i="25" s="1"/>
  <c r="S67" i="25" s="1"/>
  <c r="T67" i="25" s="1"/>
  <c r="AE66" i="25"/>
  <c r="AF66" i="25" s="1"/>
  <c r="AF258" i="25"/>
  <c r="AF250" i="25"/>
  <c r="AF218" i="25"/>
  <c r="AF210" i="25"/>
  <c r="AF202" i="25"/>
  <c r="AF194" i="25"/>
  <c r="AF186" i="25"/>
  <c r="AF178" i="25"/>
  <c r="AF170" i="25"/>
  <c r="AF162" i="25"/>
  <c r="AF146" i="25"/>
  <c r="AF130" i="25"/>
  <c r="AE153" i="25"/>
  <c r="AF153" i="25" s="1"/>
  <c r="AE145" i="25"/>
  <c r="AF145" i="25" s="1"/>
  <c r="AE137" i="25"/>
  <c r="AF137" i="25" s="1"/>
  <c r="AE108" i="25"/>
  <c r="AF108" i="25" s="1"/>
  <c r="AE76" i="25"/>
  <c r="AF76" i="25" s="1"/>
  <c r="X180" i="22"/>
  <c r="X172" i="22"/>
  <c r="X102" i="22"/>
  <c r="X187" i="22"/>
  <c r="L66" i="22"/>
  <c r="K66" i="22"/>
  <c r="M66" i="22" s="1"/>
  <c r="X212" i="22"/>
  <c r="X197" i="22"/>
  <c r="X93" i="22"/>
  <c r="X149" i="22"/>
  <c r="X261" i="22"/>
  <c r="X77" i="22"/>
  <c r="X276" i="22"/>
  <c r="X189" i="22"/>
  <c r="X141" i="22"/>
  <c r="X117" i="22"/>
  <c r="X94" i="22"/>
  <c r="X252" i="22"/>
  <c r="X204" i="22"/>
  <c r="X245" i="22"/>
  <c r="X234" i="22"/>
  <c r="X133" i="22"/>
  <c r="X85" i="22"/>
  <c r="AC122" i="22"/>
  <c r="AC114" i="22"/>
  <c r="AC106" i="22"/>
  <c r="AC98" i="22"/>
  <c r="AC90" i="22"/>
  <c r="AC82" i="22"/>
  <c r="AC74" i="22"/>
  <c r="X157" i="22"/>
  <c r="X116" i="22"/>
  <c r="X227" i="22"/>
  <c r="X205" i="22"/>
  <c r="X181" i="22"/>
  <c r="X125" i="22"/>
  <c r="X207" i="22"/>
  <c r="X179" i="22"/>
  <c r="X124" i="22"/>
  <c r="AC275" i="22"/>
  <c r="AC267" i="22"/>
  <c r="AC259" i="22"/>
  <c r="AC251" i="22"/>
  <c r="AC243" i="22"/>
  <c r="AC235" i="22"/>
  <c r="AC227" i="22"/>
  <c r="AC219" i="22"/>
  <c r="AC211" i="22"/>
  <c r="AC203" i="22"/>
  <c r="AC195" i="22"/>
  <c r="AC187" i="22"/>
  <c r="AC179" i="22"/>
  <c r="AC171" i="22"/>
  <c r="AC163" i="22"/>
  <c r="AC155" i="22"/>
  <c r="AC147" i="22"/>
  <c r="AC139" i="22"/>
  <c r="AC131" i="22"/>
  <c r="AC123" i="22"/>
  <c r="AC115" i="22"/>
  <c r="AC107" i="22"/>
  <c r="AC99" i="22"/>
  <c r="AC91" i="22"/>
  <c r="AC83" i="22"/>
  <c r="AC75" i="22"/>
  <c r="AC67" i="22"/>
  <c r="X531" i="22"/>
  <c r="X365" i="22"/>
  <c r="X524" i="22"/>
  <c r="X491" i="22"/>
  <c r="X429" i="22"/>
  <c r="X373" i="22"/>
  <c r="X335" i="22"/>
  <c r="X539" i="22"/>
  <c r="X453" i="22"/>
  <c r="X381" i="22"/>
  <c r="X360" i="22"/>
  <c r="X483" i="22"/>
  <c r="X389" i="22"/>
  <c r="X344" i="22"/>
  <c r="X328" i="22"/>
  <c r="X506" i="22"/>
  <c r="X525" i="22"/>
  <c r="X499" i="22"/>
  <c r="X492" i="22"/>
  <c r="X477" i="22"/>
  <c r="X397" i="22"/>
  <c r="X351" i="22"/>
  <c r="X540" i="22"/>
  <c r="X444" i="22"/>
  <c r="X405" i="22"/>
  <c r="X532" i="22"/>
  <c r="X533" i="22"/>
  <c r="X523" i="22"/>
  <c r="X484" i="22"/>
  <c r="X413" i="22"/>
  <c r="X509" i="22"/>
  <c r="X500" i="22"/>
  <c r="X452" i="22"/>
  <c r="X421" i="22"/>
  <c r="X440" i="22"/>
  <c r="X352" i="22"/>
  <c r="X304" i="22"/>
  <c r="X232" i="22"/>
  <c r="X224" i="22"/>
  <c r="X80" i="22"/>
  <c r="X517" i="22"/>
  <c r="X478" i="22"/>
  <c r="X469" i="22"/>
  <c r="X437" i="22"/>
  <c r="X432" i="22"/>
  <c r="X428" i="22"/>
  <c r="X424" i="22"/>
  <c r="X420" i="22"/>
  <c r="X416" i="22"/>
  <c r="X412" i="22"/>
  <c r="X408" i="22"/>
  <c r="X404" i="22"/>
  <c r="X400" i="22"/>
  <c r="X396" i="22"/>
  <c r="X392" i="22"/>
  <c r="X388" i="22"/>
  <c r="X384" i="22"/>
  <c r="X380" i="22"/>
  <c r="X376" i="22"/>
  <c r="X372" i="22"/>
  <c r="X368" i="22"/>
  <c r="X364" i="22"/>
  <c r="X334" i="22"/>
  <c r="X315" i="22"/>
  <c r="X257" i="22"/>
  <c r="X103" i="22"/>
  <c r="X99" i="22"/>
  <c r="X343" i="22"/>
  <c r="X312" i="22"/>
  <c r="X307" i="22"/>
  <c r="X283" i="22"/>
  <c r="X241" i="22"/>
  <c r="X96" i="22"/>
  <c r="X459" i="22"/>
  <c r="X454" i="22"/>
  <c r="X353" i="22"/>
  <c r="X322" i="22"/>
  <c r="X319" i="22"/>
  <c r="X286" i="22"/>
  <c r="X254" i="22"/>
  <c r="X248" i="22"/>
  <c r="X150" i="22"/>
  <c r="X145" i="22"/>
  <c r="X120" i="22"/>
  <c r="X445" i="22"/>
  <c r="X309" i="22"/>
  <c r="X485" i="22"/>
  <c r="X460" i="22"/>
  <c r="X358" i="22"/>
  <c r="X505" i="22"/>
  <c r="X470" i="22"/>
  <c r="X461" i="22"/>
  <c r="X438" i="22"/>
  <c r="X359" i="22"/>
  <c r="X345" i="22"/>
  <c r="X336" i="22"/>
  <c r="X327" i="22"/>
  <c r="X287" i="22"/>
  <c r="X279" i="22"/>
  <c r="X266" i="22"/>
  <c r="X151" i="22"/>
  <c r="X493" i="22"/>
  <c r="X501" i="22"/>
  <c r="X326" i="22"/>
  <c r="X310" i="22"/>
  <c r="X302" i="22"/>
  <c r="X508" i="22"/>
  <c r="X504" i="22"/>
  <c r="X490" i="22"/>
  <c r="X476" i="22"/>
  <c r="X472" i="22"/>
  <c r="X430" i="22"/>
  <c r="X422" i="22"/>
  <c r="X414" i="22"/>
  <c r="X406" i="22"/>
  <c r="X398" i="22"/>
  <c r="X390" i="22"/>
  <c r="X382" i="22"/>
  <c r="X374" i="22"/>
  <c r="X366" i="22"/>
  <c r="X350" i="22"/>
  <c r="X320" i="22"/>
  <c r="X297" i="22"/>
  <c r="X290" i="22"/>
  <c r="X183" i="22"/>
  <c r="X154" i="22"/>
  <c r="X514" i="22"/>
  <c r="X486" i="22"/>
  <c r="X466" i="22"/>
  <c r="X443" i="22"/>
  <c r="X337" i="22"/>
  <c r="X311" i="22"/>
  <c r="X273" i="22"/>
  <c r="X269" i="22"/>
  <c r="X516" i="22"/>
  <c r="X494" i="22"/>
  <c r="X446" i="22"/>
  <c r="X263" i="22"/>
  <c r="X515" i="22"/>
  <c r="X488" i="22"/>
  <c r="X468" i="22"/>
  <c r="X467" i="22"/>
  <c r="X462" i="22"/>
  <c r="X436" i="22"/>
  <c r="X435" i="22"/>
  <c r="X361" i="22"/>
  <c r="X342" i="22"/>
  <c r="X329" i="22"/>
  <c r="X280" i="22"/>
  <c r="X270" i="22"/>
  <c r="X247" i="22"/>
  <c r="X238" i="22"/>
  <c r="X202" i="22"/>
  <c r="X194" i="22"/>
  <c r="X184" i="22"/>
  <c r="X294" i="22"/>
  <c r="X271" i="22"/>
  <c r="X264" i="22"/>
  <c r="X255" i="22"/>
  <c r="X251" i="22"/>
  <c r="X239" i="22"/>
  <c r="X229" i="22"/>
  <c r="X160" i="22"/>
  <c r="X313" i="22"/>
  <c r="X295" i="22"/>
  <c r="X288" i="22"/>
  <c r="X281" i="22"/>
  <c r="X274" i="22"/>
  <c r="X258" i="22"/>
  <c r="X242" i="22"/>
  <c r="X233" i="22"/>
  <c r="X230" i="22"/>
  <c r="X222" i="22"/>
  <c r="X211" i="22"/>
  <c r="X200" i="22"/>
  <c r="X192" i="22"/>
  <c r="X138" i="22"/>
  <c r="X128" i="22"/>
  <c r="X121" i="22"/>
  <c r="X74" i="22"/>
  <c r="X69" i="22"/>
  <c r="X305" i="22"/>
  <c r="X298" i="22"/>
  <c r="X278" i="22"/>
  <c r="X249" i="22"/>
  <c r="X225" i="22"/>
  <c r="X213" i="22"/>
  <c r="X135" i="22"/>
  <c r="X131" i="22"/>
  <c r="X112" i="22"/>
  <c r="X88" i="22"/>
  <c r="X71" i="22"/>
  <c r="X272" i="22"/>
  <c r="X265" i="22"/>
  <c r="X256" i="22"/>
  <c r="X246" i="22"/>
  <c r="X240" i="22"/>
  <c r="X209" i="22"/>
  <c r="X170" i="22"/>
  <c r="X166" i="22"/>
  <c r="X161" i="22"/>
  <c r="X144" i="22"/>
  <c r="X321" i="22"/>
  <c r="X314" i="22"/>
  <c r="X303" i="22"/>
  <c r="X296" i="22"/>
  <c r="X289" i="22"/>
  <c r="X282" i="22"/>
  <c r="X262" i="22"/>
  <c r="X259" i="22"/>
  <c r="X243" i="22"/>
  <c r="X237" i="22"/>
  <c r="X231" i="22"/>
  <c r="X223" i="22"/>
  <c r="X215" i="22"/>
  <c r="X201" i="22"/>
  <c r="X193" i="22"/>
  <c r="X178" i="22"/>
  <c r="X174" i="22"/>
  <c r="X167" i="22"/>
  <c r="X306" i="22"/>
  <c r="X250" i="22"/>
  <c r="X226" i="22"/>
  <c r="X216" i="22"/>
  <c r="X182" i="22"/>
  <c r="X175" i="22"/>
  <c r="X106" i="22"/>
  <c r="X89" i="22"/>
  <c r="X210" i="22"/>
  <c r="X163" i="22"/>
  <c r="X147" i="22"/>
  <c r="X123" i="22"/>
  <c r="X113" i="22"/>
  <c r="X91" i="22"/>
  <c r="X81" i="22"/>
  <c r="X217" i="22"/>
  <c r="X185" i="22"/>
  <c r="X176" i="22"/>
  <c r="X168" i="22"/>
  <c r="X152" i="22"/>
  <c r="X136" i="22"/>
  <c r="X114" i="22"/>
  <c r="X104" i="22"/>
  <c r="X82" i="22"/>
  <c r="X72" i="22"/>
  <c r="X221" i="22"/>
  <c r="X208" i="22"/>
  <c r="X203" i="22"/>
  <c r="X198" i="22"/>
  <c r="X190" i="22"/>
  <c r="X155" i="22"/>
  <c r="X139" i="22"/>
  <c r="X129" i="22"/>
  <c r="X111" i="22"/>
  <c r="X107" i="22"/>
  <c r="X97" i="22"/>
  <c r="X79" i="22"/>
  <c r="X75" i="22"/>
  <c r="X199" i="22"/>
  <c r="X195" i="22"/>
  <c r="X191" i="22"/>
  <c r="X162" i="22"/>
  <c r="X146" i="22"/>
  <c r="X122" i="22"/>
  <c r="X90" i="22"/>
  <c r="X219" i="22"/>
  <c r="X218" i="22"/>
  <c r="X186" i="22"/>
  <c r="X177" i="22"/>
  <c r="X169" i="22"/>
  <c r="X159" i="22"/>
  <c r="X158" i="22"/>
  <c r="X153" i="22"/>
  <c r="X143" i="22"/>
  <c r="X142" i="22"/>
  <c r="X137" i="22"/>
  <c r="X119" i="22"/>
  <c r="X115" i="22"/>
  <c r="X105" i="22"/>
  <c r="X87" i="22"/>
  <c r="X83" i="22"/>
  <c r="X73" i="22"/>
  <c r="X130" i="22"/>
  <c r="X127" i="22"/>
  <c r="X98" i="22"/>
  <c r="X95" i="22"/>
  <c r="K67" i="22"/>
  <c r="L67" i="22"/>
  <c r="M67" i="22"/>
  <c r="X67" i="22" s="1"/>
  <c r="M303" i="25"/>
  <c r="L303" i="25"/>
  <c r="N303" i="25" s="1"/>
  <c r="M287" i="25"/>
  <c r="L287" i="25"/>
  <c r="N287" i="25" s="1"/>
  <c r="N300" i="25"/>
  <c r="L300" i="25"/>
  <c r="M300" i="25"/>
  <c r="L292" i="25"/>
  <c r="N292" i="25" s="1"/>
  <c r="M292" i="25"/>
  <c r="A249" i="31"/>
  <c r="L279" i="25"/>
  <c r="N279" i="25" s="1"/>
  <c r="M279" i="25"/>
  <c r="M295" i="25"/>
  <c r="L295" i="25"/>
  <c r="N295" i="25" s="1"/>
  <c r="M223" i="25"/>
  <c r="O199" i="25"/>
  <c r="P199" i="25" s="1"/>
  <c r="Q199" i="25" s="1"/>
  <c r="R199" i="25" s="1"/>
  <c r="S199" i="25" s="1"/>
  <c r="T199" i="25" s="1"/>
  <c r="O186" i="25"/>
  <c r="P186" i="25" s="1"/>
  <c r="Q186" i="25" s="1"/>
  <c r="R186" i="25" s="1"/>
  <c r="S186" i="25" s="1"/>
  <c r="T186" i="25" s="1"/>
  <c r="K186" i="25"/>
  <c r="L165" i="25"/>
  <c r="N165" i="25" s="1"/>
  <c r="M165" i="25"/>
  <c r="K221" i="25"/>
  <c r="M228" i="25"/>
  <c r="O194" i="25"/>
  <c r="P194" i="25" s="1"/>
  <c r="Q194" i="25" s="1"/>
  <c r="R194" i="25" s="1"/>
  <c r="S194" i="25" s="1"/>
  <c r="T194" i="25" s="1"/>
  <c r="K194" i="25"/>
  <c r="O175" i="25"/>
  <c r="P175" i="25" s="1"/>
  <c r="Q175" i="25" s="1"/>
  <c r="R175" i="25" s="1"/>
  <c r="S175" i="25" s="1"/>
  <c r="T175" i="25" s="1"/>
  <c r="L157" i="25"/>
  <c r="N157" i="25" s="1"/>
  <c r="M157" i="25"/>
  <c r="K304" i="25"/>
  <c r="O300" i="25"/>
  <c r="P300" i="25" s="1"/>
  <c r="Q300" i="25" s="1"/>
  <c r="R300" i="25" s="1"/>
  <c r="S300" i="25" s="1"/>
  <c r="T300" i="25" s="1"/>
  <c r="K296" i="25"/>
  <c r="O292" i="25"/>
  <c r="P292" i="25" s="1"/>
  <c r="Q292" i="25" s="1"/>
  <c r="R292" i="25" s="1"/>
  <c r="S292" i="25" s="1"/>
  <c r="T292" i="25" s="1"/>
  <c r="K288" i="25"/>
  <c r="K281" i="25"/>
  <c r="K277" i="25"/>
  <c r="O272" i="25"/>
  <c r="P272" i="25" s="1"/>
  <c r="Q272" i="25" s="1"/>
  <c r="R272" i="25" s="1"/>
  <c r="S272" i="25" s="1"/>
  <c r="T272" i="25" s="1"/>
  <c r="K270" i="25"/>
  <c r="O249" i="25"/>
  <c r="P249" i="25" s="1"/>
  <c r="Q249" i="25" s="1"/>
  <c r="R249" i="25" s="1"/>
  <c r="S249" i="25" s="1"/>
  <c r="T249" i="25" s="1"/>
  <c r="O238" i="25"/>
  <c r="P238" i="25" s="1"/>
  <c r="Q238" i="25" s="1"/>
  <c r="R238" i="25" s="1"/>
  <c r="S238" i="25" s="1"/>
  <c r="T238" i="25" s="1"/>
  <c r="K230" i="25"/>
  <c r="L228" i="25"/>
  <c r="N228" i="25" s="1"/>
  <c r="O218" i="25"/>
  <c r="P218" i="25" s="1"/>
  <c r="Q218" i="25" s="1"/>
  <c r="R218" i="25" s="1"/>
  <c r="S218" i="25" s="1"/>
  <c r="T218" i="25" s="1"/>
  <c r="N201" i="25"/>
  <c r="K69" i="25"/>
  <c r="O69" i="25"/>
  <c r="P69" i="25" s="1"/>
  <c r="Q69" i="25" s="1"/>
  <c r="R69" i="25" s="1"/>
  <c r="S69" i="25" s="1"/>
  <c r="T69" i="25" s="1"/>
  <c r="M167" i="25"/>
  <c r="L167" i="25"/>
  <c r="N167" i="25" s="1"/>
  <c r="O264" i="25"/>
  <c r="P264" i="25" s="1"/>
  <c r="Q264" i="25" s="1"/>
  <c r="R264" i="25" s="1"/>
  <c r="S264" i="25" s="1"/>
  <c r="T264" i="25" s="1"/>
  <c r="O245" i="25"/>
  <c r="P245" i="25" s="1"/>
  <c r="Q245" i="25" s="1"/>
  <c r="R245" i="25" s="1"/>
  <c r="S245" i="25" s="1"/>
  <c r="T245" i="25" s="1"/>
  <c r="K229" i="25"/>
  <c r="M215" i="25"/>
  <c r="N215" i="25"/>
  <c r="N212" i="25"/>
  <c r="M212" i="25"/>
  <c r="O210" i="25"/>
  <c r="P210" i="25" s="1"/>
  <c r="Q210" i="25" s="1"/>
  <c r="R210" i="25" s="1"/>
  <c r="S210" i="25" s="1"/>
  <c r="T210" i="25" s="1"/>
  <c r="K210" i="25"/>
  <c r="O202" i="25"/>
  <c r="P202" i="25" s="1"/>
  <c r="Q202" i="25" s="1"/>
  <c r="R202" i="25" s="1"/>
  <c r="S202" i="25" s="1"/>
  <c r="T202" i="25" s="1"/>
  <c r="K202" i="25"/>
  <c r="N196" i="25"/>
  <c r="M196" i="25"/>
  <c r="O183" i="25"/>
  <c r="P183" i="25" s="1"/>
  <c r="Q183" i="25" s="1"/>
  <c r="R183" i="25" s="1"/>
  <c r="S183" i="25" s="1"/>
  <c r="T183" i="25" s="1"/>
  <c r="K125" i="25"/>
  <c r="O125" i="25"/>
  <c r="P125" i="25" s="1"/>
  <c r="Q125" i="25" s="1"/>
  <c r="R125" i="25" s="1"/>
  <c r="S125" i="25" s="1"/>
  <c r="T125" i="25" s="1"/>
  <c r="L122" i="25"/>
  <c r="M122" i="25"/>
  <c r="N122" i="25"/>
  <c r="K77" i="25"/>
  <c r="O77" i="25"/>
  <c r="P77" i="25" s="1"/>
  <c r="Q77" i="25" s="1"/>
  <c r="R77" i="25" s="1"/>
  <c r="S77" i="25" s="1"/>
  <c r="T77" i="25" s="1"/>
  <c r="O289" i="25"/>
  <c r="P289" i="25" s="1"/>
  <c r="Q289" i="25" s="1"/>
  <c r="R289" i="25" s="1"/>
  <c r="S289" i="25" s="1"/>
  <c r="T289" i="25" s="1"/>
  <c r="M283" i="25"/>
  <c r="N275" i="25"/>
  <c r="M272" i="25"/>
  <c r="O256" i="25"/>
  <c r="P256" i="25" s="1"/>
  <c r="Q256" i="25" s="1"/>
  <c r="R256" i="25" s="1"/>
  <c r="S256" i="25" s="1"/>
  <c r="T256" i="25" s="1"/>
  <c r="N241" i="25"/>
  <c r="O237" i="25"/>
  <c r="P237" i="25" s="1"/>
  <c r="Q237" i="25" s="1"/>
  <c r="R237" i="25" s="1"/>
  <c r="S237" i="25" s="1"/>
  <c r="T237" i="25" s="1"/>
  <c r="L234" i="25"/>
  <c r="N234" i="25" s="1"/>
  <c r="M234" i="25"/>
  <c r="N204" i="25"/>
  <c r="M204" i="25"/>
  <c r="O162" i="25"/>
  <c r="P162" i="25" s="1"/>
  <c r="Q162" i="25" s="1"/>
  <c r="R162" i="25" s="1"/>
  <c r="S162" i="25" s="1"/>
  <c r="T162" i="25" s="1"/>
  <c r="K162" i="25"/>
  <c r="M158" i="25"/>
  <c r="L158" i="25"/>
  <c r="N158" i="25" s="1"/>
  <c r="O305" i="25"/>
  <c r="P305" i="25" s="1"/>
  <c r="Q305" i="25" s="1"/>
  <c r="R305" i="25" s="1"/>
  <c r="S305" i="25" s="1"/>
  <c r="T305" i="25" s="1"/>
  <c r="O297" i="25"/>
  <c r="P297" i="25" s="1"/>
  <c r="Q297" i="25" s="1"/>
  <c r="R297" i="25" s="1"/>
  <c r="S297" i="25" s="1"/>
  <c r="T297" i="25" s="1"/>
  <c r="M275" i="25"/>
  <c r="K268" i="25"/>
  <c r="K253" i="25"/>
  <c r="O248" i="25"/>
  <c r="P248" i="25" s="1"/>
  <c r="Q248" i="25" s="1"/>
  <c r="R248" i="25" s="1"/>
  <c r="S248" i="25" s="1"/>
  <c r="T248" i="25" s="1"/>
  <c r="M241" i="25"/>
  <c r="N237" i="25"/>
  <c r="K233" i="25"/>
  <c r="O222" i="25"/>
  <c r="P222" i="25" s="1"/>
  <c r="Q222" i="25" s="1"/>
  <c r="R222" i="25" s="1"/>
  <c r="S222" i="25" s="1"/>
  <c r="T222" i="25" s="1"/>
  <c r="O191" i="25"/>
  <c r="P191" i="25" s="1"/>
  <c r="Q191" i="25" s="1"/>
  <c r="R191" i="25" s="1"/>
  <c r="S191" i="25" s="1"/>
  <c r="T191" i="25" s="1"/>
  <c r="O178" i="25"/>
  <c r="P178" i="25" s="1"/>
  <c r="Q178" i="25" s="1"/>
  <c r="R178" i="25" s="1"/>
  <c r="S178" i="25" s="1"/>
  <c r="T178" i="25" s="1"/>
  <c r="K178" i="25"/>
  <c r="O170" i="25"/>
  <c r="P170" i="25" s="1"/>
  <c r="Q170" i="25" s="1"/>
  <c r="R170" i="25" s="1"/>
  <c r="S170" i="25" s="1"/>
  <c r="T170" i="25" s="1"/>
  <c r="K170" i="25"/>
  <c r="M231" i="25"/>
  <c r="N231" i="25"/>
  <c r="O207" i="25"/>
  <c r="P207" i="25" s="1"/>
  <c r="Q207" i="25" s="1"/>
  <c r="R207" i="25" s="1"/>
  <c r="S207" i="25" s="1"/>
  <c r="T207" i="25" s="1"/>
  <c r="O279" i="25"/>
  <c r="P279" i="25" s="1"/>
  <c r="Q279" i="25" s="1"/>
  <c r="R279" i="25" s="1"/>
  <c r="S279" i="25" s="1"/>
  <c r="T279" i="25" s="1"/>
  <c r="O285" i="25"/>
  <c r="P285" i="25" s="1"/>
  <c r="Q285" i="25" s="1"/>
  <c r="R285" i="25" s="1"/>
  <c r="S285" i="25" s="1"/>
  <c r="T285" i="25" s="1"/>
  <c r="M263" i="25"/>
  <c r="K260" i="25"/>
  <c r="K245" i="25"/>
  <c r="M237" i="25"/>
  <c r="O226" i="25"/>
  <c r="P226" i="25" s="1"/>
  <c r="Q226" i="25" s="1"/>
  <c r="R226" i="25" s="1"/>
  <c r="S226" i="25" s="1"/>
  <c r="T226" i="25" s="1"/>
  <c r="L223" i="25"/>
  <c r="N223" i="25" s="1"/>
  <c r="O221" i="25"/>
  <c r="P221" i="25" s="1"/>
  <c r="Q221" i="25" s="1"/>
  <c r="R221" i="25" s="1"/>
  <c r="S221" i="25" s="1"/>
  <c r="T221" i="25" s="1"/>
  <c r="M220" i="25"/>
  <c r="K199" i="25"/>
  <c r="N180" i="25"/>
  <c r="M180" i="25"/>
  <c r="O146" i="25"/>
  <c r="P146" i="25" s="1"/>
  <c r="Q146" i="25" s="1"/>
  <c r="R146" i="25" s="1"/>
  <c r="S146" i="25" s="1"/>
  <c r="T146" i="25" s="1"/>
  <c r="K146" i="25"/>
  <c r="O206" i="25"/>
  <c r="P206" i="25" s="1"/>
  <c r="Q206" i="25" s="1"/>
  <c r="R206" i="25" s="1"/>
  <c r="S206" i="25" s="1"/>
  <c r="T206" i="25" s="1"/>
  <c r="K152" i="25"/>
  <c r="O152" i="25"/>
  <c r="P152" i="25" s="1"/>
  <c r="Q152" i="25" s="1"/>
  <c r="R152" i="25" s="1"/>
  <c r="S152" i="25" s="1"/>
  <c r="T152" i="25" s="1"/>
  <c r="K144" i="25"/>
  <c r="O144" i="25"/>
  <c r="P144" i="25" s="1"/>
  <c r="Q144" i="25" s="1"/>
  <c r="R144" i="25" s="1"/>
  <c r="S144" i="25" s="1"/>
  <c r="T144" i="25" s="1"/>
  <c r="K142" i="25"/>
  <c r="O130" i="25"/>
  <c r="P130" i="25" s="1"/>
  <c r="Q130" i="25" s="1"/>
  <c r="R130" i="25" s="1"/>
  <c r="S130" i="25" s="1"/>
  <c r="T130" i="25" s="1"/>
  <c r="L102" i="25"/>
  <c r="N102" i="25" s="1"/>
  <c r="M102" i="25"/>
  <c r="L80" i="25"/>
  <c r="M80" i="25"/>
  <c r="N80" i="25"/>
  <c r="K133" i="25"/>
  <c r="O133" i="25"/>
  <c r="P133" i="25" s="1"/>
  <c r="Q133" i="25" s="1"/>
  <c r="R133" i="25" s="1"/>
  <c r="S133" i="25" s="1"/>
  <c r="T133" i="25" s="1"/>
  <c r="L96" i="25"/>
  <c r="N96" i="25" s="1"/>
  <c r="M96" i="25"/>
  <c r="K85" i="25"/>
  <c r="O85" i="25"/>
  <c r="P85" i="25" s="1"/>
  <c r="Q85" i="25" s="1"/>
  <c r="R85" i="25" s="1"/>
  <c r="S85" i="25" s="1"/>
  <c r="T85" i="25" s="1"/>
  <c r="O181" i="25"/>
  <c r="P181" i="25" s="1"/>
  <c r="Q181" i="25" s="1"/>
  <c r="R181" i="25" s="1"/>
  <c r="S181" i="25" s="1"/>
  <c r="T181" i="25" s="1"/>
  <c r="O173" i="25"/>
  <c r="P173" i="25" s="1"/>
  <c r="Q173" i="25" s="1"/>
  <c r="R173" i="25" s="1"/>
  <c r="S173" i="25" s="1"/>
  <c r="T173" i="25" s="1"/>
  <c r="O165" i="25"/>
  <c r="P165" i="25" s="1"/>
  <c r="Q165" i="25" s="1"/>
  <c r="R165" i="25" s="1"/>
  <c r="S165" i="25" s="1"/>
  <c r="T165" i="25" s="1"/>
  <c r="O156" i="25"/>
  <c r="P156" i="25" s="1"/>
  <c r="Q156" i="25" s="1"/>
  <c r="R156" i="25" s="1"/>
  <c r="S156" i="25" s="1"/>
  <c r="T156" i="25" s="1"/>
  <c r="K156" i="25"/>
  <c r="K93" i="25"/>
  <c r="O93" i="25"/>
  <c r="P93" i="25" s="1"/>
  <c r="Q93" i="25" s="1"/>
  <c r="R93" i="25" s="1"/>
  <c r="S93" i="25" s="1"/>
  <c r="T93" i="25" s="1"/>
  <c r="K126" i="25"/>
  <c r="L120" i="25"/>
  <c r="M120" i="25"/>
  <c r="N120" i="25"/>
  <c r="K101" i="25"/>
  <c r="O101" i="25"/>
  <c r="P101" i="25" s="1"/>
  <c r="Q101" i="25" s="1"/>
  <c r="R101" i="25" s="1"/>
  <c r="S101" i="25" s="1"/>
  <c r="T101" i="25" s="1"/>
  <c r="L66" i="25"/>
  <c r="M66" i="25"/>
  <c r="N66" i="25"/>
  <c r="O148" i="25"/>
  <c r="P148" i="25" s="1"/>
  <c r="Q148" i="25" s="1"/>
  <c r="R148" i="25" s="1"/>
  <c r="S148" i="25" s="1"/>
  <c r="T148" i="25" s="1"/>
  <c r="K148" i="25"/>
  <c r="K136" i="25"/>
  <c r="O136" i="25"/>
  <c r="P136" i="25" s="1"/>
  <c r="Q136" i="25" s="1"/>
  <c r="R136" i="25" s="1"/>
  <c r="S136" i="25" s="1"/>
  <c r="T136" i="25" s="1"/>
  <c r="K134" i="25"/>
  <c r="M127" i="25"/>
  <c r="N127" i="25"/>
  <c r="K109" i="25"/>
  <c r="O109" i="25"/>
  <c r="P109" i="25" s="1"/>
  <c r="Q109" i="25" s="1"/>
  <c r="R109" i="25" s="1"/>
  <c r="S109" i="25" s="1"/>
  <c r="T109" i="25" s="1"/>
  <c r="L78" i="25"/>
  <c r="M78" i="25"/>
  <c r="N78" i="25"/>
  <c r="O157" i="25"/>
  <c r="P157" i="25" s="1"/>
  <c r="Q157" i="25" s="1"/>
  <c r="R157" i="25" s="1"/>
  <c r="S157" i="25" s="1"/>
  <c r="T157" i="25" s="1"/>
  <c r="K153" i="25"/>
  <c r="O142" i="25"/>
  <c r="P142" i="25" s="1"/>
  <c r="Q142" i="25" s="1"/>
  <c r="R142" i="25" s="1"/>
  <c r="S142" i="25" s="1"/>
  <c r="T142" i="25" s="1"/>
  <c r="O141" i="25"/>
  <c r="P141" i="25" s="1"/>
  <c r="Q141" i="25" s="1"/>
  <c r="R141" i="25" s="1"/>
  <c r="S141" i="25" s="1"/>
  <c r="T141" i="25" s="1"/>
  <c r="K138" i="25"/>
  <c r="K117" i="25"/>
  <c r="O117" i="25"/>
  <c r="P117" i="25" s="1"/>
  <c r="Q117" i="25" s="1"/>
  <c r="R117" i="25" s="1"/>
  <c r="S117" i="25" s="1"/>
  <c r="T117" i="25" s="1"/>
  <c r="L98" i="25"/>
  <c r="N98" i="25" s="1"/>
  <c r="M98" i="25"/>
  <c r="L86" i="25"/>
  <c r="M86" i="25"/>
  <c r="N86" i="25"/>
  <c r="L72" i="25"/>
  <c r="M72" i="25"/>
  <c r="N72" i="25"/>
  <c r="K130" i="25"/>
  <c r="O122" i="25"/>
  <c r="P122" i="25" s="1"/>
  <c r="Q122" i="25" s="1"/>
  <c r="R122" i="25" s="1"/>
  <c r="S122" i="25" s="1"/>
  <c r="T122" i="25" s="1"/>
  <c r="K140" i="25"/>
  <c r="K132" i="25"/>
  <c r="O128" i="25"/>
  <c r="P128" i="25" s="1"/>
  <c r="Q128" i="25" s="1"/>
  <c r="R128" i="25" s="1"/>
  <c r="S128" i="25" s="1"/>
  <c r="T128" i="25" s="1"/>
  <c r="K124" i="25"/>
  <c r="O120" i="25"/>
  <c r="P120" i="25" s="1"/>
  <c r="Q120" i="25" s="1"/>
  <c r="R120" i="25" s="1"/>
  <c r="S120" i="25" s="1"/>
  <c r="T120" i="25" s="1"/>
  <c r="K116" i="25"/>
  <c r="N115" i="25"/>
  <c r="O112" i="25"/>
  <c r="P112" i="25" s="1"/>
  <c r="Q112" i="25" s="1"/>
  <c r="R112" i="25" s="1"/>
  <c r="S112" i="25" s="1"/>
  <c r="T112" i="25" s="1"/>
  <c r="K108" i="25"/>
  <c r="O104" i="25"/>
  <c r="P104" i="25" s="1"/>
  <c r="Q104" i="25" s="1"/>
  <c r="R104" i="25" s="1"/>
  <c r="S104" i="25" s="1"/>
  <c r="T104" i="25" s="1"/>
  <c r="K100" i="25"/>
  <c r="O96" i="25"/>
  <c r="P96" i="25" s="1"/>
  <c r="Q96" i="25" s="1"/>
  <c r="R96" i="25" s="1"/>
  <c r="S96" i="25" s="1"/>
  <c r="T96" i="25" s="1"/>
  <c r="K92" i="25"/>
  <c r="O88" i="25"/>
  <c r="P88" i="25" s="1"/>
  <c r="Q88" i="25" s="1"/>
  <c r="R88" i="25" s="1"/>
  <c r="S88" i="25" s="1"/>
  <c r="T88" i="25" s="1"/>
  <c r="K84" i="25"/>
  <c r="O80" i="25"/>
  <c r="P80" i="25" s="1"/>
  <c r="Q80" i="25" s="1"/>
  <c r="R80" i="25" s="1"/>
  <c r="S80" i="25" s="1"/>
  <c r="T80" i="25" s="1"/>
  <c r="K76" i="25"/>
  <c r="O72" i="25"/>
  <c r="P72" i="25" s="1"/>
  <c r="Q72" i="25" s="1"/>
  <c r="R72" i="25" s="1"/>
  <c r="S72" i="25" s="1"/>
  <c r="T72" i="25" s="1"/>
  <c r="K68" i="25"/>
  <c r="O64" i="25"/>
  <c r="P64" i="25" s="1"/>
  <c r="Q64" i="25" s="1"/>
  <c r="R64" i="25" s="1"/>
  <c r="S64" i="25" s="1"/>
  <c r="T64" i="25" s="1"/>
  <c r="M115" i="25"/>
  <c r="O114" i="25"/>
  <c r="P114" i="25" s="1"/>
  <c r="Q114" i="25" s="1"/>
  <c r="R114" i="25" s="1"/>
  <c r="S114" i="25" s="1"/>
  <c r="T114" i="25" s="1"/>
  <c r="O106" i="25"/>
  <c r="P106" i="25" s="1"/>
  <c r="Q106" i="25" s="1"/>
  <c r="R106" i="25" s="1"/>
  <c r="S106" i="25" s="1"/>
  <c r="T106" i="25" s="1"/>
  <c r="O98" i="25"/>
  <c r="P98" i="25" s="1"/>
  <c r="Q98" i="25" s="1"/>
  <c r="R98" i="25" s="1"/>
  <c r="S98" i="25" s="1"/>
  <c r="T98" i="25" s="1"/>
  <c r="O90" i="25"/>
  <c r="P90" i="25" s="1"/>
  <c r="Q90" i="25" s="1"/>
  <c r="R90" i="25" s="1"/>
  <c r="S90" i="25" s="1"/>
  <c r="T90" i="25" s="1"/>
  <c r="O82" i="25"/>
  <c r="P82" i="25" s="1"/>
  <c r="Q82" i="25" s="1"/>
  <c r="R82" i="25" s="1"/>
  <c r="S82" i="25" s="1"/>
  <c r="T82" i="25" s="1"/>
  <c r="O74" i="25"/>
  <c r="P74" i="25" s="1"/>
  <c r="Q74" i="25" s="1"/>
  <c r="R74" i="25" s="1"/>
  <c r="S74" i="25" s="1"/>
  <c r="T74" i="25" s="1"/>
  <c r="O66" i="25"/>
  <c r="P66" i="25" s="1"/>
  <c r="Q66" i="25" s="1"/>
  <c r="R66" i="25" s="1"/>
  <c r="S66" i="25" s="1"/>
  <c r="T66" i="25" s="1"/>
  <c r="Q65" i="25" l="1"/>
  <c r="R65" i="25" s="1"/>
  <c r="S65" i="25" s="1"/>
  <c r="T65" i="25" s="1"/>
  <c r="N119" i="25"/>
  <c r="AA119" i="25" s="1"/>
  <c r="A60" i="31" s="1"/>
  <c r="M119" i="25"/>
  <c r="AI250" i="33"/>
  <c r="AH248" i="33"/>
  <c r="AG250" i="33"/>
  <c r="AG242" i="33"/>
  <c r="AH245" i="33"/>
  <c r="AF272" i="33"/>
  <c r="AF249" i="33"/>
  <c r="AI252" i="33"/>
  <c r="AI244" i="33"/>
  <c r="AH250" i="33"/>
  <c r="AH242" i="33"/>
  <c r="AG251" i="33"/>
  <c r="AG247" i="33"/>
  <c r="AG243" i="33"/>
  <c r="AG239" i="33"/>
  <c r="AI247" i="33"/>
  <c r="AI239" i="33"/>
  <c r="AH247" i="33"/>
  <c r="AH240" i="33"/>
  <c r="AF250" i="33"/>
  <c r="AF246" i="33"/>
  <c r="AF242" i="33"/>
  <c r="AH239" i="33"/>
  <c r="AI245" i="33"/>
  <c r="AF241" i="33"/>
  <c r="AI248" i="33"/>
  <c r="AI240" i="33"/>
  <c r="AH246" i="33"/>
  <c r="AG272" i="33"/>
  <c r="AG249" i="33"/>
  <c r="AG245" i="33"/>
  <c r="AG241" i="33"/>
  <c r="AI251" i="33"/>
  <c r="AI243" i="33"/>
  <c r="AH251" i="33"/>
  <c r="AH243" i="33"/>
  <c r="AF252" i="33"/>
  <c r="AF248" i="33"/>
  <c r="AF244" i="33"/>
  <c r="AF240" i="33"/>
  <c r="AI242" i="33"/>
  <c r="AG246" i="33"/>
  <c r="AI272" i="33"/>
  <c r="AH272" i="33"/>
  <c r="AF245" i="33"/>
  <c r="AI246" i="33"/>
  <c r="AH252" i="33"/>
  <c r="AH244" i="33"/>
  <c r="AG252" i="33"/>
  <c r="AG248" i="33"/>
  <c r="AG244" i="33"/>
  <c r="AG240" i="33"/>
  <c r="AI249" i="33"/>
  <c r="AI241" i="33"/>
  <c r="AH249" i="33"/>
  <c r="AH241" i="33"/>
  <c r="AF251" i="33"/>
  <c r="AF247" i="33"/>
  <c r="AF243" i="33"/>
  <c r="AF239" i="33"/>
  <c r="AG364" i="33"/>
  <c r="AG370" i="33"/>
  <c r="AG362" i="33"/>
  <c r="AG366" i="33"/>
  <c r="AG358" i="33"/>
  <c r="AG368" i="33"/>
  <c r="AG360" i="33"/>
  <c r="AF358" i="33"/>
  <c r="AH358" i="33"/>
  <c r="AI358" i="33"/>
  <c r="AF359" i="33"/>
  <c r="AG359" i="33"/>
  <c r="AH359" i="33"/>
  <c r="AI359" i="33"/>
  <c r="AF360" i="33"/>
  <c r="AH360" i="33"/>
  <c r="AI360" i="33"/>
  <c r="AF361" i="33"/>
  <c r="AG361" i="33"/>
  <c r="AH361" i="33"/>
  <c r="AI361" i="33"/>
  <c r="AF362" i="33"/>
  <c r="AH362" i="33"/>
  <c r="AI362" i="33"/>
  <c r="AF363" i="33"/>
  <c r="AG363" i="33"/>
  <c r="AH363" i="33"/>
  <c r="AI363" i="33"/>
  <c r="AF364" i="33"/>
  <c r="AH364" i="33"/>
  <c r="AI364" i="33"/>
  <c r="AF365" i="33"/>
  <c r="AG365" i="33"/>
  <c r="AH365" i="33"/>
  <c r="AI365" i="33"/>
  <c r="AF350" i="33"/>
  <c r="AF366" i="33"/>
  <c r="AH366" i="33"/>
  <c r="AI366" i="33"/>
  <c r="AF367" i="33"/>
  <c r="AG367" i="33"/>
  <c r="AH367" i="33"/>
  <c r="AI367" i="33"/>
  <c r="AI345" i="33"/>
  <c r="AF368" i="33"/>
  <c r="AH368" i="33"/>
  <c r="AI368" i="33"/>
  <c r="AF369" i="33"/>
  <c r="AG369" i="33"/>
  <c r="AH369" i="33"/>
  <c r="AI369" i="33"/>
  <c r="AI356" i="33"/>
  <c r="AF370" i="33"/>
  <c r="AH370" i="33"/>
  <c r="AI370" i="33"/>
  <c r="AF371" i="33"/>
  <c r="AG371" i="33"/>
  <c r="AH371" i="33"/>
  <c r="AI371" i="33"/>
  <c r="AF335" i="33"/>
  <c r="AI337" i="33"/>
  <c r="AF336" i="33"/>
  <c r="AF348" i="33"/>
  <c r="AG343" i="33"/>
  <c r="AF355" i="33"/>
  <c r="AF344" i="33"/>
  <c r="AF333" i="33"/>
  <c r="AG345" i="33"/>
  <c r="AI338" i="33"/>
  <c r="AI350" i="33"/>
  <c r="AH342" i="33"/>
  <c r="AG354" i="33"/>
  <c r="AH335" i="33"/>
  <c r="AG330" i="33"/>
  <c r="AH355" i="33"/>
  <c r="AF334" i="33"/>
  <c r="AG346" i="33"/>
  <c r="AG341" i="33"/>
  <c r="AF353" i="33"/>
  <c r="AH331" i="33"/>
  <c r="AF331" i="33"/>
  <c r="AI343" i="33"/>
  <c r="AI336" i="33"/>
  <c r="AI348" i="33"/>
  <c r="AH340" i="33"/>
  <c r="AG352" i="33"/>
  <c r="AH351" i="33"/>
  <c r="AI357" i="33"/>
  <c r="AH343" i="33"/>
  <c r="AF332" i="33"/>
  <c r="AG344" i="33"/>
  <c r="AG339" i="33"/>
  <c r="AG351" i="33"/>
  <c r="AI347" i="33"/>
  <c r="AH356" i="33"/>
  <c r="AI331" i="33"/>
  <c r="AI334" i="33"/>
  <c r="AF347" i="33"/>
  <c r="AH338" i="33"/>
  <c r="AH350" i="33"/>
  <c r="AG342" i="33"/>
  <c r="AF354" i="33"/>
  <c r="AH333" i="33"/>
  <c r="AF330" i="33"/>
  <c r="AI335" i="33"/>
  <c r="AG337" i="33"/>
  <c r="AG349" i="33"/>
  <c r="AF343" i="33"/>
  <c r="AI354" i="33"/>
  <c r="AI349" i="33"/>
  <c r="AI332" i="33"/>
  <c r="AF345" i="33"/>
  <c r="AH336" i="33"/>
  <c r="AH348" i="33"/>
  <c r="AG340" i="33"/>
  <c r="AF352" i="33"/>
  <c r="AH349" i="33"/>
  <c r="AH357" i="33"/>
  <c r="AI351" i="33"/>
  <c r="AG335" i="33"/>
  <c r="AH347" i="33"/>
  <c r="AF341" i="33"/>
  <c r="AI352" i="33"/>
  <c r="AH337" i="33"/>
  <c r="AI330" i="33"/>
  <c r="AI341" i="33"/>
  <c r="AH334" i="33"/>
  <c r="AI346" i="33"/>
  <c r="AG338" i="33"/>
  <c r="AG350" i="33"/>
  <c r="AF342" i="33"/>
  <c r="AI355" i="33"/>
  <c r="AH341" i="33"/>
  <c r="AG333" i="33"/>
  <c r="AH345" i="33"/>
  <c r="AF339" i="33"/>
  <c r="AF351" i="33"/>
  <c r="AG353" i="33"/>
  <c r="AG356" i="33"/>
  <c r="AH353" i="33"/>
  <c r="AH332" i="33"/>
  <c r="AI344" i="33"/>
  <c r="AG336" i="33"/>
  <c r="AG348" i="33"/>
  <c r="AF340" i="33"/>
  <c r="AI353" i="33"/>
  <c r="AF357" i="33"/>
  <c r="AG331" i="33"/>
  <c r="AI339" i="33"/>
  <c r="AF337" i="33"/>
  <c r="AF349" i="33"/>
  <c r="AI342" i="33"/>
  <c r="AH354" i="33"/>
  <c r="AH339" i="33"/>
  <c r="AH330" i="33"/>
  <c r="AI333" i="33"/>
  <c r="AG334" i="33"/>
  <c r="AH346" i="33"/>
  <c r="AF338" i="33"/>
  <c r="AG357" i="33"/>
  <c r="AG347" i="33"/>
  <c r="AI340" i="33"/>
  <c r="AH352" i="33"/>
  <c r="AG355" i="33"/>
  <c r="AF356" i="33"/>
  <c r="AF346" i="33"/>
  <c r="AG332" i="33"/>
  <c r="AH344" i="33"/>
  <c r="N195" i="25"/>
  <c r="A136" i="32" s="1"/>
  <c r="N82" i="25"/>
  <c r="AA82" i="25" s="1"/>
  <c r="A23" i="31" s="1"/>
  <c r="L246" i="25"/>
  <c r="N246" i="25" s="1"/>
  <c r="A187" i="32" s="1"/>
  <c r="M82" i="25"/>
  <c r="AG57" i="33"/>
  <c r="AF53" i="33"/>
  <c r="AF37" i="33"/>
  <c r="AI56" i="33"/>
  <c r="AI40" i="33"/>
  <c r="AH58" i="33"/>
  <c r="AH42" i="33"/>
  <c r="AG58" i="33"/>
  <c r="AG42" i="33"/>
  <c r="AF62" i="33"/>
  <c r="AF46" i="33"/>
  <c r="AI61" i="33"/>
  <c r="AI45" i="33"/>
  <c r="AI63" i="33"/>
  <c r="AH49" i="33"/>
  <c r="AG45" i="33"/>
  <c r="AF51" i="33"/>
  <c r="AF35" i="33"/>
  <c r="AI54" i="33"/>
  <c r="AI38" i="33"/>
  <c r="AH56" i="33"/>
  <c r="AH40" i="33"/>
  <c r="AG56" i="33"/>
  <c r="AG40" i="33"/>
  <c r="AF60" i="33"/>
  <c r="AF44" i="33"/>
  <c r="AI59" i="33"/>
  <c r="AI43" i="33"/>
  <c r="AH63" i="33"/>
  <c r="AH47" i="33"/>
  <c r="AG35" i="33"/>
  <c r="AF49" i="33"/>
  <c r="AG61" i="33"/>
  <c r="AI52" i="33"/>
  <c r="AI36" i="33"/>
  <c r="AH54" i="33"/>
  <c r="AH38" i="33"/>
  <c r="AG54" i="33"/>
  <c r="AG38" i="33"/>
  <c r="AF58" i="33"/>
  <c r="AF42" i="33"/>
  <c r="AI57" i="33"/>
  <c r="AI41" i="33"/>
  <c r="AH61" i="33"/>
  <c r="AH45" i="33"/>
  <c r="AF63" i="33"/>
  <c r="AF47" i="33"/>
  <c r="AG47" i="33"/>
  <c r="AI50" i="33"/>
  <c r="AG49" i="33"/>
  <c r="AH52" i="33"/>
  <c r="AH36" i="33"/>
  <c r="AG52" i="33"/>
  <c r="AG36" i="33"/>
  <c r="AF56" i="33"/>
  <c r="AF40" i="33"/>
  <c r="AI55" i="33"/>
  <c r="AI39" i="33"/>
  <c r="AH59" i="33"/>
  <c r="AH43" i="33"/>
  <c r="AF61" i="33"/>
  <c r="AF45" i="33"/>
  <c r="AI64" i="33"/>
  <c r="AI48" i="33"/>
  <c r="AG37" i="33"/>
  <c r="AH50" i="33"/>
  <c r="AG59" i="33"/>
  <c r="AG50" i="33"/>
  <c r="AG53" i="33"/>
  <c r="AF54" i="33"/>
  <c r="AF38" i="33"/>
  <c r="AI53" i="33"/>
  <c r="AI37" i="33"/>
  <c r="AH57" i="33"/>
  <c r="AH41" i="33"/>
  <c r="AF59" i="33"/>
  <c r="AF43" i="33"/>
  <c r="AI62" i="33"/>
  <c r="AI46" i="33"/>
  <c r="AH64" i="33"/>
  <c r="AH48" i="33"/>
  <c r="AG39" i="33"/>
  <c r="AG48" i="33"/>
  <c r="AG43" i="33"/>
  <c r="AF52" i="33"/>
  <c r="AF36" i="33"/>
  <c r="AI51" i="33"/>
  <c r="AI35" i="33"/>
  <c r="AH55" i="33"/>
  <c r="AH39" i="33"/>
  <c r="AF57" i="33"/>
  <c r="AF41" i="33"/>
  <c r="AI60" i="33"/>
  <c r="AI44" i="33"/>
  <c r="AH62" i="33"/>
  <c r="AH46" i="33"/>
  <c r="AG62" i="33"/>
  <c r="AG46" i="33"/>
  <c r="AG64" i="33"/>
  <c r="AF50" i="33"/>
  <c r="AG55" i="33"/>
  <c r="AI49" i="33"/>
  <c r="AG63" i="33"/>
  <c r="AH53" i="33"/>
  <c r="AH37" i="33"/>
  <c r="AF55" i="33"/>
  <c r="AF39" i="33"/>
  <c r="AI58" i="33"/>
  <c r="AI42" i="33"/>
  <c r="AH60" i="33"/>
  <c r="AH44" i="33"/>
  <c r="AG60" i="33"/>
  <c r="AG44" i="33"/>
  <c r="AF64" i="33"/>
  <c r="AF48" i="33"/>
  <c r="AG41" i="33"/>
  <c r="AI47" i="33"/>
  <c r="AG51" i="33"/>
  <c r="AH51" i="33"/>
  <c r="AH35" i="33"/>
  <c r="M297" i="25"/>
  <c r="AH188" i="33"/>
  <c r="AH172" i="33"/>
  <c r="AI179" i="33"/>
  <c r="AF188" i="33"/>
  <c r="AH180" i="33"/>
  <c r="AF172" i="33"/>
  <c r="AI185" i="33"/>
  <c r="AH169" i="33"/>
  <c r="AF176" i="33"/>
  <c r="AF186" i="33"/>
  <c r="AH178" i="33"/>
  <c r="AI170" i="33"/>
  <c r="AG178" i="33"/>
  <c r="AH185" i="33"/>
  <c r="AG169" i="33"/>
  <c r="AG183" i="33"/>
  <c r="AI175" i="33"/>
  <c r="AF167" i="33"/>
  <c r="AG175" i="33"/>
  <c r="AI182" i="33"/>
  <c r="AF166" i="33"/>
  <c r="AG181" i="33"/>
  <c r="AI173" i="33"/>
  <c r="AI184" i="33"/>
  <c r="AG176" i="33"/>
  <c r="AH168" i="33"/>
  <c r="AH183" i="33"/>
  <c r="AF175" i="33"/>
  <c r="AG167" i="33"/>
  <c r="AG186" i="33"/>
  <c r="AH182" i="33"/>
  <c r="AI178" i="33"/>
  <c r="AF174" i="33"/>
  <c r="AF170" i="33"/>
  <c r="AI166" i="33"/>
  <c r="AF181" i="33"/>
  <c r="AH173" i="33"/>
  <c r="AG188" i="33"/>
  <c r="AI180" i="33"/>
  <c r="AG172" i="33"/>
  <c r="AI188" i="33"/>
  <c r="AF184" i="33"/>
  <c r="AG180" i="33"/>
  <c r="AH176" i="33"/>
  <c r="AI172" i="33"/>
  <c r="AI168" i="33"/>
  <c r="AF180" i="33"/>
  <c r="AG187" i="33"/>
  <c r="AG171" i="33"/>
  <c r="AG184" i="33"/>
  <c r="AI176" i="33"/>
  <c r="AF168" i="33"/>
  <c r="AG177" i="33"/>
  <c r="AH184" i="33"/>
  <c r="AG168" i="33"/>
  <c r="AG182" i="33"/>
  <c r="AI174" i="33"/>
  <c r="AI186" i="33"/>
  <c r="AH170" i="33"/>
  <c r="AF177" i="33"/>
  <c r="AF187" i="33"/>
  <c r="AH179" i="33"/>
  <c r="AF171" i="33"/>
  <c r="AI183" i="33"/>
  <c r="AH167" i="33"/>
  <c r="AG174" i="33"/>
  <c r="AF185" i="33"/>
  <c r="AH177" i="33"/>
  <c r="AI169" i="33"/>
  <c r="AF182" i="33"/>
  <c r="AH174" i="33"/>
  <c r="AH166" i="33"/>
  <c r="AI181" i="33"/>
  <c r="AG173" i="33"/>
  <c r="AG166" i="33"/>
  <c r="AG185" i="33"/>
  <c r="AH181" i="33"/>
  <c r="AI177" i="33"/>
  <c r="AF173" i="33"/>
  <c r="AF169" i="33"/>
  <c r="AH187" i="33"/>
  <c r="AF179" i="33"/>
  <c r="AH171" i="33"/>
  <c r="AH186" i="33"/>
  <c r="AF178" i="33"/>
  <c r="AG170" i="33"/>
  <c r="AI187" i="33"/>
  <c r="AF183" i="33"/>
  <c r="AG179" i="33"/>
  <c r="AH175" i="33"/>
  <c r="AI171" i="33"/>
  <c r="AI167" i="33"/>
  <c r="M252" i="25"/>
  <c r="M143" i="25"/>
  <c r="L94" i="25"/>
  <c r="N94" i="25" s="1"/>
  <c r="A35" i="32" s="1"/>
  <c r="M123" i="25"/>
  <c r="M192" i="25"/>
  <c r="N297" i="25"/>
  <c r="A238" i="32" s="1"/>
  <c r="AH165" i="33"/>
  <c r="AF164" i="33"/>
  <c r="AG158" i="33"/>
  <c r="AH159" i="33"/>
  <c r="AG160" i="33"/>
  <c r="AG154" i="33"/>
  <c r="AF157" i="33"/>
  <c r="AI155" i="33"/>
  <c r="AH156" i="33"/>
  <c r="AI162" i="33"/>
  <c r="AH149" i="33"/>
  <c r="AH161" i="33"/>
  <c r="AG161" i="33"/>
  <c r="AI150" i="33"/>
  <c r="AF153" i="33"/>
  <c r="AF151" i="33"/>
  <c r="AI152" i="33"/>
  <c r="N90" i="25"/>
  <c r="AA90" i="25" s="1"/>
  <c r="A31" i="31" s="1"/>
  <c r="L90" i="25"/>
  <c r="M75" i="25"/>
  <c r="AI165" i="33"/>
  <c r="AI161" i="33"/>
  <c r="AG157" i="33"/>
  <c r="AG153" i="33"/>
  <c r="AI149" i="33"/>
  <c r="AH164" i="33"/>
  <c r="AI160" i="33"/>
  <c r="AF156" i="33"/>
  <c r="AG152" i="33"/>
  <c r="AG164" i="33"/>
  <c r="AI158" i="33"/>
  <c r="AI154" i="33"/>
  <c r="AG150" i="33"/>
  <c r="AF163" i="33"/>
  <c r="AG159" i="33"/>
  <c r="AH155" i="33"/>
  <c r="AI151" i="33"/>
  <c r="AI164" i="33"/>
  <c r="AF160" i="33"/>
  <c r="AG156" i="33"/>
  <c r="AH152" i="33"/>
  <c r="AG165" i="33"/>
  <c r="AH163" i="33"/>
  <c r="AI159" i="33"/>
  <c r="AF155" i="33"/>
  <c r="AG151" i="33"/>
  <c r="AG163" i="33"/>
  <c r="AI157" i="33"/>
  <c r="AI153" i="33"/>
  <c r="AG149" i="33"/>
  <c r="AF162" i="33"/>
  <c r="AH158" i="33"/>
  <c r="AH154" i="33"/>
  <c r="AF150" i="33"/>
  <c r="AI163" i="33"/>
  <c r="AF159" i="33"/>
  <c r="AG155" i="33"/>
  <c r="AH151" i="33"/>
  <c r="AG162" i="33"/>
  <c r="AH162" i="33"/>
  <c r="AF158" i="33"/>
  <c r="AF154" i="33"/>
  <c r="AH150" i="33"/>
  <c r="AH160" i="33"/>
  <c r="AI156" i="33"/>
  <c r="AF152" i="33"/>
  <c r="AF165" i="33"/>
  <c r="AF161" i="33"/>
  <c r="AH157" i="33"/>
  <c r="AH153" i="33"/>
  <c r="AF149" i="33"/>
  <c r="N75" i="25"/>
  <c r="AA75" i="25" s="1"/>
  <c r="A16" i="31" s="1"/>
  <c r="AI207" i="33"/>
  <c r="AH205" i="33"/>
  <c r="AG203" i="33"/>
  <c r="AI214" i="33"/>
  <c r="AH212" i="33"/>
  <c r="AG210" i="33"/>
  <c r="AF208" i="33"/>
  <c r="AI224" i="33"/>
  <c r="AI228" i="33"/>
  <c r="AH222" i="33"/>
  <c r="AG232" i="33"/>
  <c r="AF217" i="33"/>
  <c r="AF226" i="33"/>
  <c r="AI230" i="33"/>
  <c r="AI221" i="33"/>
  <c r="AH233" i="33"/>
  <c r="AG216" i="33"/>
  <c r="AI205" i="33"/>
  <c r="AH203" i="33"/>
  <c r="AF215" i="33"/>
  <c r="AI212" i="33"/>
  <c r="AH210" i="33"/>
  <c r="AG208" i="33"/>
  <c r="AF206" i="33"/>
  <c r="AI222" i="33"/>
  <c r="AH236" i="33"/>
  <c r="AH220" i="33"/>
  <c r="AG230" i="33"/>
  <c r="AF235" i="33"/>
  <c r="AF224" i="33"/>
  <c r="AI235" i="33"/>
  <c r="AH218" i="33"/>
  <c r="AH231" i="33"/>
  <c r="AG229" i="33"/>
  <c r="AI203" i="33"/>
  <c r="AG215" i="33"/>
  <c r="AF213" i="33"/>
  <c r="AI210" i="33"/>
  <c r="AH208" i="33"/>
  <c r="AG206" i="33"/>
  <c r="AF204" i="33"/>
  <c r="AI220" i="33"/>
  <c r="AH234" i="33"/>
  <c r="AG219" i="33"/>
  <c r="AG228" i="33"/>
  <c r="AI217" i="33"/>
  <c r="AF222" i="33"/>
  <c r="AI233" i="33"/>
  <c r="AH216" i="33"/>
  <c r="AH229" i="33"/>
  <c r="AG227" i="33"/>
  <c r="AH215" i="33"/>
  <c r="AG213" i="33"/>
  <c r="AF211" i="33"/>
  <c r="AI208" i="33"/>
  <c r="AH206" i="33"/>
  <c r="AG204" i="33"/>
  <c r="AF202" i="33"/>
  <c r="AH219" i="33"/>
  <c r="AH232" i="33"/>
  <c r="AG217" i="33"/>
  <c r="AG226" i="33"/>
  <c r="AF236" i="33"/>
  <c r="AF220" i="33"/>
  <c r="AI231" i="33"/>
  <c r="AG235" i="33"/>
  <c r="AH227" i="33"/>
  <c r="AG225" i="33"/>
  <c r="AI215" i="33"/>
  <c r="AH213" i="33"/>
  <c r="AG211" i="33"/>
  <c r="AF209" i="33"/>
  <c r="AI206" i="33"/>
  <c r="AH204" i="33"/>
  <c r="AG202" i="33"/>
  <c r="AF231" i="33"/>
  <c r="AH217" i="33"/>
  <c r="AH230" i="33"/>
  <c r="AG231" i="33"/>
  <c r="AG224" i="33"/>
  <c r="AF234" i="33"/>
  <c r="AI218" i="33"/>
  <c r="AI229" i="33"/>
  <c r="AF229" i="33"/>
  <c r="AH225" i="33"/>
  <c r="AG223" i="33"/>
  <c r="AI213" i="33"/>
  <c r="AH211" i="33"/>
  <c r="AG209" i="33"/>
  <c r="AF207" i="33"/>
  <c r="AI204" i="33"/>
  <c r="AH202" i="33"/>
  <c r="AF214" i="33"/>
  <c r="AF223" i="33"/>
  <c r="AG233" i="33"/>
  <c r="AH228" i="33"/>
  <c r="AF225" i="33"/>
  <c r="AG222" i="33"/>
  <c r="AF232" i="33"/>
  <c r="AI216" i="33"/>
  <c r="AI227" i="33"/>
  <c r="AI219" i="33"/>
  <c r="AH223" i="33"/>
  <c r="AG221" i="33"/>
  <c r="AI211" i="33"/>
  <c r="AH209" i="33"/>
  <c r="AG207" i="33"/>
  <c r="AF205" i="33"/>
  <c r="AI202" i="33"/>
  <c r="AG214" i="33"/>
  <c r="AF212" i="33"/>
  <c r="AI232" i="33"/>
  <c r="AF227" i="33"/>
  <c r="AH226" i="33"/>
  <c r="AI234" i="33"/>
  <c r="AG220" i="33"/>
  <c r="AF230" i="33"/>
  <c r="AF233" i="33"/>
  <c r="AI225" i="33"/>
  <c r="AG236" i="33"/>
  <c r="AH221" i="33"/>
  <c r="AF218" i="33"/>
  <c r="AI209" i="33"/>
  <c r="AH207" i="33"/>
  <c r="AG205" i="33"/>
  <c r="AF203" i="33"/>
  <c r="AH214" i="33"/>
  <c r="AG212" i="33"/>
  <c r="AF210" i="33"/>
  <c r="AI226" i="33"/>
  <c r="AI236" i="33"/>
  <c r="AH224" i="33"/>
  <c r="AG234" i="33"/>
  <c r="AF219" i="33"/>
  <c r="AF228" i="33"/>
  <c r="AF221" i="33"/>
  <c r="AI223" i="33"/>
  <c r="AH235" i="33"/>
  <c r="AG218" i="33"/>
  <c r="AF216" i="33"/>
  <c r="L65" i="25"/>
  <c r="N65" i="25" s="1"/>
  <c r="AA65" i="25" s="1"/>
  <c r="A6" i="31" s="1"/>
  <c r="M184" i="25"/>
  <c r="N305" i="25"/>
  <c r="AA305" i="25" s="1"/>
  <c r="A246" i="31" s="1"/>
  <c r="M105" i="25"/>
  <c r="L184" i="25"/>
  <c r="M305" i="25"/>
  <c r="AH324" i="33"/>
  <c r="AG324" i="33"/>
  <c r="AG293" i="33"/>
  <c r="AF325" i="33"/>
  <c r="AI295" i="33"/>
  <c r="AH295" i="33"/>
  <c r="AG294" i="33"/>
  <c r="AF294" i="33"/>
  <c r="AG327" i="33"/>
  <c r="AF323" i="33"/>
  <c r="AI293" i="33"/>
  <c r="AH293" i="33"/>
  <c r="AH292" i="33"/>
  <c r="AG292" i="33"/>
  <c r="AG325" i="33"/>
  <c r="AI294" i="33"/>
  <c r="AF292" i="33"/>
  <c r="AH321" i="33"/>
  <c r="AI320" i="33"/>
  <c r="AF320" i="33"/>
  <c r="AG323" i="33"/>
  <c r="AH320" i="33"/>
  <c r="AG320" i="33"/>
  <c r="AI328" i="33"/>
  <c r="AG321" i="33"/>
  <c r="AF321" i="33"/>
  <c r="AH327" i="33"/>
  <c r="AF295" i="33"/>
  <c r="AH322" i="33"/>
  <c r="AI322" i="33"/>
  <c r="AI326" i="33"/>
  <c r="AF322" i="33"/>
  <c r="AG322" i="33"/>
  <c r="AH325" i="33"/>
  <c r="AF293" i="33"/>
  <c r="AF328" i="33"/>
  <c r="AI327" i="33"/>
  <c r="AI324" i="33"/>
  <c r="AH328" i="33"/>
  <c r="AG328" i="33"/>
  <c r="AH323" i="33"/>
  <c r="AI321" i="33"/>
  <c r="AF326" i="33"/>
  <c r="AI325" i="33"/>
  <c r="AH294" i="33"/>
  <c r="AH326" i="33"/>
  <c r="AG326" i="33"/>
  <c r="AG295" i="33"/>
  <c r="AF327" i="33"/>
  <c r="AF324" i="33"/>
  <c r="AI323" i="33"/>
  <c r="AI292" i="33"/>
  <c r="AA306" i="25"/>
  <c r="A247" i="31" s="1"/>
  <c r="A247" i="32"/>
  <c r="AA287" i="25"/>
  <c r="A228" i="31" s="1"/>
  <c r="A228" i="32"/>
  <c r="AA292" i="25"/>
  <c r="A233" i="31" s="1"/>
  <c r="A233" i="32"/>
  <c r="AA303" i="25"/>
  <c r="A244" i="31" s="1"/>
  <c r="A244" i="32"/>
  <c r="AA290" i="25"/>
  <c r="A231" i="31" s="1"/>
  <c r="A231" i="32"/>
  <c r="AA295" i="25"/>
  <c r="A236" i="31" s="1"/>
  <c r="A236" i="32"/>
  <c r="AA300" i="25"/>
  <c r="A241" i="31" s="1"/>
  <c r="A241" i="32"/>
  <c r="AG290" i="33"/>
  <c r="AF290" i="33"/>
  <c r="AI291" i="33"/>
  <c r="AH291" i="33"/>
  <c r="AI290" i="33"/>
  <c r="AG291" i="33"/>
  <c r="AF291" i="33"/>
  <c r="AH290" i="33"/>
  <c r="AI143" i="33"/>
  <c r="AF144" i="33"/>
  <c r="AH135" i="33"/>
  <c r="AG137" i="33"/>
  <c r="AF145" i="33"/>
  <c r="AF129" i="33"/>
  <c r="AI130" i="33"/>
  <c r="AH132" i="33"/>
  <c r="AG134" i="33"/>
  <c r="AF123" i="33"/>
  <c r="AH125" i="33"/>
  <c r="AH127" i="33"/>
  <c r="AI141" i="33"/>
  <c r="AF136" i="33"/>
  <c r="AH133" i="33"/>
  <c r="AG135" i="33"/>
  <c r="AF143" i="33"/>
  <c r="AI144" i="33"/>
  <c r="AI128" i="33"/>
  <c r="AH130" i="33"/>
  <c r="AG132" i="33"/>
  <c r="AH123" i="33"/>
  <c r="AF127" i="33"/>
  <c r="AH124" i="33"/>
  <c r="AI139" i="33"/>
  <c r="AF130" i="33"/>
  <c r="AH131" i="33"/>
  <c r="AG133" i="33"/>
  <c r="AF141" i="33"/>
  <c r="AI142" i="33"/>
  <c r="AH144" i="33"/>
  <c r="AH128" i="33"/>
  <c r="AG130" i="33"/>
  <c r="AF125" i="33"/>
  <c r="AH122" i="33"/>
  <c r="AF126" i="33"/>
  <c r="AI137" i="33"/>
  <c r="AH145" i="33"/>
  <c r="AH129" i="33"/>
  <c r="AG131" i="33"/>
  <c r="AF139" i="33"/>
  <c r="AI140" i="33"/>
  <c r="AH142" i="33"/>
  <c r="AG144" i="33"/>
  <c r="AG128" i="33"/>
  <c r="AI126" i="33"/>
  <c r="AF124" i="33"/>
  <c r="AI127" i="33"/>
  <c r="AF140" i="33"/>
  <c r="AI135" i="33"/>
  <c r="AH143" i="33"/>
  <c r="AF138" i="33"/>
  <c r="AG129" i="33"/>
  <c r="AF137" i="33"/>
  <c r="AI138" i="33"/>
  <c r="AH140" i="33"/>
  <c r="AG142" i="33"/>
  <c r="AI124" i="33"/>
  <c r="AF122" i="33"/>
  <c r="AI125" i="33"/>
  <c r="AF132" i="33"/>
  <c r="AI133" i="33"/>
  <c r="AH141" i="33"/>
  <c r="AG145" i="33"/>
  <c r="AF142" i="33"/>
  <c r="AF135" i="33"/>
  <c r="AI136" i="33"/>
  <c r="AH138" i="33"/>
  <c r="AG140" i="33"/>
  <c r="AG126" i="33"/>
  <c r="AI123" i="33"/>
  <c r="AG127" i="33"/>
  <c r="AF128" i="33"/>
  <c r="AI131" i="33"/>
  <c r="AH139" i="33"/>
  <c r="AG141" i="33"/>
  <c r="AF134" i="33"/>
  <c r="AF133" i="33"/>
  <c r="AI134" i="33"/>
  <c r="AH136" i="33"/>
  <c r="AG138" i="33"/>
  <c r="AG123" i="33"/>
  <c r="AG125" i="33"/>
  <c r="AI122" i="33"/>
  <c r="AI145" i="33"/>
  <c r="AI129" i="33"/>
  <c r="AH137" i="33"/>
  <c r="AG139" i="33"/>
  <c r="AG143" i="33"/>
  <c r="AF131" i="33"/>
  <c r="AI132" i="33"/>
  <c r="AH134" i="33"/>
  <c r="AG136" i="33"/>
  <c r="AH126" i="33"/>
  <c r="AG122" i="33"/>
  <c r="AG124" i="33"/>
  <c r="L141" i="25"/>
  <c r="N141" i="25" s="1"/>
  <c r="AA141" i="25" s="1"/>
  <c r="A82" i="31" s="1"/>
  <c r="AF114" i="33"/>
  <c r="AI119" i="33"/>
  <c r="AG116" i="33"/>
  <c r="AI107" i="33"/>
  <c r="AG111" i="33"/>
  <c r="AF115" i="33"/>
  <c r="AI118" i="33"/>
  <c r="AF118" i="33"/>
  <c r="AH110" i="33"/>
  <c r="AF108" i="33"/>
  <c r="AH111" i="33"/>
  <c r="AG115" i="33"/>
  <c r="AF119" i="33"/>
  <c r="AG114" i="33"/>
  <c r="AF116" i="33"/>
  <c r="AI121" i="33"/>
  <c r="AH116" i="33"/>
  <c r="AI109" i="33"/>
  <c r="AG113" i="33"/>
  <c r="AF117" i="33"/>
  <c r="AI120" i="33"/>
  <c r="AF112" i="33"/>
  <c r="AI117" i="33"/>
  <c r="AH121" i="33"/>
  <c r="AH114" i="33"/>
  <c r="AH109" i="33"/>
  <c r="AF113" i="33"/>
  <c r="AI116" i="33"/>
  <c r="AH118" i="33"/>
  <c r="AG110" i="33"/>
  <c r="AI115" i="33"/>
  <c r="AH119" i="33"/>
  <c r="AG118" i="33"/>
  <c r="AH107" i="33"/>
  <c r="AF111" i="33"/>
  <c r="AI114" i="33"/>
  <c r="AG120" i="33"/>
  <c r="AG108" i="33"/>
  <c r="AI113" i="33"/>
  <c r="AH117" i="33"/>
  <c r="AG121" i="33"/>
  <c r="AH112" i="33"/>
  <c r="AG109" i="33"/>
  <c r="AI112" i="33"/>
  <c r="AH108" i="33"/>
  <c r="AH120" i="33"/>
  <c r="AI111" i="33"/>
  <c r="AH115" i="33"/>
  <c r="AG119" i="33"/>
  <c r="AG112" i="33"/>
  <c r="AG107" i="33"/>
  <c r="AF109" i="33"/>
  <c r="AF120" i="33"/>
  <c r="AI108" i="33"/>
  <c r="AF110" i="33"/>
  <c r="AH113" i="33"/>
  <c r="AG117" i="33"/>
  <c r="AF121" i="33"/>
  <c r="AI110" i="33"/>
  <c r="AF107" i="33"/>
  <c r="AH33" i="33"/>
  <c r="AG34" i="33"/>
  <c r="AG32" i="33"/>
  <c r="AF33" i="33"/>
  <c r="AG33" i="33"/>
  <c r="AI34" i="33"/>
  <c r="AF34" i="33"/>
  <c r="AH32" i="33"/>
  <c r="AI32" i="33"/>
  <c r="AF32" i="33"/>
  <c r="AH34" i="33"/>
  <c r="AI33" i="33"/>
  <c r="M112" i="25"/>
  <c r="L206" i="25"/>
  <c r="N159" i="25"/>
  <c r="AA159" i="25" s="1"/>
  <c r="A100" i="31" s="1"/>
  <c r="L81" i="25"/>
  <c r="N81" i="25" s="1"/>
  <c r="AA81" i="25" s="1"/>
  <c r="A22" i="31" s="1"/>
  <c r="N114" i="25"/>
  <c r="AA114" i="25" s="1"/>
  <c r="A55" i="31" s="1"/>
  <c r="M200" i="25"/>
  <c r="M97" i="25"/>
  <c r="N206" i="25"/>
  <c r="AA206" i="25" s="1"/>
  <c r="A147" i="31" s="1"/>
  <c r="M289" i="25"/>
  <c r="L258" i="25"/>
  <c r="N258" i="25" s="1"/>
  <c r="A199" i="32" s="1"/>
  <c r="N269" i="25"/>
  <c r="AA269" i="25" s="1"/>
  <c r="A210" i="31" s="1"/>
  <c r="N257" i="25"/>
  <c r="AA257" i="25" s="1"/>
  <c r="A198" i="31" s="1"/>
  <c r="AI29" i="33"/>
  <c r="AH31" i="33"/>
  <c r="AF31" i="33"/>
  <c r="AI30" i="33"/>
  <c r="AG30" i="33"/>
  <c r="AI31" i="33"/>
  <c r="AG29" i="33"/>
  <c r="AG31" i="33"/>
  <c r="AH29" i="33"/>
  <c r="AF29" i="33"/>
  <c r="AH30" i="33"/>
  <c r="AF30" i="33"/>
  <c r="N168" i="25"/>
  <c r="AA168" i="25" s="1"/>
  <c r="A109" i="31" s="1"/>
  <c r="L168" i="25"/>
  <c r="M269" i="25"/>
  <c r="AF26" i="33"/>
  <c r="AF27" i="33"/>
  <c r="AG28" i="33"/>
  <c r="AF28" i="33"/>
  <c r="AH26" i="33"/>
  <c r="AI27" i="33"/>
  <c r="AI28" i="33"/>
  <c r="AH27" i="33"/>
  <c r="AG26" i="33"/>
  <c r="AI26" i="33"/>
  <c r="AH28" i="33"/>
  <c r="AG27" i="33"/>
  <c r="AI23" i="33"/>
  <c r="AF25" i="33"/>
  <c r="AH23" i="33"/>
  <c r="AG24" i="33"/>
  <c r="AI25" i="33"/>
  <c r="AG23" i="33"/>
  <c r="AH25" i="33"/>
  <c r="AF23" i="33"/>
  <c r="AI24" i="33"/>
  <c r="AG25" i="33"/>
  <c r="AH24" i="33"/>
  <c r="AF24" i="33"/>
  <c r="M159" i="25"/>
  <c r="AH20" i="33"/>
  <c r="AG22" i="33"/>
  <c r="AG20" i="33"/>
  <c r="AF22" i="33"/>
  <c r="AG21" i="33"/>
  <c r="AF20" i="33"/>
  <c r="AI22" i="33"/>
  <c r="AI21" i="33"/>
  <c r="AI20" i="33"/>
  <c r="AF21" i="33"/>
  <c r="AH22" i="33"/>
  <c r="AH21" i="33"/>
  <c r="L191" i="25"/>
  <c r="N191" i="25" s="1"/>
  <c r="L111" i="25"/>
  <c r="N111" i="25" s="1"/>
  <c r="AA111" i="25" s="1"/>
  <c r="A52" i="31" s="1"/>
  <c r="M131" i="25"/>
  <c r="M172" i="25"/>
  <c r="N172" i="25"/>
  <c r="AA172" i="25" s="1"/>
  <c r="A113" i="31" s="1"/>
  <c r="AI17" i="33"/>
  <c r="AH19" i="33"/>
  <c r="AH17" i="33"/>
  <c r="AG19" i="33"/>
  <c r="AG18" i="33"/>
  <c r="AG17" i="33"/>
  <c r="AF18" i="33"/>
  <c r="AH18" i="33"/>
  <c r="AI18" i="33"/>
  <c r="AF19" i="33"/>
  <c r="AI19" i="33"/>
  <c r="AF17" i="33"/>
  <c r="M176" i="25"/>
  <c r="L266" i="25"/>
  <c r="N266" i="25" s="1"/>
  <c r="AA266" i="25" s="1"/>
  <c r="A207" i="31" s="1"/>
  <c r="M104" i="25"/>
  <c r="N99" i="25"/>
  <c r="L104" i="25"/>
  <c r="M181" i="25"/>
  <c r="M188" i="25"/>
  <c r="M197" i="25"/>
  <c r="M99" i="25"/>
  <c r="M107" i="25"/>
  <c r="M239" i="25"/>
  <c r="N239" i="25"/>
  <c r="L249" i="25"/>
  <c r="N249" i="25" s="1"/>
  <c r="A190" i="32" s="1"/>
  <c r="N107" i="25"/>
  <c r="A48" i="32" s="1"/>
  <c r="N74" i="25"/>
  <c r="A15" i="32" s="1"/>
  <c r="M264" i="25"/>
  <c r="AG106" i="33"/>
  <c r="AI103" i="33"/>
  <c r="AG103" i="33"/>
  <c r="AG104" i="33"/>
  <c r="AI101" i="33"/>
  <c r="AG101" i="33"/>
  <c r="AG102" i="33"/>
  <c r="AH102" i="33"/>
  <c r="AF105" i="33"/>
  <c r="AH106" i="33"/>
  <c r="AH105" i="33"/>
  <c r="AF103" i="33"/>
  <c r="AF106" i="33"/>
  <c r="AH103" i="33"/>
  <c r="AF101" i="33"/>
  <c r="AF104" i="33"/>
  <c r="AH101" i="33"/>
  <c r="AI106" i="33"/>
  <c r="AF102" i="33"/>
  <c r="AH104" i="33"/>
  <c r="AI104" i="33"/>
  <c r="AI105" i="33"/>
  <c r="AG105" i="33"/>
  <c r="AI102" i="33"/>
  <c r="L173" i="25"/>
  <c r="N173" i="25" s="1"/>
  <c r="AA173" i="25" s="1"/>
  <c r="A114" i="31" s="1"/>
  <c r="AF98" i="33"/>
  <c r="AG100" i="33"/>
  <c r="AF100" i="33"/>
  <c r="AG99" i="33"/>
  <c r="AI98" i="33"/>
  <c r="AI99" i="33"/>
  <c r="AG97" i="33"/>
  <c r="AI97" i="33"/>
  <c r="AI100" i="33"/>
  <c r="AH98" i="33"/>
  <c r="AG98" i="33"/>
  <c r="AH100" i="33"/>
  <c r="AH99" i="33"/>
  <c r="AF99" i="33"/>
  <c r="AH97" i="33"/>
  <c r="AF97" i="33"/>
  <c r="AF96" i="33"/>
  <c r="AH95" i="33"/>
  <c r="AG95" i="33"/>
  <c r="AG96" i="33"/>
  <c r="AI96" i="33"/>
  <c r="AF95" i="33"/>
  <c r="AI95" i="33"/>
  <c r="AH96" i="33"/>
  <c r="M259" i="25"/>
  <c r="AH94" i="33"/>
  <c r="AG94" i="33"/>
  <c r="AF94" i="33"/>
  <c r="AI93" i="33"/>
  <c r="AH93" i="33"/>
  <c r="AG93" i="33"/>
  <c r="AI94" i="33"/>
  <c r="AF93" i="33"/>
  <c r="AI90" i="33"/>
  <c r="AF91" i="33"/>
  <c r="AH92" i="33"/>
  <c r="AG91" i="33"/>
  <c r="AH90" i="33"/>
  <c r="AI91" i="33"/>
  <c r="AG90" i="33"/>
  <c r="AF92" i="33"/>
  <c r="AH91" i="33"/>
  <c r="AI92" i="33"/>
  <c r="AF90" i="33"/>
  <c r="AG92" i="33"/>
  <c r="AI146" i="33"/>
  <c r="AF85" i="33"/>
  <c r="AH89" i="33"/>
  <c r="AF87" i="33"/>
  <c r="AG88" i="33"/>
  <c r="AH87" i="33"/>
  <c r="AH146" i="33"/>
  <c r="AG86" i="33"/>
  <c r="AI89" i="33"/>
  <c r="AH85" i="33"/>
  <c r="AI86" i="33"/>
  <c r="AI87" i="33"/>
  <c r="AH88" i="33"/>
  <c r="AF146" i="33"/>
  <c r="AI85" i="33"/>
  <c r="AH86" i="33"/>
  <c r="AG89" i="33"/>
  <c r="AF89" i="33"/>
  <c r="AF88" i="33"/>
  <c r="AI88" i="33"/>
  <c r="AG87" i="33"/>
  <c r="AG146" i="33"/>
  <c r="AF86" i="33"/>
  <c r="AG85" i="33"/>
  <c r="N88" i="25"/>
  <c r="AA88" i="25" s="1"/>
  <c r="A29" i="31" s="1"/>
  <c r="N188" i="25"/>
  <c r="AA188" i="25" s="1"/>
  <c r="A129" i="31" s="1"/>
  <c r="L114" i="25"/>
  <c r="M128" i="25"/>
  <c r="L205" i="25"/>
  <c r="N205" i="25" s="1"/>
  <c r="A146" i="32" s="1"/>
  <c r="L175" i="25"/>
  <c r="N175" i="25" s="1"/>
  <c r="AA175" i="25" s="1"/>
  <c r="A116" i="31" s="1"/>
  <c r="L88" i="25"/>
  <c r="M154" i="25"/>
  <c r="M83" i="25"/>
  <c r="N83" i="25"/>
  <c r="AA83" i="25" s="1"/>
  <c r="A24" i="31" s="1"/>
  <c r="M118" i="25"/>
  <c r="N198" i="25"/>
  <c r="A139" i="32" s="1"/>
  <c r="N252" i="25"/>
  <c r="AA252" i="25" s="1"/>
  <c r="A193" i="31" s="1"/>
  <c r="L247" i="25"/>
  <c r="N247" i="25" s="1"/>
  <c r="A188" i="32" s="1"/>
  <c r="M198" i="25"/>
  <c r="AH318" i="33"/>
  <c r="AG314" i="33"/>
  <c r="AF312" i="33"/>
  <c r="AI309" i="33"/>
  <c r="AI316" i="33"/>
  <c r="AF319" i="33"/>
  <c r="AH316" i="33"/>
  <c r="AG312" i="33"/>
  <c r="AF310" i="33"/>
  <c r="AI329" i="33"/>
  <c r="AG319" i="33"/>
  <c r="AF317" i="33"/>
  <c r="AH314" i="33"/>
  <c r="AG310" i="33"/>
  <c r="AI314" i="33"/>
  <c r="AH319" i="33"/>
  <c r="AG317" i="33"/>
  <c r="AF315" i="33"/>
  <c r="AH312" i="33"/>
  <c r="AI312" i="33"/>
  <c r="AI319" i="33"/>
  <c r="AH317" i="33"/>
  <c r="AG315" i="33"/>
  <c r="AF313" i="33"/>
  <c r="AH310" i="33"/>
  <c r="AF329" i="33"/>
  <c r="AI317" i="33"/>
  <c r="AH315" i="33"/>
  <c r="AG313" i="33"/>
  <c r="AF311" i="33"/>
  <c r="AG329" i="33"/>
  <c r="AF318" i="33"/>
  <c r="AI315" i="33"/>
  <c r="AH313" i="33"/>
  <c r="AG311" i="33"/>
  <c r="AF309" i="33"/>
  <c r="AI318" i="33"/>
  <c r="AG318" i="33"/>
  <c r="AF316" i="33"/>
  <c r="AI313" i="33"/>
  <c r="AH311" i="33"/>
  <c r="AG309" i="33"/>
  <c r="AH329" i="33"/>
  <c r="AG316" i="33"/>
  <c r="AF314" i="33"/>
  <c r="AI311" i="33"/>
  <c r="AH309" i="33"/>
  <c r="AI310" i="33"/>
  <c r="L265" i="25"/>
  <c r="N265" i="25" s="1"/>
  <c r="AA265" i="25" s="1"/>
  <c r="A206" i="31" s="1"/>
  <c r="AF302" i="33"/>
  <c r="AH306" i="33"/>
  <c r="AH302" i="33"/>
  <c r="AF300" i="33"/>
  <c r="AI308" i="33"/>
  <c r="AH304" i="33"/>
  <c r="AG302" i="33"/>
  <c r="AI301" i="33"/>
  <c r="AG304" i="33"/>
  <c r="AH300" i="33"/>
  <c r="AI306" i="33"/>
  <c r="AI302" i="33"/>
  <c r="AG300" i="33"/>
  <c r="AF307" i="33"/>
  <c r="AI304" i="33"/>
  <c r="AF303" i="33"/>
  <c r="AI300" i="33"/>
  <c r="AG307" i="33"/>
  <c r="AF305" i="33"/>
  <c r="AG303" i="33"/>
  <c r="AF301" i="33"/>
  <c r="AI307" i="33"/>
  <c r="AG305" i="33"/>
  <c r="AG301" i="33"/>
  <c r="AF308" i="33"/>
  <c r="AI305" i="33"/>
  <c r="AH307" i="33"/>
  <c r="AH303" i="33"/>
  <c r="AG308" i="33"/>
  <c r="AF306" i="33"/>
  <c r="AH305" i="33"/>
  <c r="AI303" i="33"/>
  <c r="AH301" i="33"/>
  <c r="AH308" i="33"/>
  <c r="AG306" i="33"/>
  <c r="AF304" i="33"/>
  <c r="AG82" i="33"/>
  <c r="AG84" i="33"/>
  <c r="AH84" i="33"/>
  <c r="AH83" i="33"/>
  <c r="AF84" i="33"/>
  <c r="AF83" i="33"/>
  <c r="AI84" i="33"/>
  <c r="AI82" i="33"/>
  <c r="AG83" i="33"/>
  <c r="AI83" i="33"/>
  <c r="AH82" i="33"/>
  <c r="AF82" i="33"/>
  <c r="M207" i="25"/>
  <c r="M183" i="25"/>
  <c r="L151" i="25"/>
  <c r="N151" i="25" s="1"/>
  <c r="AA151" i="25" s="1"/>
  <c r="A92" i="31" s="1"/>
  <c r="AI79" i="33"/>
  <c r="AG81" i="33"/>
  <c r="AG80" i="33"/>
  <c r="AH79" i="33"/>
  <c r="AH80" i="33"/>
  <c r="AF81" i="33"/>
  <c r="AI81" i="33"/>
  <c r="AG79" i="33"/>
  <c r="AH81" i="33"/>
  <c r="AF79" i="33"/>
  <c r="AI80" i="33"/>
  <c r="AF80" i="33"/>
  <c r="AI78" i="33"/>
  <c r="AH78" i="33"/>
  <c r="AF77" i="33"/>
  <c r="AF78" i="33"/>
  <c r="AG77" i="33"/>
  <c r="AG78" i="33"/>
  <c r="AI77" i="33"/>
  <c r="AH77" i="33"/>
  <c r="AH75" i="33"/>
  <c r="AI76" i="33"/>
  <c r="AF75" i="33"/>
  <c r="AG75" i="33"/>
  <c r="AF76" i="33"/>
  <c r="AG76" i="33"/>
  <c r="AH76" i="33"/>
  <c r="AI75" i="33"/>
  <c r="AI73" i="33"/>
  <c r="AG72" i="33"/>
  <c r="AH73" i="33"/>
  <c r="AH72" i="33"/>
  <c r="AH74" i="33"/>
  <c r="AG73" i="33"/>
  <c r="AF74" i="33"/>
  <c r="AI74" i="33"/>
  <c r="AF72" i="33"/>
  <c r="AF73" i="33"/>
  <c r="AG74" i="33"/>
  <c r="AI72" i="33"/>
  <c r="AG148" i="33"/>
  <c r="AH68" i="33"/>
  <c r="AG69" i="33"/>
  <c r="AH147" i="33"/>
  <c r="AI68" i="33"/>
  <c r="AF69" i="33"/>
  <c r="AH148" i="33"/>
  <c r="AG68" i="33"/>
  <c r="AH69" i="33"/>
  <c r="AI148" i="33"/>
  <c r="AF68" i="33"/>
  <c r="AF71" i="33"/>
  <c r="AI147" i="33"/>
  <c r="AF70" i="33"/>
  <c r="AI69" i="33"/>
  <c r="AF147" i="33"/>
  <c r="AG70" i="33"/>
  <c r="AG71" i="33"/>
  <c r="AF148" i="33"/>
  <c r="AH70" i="33"/>
  <c r="AH71" i="33"/>
  <c r="AG147" i="33"/>
  <c r="AI70" i="33"/>
  <c r="AI71" i="33"/>
  <c r="M307" i="25"/>
  <c r="AH15" i="33"/>
  <c r="AF16" i="33"/>
  <c r="AF66" i="33"/>
  <c r="AH66" i="33"/>
  <c r="AI16" i="33"/>
  <c r="AI15" i="33"/>
  <c r="AG67" i="33"/>
  <c r="AI67" i="33"/>
  <c r="AG16" i="33"/>
  <c r="AG66" i="33"/>
  <c r="AI66" i="33"/>
  <c r="AH16" i="33"/>
  <c r="AG15" i="33"/>
  <c r="AF274" i="33"/>
  <c r="AF67" i="33"/>
  <c r="AH67" i="33"/>
  <c r="AF15" i="33"/>
  <c r="AH5" i="33"/>
  <c r="AG199" i="33"/>
  <c r="AG7" i="33"/>
  <c r="AI289" i="33"/>
  <c r="AI196" i="33"/>
  <c r="AH237" i="33"/>
  <c r="AH10" i="33"/>
  <c r="AG289" i="33"/>
  <c r="AG196" i="33"/>
  <c r="AG238" i="33"/>
  <c r="AF12" i="33"/>
  <c r="AI288" i="33"/>
  <c r="AG299" i="33"/>
  <c r="AG197" i="33"/>
  <c r="AH299" i="33"/>
  <c r="AF273" i="33"/>
  <c r="AF13" i="33"/>
  <c r="AI287" i="33"/>
  <c r="AH200" i="33"/>
  <c r="AH8" i="33"/>
  <c r="AG287" i="33"/>
  <c r="AH273" i="33"/>
  <c r="AF10" i="33"/>
  <c r="AI65" i="33"/>
  <c r="AG288" i="33"/>
  <c r="AH199" i="33"/>
  <c r="AF237" i="33"/>
  <c r="AF11" i="33"/>
  <c r="AH198" i="33"/>
  <c r="AH6" i="33"/>
  <c r="AH65" i="33"/>
  <c r="AF200" i="33"/>
  <c r="AF8" i="33"/>
  <c r="AG65" i="33"/>
  <c r="AH11" i="33"/>
  <c r="AF201" i="33"/>
  <c r="AF9" i="33"/>
  <c r="AI274" i="33"/>
  <c r="AI14" i="33"/>
  <c r="AH289" i="33"/>
  <c r="AH196" i="33"/>
  <c r="AF238" i="33"/>
  <c r="AG274" i="33"/>
  <c r="AG14" i="33"/>
  <c r="AF198" i="33"/>
  <c r="AF6" i="33"/>
  <c r="AI273" i="33"/>
  <c r="AI13" i="33"/>
  <c r="AI5" i="33"/>
  <c r="AG5" i="33"/>
  <c r="AF199" i="33"/>
  <c r="AF7" i="33"/>
  <c r="AI12" i="33"/>
  <c r="AH287" i="33"/>
  <c r="AG12" i="33"/>
  <c r="AF289" i="33"/>
  <c r="AF196" i="33"/>
  <c r="AH238" i="33"/>
  <c r="AI237" i="33"/>
  <c r="AI11" i="33"/>
  <c r="AG273" i="33"/>
  <c r="AF299" i="33"/>
  <c r="AI10" i="33"/>
  <c r="AG10" i="33"/>
  <c r="AF287" i="33"/>
  <c r="AI201" i="33"/>
  <c r="AI9" i="33"/>
  <c r="AH201" i="33"/>
  <c r="AF197" i="33"/>
  <c r="AG237" i="33"/>
  <c r="AG11" i="33"/>
  <c r="AF288" i="33"/>
  <c r="AH197" i="33"/>
  <c r="AI200" i="33"/>
  <c r="AI8" i="33"/>
  <c r="AH274" i="33"/>
  <c r="AH14" i="33"/>
  <c r="AG200" i="33"/>
  <c r="AG8" i="33"/>
  <c r="AF5" i="33"/>
  <c r="AI199" i="33"/>
  <c r="AI7" i="33"/>
  <c r="AG13" i="33"/>
  <c r="AH288" i="33"/>
  <c r="AH13" i="33"/>
  <c r="AH7" i="33"/>
  <c r="AG201" i="33"/>
  <c r="AG9" i="33"/>
  <c r="AF65" i="33"/>
  <c r="AH9" i="33"/>
  <c r="AI198" i="33"/>
  <c r="AI6" i="33"/>
  <c r="AH12" i="33"/>
  <c r="AG198" i="33"/>
  <c r="AG6" i="33"/>
  <c r="AF14" i="33"/>
  <c r="AI299" i="33"/>
  <c r="AI197" i="33"/>
  <c r="AI238" i="33"/>
  <c r="L226" i="25"/>
  <c r="M139" i="25"/>
  <c r="L307" i="25"/>
  <c r="N307" i="25" s="1"/>
  <c r="L113" i="25"/>
  <c r="N113" i="25" s="1"/>
  <c r="A54" i="32" s="1"/>
  <c r="M208" i="25"/>
  <c r="M238" i="25"/>
  <c r="N289" i="25"/>
  <c r="M189" i="25"/>
  <c r="N226" i="25"/>
  <c r="AA226" i="25" s="1"/>
  <c r="A167" i="31" s="1"/>
  <c r="N79" i="25"/>
  <c r="A20" i="32" s="1"/>
  <c r="N193" i="25"/>
  <c r="AA193" i="25" s="1"/>
  <c r="A134" i="31" s="1"/>
  <c r="M74" i="25"/>
  <c r="M243" i="25"/>
  <c r="M79" i="25"/>
  <c r="A221" i="32"/>
  <c r="C221" i="32" s="1"/>
  <c r="M73" i="25"/>
  <c r="L278" i="25"/>
  <c r="L271" i="25"/>
  <c r="N271" i="25" s="1"/>
  <c r="M271" i="25"/>
  <c r="N64" i="25"/>
  <c r="AA64" i="25" s="1"/>
  <c r="A5" i="31" s="1"/>
  <c r="M64" i="25"/>
  <c r="N154" i="25"/>
  <c r="A95" i="32" s="1"/>
  <c r="N128" i="25"/>
  <c r="AA128" i="25" s="1"/>
  <c r="A69" i="31" s="1"/>
  <c r="N264" i="25"/>
  <c r="AA264" i="25" s="1"/>
  <c r="A205" i="31" s="1"/>
  <c r="M91" i="25"/>
  <c r="L106" i="25"/>
  <c r="N106" i="25" s="1"/>
  <c r="A47" i="32" s="1"/>
  <c r="L218" i="25"/>
  <c r="M150" i="25"/>
  <c r="N91" i="25"/>
  <c r="AA91" i="25" s="1"/>
  <c r="A32" i="31" s="1"/>
  <c r="M89" i="25"/>
  <c r="L71" i="25"/>
  <c r="N71" i="25" s="1"/>
  <c r="L110" i="25"/>
  <c r="N110" i="25" s="1"/>
  <c r="AA110" i="25" s="1"/>
  <c r="A51" i="31" s="1"/>
  <c r="N278" i="25"/>
  <c r="AA278" i="25" s="1"/>
  <c r="A219" i="31" s="1"/>
  <c r="M298" i="25"/>
  <c r="L298" i="25"/>
  <c r="N298" i="25" s="1"/>
  <c r="L301" i="25"/>
  <c r="N301" i="25" s="1"/>
  <c r="L213" i="25"/>
  <c r="N213" i="25" s="1"/>
  <c r="AA213" i="25" s="1"/>
  <c r="A154" i="31" s="1"/>
  <c r="M282" i="25"/>
  <c r="L282" i="25"/>
  <c r="N282" i="25" s="1"/>
  <c r="A223" i="32" s="1"/>
  <c r="A169" i="32"/>
  <c r="C169" i="32" s="1"/>
  <c r="AA228" i="25"/>
  <c r="A169" i="31" s="1"/>
  <c r="AA234" i="25"/>
  <c r="A175" i="31" s="1"/>
  <c r="A175" i="32"/>
  <c r="B175" i="32" s="1"/>
  <c r="L95" i="25"/>
  <c r="N95" i="25" s="1"/>
  <c r="AA95" i="25" s="1"/>
  <c r="A36" i="31" s="1"/>
  <c r="L284" i="25"/>
  <c r="N284" i="25" s="1"/>
  <c r="A225" i="32" s="1"/>
  <c r="N118" i="25"/>
  <c r="AA118" i="25" s="1"/>
  <c r="A59" i="31" s="1"/>
  <c r="L285" i="25"/>
  <c r="N285" i="25" s="1"/>
  <c r="M285" i="25"/>
  <c r="M291" i="25"/>
  <c r="L291" i="25"/>
  <c r="N291" i="25" s="1"/>
  <c r="N218" i="25"/>
  <c r="AA218" i="25" s="1"/>
  <c r="A159" i="31" s="1"/>
  <c r="M302" i="25"/>
  <c r="L302" i="25"/>
  <c r="N302" i="25" s="1"/>
  <c r="N208" i="25"/>
  <c r="A149" i="32" s="1"/>
  <c r="N150" i="25"/>
  <c r="AA150" i="25" s="1"/>
  <c r="A91" i="31" s="1"/>
  <c r="AA127" i="25"/>
  <c r="A68" i="31" s="1"/>
  <c r="A68" i="32"/>
  <c r="AA197" i="25"/>
  <c r="A138" i="31" s="1"/>
  <c r="A138" i="32"/>
  <c r="AA275" i="25"/>
  <c r="A216" i="31" s="1"/>
  <c r="A216" i="32"/>
  <c r="AA212" i="25"/>
  <c r="A153" i="31" s="1"/>
  <c r="A153" i="32"/>
  <c r="AA167" i="25"/>
  <c r="A108" i="31" s="1"/>
  <c r="A108" i="32"/>
  <c r="AA157" i="25"/>
  <c r="A98" i="31" s="1"/>
  <c r="A98" i="32"/>
  <c r="AA220" i="25"/>
  <c r="A161" i="31" s="1"/>
  <c r="A161" i="32"/>
  <c r="AA169" i="25"/>
  <c r="A110" i="31" s="1"/>
  <c r="A110" i="32"/>
  <c r="AA185" i="25"/>
  <c r="A126" i="31" s="1"/>
  <c r="A126" i="32"/>
  <c r="AA272" i="25"/>
  <c r="A213" i="31" s="1"/>
  <c r="A213" i="32"/>
  <c r="A224" i="32"/>
  <c r="AA283" i="25"/>
  <c r="A224" i="31" s="1"/>
  <c r="AA158" i="25"/>
  <c r="A99" i="31" s="1"/>
  <c r="A99" i="32"/>
  <c r="AA176" i="25"/>
  <c r="A117" i="31" s="1"/>
  <c r="A117" i="32"/>
  <c r="AA215" i="25"/>
  <c r="A156" i="31" s="1"/>
  <c r="A156" i="32"/>
  <c r="AA200" i="25"/>
  <c r="A141" i="31" s="1"/>
  <c r="A141" i="32"/>
  <c r="AA183" i="25"/>
  <c r="A124" i="31" s="1"/>
  <c r="A124" i="32"/>
  <c r="AA243" i="25"/>
  <c r="A184" i="31" s="1"/>
  <c r="A184" i="32"/>
  <c r="AA115" i="25"/>
  <c r="A56" i="31" s="1"/>
  <c r="A56" i="32"/>
  <c r="AA184" i="25"/>
  <c r="A125" i="31" s="1"/>
  <c r="A125" i="32"/>
  <c r="AA231" i="25"/>
  <c r="A172" i="31" s="1"/>
  <c r="A172" i="32"/>
  <c r="AA279" i="25"/>
  <c r="A220" i="31" s="1"/>
  <c r="A220" i="32"/>
  <c r="AA217" i="25"/>
  <c r="A158" i="31" s="1"/>
  <c r="A158" i="32"/>
  <c r="N259" i="25"/>
  <c r="L299" i="25"/>
  <c r="N299" i="25" s="1"/>
  <c r="M299" i="25"/>
  <c r="M286" i="25"/>
  <c r="L286" i="25"/>
  <c r="N286" i="25" s="1"/>
  <c r="AA98" i="25"/>
  <c r="A39" i="31" s="1"/>
  <c r="A39" i="32"/>
  <c r="AA223" i="25"/>
  <c r="A164" i="31" s="1"/>
  <c r="A164" i="32"/>
  <c r="AA122" i="25"/>
  <c r="A63" i="31" s="1"/>
  <c r="A63" i="32"/>
  <c r="AA165" i="25"/>
  <c r="A106" i="31" s="1"/>
  <c r="A106" i="32"/>
  <c r="AA207" i="25"/>
  <c r="A148" i="31" s="1"/>
  <c r="A148" i="32"/>
  <c r="AA238" i="25"/>
  <c r="A179" i="31" s="1"/>
  <c r="A179" i="32"/>
  <c r="AA137" i="25"/>
  <c r="A78" i="31" s="1"/>
  <c r="A78" i="32"/>
  <c r="AA143" i="25"/>
  <c r="A84" i="31" s="1"/>
  <c r="A84" i="32"/>
  <c r="AA73" i="25"/>
  <c r="A14" i="31" s="1"/>
  <c r="A14" i="32"/>
  <c r="AA97" i="25"/>
  <c r="A38" i="31" s="1"/>
  <c r="A38" i="32"/>
  <c r="AA112" i="25"/>
  <c r="A53" i="31" s="1"/>
  <c r="A53" i="32"/>
  <c r="AA241" i="25"/>
  <c r="A182" i="31" s="1"/>
  <c r="A182" i="32"/>
  <c r="AA189" i="25"/>
  <c r="A130" i="31" s="1"/>
  <c r="A130" i="32"/>
  <c r="AA201" i="25"/>
  <c r="A142" i="31" s="1"/>
  <c r="A142" i="32"/>
  <c r="AA255" i="25"/>
  <c r="A196" i="31" s="1"/>
  <c r="A196" i="32"/>
  <c r="AA149" i="25"/>
  <c r="A90" i="31" s="1"/>
  <c r="A90" i="32"/>
  <c r="AA145" i="25"/>
  <c r="A86" i="31" s="1"/>
  <c r="A86" i="32"/>
  <c r="L293" i="25"/>
  <c r="N293" i="25" s="1"/>
  <c r="AA89" i="25"/>
  <c r="A30" i="31" s="1"/>
  <c r="A30" i="32"/>
  <c r="AA102" i="25"/>
  <c r="A43" i="31" s="1"/>
  <c r="A43" i="32"/>
  <c r="AA66" i="25"/>
  <c r="A7" i="31" s="1"/>
  <c r="A7" i="32"/>
  <c r="AA105" i="25"/>
  <c r="A46" i="31" s="1"/>
  <c r="A46" i="32"/>
  <c r="AA78" i="25"/>
  <c r="A19" i="31" s="1"/>
  <c r="A19" i="32"/>
  <c r="AA96" i="25"/>
  <c r="A37" i="31" s="1"/>
  <c r="A37" i="32"/>
  <c r="AA80" i="25"/>
  <c r="A21" i="31" s="1"/>
  <c r="A21" i="32"/>
  <c r="AA192" i="25"/>
  <c r="A133" i="31" s="1"/>
  <c r="A133" i="32"/>
  <c r="AA209" i="25"/>
  <c r="A150" i="31" s="1"/>
  <c r="A150" i="32"/>
  <c r="AA261" i="25"/>
  <c r="A202" i="31" s="1"/>
  <c r="A202" i="32"/>
  <c r="M294" i="25"/>
  <c r="L294" i="25"/>
  <c r="N294" i="25" s="1"/>
  <c r="AA180" i="25"/>
  <c r="A121" i="31" s="1"/>
  <c r="A121" i="32"/>
  <c r="AA104" i="25"/>
  <c r="A45" i="31" s="1"/>
  <c r="A45" i="32"/>
  <c r="AA196" i="25"/>
  <c r="A137" i="31" s="1"/>
  <c r="A137" i="32"/>
  <c r="AA131" i="25"/>
  <c r="A72" i="31" s="1"/>
  <c r="A72" i="32"/>
  <c r="AA263" i="25"/>
  <c r="A204" i="31" s="1"/>
  <c r="A204" i="32"/>
  <c r="AA177" i="25"/>
  <c r="A118" i="31" s="1"/>
  <c r="A118" i="32"/>
  <c r="AA72" i="25"/>
  <c r="A13" i="31" s="1"/>
  <c r="A13" i="32"/>
  <c r="AA86" i="25"/>
  <c r="A27" i="31" s="1"/>
  <c r="A27" i="32"/>
  <c r="AA139" i="25"/>
  <c r="A80" i="31" s="1"/>
  <c r="A80" i="32"/>
  <c r="AA103" i="25"/>
  <c r="A44" i="31" s="1"/>
  <c r="A44" i="32"/>
  <c r="AA120" i="25"/>
  <c r="A61" i="31" s="1"/>
  <c r="A61" i="32"/>
  <c r="AA123" i="25"/>
  <c r="A64" i="31" s="1"/>
  <c r="A64" i="32"/>
  <c r="AA237" i="25"/>
  <c r="A178" i="31" s="1"/>
  <c r="A178" i="32"/>
  <c r="AA204" i="25"/>
  <c r="A145" i="31" s="1"/>
  <c r="A145" i="32"/>
  <c r="AA181" i="25"/>
  <c r="A122" i="31" s="1"/>
  <c r="A122" i="32"/>
  <c r="M257" i="25"/>
  <c r="L174" i="25"/>
  <c r="N174" i="25" s="1"/>
  <c r="A115" i="32" s="1"/>
  <c r="L273" i="25"/>
  <c r="N273" i="25" s="1"/>
  <c r="M274" i="25"/>
  <c r="L274" i="25"/>
  <c r="N274" i="25" s="1"/>
  <c r="L276" i="25"/>
  <c r="N276" i="25" s="1"/>
  <c r="M276" i="25"/>
  <c r="L244" i="25"/>
  <c r="N244" i="25" s="1"/>
  <c r="A185" i="32" s="1"/>
  <c r="L242" i="25"/>
  <c r="N242" i="25" s="1"/>
  <c r="M193" i="25"/>
  <c r="L267" i="25"/>
  <c r="N267" i="25" s="1"/>
  <c r="AA267" i="25" s="1"/>
  <c r="A208" i="31" s="1"/>
  <c r="M195" i="25"/>
  <c r="M145" i="25"/>
  <c r="N166" i="25"/>
  <c r="L166" i="25"/>
  <c r="L236" i="25"/>
  <c r="N236" i="25" s="1"/>
  <c r="M254" i="25"/>
  <c r="L254" i="25"/>
  <c r="N254" i="25" s="1"/>
  <c r="A195" i="32" s="1"/>
  <c r="M67" i="25"/>
  <c r="L67" i="25"/>
  <c r="N67" i="25" s="1"/>
  <c r="M250" i="25"/>
  <c r="L250" i="25"/>
  <c r="N250" i="25" s="1"/>
  <c r="A191" i="32" s="1"/>
  <c r="L219" i="25"/>
  <c r="N219" i="25" s="1"/>
  <c r="M219" i="25"/>
  <c r="L203" i="25"/>
  <c r="N203" i="25" s="1"/>
  <c r="M203" i="25"/>
  <c r="L182" i="25"/>
  <c r="N182" i="25" s="1"/>
  <c r="L171" i="25"/>
  <c r="N171" i="25" s="1"/>
  <c r="M171" i="25"/>
  <c r="L187" i="25"/>
  <c r="N187" i="25" s="1"/>
  <c r="M187" i="25"/>
  <c r="L121" i="25"/>
  <c r="N121" i="25" s="1"/>
  <c r="M121" i="25"/>
  <c r="L222" i="25"/>
  <c r="N222" i="25" s="1"/>
  <c r="M222" i="25"/>
  <c r="L155" i="25"/>
  <c r="N155" i="25" s="1"/>
  <c r="M155" i="25"/>
  <c r="M235" i="25"/>
  <c r="L235" i="25"/>
  <c r="N235" i="25" s="1"/>
  <c r="L227" i="25"/>
  <c r="N227" i="25" s="1"/>
  <c r="M227" i="25"/>
  <c r="L262" i="25"/>
  <c r="N262" i="25" s="1"/>
  <c r="M216" i="25"/>
  <c r="L216" i="25"/>
  <c r="N216" i="25" s="1"/>
  <c r="L225" i="25"/>
  <c r="N225" i="25" s="1"/>
  <c r="M225" i="25"/>
  <c r="M256" i="25"/>
  <c r="L256" i="25"/>
  <c r="N256" i="25" s="1"/>
  <c r="A197" i="32" s="1"/>
  <c r="M87" i="25"/>
  <c r="L87" i="25"/>
  <c r="N87" i="25" s="1"/>
  <c r="N160" i="25"/>
  <c r="L160" i="25"/>
  <c r="M160" i="25"/>
  <c r="L129" i="25"/>
  <c r="N129" i="25" s="1"/>
  <c r="L190" i="25"/>
  <c r="N190" i="25" s="1"/>
  <c r="M190" i="25"/>
  <c r="L179" i="25"/>
  <c r="N179" i="25" s="1"/>
  <c r="M179" i="25"/>
  <c r="L70" i="25"/>
  <c r="N70" i="25"/>
  <c r="L147" i="25"/>
  <c r="N147" i="25" s="1"/>
  <c r="M147" i="25"/>
  <c r="L211" i="25"/>
  <c r="N211" i="25" s="1"/>
  <c r="M211" i="25"/>
  <c r="M224" i="25"/>
  <c r="L224" i="25"/>
  <c r="N224" i="25" s="1"/>
  <c r="AA224" i="25" s="1"/>
  <c r="A165" i="31" s="1"/>
  <c r="L163" i="25"/>
  <c r="N163" i="25" s="1"/>
  <c r="M163" i="25"/>
  <c r="L214" i="25"/>
  <c r="N214" i="25" s="1"/>
  <c r="M214" i="25"/>
  <c r="L251" i="25"/>
  <c r="N251" i="25" s="1"/>
  <c r="M251" i="25"/>
  <c r="N248" i="25"/>
  <c r="L248" i="25"/>
  <c r="M248" i="25"/>
  <c r="L240" i="25"/>
  <c r="N240" i="25" s="1"/>
  <c r="M240" i="25"/>
  <c r="L164" i="25"/>
  <c r="N164" i="25" s="1"/>
  <c r="L135" i="25"/>
  <c r="N135" i="25" s="1"/>
  <c r="M135" i="25"/>
  <c r="L161" i="25"/>
  <c r="N161" i="25" s="1"/>
  <c r="M161" i="25"/>
  <c r="M232" i="25"/>
  <c r="L232" i="25"/>
  <c r="N232" i="25" s="1"/>
  <c r="A173" i="32" s="1"/>
  <c r="X66" i="22"/>
  <c r="L152" i="25"/>
  <c r="N152" i="25" s="1"/>
  <c r="M152" i="25"/>
  <c r="L194" i="25"/>
  <c r="N194" i="25" s="1"/>
  <c r="M194" i="25"/>
  <c r="L268" i="25"/>
  <c r="M268" i="25"/>
  <c r="N268" i="25"/>
  <c r="L202" i="25"/>
  <c r="N202" i="25" s="1"/>
  <c r="M202" i="25"/>
  <c r="M132" i="25"/>
  <c r="L132" i="25"/>
  <c r="N132" i="25" s="1"/>
  <c r="L130" i="25"/>
  <c r="M130" i="25"/>
  <c r="N130" i="25"/>
  <c r="L101" i="25"/>
  <c r="N101" i="25" s="1"/>
  <c r="M101" i="25"/>
  <c r="L126" i="25"/>
  <c r="N126" i="25" s="1"/>
  <c r="M126" i="25"/>
  <c r="L77" i="25"/>
  <c r="N77" i="25" s="1"/>
  <c r="M77" i="25"/>
  <c r="L296" i="25"/>
  <c r="N296" i="25" s="1"/>
  <c r="M296" i="25"/>
  <c r="N76" i="25"/>
  <c r="L76" i="25"/>
  <c r="M76" i="25"/>
  <c r="L153" i="25"/>
  <c r="N153" i="25" s="1"/>
  <c r="M153" i="25"/>
  <c r="L125" i="25"/>
  <c r="N125" i="25" s="1"/>
  <c r="M125" i="25"/>
  <c r="M288" i="25"/>
  <c r="L288" i="25"/>
  <c r="N288" i="25" s="1"/>
  <c r="N68" i="25"/>
  <c r="L68" i="25"/>
  <c r="M68" i="25"/>
  <c r="L117" i="25"/>
  <c r="N117" i="25" s="1"/>
  <c r="M117" i="25"/>
  <c r="M136" i="25"/>
  <c r="L136" i="25"/>
  <c r="N136" i="25" s="1"/>
  <c r="L156" i="25"/>
  <c r="N156" i="25"/>
  <c r="M156" i="25"/>
  <c r="L245" i="25"/>
  <c r="N245" i="25" s="1"/>
  <c r="M245" i="25"/>
  <c r="L170" i="25"/>
  <c r="N170" i="25" s="1"/>
  <c r="M170" i="25"/>
  <c r="L233" i="25"/>
  <c r="N233" i="25" s="1"/>
  <c r="M233" i="25"/>
  <c r="L253" i="25"/>
  <c r="N253" i="25" s="1"/>
  <c r="M253" i="25"/>
  <c r="M230" i="25"/>
  <c r="L230" i="25"/>
  <c r="N230" i="25" s="1"/>
  <c r="M270" i="25"/>
  <c r="L270" i="25"/>
  <c r="N270" i="25" s="1"/>
  <c r="L108" i="25"/>
  <c r="N108" i="25" s="1"/>
  <c r="M108" i="25"/>
  <c r="M199" i="25"/>
  <c r="L199" i="25"/>
  <c r="N199" i="25" s="1"/>
  <c r="L140" i="25"/>
  <c r="M140" i="25"/>
  <c r="N140" i="25"/>
  <c r="L109" i="25"/>
  <c r="N109" i="25" s="1"/>
  <c r="M109" i="25"/>
  <c r="L85" i="25"/>
  <c r="N85" i="25" s="1"/>
  <c r="M85" i="25"/>
  <c r="L133" i="25"/>
  <c r="N133" i="25" s="1"/>
  <c r="M133" i="25"/>
  <c r="L142" i="25"/>
  <c r="M142" i="25"/>
  <c r="N142" i="25"/>
  <c r="M304" i="25"/>
  <c r="L304" i="25"/>
  <c r="N304" i="25"/>
  <c r="N84" i="25"/>
  <c r="L84" i="25"/>
  <c r="M84" i="25"/>
  <c r="L93" i="25"/>
  <c r="N93" i="25" s="1"/>
  <c r="M93" i="25"/>
  <c r="L260" i="25"/>
  <c r="N260" i="25" s="1"/>
  <c r="M260" i="25"/>
  <c r="L210" i="25"/>
  <c r="N210" i="25" s="1"/>
  <c r="M210" i="25"/>
  <c r="L229" i="25"/>
  <c r="N229" i="25" s="1"/>
  <c r="M229" i="25"/>
  <c r="L277" i="25"/>
  <c r="N277" i="25" s="1"/>
  <c r="M277" i="25"/>
  <c r="L186" i="25"/>
  <c r="N186" i="25" s="1"/>
  <c r="M186" i="25"/>
  <c r="N92" i="25"/>
  <c r="L92" i="25"/>
  <c r="M92" i="25"/>
  <c r="L162" i="25"/>
  <c r="M162" i="25"/>
  <c r="N162" i="25"/>
  <c r="N116" i="25"/>
  <c r="L116" i="25"/>
  <c r="M116" i="25"/>
  <c r="L148" i="25"/>
  <c r="N148" i="25" s="1"/>
  <c r="M148" i="25"/>
  <c r="M146" i="25"/>
  <c r="L146" i="25"/>
  <c r="N146" i="25"/>
  <c r="L178" i="25"/>
  <c r="N178" i="25" s="1"/>
  <c r="M178" i="25"/>
  <c r="L69" i="25"/>
  <c r="N69" i="25" s="1"/>
  <c r="M69" i="25"/>
  <c r="M281" i="25"/>
  <c r="L281" i="25"/>
  <c r="N281" i="25" s="1"/>
  <c r="L221" i="25"/>
  <c r="N221" i="25" s="1"/>
  <c r="M221" i="25"/>
  <c r="L134" i="25"/>
  <c r="N134" i="25" s="1"/>
  <c r="M134" i="25"/>
  <c r="N100" i="25"/>
  <c r="L100" i="25"/>
  <c r="M100" i="25"/>
  <c r="M124" i="25"/>
  <c r="L124" i="25"/>
  <c r="N124" i="25" s="1"/>
  <c r="M138" i="25"/>
  <c r="L138" i="25"/>
  <c r="N138" i="25"/>
  <c r="M144" i="25"/>
  <c r="N144" i="25"/>
  <c r="L144" i="25"/>
  <c r="J5" i="30"/>
  <c r="J4" i="30"/>
  <c r="A60" i="32" l="1"/>
  <c r="B60" i="32" s="1"/>
  <c r="AA246" i="25"/>
  <c r="A187" i="31" s="1"/>
  <c r="AK40" i="33"/>
  <c r="AK239" i="33"/>
  <c r="A23" i="32"/>
  <c r="B23" i="32" s="1"/>
  <c r="AA195" i="25"/>
  <c r="A136" i="31" s="1"/>
  <c r="AK250" i="33"/>
  <c r="AK240" i="33"/>
  <c r="AK243" i="33"/>
  <c r="AK244" i="33"/>
  <c r="AK249" i="33"/>
  <c r="AK247" i="33"/>
  <c r="AK248" i="33"/>
  <c r="AK242" i="33"/>
  <c r="AK272" i="33"/>
  <c r="AK251" i="33"/>
  <c r="AK245" i="33"/>
  <c r="AK252" i="33"/>
  <c r="AK241" i="33"/>
  <c r="AK246" i="33"/>
  <c r="AK343" i="33"/>
  <c r="AK337" i="33"/>
  <c r="AK354" i="33"/>
  <c r="AK362" i="33"/>
  <c r="AK361" i="33"/>
  <c r="AK351" i="33"/>
  <c r="A147" i="32"/>
  <c r="C147" i="32" s="1"/>
  <c r="AK371" i="33"/>
  <c r="AK369" i="33"/>
  <c r="AK367" i="33"/>
  <c r="AK365" i="33"/>
  <c r="AK358" i="33"/>
  <c r="AK338" i="33"/>
  <c r="AK349" i="33"/>
  <c r="AK360" i="33"/>
  <c r="AK368" i="33"/>
  <c r="AK370" i="33"/>
  <c r="AK366" i="33"/>
  <c r="AK359" i="33"/>
  <c r="AK363" i="33"/>
  <c r="AK364" i="33"/>
  <c r="AK356" i="33"/>
  <c r="AK357" i="33"/>
  <c r="AK342" i="33"/>
  <c r="AK333" i="33"/>
  <c r="AK341" i="33"/>
  <c r="AK347" i="33"/>
  <c r="AK332" i="33"/>
  <c r="AK344" i="33"/>
  <c r="AK340" i="33"/>
  <c r="AK331" i="33"/>
  <c r="AK355" i="33"/>
  <c r="AK50" i="33"/>
  <c r="AK339" i="33"/>
  <c r="AK345" i="33"/>
  <c r="AK330" i="33"/>
  <c r="AK353" i="33"/>
  <c r="AK348" i="33"/>
  <c r="AK346" i="33"/>
  <c r="AK336" i="33"/>
  <c r="AK352" i="33"/>
  <c r="AK350" i="33"/>
  <c r="AK334" i="33"/>
  <c r="AK335" i="33"/>
  <c r="AA297" i="25"/>
  <c r="A238" i="31" s="1"/>
  <c r="AK38" i="33"/>
  <c r="AK56" i="33"/>
  <c r="AK55" i="33"/>
  <c r="AK39" i="33"/>
  <c r="AK57" i="33"/>
  <c r="AK59" i="33"/>
  <c r="AK36" i="33"/>
  <c r="AK54" i="33"/>
  <c r="AK52" i="33"/>
  <c r="AK61" i="33"/>
  <c r="AK45" i="33"/>
  <c r="AK48" i="33"/>
  <c r="AK64" i="33"/>
  <c r="AK58" i="33"/>
  <c r="AK49" i="33"/>
  <c r="AK47" i="33"/>
  <c r="AK63" i="33"/>
  <c r="AK43" i="33"/>
  <c r="AK41" i="33"/>
  <c r="AK46" i="33"/>
  <c r="AK37" i="33"/>
  <c r="AK44" i="33"/>
  <c r="AK35" i="33"/>
  <c r="AK62" i="33"/>
  <c r="AK53" i="33"/>
  <c r="AK42" i="33"/>
  <c r="AK60" i="33"/>
  <c r="AK51" i="33"/>
  <c r="AK180" i="33"/>
  <c r="AK177" i="33"/>
  <c r="AK188" i="33"/>
  <c r="AK183" i="33"/>
  <c r="AK166" i="33"/>
  <c r="AK168" i="33"/>
  <c r="AK175" i="33"/>
  <c r="AK169" i="33"/>
  <c r="AK171" i="33"/>
  <c r="AK179" i="33"/>
  <c r="AK182" i="33"/>
  <c r="AK184" i="33"/>
  <c r="AK170" i="33"/>
  <c r="AK185" i="33"/>
  <c r="AK186" i="33"/>
  <c r="AK172" i="33"/>
  <c r="AK149" i="33"/>
  <c r="AK178" i="33"/>
  <c r="AK181" i="33"/>
  <c r="AK167" i="33"/>
  <c r="AK187" i="33"/>
  <c r="AK173" i="33"/>
  <c r="AK174" i="33"/>
  <c r="AK176" i="33"/>
  <c r="AA94" i="25"/>
  <c r="A35" i="31" s="1"/>
  <c r="A6" i="32"/>
  <c r="B6" i="32" s="1"/>
  <c r="A31" i="32"/>
  <c r="C31" i="32" s="1"/>
  <c r="AA258" i="25"/>
  <c r="A199" i="31" s="1"/>
  <c r="AK165" i="33"/>
  <c r="A82" i="32"/>
  <c r="B82" i="32" s="1"/>
  <c r="AK153" i="33"/>
  <c r="AK162" i="33"/>
  <c r="AK163" i="33"/>
  <c r="AK158" i="33"/>
  <c r="AK151" i="33"/>
  <c r="AK164" i="33"/>
  <c r="AK161" i="33"/>
  <c r="AK159" i="33"/>
  <c r="A16" i="32"/>
  <c r="C16" i="32" s="1"/>
  <c r="AK160" i="33"/>
  <c r="AA198" i="25"/>
  <c r="A139" i="31" s="1"/>
  <c r="AK156" i="33"/>
  <c r="AK150" i="33"/>
  <c r="AK157" i="33"/>
  <c r="AK204" i="33"/>
  <c r="AK213" i="33"/>
  <c r="AK155" i="33"/>
  <c r="AK152" i="33"/>
  <c r="AK154" i="33"/>
  <c r="AK210" i="33"/>
  <c r="AK211" i="33"/>
  <c r="AK202" i="33"/>
  <c r="AK203" i="33"/>
  <c r="AK208" i="33"/>
  <c r="AK226" i="33"/>
  <c r="AK216" i="33"/>
  <c r="AK214" i="33"/>
  <c r="AK207" i="33"/>
  <c r="AK212" i="33"/>
  <c r="AK205" i="33"/>
  <c r="AK209" i="33"/>
  <c r="AK206" i="33"/>
  <c r="AK215" i="33"/>
  <c r="A109" i="32"/>
  <c r="C109" i="32" s="1"/>
  <c r="A180" i="32"/>
  <c r="C180" i="32" s="1"/>
  <c r="AA239" i="25"/>
  <c r="A180" i="31" s="1"/>
  <c r="A40" i="32"/>
  <c r="C40" i="32" s="1"/>
  <c r="AA99" i="25"/>
  <c r="A40" i="31" s="1"/>
  <c r="AA191" i="25"/>
  <c r="A132" i="31" s="1"/>
  <c r="A132" i="32"/>
  <c r="B132" i="32" s="1"/>
  <c r="AK228" i="33"/>
  <c r="AK219" i="33"/>
  <c r="AK221" i="33"/>
  <c r="AK220" i="33"/>
  <c r="AK223" i="33"/>
  <c r="AK233" i="33"/>
  <c r="AK236" i="33"/>
  <c r="AK224" i="33"/>
  <c r="AK230" i="33"/>
  <c r="AK217" i="33"/>
  <c r="AK225" i="33"/>
  <c r="AK234" i="33"/>
  <c r="AK232" i="33"/>
  <c r="AK227" i="33"/>
  <c r="AK218" i="33"/>
  <c r="AK235" i="33"/>
  <c r="AK229" i="33"/>
  <c r="AK231" i="33"/>
  <c r="AK222" i="33"/>
  <c r="AK143" i="33"/>
  <c r="A113" i="32"/>
  <c r="B113" i="32" s="1"/>
  <c r="A55" i="32"/>
  <c r="B55" i="32" s="1"/>
  <c r="AA247" i="25"/>
  <c r="A188" i="31" s="1"/>
  <c r="A116" i="32"/>
  <c r="C116" i="32" s="1"/>
  <c r="AK320" i="33"/>
  <c r="A210" i="32"/>
  <c r="C210" i="32" s="1"/>
  <c r="AA249" i="25"/>
  <c r="A190" i="31" s="1"/>
  <c r="A246" i="32"/>
  <c r="B246" i="32" s="1"/>
  <c r="B221" i="32"/>
  <c r="A100" i="32"/>
  <c r="AA74" i="25"/>
  <c r="A15" i="31" s="1"/>
  <c r="AK293" i="33"/>
  <c r="AK327" i="33"/>
  <c r="AK142" i="33"/>
  <c r="AK324" i="33"/>
  <c r="AK322" i="33"/>
  <c r="AK294" i="33"/>
  <c r="AK328" i="33"/>
  <c r="AK295" i="33"/>
  <c r="AK325" i="33"/>
  <c r="AK326" i="33"/>
  <c r="AK321" i="33"/>
  <c r="AK323" i="33"/>
  <c r="AA286" i="25"/>
  <c r="A227" i="31" s="1"/>
  <c r="A227" i="32"/>
  <c r="AA301" i="25"/>
  <c r="A242" i="31" s="1"/>
  <c r="A242" i="32"/>
  <c r="C236" i="32"/>
  <c r="B236" i="32"/>
  <c r="B233" i="32"/>
  <c r="C233" i="32"/>
  <c r="AA298" i="25"/>
  <c r="A239" i="31" s="1"/>
  <c r="A239" i="32"/>
  <c r="AA307" i="25"/>
  <c r="A248" i="31" s="1"/>
  <c r="A248" i="32"/>
  <c r="AA304" i="25"/>
  <c r="A245" i="31" s="1"/>
  <c r="A245" i="32"/>
  <c r="AA291" i="25"/>
  <c r="A232" i="31" s="1"/>
  <c r="A232" i="32"/>
  <c r="B238" i="32"/>
  <c r="C238" i="32"/>
  <c r="B228" i="32"/>
  <c r="C228" i="32"/>
  <c r="AA288" i="25"/>
  <c r="A229" i="31" s="1"/>
  <c r="A229" i="32"/>
  <c r="AA294" i="25"/>
  <c r="A235" i="31" s="1"/>
  <c r="A235" i="32"/>
  <c r="AA299" i="25"/>
  <c r="A240" i="31" s="1"/>
  <c r="A240" i="32"/>
  <c r="B231" i="32"/>
  <c r="C231" i="32"/>
  <c r="AA296" i="25"/>
  <c r="A237" i="31" s="1"/>
  <c r="A237" i="32"/>
  <c r="AA293" i="25"/>
  <c r="A234" i="31" s="1"/>
  <c r="A234" i="32"/>
  <c r="AA285" i="25"/>
  <c r="A226" i="31" s="1"/>
  <c r="A226" i="32"/>
  <c r="AA289" i="25"/>
  <c r="A230" i="31" s="1"/>
  <c r="A230" i="32"/>
  <c r="B241" i="32"/>
  <c r="C241" i="32"/>
  <c r="B244" i="32"/>
  <c r="C244" i="32"/>
  <c r="B247" i="32"/>
  <c r="C247" i="32"/>
  <c r="AA302" i="25"/>
  <c r="A243" i="31" s="1"/>
  <c r="A243" i="32"/>
  <c r="B225" i="32"/>
  <c r="C225" i="32"/>
  <c r="AK133" i="33"/>
  <c r="AK291" i="33"/>
  <c r="AK290" i="33"/>
  <c r="A52" i="32"/>
  <c r="B52" i="32" s="1"/>
  <c r="A114" i="32"/>
  <c r="B114" i="32" s="1"/>
  <c r="AA107" i="25"/>
  <c r="A48" i="31" s="1"/>
  <c r="AK114" i="33"/>
  <c r="AK131" i="33"/>
  <c r="AK128" i="33"/>
  <c r="AK124" i="33"/>
  <c r="AK127" i="33"/>
  <c r="AK137" i="33"/>
  <c r="AK136" i="33"/>
  <c r="AK134" i="33"/>
  <c r="AK132" i="33"/>
  <c r="AK129" i="33"/>
  <c r="AK141" i="33"/>
  <c r="AK145" i="33"/>
  <c r="AK138" i="33"/>
  <c r="AK126" i="33"/>
  <c r="AK122" i="33"/>
  <c r="AK135" i="33"/>
  <c r="AK125" i="33"/>
  <c r="AK130" i="33"/>
  <c r="AK123" i="33"/>
  <c r="AK144" i="33"/>
  <c r="AK140" i="33"/>
  <c r="AK139" i="33"/>
  <c r="AK116" i="33"/>
  <c r="AK107" i="33"/>
  <c r="AK120" i="33"/>
  <c r="AK115" i="33"/>
  <c r="AK119" i="33"/>
  <c r="AK112" i="33"/>
  <c r="AK111" i="33"/>
  <c r="AK109" i="33"/>
  <c r="AK110" i="33"/>
  <c r="AK113" i="33"/>
  <c r="AK121" i="33"/>
  <c r="AK118" i="33"/>
  <c r="AK108" i="33"/>
  <c r="AK117" i="33"/>
  <c r="AA205" i="25"/>
  <c r="A146" i="31" s="1"/>
  <c r="A22" i="32"/>
  <c r="C22" i="32" s="1"/>
  <c r="A198" i="32"/>
  <c r="B198" i="32" s="1"/>
  <c r="AK34" i="33"/>
  <c r="AK29" i="33"/>
  <c r="AK32" i="33"/>
  <c r="AK33" i="33"/>
  <c r="AA79" i="25"/>
  <c r="A20" i="31" s="1"/>
  <c r="A193" i="32"/>
  <c r="B193" i="32" s="1"/>
  <c r="AK30" i="33"/>
  <c r="AK31" i="33"/>
  <c r="AK28" i="33"/>
  <c r="A29" i="32"/>
  <c r="B29" i="32" s="1"/>
  <c r="AK23" i="33"/>
  <c r="AK27" i="33"/>
  <c r="AK26" i="33"/>
  <c r="AK24" i="33"/>
  <c r="AK25" i="33"/>
  <c r="A207" i="32"/>
  <c r="B207" i="32" s="1"/>
  <c r="AK20" i="33"/>
  <c r="AK22" i="33"/>
  <c r="AK21" i="33"/>
  <c r="AK19" i="33"/>
  <c r="AK17" i="33"/>
  <c r="AK18" i="33"/>
  <c r="A129" i="32"/>
  <c r="B129" i="32" s="1"/>
  <c r="A24" i="32"/>
  <c r="B24" i="32" s="1"/>
  <c r="AK102" i="33"/>
  <c r="AK101" i="33"/>
  <c r="AK104" i="33"/>
  <c r="AK103" i="33"/>
  <c r="AK106" i="33"/>
  <c r="AK105" i="33"/>
  <c r="AK98" i="33"/>
  <c r="AK97" i="33"/>
  <c r="A5" i="32"/>
  <c r="C5" i="32" s="1"/>
  <c r="AK99" i="33"/>
  <c r="AK100" i="33"/>
  <c r="AK95" i="33"/>
  <c r="AK96" i="33"/>
  <c r="AK86" i="33"/>
  <c r="AK90" i="33"/>
  <c r="AK314" i="33"/>
  <c r="AK93" i="33"/>
  <c r="A92" i="32"/>
  <c r="C92" i="32" s="1"/>
  <c r="AK94" i="33"/>
  <c r="A51" i="32"/>
  <c r="C51" i="32" s="1"/>
  <c r="A167" i="32"/>
  <c r="C167" i="32" s="1"/>
  <c r="AA208" i="25"/>
  <c r="A149" i="31" s="1"/>
  <c r="A219" i="32"/>
  <c r="B219" i="32" s="1"/>
  <c r="AK92" i="33"/>
  <c r="AK91" i="33"/>
  <c r="AK88" i="33"/>
  <c r="AK89" i="33"/>
  <c r="AK87" i="33"/>
  <c r="AK85" i="33"/>
  <c r="A159" i="32"/>
  <c r="C159" i="32" s="1"/>
  <c r="A206" i="32"/>
  <c r="B206" i="32" s="1"/>
  <c r="AK304" i="33"/>
  <c r="AK289" i="33"/>
  <c r="AK318" i="33"/>
  <c r="AK313" i="33"/>
  <c r="AK315" i="33"/>
  <c r="AK316" i="33"/>
  <c r="AK309" i="33"/>
  <c r="AK312" i="33"/>
  <c r="AK317" i="33"/>
  <c r="AK311" i="33"/>
  <c r="AK319" i="33"/>
  <c r="AK329" i="33"/>
  <c r="AK310" i="33"/>
  <c r="AA282" i="25"/>
  <c r="A223" i="31" s="1"/>
  <c r="AK288" i="33"/>
  <c r="AK287" i="33"/>
  <c r="A69" i="32"/>
  <c r="B69" i="32" s="1"/>
  <c r="AK303" i="33"/>
  <c r="AK301" i="33"/>
  <c r="AK300" i="33"/>
  <c r="AK308" i="33"/>
  <c r="AK305" i="33"/>
  <c r="AK306" i="33"/>
  <c r="AK307" i="33"/>
  <c r="AK302" i="33"/>
  <c r="AK299" i="33"/>
  <c r="X84" i="22"/>
  <c r="AK83" i="33"/>
  <c r="AK82" i="33"/>
  <c r="AK84" i="33"/>
  <c r="AK73" i="33"/>
  <c r="AK79" i="33"/>
  <c r="AK81" i="33"/>
  <c r="AA113" i="25"/>
  <c r="A54" i="31" s="1"/>
  <c r="AK80" i="33"/>
  <c r="A134" i="32"/>
  <c r="B134" i="32" s="1"/>
  <c r="AK78" i="33"/>
  <c r="AK77" i="33"/>
  <c r="AK76" i="33"/>
  <c r="AK148" i="33"/>
  <c r="AK75" i="33"/>
  <c r="AA154" i="25"/>
  <c r="A95" i="31" s="1"/>
  <c r="AK74" i="33"/>
  <c r="AK146" i="33"/>
  <c r="AK72" i="33"/>
  <c r="AK68" i="33"/>
  <c r="AK147" i="33"/>
  <c r="AK69" i="33"/>
  <c r="AK71" i="33"/>
  <c r="AK70" i="33"/>
  <c r="AK14" i="33"/>
  <c r="AK15" i="33"/>
  <c r="AK5" i="33"/>
  <c r="AK67" i="33"/>
  <c r="AK16" i="33"/>
  <c r="AK66" i="33"/>
  <c r="AK238" i="33"/>
  <c r="AA271" i="25"/>
  <c r="A212" i="31" s="1"/>
  <c r="A212" i="32"/>
  <c r="C212" i="32" s="1"/>
  <c r="AK13" i="33"/>
  <c r="AK10" i="33"/>
  <c r="AK65" i="33"/>
  <c r="AK7" i="33"/>
  <c r="AK6" i="33"/>
  <c r="AK8" i="33"/>
  <c r="AK11" i="33"/>
  <c r="AK199" i="33"/>
  <c r="AK200" i="33"/>
  <c r="AK237" i="33"/>
  <c r="AK9" i="33"/>
  <c r="AK201" i="33"/>
  <c r="AK12" i="33"/>
  <c r="A32" i="32"/>
  <c r="B32" i="32" s="1"/>
  <c r="A59" i="32"/>
  <c r="C59" i="32" s="1"/>
  <c r="A205" i="32"/>
  <c r="B205" i="32" s="1"/>
  <c r="AA106" i="25"/>
  <c r="A47" i="31" s="1"/>
  <c r="AA71" i="25"/>
  <c r="A12" i="31" s="1"/>
  <c r="A12" i="32"/>
  <c r="C12" i="32" s="1"/>
  <c r="A36" i="32"/>
  <c r="C36" i="32" s="1"/>
  <c r="A154" i="32"/>
  <c r="B154" i="32" s="1"/>
  <c r="C175" i="32"/>
  <c r="A91" i="32"/>
  <c r="B91" i="32" s="1"/>
  <c r="A208" i="32"/>
  <c r="B208" i="32" s="1"/>
  <c r="B169" i="32"/>
  <c r="AA232" i="25"/>
  <c r="A173" i="31" s="1"/>
  <c r="AA174" i="25"/>
  <c r="A115" i="31" s="1"/>
  <c r="AA254" i="25"/>
  <c r="A195" i="31" s="1"/>
  <c r="AA256" i="25"/>
  <c r="A197" i="31" s="1"/>
  <c r="AA250" i="25"/>
  <c r="A191" i="31" s="1"/>
  <c r="AA244" i="25"/>
  <c r="A185" i="31" s="1"/>
  <c r="A165" i="32"/>
  <c r="B165" i="32" s="1"/>
  <c r="AA284" i="25"/>
  <c r="A225" i="31" s="1"/>
  <c r="AA101" i="25"/>
  <c r="A42" i="31" s="1"/>
  <c r="A42" i="32"/>
  <c r="AA163" i="25"/>
  <c r="A104" i="31" s="1"/>
  <c r="A104" i="32"/>
  <c r="AA216" i="25"/>
  <c r="A157" i="31" s="1"/>
  <c r="A157" i="32"/>
  <c r="AA236" i="25"/>
  <c r="A177" i="31" s="1"/>
  <c r="A177" i="32"/>
  <c r="AA274" i="25"/>
  <c r="A215" i="31" s="1"/>
  <c r="A215" i="32"/>
  <c r="B95" i="32"/>
  <c r="C95" i="32"/>
  <c r="B197" i="32"/>
  <c r="C197" i="32"/>
  <c r="B61" i="32"/>
  <c r="C61" i="32"/>
  <c r="B47" i="32"/>
  <c r="C47" i="32"/>
  <c r="B204" i="32"/>
  <c r="C204" i="32"/>
  <c r="B72" i="32"/>
  <c r="C72" i="32"/>
  <c r="B15" i="32"/>
  <c r="C15" i="32"/>
  <c r="B54" i="32"/>
  <c r="C54" i="32"/>
  <c r="B150" i="32"/>
  <c r="C150" i="32"/>
  <c r="B133" i="32"/>
  <c r="C133" i="32"/>
  <c r="B19" i="32"/>
  <c r="C19" i="32"/>
  <c r="B196" i="32"/>
  <c r="C196" i="32"/>
  <c r="B84" i="32"/>
  <c r="C84" i="32"/>
  <c r="B179" i="32"/>
  <c r="C179" i="32"/>
  <c r="B63" i="32"/>
  <c r="C63" i="32"/>
  <c r="B195" i="32"/>
  <c r="C195" i="32"/>
  <c r="B56" i="32"/>
  <c r="C56" i="32"/>
  <c r="B188" i="32"/>
  <c r="C188" i="32"/>
  <c r="B156" i="32"/>
  <c r="C156" i="32"/>
  <c r="B161" i="32"/>
  <c r="C161" i="32"/>
  <c r="B98" i="32"/>
  <c r="C98" i="32"/>
  <c r="AA134" i="25"/>
  <c r="A75" i="31" s="1"/>
  <c r="A75" i="32"/>
  <c r="B224" i="32"/>
  <c r="C224" i="32"/>
  <c r="AA277" i="25"/>
  <c r="A218" i="31" s="1"/>
  <c r="A218" i="32"/>
  <c r="AA245" i="25"/>
  <c r="A186" i="31" s="1"/>
  <c r="A186" i="32"/>
  <c r="AA130" i="25"/>
  <c r="A71" i="31" s="1"/>
  <c r="A71" i="32"/>
  <c r="AA248" i="25"/>
  <c r="A189" i="31" s="1"/>
  <c r="A189" i="32"/>
  <c r="AA242" i="25"/>
  <c r="A183" i="31" s="1"/>
  <c r="A183" i="32"/>
  <c r="AA142" i="25"/>
  <c r="A83" i="31" s="1"/>
  <c r="A83" i="32"/>
  <c r="AA87" i="25"/>
  <c r="A28" i="31" s="1"/>
  <c r="A28" i="32"/>
  <c r="AA155" i="25"/>
  <c r="A96" i="31" s="1"/>
  <c r="A96" i="32"/>
  <c r="B199" i="32"/>
  <c r="C199" i="32"/>
  <c r="B178" i="32"/>
  <c r="C178" i="32"/>
  <c r="B44" i="32"/>
  <c r="C44" i="32"/>
  <c r="B149" i="32"/>
  <c r="C149" i="32"/>
  <c r="B137" i="32"/>
  <c r="C137" i="32"/>
  <c r="B139" i="32"/>
  <c r="C139" i="32"/>
  <c r="B21" i="32"/>
  <c r="C21" i="32"/>
  <c r="B46" i="32"/>
  <c r="C46" i="32"/>
  <c r="B7" i="32"/>
  <c r="C7" i="32"/>
  <c r="B115" i="32"/>
  <c r="C115" i="32"/>
  <c r="B142" i="32"/>
  <c r="C142" i="32"/>
  <c r="B38" i="32"/>
  <c r="C38" i="32"/>
  <c r="B185" i="32"/>
  <c r="C185" i="32"/>
  <c r="B39" i="32"/>
  <c r="C39" i="32"/>
  <c r="B184" i="32"/>
  <c r="C184" i="32"/>
  <c r="B117" i="32"/>
  <c r="C117" i="32"/>
  <c r="B213" i="32"/>
  <c r="C213" i="32"/>
  <c r="B108" i="32"/>
  <c r="C108" i="32"/>
  <c r="B138" i="32"/>
  <c r="C138" i="32"/>
  <c r="AA152" i="25"/>
  <c r="A93" i="31" s="1"/>
  <c r="A93" i="32"/>
  <c r="AA117" i="25"/>
  <c r="A58" i="31" s="1"/>
  <c r="A58" i="32"/>
  <c r="AA109" i="25"/>
  <c r="A50" i="31" s="1"/>
  <c r="A50" i="32"/>
  <c r="AA93" i="25"/>
  <c r="A34" i="31" s="1"/>
  <c r="A34" i="32"/>
  <c r="AA164" i="25"/>
  <c r="A105" i="31" s="1"/>
  <c r="A105" i="32"/>
  <c r="AA171" i="25"/>
  <c r="A112" i="31" s="1"/>
  <c r="A112" i="32"/>
  <c r="AA125" i="25"/>
  <c r="A66" i="31" s="1"/>
  <c r="A66" i="32"/>
  <c r="AA187" i="25"/>
  <c r="A128" i="31" s="1"/>
  <c r="A128" i="32"/>
  <c r="AA92" i="25"/>
  <c r="A33" i="31" s="1"/>
  <c r="A33" i="32"/>
  <c r="AA153" i="25"/>
  <c r="A94" i="31" s="1"/>
  <c r="A94" i="32"/>
  <c r="AA221" i="25"/>
  <c r="A162" i="31" s="1"/>
  <c r="A162" i="32"/>
  <c r="AA186" i="25"/>
  <c r="A127" i="31" s="1"/>
  <c r="A127" i="32"/>
  <c r="AA210" i="25"/>
  <c r="A151" i="31" s="1"/>
  <c r="A151" i="32"/>
  <c r="AA233" i="25"/>
  <c r="A174" i="31" s="1"/>
  <c r="A174" i="32"/>
  <c r="AA68" i="25"/>
  <c r="A9" i="31" s="1"/>
  <c r="A9" i="32"/>
  <c r="AA126" i="25"/>
  <c r="A67" i="31" s="1"/>
  <c r="A67" i="32"/>
  <c r="AA240" i="25"/>
  <c r="A181" i="31" s="1"/>
  <c r="A181" i="32"/>
  <c r="AA214" i="25"/>
  <c r="A155" i="31" s="1"/>
  <c r="A155" i="32"/>
  <c r="AA211" i="25"/>
  <c r="A152" i="31" s="1"/>
  <c r="A152" i="32"/>
  <c r="AA190" i="25"/>
  <c r="A131" i="31" s="1"/>
  <c r="A131" i="32"/>
  <c r="AA182" i="25"/>
  <c r="A123" i="31" s="1"/>
  <c r="A123" i="32"/>
  <c r="AA67" i="25"/>
  <c r="A8" i="31" s="1"/>
  <c r="A8" i="32"/>
  <c r="B122" i="32"/>
  <c r="C122" i="32"/>
  <c r="B80" i="32"/>
  <c r="C80" i="32"/>
  <c r="B13" i="32"/>
  <c r="C13" i="32"/>
  <c r="B187" i="32"/>
  <c r="C187" i="32"/>
  <c r="B121" i="32"/>
  <c r="C121" i="32"/>
  <c r="B37" i="32"/>
  <c r="C37" i="32"/>
  <c r="B20" i="32"/>
  <c r="C20" i="32"/>
  <c r="B43" i="32"/>
  <c r="C43" i="32"/>
  <c r="B86" i="32"/>
  <c r="C86" i="32"/>
  <c r="B191" i="32"/>
  <c r="C191" i="32"/>
  <c r="B130" i="32"/>
  <c r="C130" i="32"/>
  <c r="B78" i="32"/>
  <c r="C78" i="32"/>
  <c r="B148" i="32"/>
  <c r="C148" i="32"/>
  <c r="B146" i="32"/>
  <c r="C146" i="32"/>
  <c r="B220" i="32"/>
  <c r="C220" i="32"/>
  <c r="B172" i="32"/>
  <c r="C172" i="32"/>
  <c r="B99" i="32"/>
  <c r="C99" i="32"/>
  <c r="B126" i="32"/>
  <c r="C126" i="32"/>
  <c r="B136" i="32"/>
  <c r="C136" i="32"/>
  <c r="B153" i="32"/>
  <c r="C153" i="32"/>
  <c r="AA85" i="25"/>
  <c r="A26" i="31" s="1"/>
  <c r="A26" i="32"/>
  <c r="AA69" i="25"/>
  <c r="A10" i="31" s="1"/>
  <c r="A10" i="32"/>
  <c r="AA253" i="25"/>
  <c r="A194" i="31" s="1"/>
  <c r="A194" i="32"/>
  <c r="AA268" i="25"/>
  <c r="A209" i="31" s="1"/>
  <c r="A209" i="32"/>
  <c r="AA251" i="25"/>
  <c r="A192" i="31" s="1"/>
  <c r="A192" i="32"/>
  <c r="AA273" i="25"/>
  <c r="A214" i="31" s="1"/>
  <c r="A214" i="32"/>
  <c r="AA144" i="25"/>
  <c r="A85" i="31" s="1"/>
  <c r="A85" i="32"/>
  <c r="AA146" i="25"/>
  <c r="A87" i="31" s="1"/>
  <c r="A87" i="32"/>
  <c r="AA270" i="25"/>
  <c r="A211" i="31" s="1"/>
  <c r="A211" i="32"/>
  <c r="AA194" i="25"/>
  <c r="A135" i="31" s="1"/>
  <c r="A135" i="32"/>
  <c r="AA222" i="25"/>
  <c r="A163" i="31" s="1"/>
  <c r="A163" i="32"/>
  <c r="AA259" i="25"/>
  <c r="A200" i="31" s="1"/>
  <c r="A200" i="32"/>
  <c r="B223" i="32"/>
  <c r="C223" i="32"/>
  <c r="AA219" i="25"/>
  <c r="A160" i="31" s="1"/>
  <c r="A160" i="32"/>
  <c r="AA178" i="25"/>
  <c r="A119" i="31" s="1"/>
  <c r="A119" i="32"/>
  <c r="AA108" i="25"/>
  <c r="A49" i="31" s="1"/>
  <c r="A49" i="32"/>
  <c r="AA179" i="25"/>
  <c r="A120" i="31" s="1"/>
  <c r="A120" i="32"/>
  <c r="AA140" i="25"/>
  <c r="A81" i="31" s="1"/>
  <c r="A81" i="32"/>
  <c r="AA156" i="25"/>
  <c r="A97" i="31" s="1"/>
  <c r="A97" i="32"/>
  <c r="A222" i="32"/>
  <c r="AA281" i="25"/>
  <c r="A222" i="31" s="1"/>
  <c r="AA170" i="25"/>
  <c r="A111" i="31" s="1"/>
  <c r="A111" i="32"/>
  <c r="AA276" i="25"/>
  <c r="A217" i="31" s="1"/>
  <c r="A217" i="32"/>
  <c r="AA162" i="25"/>
  <c r="A103" i="31" s="1"/>
  <c r="A103" i="32"/>
  <c r="AA84" i="25"/>
  <c r="A25" i="31" s="1"/>
  <c r="A25" i="32"/>
  <c r="AA133" i="25"/>
  <c r="A74" i="31" s="1"/>
  <c r="A74" i="32"/>
  <c r="AA199" i="25"/>
  <c r="A140" i="31" s="1"/>
  <c r="A140" i="32"/>
  <c r="AA230" i="25"/>
  <c r="A171" i="31" s="1"/>
  <c r="A171" i="32"/>
  <c r="AA136" i="25"/>
  <c r="A77" i="31" s="1"/>
  <c r="A77" i="32"/>
  <c r="AA76" i="25"/>
  <c r="A17" i="31" s="1"/>
  <c r="A17" i="32"/>
  <c r="AA132" i="25"/>
  <c r="A73" i="31" s="1"/>
  <c r="A73" i="32"/>
  <c r="AA147" i="25"/>
  <c r="A88" i="31" s="1"/>
  <c r="A88" i="32"/>
  <c r="AA129" i="25"/>
  <c r="A70" i="31" s="1"/>
  <c r="A70" i="32"/>
  <c r="AA227" i="25"/>
  <c r="A168" i="31" s="1"/>
  <c r="A168" i="32"/>
  <c r="B145" i="32"/>
  <c r="C145" i="32"/>
  <c r="B64" i="32"/>
  <c r="C64" i="32"/>
  <c r="B27" i="32"/>
  <c r="C27" i="32"/>
  <c r="B118" i="32"/>
  <c r="C118" i="32"/>
  <c r="B45" i="32"/>
  <c r="C45" i="32"/>
  <c r="B35" i="32"/>
  <c r="C35" i="32"/>
  <c r="B202" i="32"/>
  <c r="C202" i="32"/>
  <c r="B173" i="32"/>
  <c r="C173" i="32"/>
  <c r="B48" i="32"/>
  <c r="C48" i="32"/>
  <c r="B30" i="32"/>
  <c r="C30" i="32"/>
  <c r="B90" i="32"/>
  <c r="C90" i="32"/>
  <c r="B182" i="32"/>
  <c r="C182" i="32"/>
  <c r="B53" i="32"/>
  <c r="C53" i="32"/>
  <c r="B14" i="32"/>
  <c r="C14" i="32"/>
  <c r="B106" i="32"/>
  <c r="C106" i="32"/>
  <c r="B164" i="32"/>
  <c r="C164" i="32"/>
  <c r="B158" i="32"/>
  <c r="C158" i="32"/>
  <c r="B125" i="32"/>
  <c r="C125" i="32"/>
  <c r="B124" i="32"/>
  <c r="C124" i="32"/>
  <c r="B141" i="32"/>
  <c r="C141" i="32"/>
  <c r="B110" i="32"/>
  <c r="C110" i="32"/>
  <c r="B190" i="32"/>
  <c r="C190" i="32"/>
  <c r="B216" i="32"/>
  <c r="C216" i="32"/>
  <c r="B68" i="32"/>
  <c r="C68" i="32"/>
  <c r="AA148" i="25"/>
  <c r="A89" i="31" s="1"/>
  <c r="A89" i="32"/>
  <c r="AA135" i="25"/>
  <c r="A76" i="31" s="1"/>
  <c r="A76" i="32"/>
  <c r="AA160" i="25"/>
  <c r="A101" i="31" s="1"/>
  <c r="A101" i="32"/>
  <c r="AA229" i="25"/>
  <c r="A170" i="31" s="1"/>
  <c r="A170" i="32"/>
  <c r="AA77" i="25"/>
  <c r="A18" i="31" s="1"/>
  <c r="A18" i="32"/>
  <c r="AA262" i="25"/>
  <c r="A203" i="31" s="1"/>
  <c r="A203" i="32"/>
  <c r="AA166" i="25"/>
  <c r="A107" i="31" s="1"/>
  <c r="A107" i="32"/>
  <c r="AA124" i="25"/>
  <c r="A65" i="31" s="1"/>
  <c r="A65" i="32"/>
  <c r="AA116" i="25"/>
  <c r="A57" i="31" s="1"/>
  <c r="A57" i="32"/>
  <c r="AA138" i="25"/>
  <c r="A79" i="31" s="1"/>
  <c r="A79" i="32"/>
  <c r="AA100" i="25"/>
  <c r="A41" i="31" s="1"/>
  <c r="A41" i="32"/>
  <c r="AA260" i="25"/>
  <c r="A201" i="31" s="1"/>
  <c r="A201" i="32"/>
  <c r="AA202" i="25"/>
  <c r="A143" i="31" s="1"/>
  <c r="A143" i="32"/>
  <c r="AA161" i="25"/>
  <c r="A102" i="31" s="1"/>
  <c r="A102" i="32"/>
  <c r="AA70" i="25"/>
  <c r="A11" i="31" s="1"/>
  <c r="A11" i="32"/>
  <c r="AA225" i="25"/>
  <c r="A166" i="31" s="1"/>
  <c r="A166" i="32"/>
  <c r="AA235" i="25"/>
  <c r="A176" i="31" s="1"/>
  <c r="A176" i="32"/>
  <c r="AA121" i="25"/>
  <c r="A62" i="31" s="1"/>
  <c r="A62" i="32"/>
  <c r="AA203" i="25"/>
  <c r="A144" i="31" s="1"/>
  <c r="A144" i="32"/>
  <c r="E14" i="10"/>
  <c r="D20" i="10"/>
  <c r="B63" i="29"/>
  <c r="E149" i="29"/>
  <c r="D149" i="29" s="1"/>
  <c r="E148" i="29"/>
  <c r="D148" i="29" s="1"/>
  <c r="E147" i="29"/>
  <c r="D147" i="29" s="1"/>
  <c r="E146" i="29"/>
  <c r="D146" i="29" s="1"/>
  <c r="E145" i="29"/>
  <c r="D145" i="29" s="1"/>
  <c r="E144" i="29"/>
  <c r="D144" i="29" s="1"/>
  <c r="E143" i="29"/>
  <c r="D143" i="29" s="1"/>
  <c r="E142" i="29"/>
  <c r="D142" i="29" s="1"/>
  <c r="E141" i="29"/>
  <c r="D141" i="29" s="1"/>
  <c r="E140" i="29"/>
  <c r="D140" i="29" s="1"/>
  <c r="E139" i="29"/>
  <c r="D139" i="29" s="1"/>
  <c r="E138" i="29"/>
  <c r="D138" i="29" s="1"/>
  <c r="E137" i="29"/>
  <c r="D137" i="29" s="1"/>
  <c r="E136" i="29"/>
  <c r="D136" i="29" s="1"/>
  <c r="E135" i="29"/>
  <c r="D135" i="29" s="1"/>
  <c r="E134" i="29"/>
  <c r="D134" i="29" s="1"/>
  <c r="E133" i="29"/>
  <c r="D133" i="29" s="1"/>
  <c r="E132" i="29"/>
  <c r="D132" i="29" s="1"/>
  <c r="E131" i="29"/>
  <c r="D131" i="29" s="1"/>
  <c r="E130" i="29"/>
  <c r="D130" i="29" s="1"/>
  <c r="E118" i="29"/>
  <c r="D118" i="29" s="1"/>
  <c r="E119" i="29"/>
  <c r="D119" i="29" s="1"/>
  <c r="E120" i="29"/>
  <c r="D120" i="29" s="1"/>
  <c r="E121" i="29"/>
  <c r="D121" i="29" s="1"/>
  <c r="E122" i="29"/>
  <c r="D122" i="29" s="1"/>
  <c r="E123" i="29"/>
  <c r="D123" i="29" s="1"/>
  <c r="E124" i="29"/>
  <c r="D124" i="29" s="1"/>
  <c r="E125" i="29"/>
  <c r="D125" i="29" s="1"/>
  <c r="E126" i="29"/>
  <c r="D126" i="29" s="1"/>
  <c r="E127" i="29"/>
  <c r="D127" i="29" s="1"/>
  <c r="E128" i="29"/>
  <c r="D128" i="29" s="1"/>
  <c r="E129" i="29"/>
  <c r="D129" i="29" s="1"/>
  <c r="E117" i="29"/>
  <c r="D117" i="29" s="1"/>
  <c r="E116" i="29"/>
  <c r="D116" i="29" s="1"/>
  <c r="E115" i="29"/>
  <c r="D115" i="29" s="1"/>
  <c r="E114" i="29"/>
  <c r="D114" i="29" s="1"/>
  <c r="E113" i="29"/>
  <c r="D113" i="29" s="1"/>
  <c r="E112" i="29"/>
  <c r="D112" i="29" s="1"/>
  <c r="E111" i="29"/>
  <c r="D111" i="29" s="1"/>
  <c r="E110" i="29"/>
  <c r="D110" i="29" s="1"/>
  <c r="E109" i="29"/>
  <c r="D109" i="29" s="1"/>
  <c r="E108" i="29"/>
  <c r="D108" i="29" s="1"/>
  <c r="E107" i="29"/>
  <c r="D107" i="29" s="1"/>
  <c r="E106" i="29"/>
  <c r="D106" i="29" s="1"/>
  <c r="E105" i="29"/>
  <c r="D105" i="29" s="1"/>
  <c r="E104" i="29"/>
  <c r="D104" i="29" s="1"/>
  <c r="E103" i="29"/>
  <c r="D103" i="29" s="1"/>
  <c r="E102" i="29"/>
  <c r="D102" i="29" s="1"/>
  <c r="E101" i="29"/>
  <c r="D101" i="29" s="1"/>
  <c r="E100" i="29"/>
  <c r="D100" i="29" s="1"/>
  <c r="E99" i="29"/>
  <c r="D99" i="29" s="1"/>
  <c r="E98" i="29"/>
  <c r="D98" i="29" s="1"/>
  <c r="E97" i="29"/>
  <c r="D97" i="29" s="1"/>
  <c r="E96" i="29"/>
  <c r="D96" i="29" s="1"/>
  <c r="E95" i="29"/>
  <c r="D95" i="29" s="1"/>
  <c r="E94" i="29"/>
  <c r="D94" i="29" s="1"/>
  <c r="E93" i="29"/>
  <c r="D93" i="29" s="1"/>
  <c r="E92" i="29"/>
  <c r="D92" i="29" s="1"/>
  <c r="E91" i="29"/>
  <c r="D91" i="29" s="1"/>
  <c r="E90" i="29"/>
  <c r="D90" i="29" s="1"/>
  <c r="E89" i="29"/>
  <c r="D89" i="29" s="1"/>
  <c r="E88" i="29"/>
  <c r="D88" i="29" s="1"/>
  <c r="E87" i="29"/>
  <c r="D87" i="29" s="1"/>
  <c r="E86" i="29"/>
  <c r="D86" i="29" s="1"/>
  <c r="E85" i="29"/>
  <c r="D85" i="29" s="1"/>
  <c r="E84" i="29"/>
  <c r="D84" i="29" s="1"/>
  <c r="E83" i="29"/>
  <c r="D83" i="29" s="1"/>
  <c r="E82" i="29"/>
  <c r="D82" i="29" s="1"/>
  <c r="E81" i="29"/>
  <c r="D81" i="29" s="1"/>
  <c r="E80" i="29"/>
  <c r="D80" i="29" s="1"/>
  <c r="E79" i="29"/>
  <c r="D79" i="29" s="1"/>
  <c r="E78" i="29"/>
  <c r="D78" i="29" s="1"/>
  <c r="E77" i="29"/>
  <c r="D77" i="29" s="1"/>
  <c r="E76" i="29"/>
  <c r="D76" i="29" s="1"/>
  <c r="E75" i="29"/>
  <c r="D75" i="29" s="1"/>
  <c r="E74" i="29"/>
  <c r="D74" i="29" s="1"/>
  <c r="E73" i="29"/>
  <c r="D73" i="29" s="1"/>
  <c r="E72" i="29"/>
  <c r="D72" i="29" s="1"/>
  <c r="E71" i="29"/>
  <c r="D71" i="29" s="1"/>
  <c r="E70" i="29"/>
  <c r="D70" i="29" s="1"/>
  <c r="E69" i="29"/>
  <c r="D69" i="29" s="1"/>
  <c r="E68" i="29"/>
  <c r="D68" i="29" s="1"/>
  <c r="E67" i="29"/>
  <c r="D67" i="29" s="1"/>
  <c r="E66" i="29"/>
  <c r="D66" i="29" s="1"/>
  <c r="E65" i="29"/>
  <c r="D65" i="29" s="1"/>
  <c r="E64" i="29"/>
  <c r="D64" i="29" s="1"/>
  <c r="B8" i="29"/>
  <c r="E62" i="29"/>
  <c r="D62" i="29" s="1"/>
  <c r="E61" i="29"/>
  <c r="D61" i="29" s="1"/>
  <c r="E60" i="29"/>
  <c r="D60" i="29" s="1"/>
  <c r="E59" i="29"/>
  <c r="D59" i="29" s="1"/>
  <c r="E58" i="29"/>
  <c r="D58" i="29" s="1"/>
  <c r="E57" i="29"/>
  <c r="D57" i="29" s="1"/>
  <c r="E56" i="29"/>
  <c r="D56" i="29" s="1"/>
  <c r="E55" i="29"/>
  <c r="D55" i="29" s="1"/>
  <c r="E54" i="29"/>
  <c r="D54" i="29" s="1"/>
  <c r="E53" i="29"/>
  <c r="D53" i="29" s="1"/>
  <c r="E52" i="29"/>
  <c r="E51" i="29"/>
  <c r="D51" i="29" s="1"/>
  <c r="E50" i="29"/>
  <c r="D50" i="29" s="1"/>
  <c r="E49" i="29"/>
  <c r="D49" i="29" s="1"/>
  <c r="E48" i="29"/>
  <c r="D48" i="29" s="1"/>
  <c r="E47" i="29"/>
  <c r="D47" i="29" s="1"/>
  <c r="E46" i="29"/>
  <c r="D46" i="29" s="1"/>
  <c r="E45" i="29"/>
  <c r="D45" i="29" s="1"/>
  <c r="E44" i="29"/>
  <c r="D44" i="29" s="1"/>
  <c r="E43" i="29"/>
  <c r="D43" i="29" s="1"/>
  <c r="E42" i="29"/>
  <c r="D42" i="29" s="1"/>
  <c r="E41" i="29"/>
  <c r="D41" i="29" s="1"/>
  <c r="E40" i="29"/>
  <c r="D40" i="29" s="1"/>
  <c r="E39" i="29"/>
  <c r="D39" i="29" s="1"/>
  <c r="E38" i="29"/>
  <c r="D38" i="29" s="1"/>
  <c r="E37" i="29"/>
  <c r="D37" i="29" s="1"/>
  <c r="E36" i="29"/>
  <c r="D36" i="29" s="1"/>
  <c r="E35" i="29"/>
  <c r="D35" i="29" s="1"/>
  <c r="E34" i="29"/>
  <c r="D34" i="29" s="1"/>
  <c r="E33" i="29"/>
  <c r="D33" i="29" s="1"/>
  <c r="E32" i="29"/>
  <c r="D32" i="29" s="1"/>
  <c r="E31" i="29"/>
  <c r="D31" i="29" s="1"/>
  <c r="E30" i="29"/>
  <c r="D30" i="29" s="1"/>
  <c r="E29" i="29"/>
  <c r="D29" i="29" s="1"/>
  <c r="E28" i="29"/>
  <c r="D28" i="29" s="1"/>
  <c r="E27" i="29"/>
  <c r="D27" i="29" s="1"/>
  <c r="E26" i="29"/>
  <c r="D26" i="29" s="1"/>
  <c r="E25" i="29"/>
  <c r="D25" i="29" s="1"/>
  <c r="E24" i="29"/>
  <c r="D24" i="29" s="1"/>
  <c r="E23" i="29"/>
  <c r="D23" i="29" s="1"/>
  <c r="E22" i="29"/>
  <c r="D22" i="29" s="1"/>
  <c r="E21" i="29"/>
  <c r="D21" i="29" s="1"/>
  <c r="E20" i="29"/>
  <c r="D20" i="29" s="1"/>
  <c r="E19" i="29"/>
  <c r="D19" i="29" s="1"/>
  <c r="E18" i="29"/>
  <c r="D18" i="29" s="1"/>
  <c r="E17" i="29"/>
  <c r="D17" i="29" s="1"/>
  <c r="E16" i="29"/>
  <c r="D16" i="29" s="1"/>
  <c r="E15" i="29"/>
  <c r="D15" i="29" s="1"/>
  <c r="E14" i="29"/>
  <c r="D14" i="29" s="1"/>
  <c r="E13" i="29"/>
  <c r="D13" i="29" s="1"/>
  <c r="E12" i="29"/>
  <c r="E11" i="29"/>
  <c r="D11" i="29" s="1"/>
  <c r="E10" i="29"/>
  <c r="D10" i="29" s="1"/>
  <c r="E9" i="29"/>
  <c r="D9" i="29" s="1"/>
  <c r="D52" i="29"/>
  <c r="B5" i="29"/>
  <c r="B2" i="29"/>
  <c r="E4" i="29"/>
  <c r="D4" i="29" s="1"/>
  <c r="D2" i="29" s="1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E2" i="29"/>
  <c r="E7" i="29"/>
  <c r="D7" i="29" s="1"/>
  <c r="E6" i="29"/>
  <c r="D6" i="29" s="1"/>
  <c r="J67" i="3"/>
  <c r="J66" i="3"/>
  <c r="J69" i="3"/>
  <c r="J68" i="3"/>
  <c r="J71" i="3"/>
  <c r="J70" i="3"/>
  <c r="J72" i="3"/>
  <c r="J43" i="25"/>
  <c r="O43" i="25" s="1"/>
  <c r="P43" i="25" s="1"/>
  <c r="Q43" i="25" s="1"/>
  <c r="R43" i="25" s="1"/>
  <c r="S43" i="25" s="1"/>
  <c r="T43" i="25" s="1"/>
  <c r="D38" i="1"/>
  <c r="D36" i="1"/>
  <c r="D34" i="1"/>
  <c r="D6" i="10"/>
  <c r="D8" i="10"/>
  <c r="J76" i="3"/>
  <c r="J75" i="3"/>
  <c r="J74" i="3"/>
  <c r="J73" i="3"/>
  <c r="J78" i="3"/>
  <c r="J79" i="3"/>
  <c r="J77" i="3"/>
  <c r="J80" i="3"/>
  <c r="E21" i="10"/>
  <c r="B20" i="10"/>
  <c r="D19" i="10"/>
  <c r="B19" i="10"/>
  <c r="D7" i="10"/>
  <c r="D9" i="10"/>
  <c r="D10" i="10"/>
  <c r="D11" i="10"/>
  <c r="D12" i="10"/>
  <c r="D13" i="10"/>
  <c r="B13" i="10"/>
  <c r="G13" i="10" s="1"/>
  <c r="H13" i="10" s="1"/>
  <c r="B12" i="10"/>
  <c r="G12" i="10" s="1"/>
  <c r="H12" i="10" s="1"/>
  <c r="B11" i="10"/>
  <c r="G11" i="10" s="1"/>
  <c r="H11" i="10" s="1"/>
  <c r="B10" i="10"/>
  <c r="G10" i="10" s="1"/>
  <c r="H10" i="10" s="1"/>
  <c r="J10" i="10" s="1"/>
  <c r="B9" i="10"/>
  <c r="G9" i="10" s="1"/>
  <c r="H9" i="10" s="1"/>
  <c r="B8" i="10"/>
  <c r="M18" i="9"/>
  <c r="L18" i="9" s="1"/>
  <c r="M17" i="9"/>
  <c r="L17" i="9" s="1"/>
  <c r="M16" i="9"/>
  <c r="L16" i="9" s="1"/>
  <c r="M15" i="9"/>
  <c r="L15" i="9" s="1"/>
  <c r="M14" i="9"/>
  <c r="L14" i="9" s="1"/>
  <c r="M13" i="9"/>
  <c r="L13" i="9" s="1"/>
  <c r="M12" i="9"/>
  <c r="L12" i="9" s="1"/>
  <c r="M11" i="9"/>
  <c r="L11" i="9" s="1"/>
  <c r="J38" i="25"/>
  <c r="K38" i="25" s="1"/>
  <c r="J39" i="25"/>
  <c r="K39" i="25" s="1"/>
  <c r="J40" i="25"/>
  <c r="K40" i="25" s="1"/>
  <c r="J41" i="25"/>
  <c r="K41" i="25" s="1"/>
  <c r="J42" i="25"/>
  <c r="O42" i="25" s="1"/>
  <c r="P42" i="25" s="1"/>
  <c r="Q42" i="25" s="1"/>
  <c r="R42" i="25" s="1"/>
  <c r="S42" i="25" s="1"/>
  <c r="T42" i="25" s="1"/>
  <c r="J44" i="25"/>
  <c r="K44" i="25" s="1"/>
  <c r="J45" i="25"/>
  <c r="K45" i="25" s="1"/>
  <c r="J46" i="25"/>
  <c r="K46" i="25" s="1"/>
  <c r="J47" i="25"/>
  <c r="O47" i="25" s="1"/>
  <c r="P47" i="25" s="1"/>
  <c r="Q47" i="25" s="1"/>
  <c r="R47" i="25" s="1"/>
  <c r="S47" i="25" s="1"/>
  <c r="T47" i="25" s="1"/>
  <c r="J48" i="25"/>
  <c r="K48" i="25" s="1"/>
  <c r="M48" i="25" s="1"/>
  <c r="J49" i="25"/>
  <c r="K49" i="25" s="1"/>
  <c r="J50" i="25"/>
  <c r="J51" i="25"/>
  <c r="K51" i="25" s="1"/>
  <c r="J52" i="25"/>
  <c r="O52" i="25" s="1"/>
  <c r="P52" i="25" s="1"/>
  <c r="Q52" i="25" s="1"/>
  <c r="R52" i="25" s="1"/>
  <c r="S52" i="25" s="1"/>
  <c r="T52" i="25" s="1"/>
  <c r="J53" i="25"/>
  <c r="K53" i="25" s="1"/>
  <c r="J54" i="25"/>
  <c r="K54" i="25" s="1"/>
  <c r="M54" i="25" s="1"/>
  <c r="J55" i="25"/>
  <c r="K55" i="25" s="1"/>
  <c r="J56" i="25"/>
  <c r="J57" i="25"/>
  <c r="K57" i="25" s="1"/>
  <c r="J58" i="25"/>
  <c r="J59" i="25"/>
  <c r="K59" i="25" s="1"/>
  <c r="J60" i="25"/>
  <c r="O60" i="25" s="1"/>
  <c r="P60" i="25" s="1"/>
  <c r="Q60" i="25" s="1"/>
  <c r="R60" i="25" s="1"/>
  <c r="S60" i="25" s="1"/>
  <c r="T60" i="25" s="1"/>
  <c r="J61" i="25"/>
  <c r="K61" i="25" s="1"/>
  <c r="J62" i="25"/>
  <c r="K62" i="25" s="1"/>
  <c r="M62" i="25" s="1"/>
  <c r="J63" i="25"/>
  <c r="AE63" i="25" s="1"/>
  <c r="AF63" i="25" s="1"/>
  <c r="J37" i="25"/>
  <c r="O37" i="25" s="1"/>
  <c r="P37" i="25" s="1"/>
  <c r="Q37" i="25" s="1"/>
  <c r="R37" i="25" s="1"/>
  <c r="S37" i="25" s="1"/>
  <c r="T37" i="25" s="1"/>
  <c r="C21" i="28"/>
  <c r="D20" i="28"/>
  <c r="D19" i="28"/>
  <c r="D18" i="28"/>
  <c r="D17" i="28"/>
  <c r="D16" i="28"/>
  <c r="D15" i="28"/>
  <c r="D14" i="28"/>
  <c r="D13" i="28"/>
  <c r="H12" i="28"/>
  <c r="G12" i="28"/>
  <c r="F12" i="28"/>
  <c r="D12" i="28"/>
  <c r="L11" i="28"/>
  <c r="K11" i="28"/>
  <c r="J11" i="28"/>
  <c r="H11" i="28"/>
  <c r="G11" i="28"/>
  <c r="F11" i="28"/>
  <c r="D11" i="28"/>
  <c r="L10" i="28"/>
  <c r="K10" i="28"/>
  <c r="J10" i="28"/>
  <c r="H10" i="28"/>
  <c r="G10" i="28"/>
  <c r="F10" i="28"/>
  <c r="D10" i="28"/>
  <c r="L9" i="28"/>
  <c r="K9" i="28"/>
  <c r="J9" i="28"/>
  <c r="H9" i="28"/>
  <c r="G9" i="28"/>
  <c r="F9" i="28"/>
  <c r="D9" i="28"/>
  <c r="L8" i="28"/>
  <c r="K8" i="28"/>
  <c r="J8" i="28"/>
  <c r="H8" i="28"/>
  <c r="G8" i="28"/>
  <c r="F8" i="28"/>
  <c r="D8" i="28"/>
  <c r="L7" i="28"/>
  <c r="K7" i="28"/>
  <c r="J7" i="28"/>
  <c r="H7" i="28"/>
  <c r="G7" i="28"/>
  <c r="F7" i="28"/>
  <c r="D7" i="28"/>
  <c r="L6" i="28"/>
  <c r="K6" i="28"/>
  <c r="J6" i="28"/>
  <c r="H6" i="28"/>
  <c r="G6" i="28"/>
  <c r="F6" i="28"/>
  <c r="D6" i="28"/>
  <c r="L5" i="28"/>
  <c r="K5" i="28"/>
  <c r="J5" i="28"/>
  <c r="H5" i="28"/>
  <c r="G5" i="28"/>
  <c r="F5" i="28"/>
  <c r="D5" i="28"/>
  <c r="L4" i="28"/>
  <c r="K4" i="28"/>
  <c r="J4" i="28"/>
  <c r="H4" i="28"/>
  <c r="G4" i="28"/>
  <c r="F4" i="28"/>
  <c r="D4" i="28"/>
  <c r="L3" i="28"/>
  <c r="K3" i="28"/>
  <c r="J3" i="28"/>
  <c r="H3" i="28"/>
  <c r="G3" i="28"/>
  <c r="F3" i="28"/>
  <c r="D3" i="28"/>
  <c r="D2" i="28"/>
  <c r="E80" i="3"/>
  <c r="G80" i="3" s="1"/>
  <c r="L80" i="3" s="1"/>
  <c r="M80" i="3" s="1"/>
  <c r="O80" i="3" s="1"/>
  <c r="P82" i="3" s="1"/>
  <c r="E77" i="3"/>
  <c r="G77" i="3"/>
  <c r="E79" i="3"/>
  <c r="G79" i="3"/>
  <c r="E78" i="3"/>
  <c r="G78" i="3"/>
  <c r="E73" i="3"/>
  <c r="G73" i="3"/>
  <c r="K73" i="3" s="1"/>
  <c r="E74" i="3"/>
  <c r="G74" i="3"/>
  <c r="E75" i="3"/>
  <c r="G75" i="3"/>
  <c r="K75" i="3" s="1"/>
  <c r="E76" i="3"/>
  <c r="G76" i="3"/>
  <c r="E72" i="3"/>
  <c r="G72" i="3"/>
  <c r="K72" i="3" s="1"/>
  <c r="E70" i="3"/>
  <c r="G70" i="3"/>
  <c r="E71" i="3"/>
  <c r="G71" i="3"/>
  <c r="E68" i="3"/>
  <c r="G68" i="3"/>
  <c r="K68" i="3" s="1"/>
  <c r="E69" i="3"/>
  <c r="G69" i="3"/>
  <c r="K69" i="3" s="1"/>
  <c r="E66" i="3"/>
  <c r="G66" i="3"/>
  <c r="E67" i="3"/>
  <c r="G67" i="3"/>
  <c r="K67" i="3" s="1"/>
  <c r="J63" i="3"/>
  <c r="E63" i="3"/>
  <c r="G63" i="3"/>
  <c r="J65" i="3"/>
  <c r="E65" i="3"/>
  <c r="G65" i="3"/>
  <c r="K65" i="3" s="1"/>
  <c r="J64" i="3"/>
  <c r="E64" i="3"/>
  <c r="G64" i="3"/>
  <c r="K64" i="3" s="1"/>
  <c r="J62" i="3"/>
  <c r="E62" i="3"/>
  <c r="G62" i="3"/>
  <c r="K62" i="3" s="1"/>
  <c r="J61" i="3"/>
  <c r="E61" i="3"/>
  <c r="G61" i="3"/>
  <c r="K61" i="3" s="1"/>
  <c r="J59" i="3"/>
  <c r="E59" i="3"/>
  <c r="G59" i="3"/>
  <c r="K59" i="3" s="1"/>
  <c r="J58" i="3"/>
  <c r="E58" i="3"/>
  <c r="G58" i="3"/>
  <c r="K58" i="3" s="1"/>
  <c r="L3" i="27"/>
  <c r="L4" i="27"/>
  <c r="L5" i="27"/>
  <c r="L6" i="27"/>
  <c r="L7" i="27"/>
  <c r="L8" i="27"/>
  <c r="L9" i="27"/>
  <c r="L10" i="27"/>
  <c r="L11" i="27"/>
  <c r="H3" i="27"/>
  <c r="H4" i="27"/>
  <c r="H5" i="27"/>
  <c r="H6" i="27"/>
  <c r="H7" i="27"/>
  <c r="H8" i="27"/>
  <c r="H9" i="27"/>
  <c r="H10" i="27"/>
  <c r="H11" i="27"/>
  <c r="H12" i="27"/>
  <c r="G12" i="27"/>
  <c r="F12" i="27"/>
  <c r="K11" i="27"/>
  <c r="J11" i="27"/>
  <c r="G11" i="27"/>
  <c r="F11" i="27"/>
  <c r="K10" i="27"/>
  <c r="J10" i="27"/>
  <c r="G10" i="27"/>
  <c r="F10" i="27"/>
  <c r="K9" i="27"/>
  <c r="J9" i="27"/>
  <c r="G9" i="27"/>
  <c r="F9" i="27"/>
  <c r="K8" i="27"/>
  <c r="J8" i="27"/>
  <c r="G8" i="27"/>
  <c r="F8" i="27"/>
  <c r="K7" i="27"/>
  <c r="J7" i="27"/>
  <c r="G7" i="27"/>
  <c r="F7" i="27"/>
  <c r="K6" i="27"/>
  <c r="J6" i="27"/>
  <c r="G6" i="27"/>
  <c r="F6" i="27"/>
  <c r="K5" i="27"/>
  <c r="J5" i="27"/>
  <c r="G5" i="27"/>
  <c r="F5" i="27"/>
  <c r="K3" i="27"/>
  <c r="K4" i="27"/>
  <c r="J4" i="27"/>
  <c r="G4" i="27"/>
  <c r="F4" i="27"/>
  <c r="G3" i="27"/>
  <c r="J3" i="27"/>
  <c r="F3" i="27"/>
  <c r="C21" i="27"/>
  <c r="D3" i="27"/>
  <c r="D4" i="27"/>
  <c r="D7" i="27"/>
  <c r="D6" i="27"/>
  <c r="D11" i="27"/>
  <c r="D10" i="27"/>
  <c r="D12" i="27"/>
  <c r="D9" i="27"/>
  <c r="D14" i="27"/>
  <c r="D15" i="27"/>
  <c r="D16" i="27"/>
  <c r="D5" i="27"/>
  <c r="D17" i="27"/>
  <c r="D18" i="27"/>
  <c r="D13" i="27"/>
  <c r="D8" i="27"/>
  <c r="D19" i="27"/>
  <c r="D20" i="27"/>
  <c r="G44" i="3"/>
  <c r="J44" i="3"/>
  <c r="G43" i="3"/>
  <c r="J43" i="3"/>
  <c r="G35" i="3"/>
  <c r="K35" i="3" s="1"/>
  <c r="G37" i="3"/>
  <c r="G45" i="3"/>
  <c r="G36" i="3"/>
  <c r="E36" i="3"/>
  <c r="F36" i="3" s="1"/>
  <c r="J36" i="3"/>
  <c r="G29" i="3"/>
  <c r="K29" i="3" s="1"/>
  <c r="G30" i="3"/>
  <c r="K30" i="3" s="1"/>
  <c r="E30" i="3"/>
  <c r="F30" i="3" s="1"/>
  <c r="J30" i="3"/>
  <c r="G28" i="3"/>
  <c r="G22" i="3"/>
  <c r="G34" i="3"/>
  <c r="G39" i="3"/>
  <c r="J39" i="3"/>
  <c r="G17" i="3"/>
  <c r="K17" i="3" s="1"/>
  <c r="E17" i="3"/>
  <c r="F17" i="3" s="1"/>
  <c r="J17" i="3"/>
  <c r="G40" i="3"/>
  <c r="G32" i="3"/>
  <c r="K32" i="3" s="1"/>
  <c r="E32" i="3"/>
  <c r="F32" i="3" s="1"/>
  <c r="J32" i="3"/>
  <c r="G33" i="3"/>
  <c r="K33" i="3" s="1"/>
  <c r="G5" i="3"/>
  <c r="K5" i="3" s="1"/>
  <c r="E5" i="3"/>
  <c r="F5" i="3" s="1"/>
  <c r="J5" i="3"/>
  <c r="G6" i="3"/>
  <c r="E6" i="3"/>
  <c r="F6" i="3" s="1"/>
  <c r="J6" i="3"/>
  <c r="G7" i="3"/>
  <c r="K7" i="3" s="1"/>
  <c r="E7" i="3"/>
  <c r="F7" i="3" s="1"/>
  <c r="J7" i="3"/>
  <c r="G11" i="3"/>
  <c r="K11" i="3" s="1"/>
  <c r="G12" i="3"/>
  <c r="K12" i="3" s="1"/>
  <c r="E12" i="3"/>
  <c r="F12" i="3" s="1"/>
  <c r="J12" i="3"/>
  <c r="G13" i="3"/>
  <c r="K13" i="3" s="1"/>
  <c r="G8" i="3"/>
  <c r="E8" i="3"/>
  <c r="F8" i="3" s="1"/>
  <c r="J8" i="3"/>
  <c r="G9" i="3"/>
  <c r="K9" i="3" s="1"/>
  <c r="G10" i="3"/>
  <c r="K10" i="3" s="1"/>
  <c r="E10" i="3"/>
  <c r="F10" i="3" s="1"/>
  <c r="J10" i="3"/>
  <c r="G14" i="3"/>
  <c r="E14" i="3"/>
  <c r="F14" i="3" s="1"/>
  <c r="J14" i="3"/>
  <c r="G16" i="3"/>
  <c r="K16" i="3" s="1"/>
  <c r="G15" i="3"/>
  <c r="E15" i="3"/>
  <c r="F15" i="3" s="1"/>
  <c r="J15" i="3"/>
  <c r="G19" i="3"/>
  <c r="K19" i="3" s="1"/>
  <c r="G20" i="3"/>
  <c r="G21" i="3"/>
  <c r="K21" i="3" s="1"/>
  <c r="G18" i="3"/>
  <c r="K18" i="3" s="1"/>
  <c r="E18" i="3"/>
  <c r="F18" i="3" s="1"/>
  <c r="J18" i="3"/>
  <c r="G26" i="3"/>
  <c r="G23" i="3"/>
  <c r="K23" i="3" s="1"/>
  <c r="G27" i="3"/>
  <c r="E27" i="3"/>
  <c r="F27" i="3" s="1"/>
  <c r="J27" i="3"/>
  <c r="G25" i="3"/>
  <c r="G24" i="3"/>
  <c r="K24" i="3" s="1"/>
  <c r="G31" i="3"/>
  <c r="K31" i="3" s="1"/>
  <c r="E31" i="3"/>
  <c r="F31" i="3" s="1"/>
  <c r="J31" i="3"/>
  <c r="G42" i="3"/>
  <c r="K42" i="3" s="1"/>
  <c r="J42" i="3"/>
  <c r="E60" i="3"/>
  <c r="G60" i="3"/>
  <c r="J60" i="3"/>
  <c r="E33" i="3"/>
  <c r="F33" i="3" s="1"/>
  <c r="B6" i="10"/>
  <c r="G6" i="10" s="1"/>
  <c r="H6" i="10" s="1"/>
  <c r="J40" i="26"/>
  <c r="P4" i="10"/>
  <c r="O4" i="10"/>
  <c r="N4" i="10"/>
  <c r="M4" i="10"/>
  <c r="L4" i="10"/>
  <c r="J4" i="10"/>
  <c r="E42" i="3"/>
  <c r="E43" i="3"/>
  <c r="E44" i="3"/>
  <c r="J45" i="3"/>
  <c r="J49" i="3"/>
  <c r="J47" i="3"/>
  <c r="J46" i="3"/>
  <c r="J48" i="3"/>
  <c r="J50" i="3"/>
  <c r="J51" i="3"/>
  <c r="J53" i="3"/>
  <c r="J52" i="3"/>
  <c r="J54" i="3"/>
  <c r="J55" i="3"/>
  <c r="J56" i="3"/>
  <c r="J57" i="3"/>
  <c r="E45" i="3"/>
  <c r="E49" i="3"/>
  <c r="G49" i="3"/>
  <c r="K49" i="3" s="1"/>
  <c r="E47" i="3"/>
  <c r="G47" i="3"/>
  <c r="K47" i="3" s="1"/>
  <c r="E46" i="3"/>
  <c r="G46" i="3"/>
  <c r="K46" i="3" s="1"/>
  <c r="E48" i="3"/>
  <c r="G48" i="3"/>
  <c r="E50" i="3"/>
  <c r="G50" i="3"/>
  <c r="K50" i="3" s="1"/>
  <c r="E51" i="3"/>
  <c r="G51" i="3"/>
  <c r="E53" i="3"/>
  <c r="G53" i="3"/>
  <c r="E52" i="3"/>
  <c r="G52" i="3"/>
  <c r="E54" i="3"/>
  <c r="G54" i="3"/>
  <c r="E55" i="3"/>
  <c r="G55" i="3"/>
  <c r="E56" i="3"/>
  <c r="G56" i="3"/>
  <c r="E57" i="3"/>
  <c r="G57" i="3"/>
  <c r="K57" i="3" s="1"/>
  <c r="D2" i="27"/>
  <c r="C200" i="1"/>
  <c r="D380" i="8"/>
  <c r="C380" i="8"/>
  <c r="D379" i="8"/>
  <c r="C379" i="8"/>
  <c r="D378" i="8"/>
  <c r="C378" i="8"/>
  <c r="D377" i="8"/>
  <c r="C377" i="8"/>
  <c r="D376" i="8"/>
  <c r="C376" i="8"/>
  <c r="D375" i="8"/>
  <c r="C375" i="8"/>
  <c r="D374" i="8"/>
  <c r="C374" i="8"/>
  <c r="D373" i="8"/>
  <c r="C373" i="8"/>
  <c r="D372" i="8"/>
  <c r="C372" i="8"/>
  <c r="D371" i="8"/>
  <c r="C371" i="8"/>
  <c r="D370" i="8"/>
  <c r="C370" i="8"/>
  <c r="D369" i="8"/>
  <c r="C369" i="8"/>
  <c r="D368" i="8"/>
  <c r="C368" i="8"/>
  <c r="D367" i="8"/>
  <c r="C367" i="8"/>
  <c r="D366" i="8"/>
  <c r="C366" i="8"/>
  <c r="D365" i="8"/>
  <c r="C365" i="8"/>
  <c r="D364" i="8"/>
  <c r="C364" i="8"/>
  <c r="D363" i="8"/>
  <c r="C363" i="8"/>
  <c r="D362" i="8"/>
  <c r="C362" i="8"/>
  <c r="D361" i="8"/>
  <c r="C361" i="8"/>
  <c r="D360" i="8"/>
  <c r="C360" i="8"/>
  <c r="D359" i="8"/>
  <c r="C359" i="8"/>
  <c r="D358" i="8"/>
  <c r="C358" i="8"/>
  <c r="D357" i="8"/>
  <c r="C357" i="8"/>
  <c r="D356" i="8"/>
  <c r="C356" i="8"/>
  <c r="D355" i="8"/>
  <c r="C355" i="8"/>
  <c r="D354" i="8"/>
  <c r="C354" i="8"/>
  <c r="D353" i="8"/>
  <c r="C353" i="8"/>
  <c r="D352" i="8"/>
  <c r="C352" i="8"/>
  <c r="D351" i="8"/>
  <c r="C351" i="8"/>
  <c r="D350" i="8"/>
  <c r="C350" i="8"/>
  <c r="D348" i="8"/>
  <c r="C348" i="8"/>
  <c r="D347" i="8"/>
  <c r="C347" i="8"/>
  <c r="D346" i="8"/>
  <c r="C346" i="8"/>
  <c r="D345" i="8"/>
  <c r="C345" i="8"/>
  <c r="D344" i="8"/>
  <c r="C344" i="8"/>
  <c r="D343" i="8"/>
  <c r="C343" i="8"/>
  <c r="D342" i="8"/>
  <c r="C342" i="8"/>
  <c r="D341" i="8"/>
  <c r="C341" i="8"/>
  <c r="D340" i="8"/>
  <c r="C340" i="8"/>
  <c r="D339" i="8"/>
  <c r="C339" i="8"/>
  <c r="D338" i="8"/>
  <c r="C338" i="8"/>
  <c r="D337" i="8"/>
  <c r="C337" i="8"/>
  <c r="D336" i="8"/>
  <c r="C336" i="8"/>
  <c r="D335" i="8"/>
  <c r="C335" i="8"/>
  <c r="D334" i="8"/>
  <c r="C334" i="8"/>
  <c r="D333" i="8"/>
  <c r="C333" i="8"/>
  <c r="D332" i="8"/>
  <c r="C332" i="8"/>
  <c r="D331" i="8"/>
  <c r="C331" i="8"/>
  <c r="D330" i="8"/>
  <c r="C330" i="8"/>
  <c r="D329" i="8"/>
  <c r="C329" i="8"/>
  <c r="D328" i="8"/>
  <c r="C328" i="8"/>
  <c r="D327" i="8"/>
  <c r="C327" i="8"/>
  <c r="D326" i="8"/>
  <c r="C326" i="8"/>
  <c r="D325" i="8"/>
  <c r="C325" i="8"/>
  <c r="D324" i="8"/>
  <c r="C324" i="8"/>
  <c r="D323" i="8"/>
  <c r="C323" i="8"/>
  <c r="D322" i="8"/>
  <c r="C322" i="8"/>
  <c r="D321" i="8"/>
  <c r="C321" i="8"/>
  <c r="D320" i="8"/>
  <c r="C320" i="8"/>
  <c r="D319" i="8"/>
  <c r="C319" i="8"/>
  <c r="D317" i="8"/>
  <c r="C317" i="8"/>
  <c r="D316" i="8"/>
  <c r="C316" i="8"/>
  <c r="D315" i="8"/>
  <c r="C315" i="8"/>
  <c r="D314" i="8"/>
  <c r="C314" i="8"/>
  <c r="D313" i="8"/>
  <c r="C313" i="8"/>
  <c r="D312" i="8"/>
  <c r="C312" i="8"/>
  <c r="D311" i="8"/>
  <c r="C311" i="8"/>
  <c r="D310" i="8"/>
  <c r="C310" i="8"/>
  <c r="D309" i="8"/>
  <c r="C309" i="8"/>
  <c r="D308" i="8"/>
  <c r="C308" i="8"/>
  <c r="D307" i="8"/>
  <c r="C307" i="8"/>
  <c r="D306" i="8"/>
  <c r="C306" i="8"/>
  <c r="D305" i="8"/>
  <c r="C305" i="8"/>
  <c r="D304" i="8"/>
  <c r="C304" i="8"/>
  <c r="D303" i="8"/>
  <c r="C303" i="8"/>
  <c r="D302" i="8"/>
  <c r="C302" i="8"/>
  <c r="D301" i="8"/>
  <c r="C301" i="8"/>
  <c r="D300" i="8"/>
  <c r="C300" i="8"/>
  <c r="D299" i="8"/>
  <c r="C299" i="8"/>
  <c r="D298" i="8"/>
  <c r="C298" i="8"/>
  <c r="D297" i="8"/>
  <c r="C297" i="8"/>
  <c r="D296" i="8"/>
  <c r="C296" i="8"/>
  <c r="D295" i="8"/>
  <c r="C295" i="8"/>
  <c r="D294" i="8"/>
  <c r="C294" i="8"/>
  <c r="D293" i="8"/>
  <c r="C293" i="8"/>
  <c r="D292" i="8"/>
  <c r="C292" i="8"/>
  <c r="D291" i="8"/>
  <c r="C291" i="8"/>
  <c r="D290" i="8"/>
  <c r="C290" i="8"/>
  <c r="D289" i="8"/>
  <c r="C289" i="8"/>
  <c r="D288" i="8"/>
  <c r="C288" i="8"/>
  <c r="D287" i="8"/>
  <c r="C287" i="8"/>
  <c r="D285" i="8"/>
  <c r="C285" i="8"/>
  <c r="D284" i="8"/>
  <c r="C284" i="8"/>
  <c r="D283" i="8"/>
  <c r="C283" i="8"/>
  <c r="D282" i="8"/>
  <c r="C282" i="8"/>
  <c r="D281" i="8"/>
  <c r="C281" i="8"/>
  <c r="D280" i="8"/>
  <c r="C280" i="8"/>
  <c r="D279" i="8"/>
  <c r="C279" i="8"/>
  <c r="D278" i="8"/>
  <c r="C278" i="8"/>
  <c r="D277" i="8"/>
  <c r="C277" i="8"/>
  <c r="D276" i="8"/>
  <c r="C276" i="8"/>
  <c r="D275" i="8"/>
  <c r="C275" i="8"/>
  <c r="D274" i="8"/>
  <c r="C274" i="8"/>
  <c r="D273" i="8"/>
  <c r="C273" i="8"/>
  <c r="D272" i="8"/>
  <c r="C272" i="8"/>
  <c r="D271" i="8"/>
  <c r="C271" i="8"/>
  <c r="D270" i="8"/>
  <c r="C270" i="8"/>
  <c r="D269" i="8"/>
  <c r="C269" i="8"/>
  <c r="D268" i="8"/>
  <c r="C268" i="8"/>
  <c r="D267" i="8"/>
  <c r="C267" i="8"/>
  <c r="D266" i="8"/>
  <c r="C266" i="8"/>
  <c r="D265" i="8"/>
  <c r="C265" i="8"/>
  <c r="D264" i="8"/>
  <c r="C264" i="8"/>
  <c r="D263" i="8"/>
  <c r="C263" i="8"/>
  <c r="D262" i="8"/>
  <c r="C262" i="8"/>
  <c r="D261" i="8"/>
  <c r="C261" i="8"/>
  <c r="D260" i="8"/>
  <c r="C260" i="8"/>
  <c r="D259" i="8"/>
  <c r="C259" i="8"/>
  <c r="D258" i="8"/>
  <c r="C258" i="8"/>
  <c r="D257" i="8"/>
  <c r="C257" i="8"/>
  <c r="D256" i="8"/>
  <c r="C256" i="8"/>
  <c r="D254" i="8"/>
  <c r="C254" i="8"/>
  <c r="D253" i="8"/>
  <c r="C253" i="8"/>
  <c r="D252" i="8"/>
  <c r="C252" i="8"/>
  <c r="D251" i="8"/>
  <c r="C251" i="8"/>
  <c r="D250" i="8"/>
  <c r="C250" i="8"/>
  <c r="D249" i="8"/>
  <c r="C249" i="8"/>
  <c r="D248" i="8"/>
  <c r="C248" i="8"/>
  <c r="D247" i="8"/>
  <c r="C247" i="8"/>
  <c r="D246" i="8"/>
  <c r="C246" i="8"/>
  <c r="D245" i="8"/>
  <c r="C245" i="8"/>
  <c r="D244" i="8"/>
  <c r="C244" i="8"/>
  <c r="D243" i="8"/>
  <c r="C243" i="8"/>
  <c r="D242" i="8"/>
  <c r="C242" i="8"/>
  <c r="D241" i="8"/>
  <c r="C241" i="8"/>
  <c r="D240" i="8"/>
  <c r="C240" i="8"/>
  <c r="D239" i="8"/>
  <c r="C239" i="8"/>
  <c r="D238" i="8"/>
  <c r="C238" i="8"/>
  <c r="D237" i="8"/>
  <c r="C237" i="8"/>
  <c r="D236" i="8"/>
  <c r="C236" i="8"/>
  <c r="D235" i="8"/>
  <c r="C235" i="8"/>
  <c r="D234" i="8"/>
  <c r="C234" i="8"/>
  <c r="D233" i="8"/>
  <c r="C233" i="8"/>
  <c r="D232" i="8"/>
  <c r="C232" i="8"/>
  <c r="D231" i="8"/>
  <c r="C231" i="8"/>
  <c r="D230" i="8"/>
  <c r="C230" i="8"/>
  <c r="D229" i="8"/>
  <c r="C229" i="8"/>
  <c r="D228" i="8"/>
  <c r="C228" i="8"/>
  <c r="D227" i="8"/>
  <c r="C227" i="8"/>
  <c r="D226" i="8"/>
  <c r="C226" i="8"/>
  <c r="D225" i="8"/>
  <c r="C225" i="8"/>
  <c r="D224" i="8"/>
  <c r="C224" i="8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D350" i="2"/>
  <c r="D319" i="2"/>
  <c r="D287" i="2"/>
  <c r="D256" i="2"/>
  <c r="D224" i="2"/>
  <c r="C224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4" i="2"/>
  <c r="C254" i="2"/>
  <c r="D253" i="2"/>
  <c r="C253" i="2"/>
  <c r="D252" i="2"/>
  <c r="C252" i="2"/>
  <c r="D251" i="2"/>
  <c r="C251" i="2"/>
  <c r="D250" i="2"/>
  <c r="C250" i="2"/>
  <c r="D249" i="2"/>
  <c r="C249" i="2"/>
  <c r="D248" i="2"/>
  <c r="C248" i="2"/>
  <c r="D247" i="2"/>
  <c r="C247" i="2"/>
  <c r="D246" i="2"/>
  <c r="C246" i="2"/>
  <c r="D245" i="2"/>
  <c r="C245" i="2"/>
  <c r="D244" i="2"/>
  <c r="C244" i="2"/>
  <c r="D243" i="2"/>
  <c r="C243" i="2"/>
  <c r="D242" i="2"/>
  <c r="C242" i="2"/>
  <c r="D241" i="2"/>
  <c r="C241" i="2"/>
  <c r="D240" i="2"/>
  <c r="C240" i="2"/>
  <c r="D239" i="2"/>
  <c r="C239" i="2"/>
  <c r="D238" i="2"/>
  <c r="C238" i="2"/>
  <c r="D237" i="2"/>
  <c r="C237" i="2"/>
  <c r="D236" i="2"/>
  <c r="C236" i="2"/>
  <c r="D235" i="2"/>
  <c r="C235" i="2"/>
  <c r="D234" i="2"/>
  <c r="C234" i="2"/>
  <c r="D233" i="2"/>
  <c r="C233" i="2"/>
  <c r="D232" i="2"/>
  <c r="C232" i="2"/>
  <c r="D231" i="2"/>
  <c r="C231" i="2"/>
  <c r="D230" i="2"/>
  <c r="C230" i="2"/>
  <c r="D229" i="2"/>
  <c r="C229" i="2"/>
  <c r="D228" i="2"/>
  <c r="C228" i="2"/>
  <c r="D227" i="2"/>
  <c r="C227" i="2"/>
  <c r="D226" i="2"/>
  <c r="C226" i="2"/>
  <c r="D225" i="2"/>
  <c r="C225" i="2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4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350" i="1"/>
  <c r="C319" i="1"/>
  <c r="C287" i="1"/>
  <c r="C256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350" i="1"/>
  <c r="D319" i="1"/>
  <c r="D287" i="1"/>
  <c r="D256" i="1"/>
  <c r="D224" i="1"/>
  <c r="B7" i="10"/>
  <c r="G7" i="10" s="1"/>
  <c r="H7" i="10" s="1"/>
  <c r="X12" i="20"/>
  <c r="I20" i="20"/>
  <c r="M77" i="20"/>
  <c r="M101" i="20"/>
  <c r="G4" i="20"/>
  <c r="J41" i="26"/>
  <c r="J42" i="26"/>
  <c r="J43" i="26"/>
  <c r="J44" i="26"/>
  <c r="O44" i="26" s="1"/>
  <c r="E37" i="3"/>
  <c r="F37" i="3" s="1"/>
  <c r="J37" i="3"/>
  <c r="E41" i="3"/>
  <c r="G41" i="3"/>
  <c r="J41" i="3"/>
  <c r="E29" i="3"/>
  <c r="F29" i="3" s="1"/>
  <c r="J29" i="3"/>
  <c r="E38" i="3"/>
  <c r="F38" i="3" s="1"/>
  <c r="G38" i="3"/>
  <c r="K38" i="3" s="1"/>
  <c r="J38" i="3"/>
  <c r="E35" i="3"/>
  <c r="F35" i="3" s="1"/>
  <c r="J35" i="3"/>
  <c r="E39" i="3"/>
  <c r="E22" i="3"/>
  <c r="F22" i="3" s="1"/>
  <c r="J22" i="3"/>
  <c r="E23" i="3"/>
  <c r="F23" i="3" s="1"/>
  <c r="J23" i="3"/>
  <c r="E28" i="3"/>
  <c r="F28" i="3" s="1"/>
  <c r="J28" i="3"/>
  <c r="E34" i="3"/>
  <c r="F34" i="3" s="1"/>
  <c r="J34" i="3"/>
  <c r="J11" i="3"/>
  <c r="J13" i="3"/>
  <c r="J9" i="3"/>
  <c r="J16" i="3"/>
  <c r="J19" i="3"/>
  <c r="J20" i="3"/>
  <c r="J21" i="3"/>
  <c r="J26" i="3"/>
  <c r="J25" i="3"/>
  <c r="J24" i="3"/>
  <c r="J33" i="3"/>
  <c r="J40" i="3"/>
  <c r="E40" i="3"/>
  <c r="E19" i="3"/>
  <c r="F19" i="3" s="1"/>
  <c r="E26" i="3"/>
  <c r="F26" i="3" s="1"/>
  <c r="E13" i="3"/>
  <c r="F13" i="3" s="1"/>
  <c r="E21" i="3"/>
  <c r="F21" i="3" s="1"/>
  <c r="E24" i="3"/>
  <c r="F24" i="3" s="1"/>
  <c r="E25" i="3"/>
  <c r="F25" i="3" s="1"/>
  <c r="E16" i="3"/>
  <c r="F16" i="3" s="1"/>
  <c r="E20" i="3"/>
  <c r="F20" i="3" s="1"/>
  <c r="E11" i="3"/>
  <c r="F11" i="3" s="1"/>
  <c r="E9" i="3"/>
  <c r="F9" i="3" s="1"/>
  <c r="D192" i="8"/>
  <c r="C192" i="8"/>
  <c r="D161" i="8"/>
  <c r="C161" i="8"/>
  <c r="D222" i="8"/>
  <c r="C222" i="8"/>
  <c r="D221" i="8"/>
  <c r="C221" i="8"/>
  <c r="D220" i="8"/>
  <c r="C220" i="8"/>
  <c r="D219" i="8"/>
  <c r="C219" i="8"/>
  <c r="D218" i="8"/>
  <c r="C218" i="8"/>
  <c r="D217" i="8"/>
  <c r="C217" i="8"/>
  <c r="D216" i="8"/>
  <c r="C216" i="8"/>
  <c r="D215" i="8"/>
  <c r="C215" i="8"/>
  <c r="D214" i="8"/>
  <c r="C214" i="8"/>
  <c r="D213" i="8"/>
  <c r="C213" i="8"/>
  <c r="D212" i="8"/>
  <c r="C212" i="8"/>
  <c r="D211" i="8"/>
  <c r="C211" i="8"/>
  <c r="D210" i="8"/>
  <c r="C210" i="8"/>
  <c r="D209" i="8"/>
  <c r="C209" i="8"/>
  <c r="D208" i="8"/>
  <c r="C208" i="8"/>
  <c r="D207" i="8"/>
  <c r="C207" i="8"/>
  <c r="D206" i="8"/>
  <c r="C206" i="8"/>
  <c r="D205" i="8"/>
  <c r="C205" i="8"/>
  <c r="D204" i="8"/>
  <c r="C204" i="8"/>
  <c r="D203" i="8"/>
  <c r="C203" i="8"/>
  <c r="D202" i="8"/>
  <c r="C202" i="8"/>
  <c r="D201" i="8"/>
  <c r="C201" i="8"/>
  <c r="D200" i="8"/>
  <c r="C200" i="8"/>
  <c r="D199" i="8"/>
  <c r="C199" i="8"/>
  <c r="D198" i="8"/>
  <c r="C198" i="8"/>
  <c r="D197" i="8"/>
  <c r="C197" i="8"/>
  <c r="D196" i="8"/>
  <c r="C196" i="8"/>
  <c r="D195" i="8"/>
  <c r="C195" i="8"/>
  <c r="C193" i="8"/>
  <c r="C194" i="8"/>
  <c r="D194" i="8"/>
  <c r="D193" i="8"/>
  <c r="D190" i="8"/>
  <c r="C190" i="8"/>
  <c r="D189" i="8"/>
  <c r="C189" i="8"/>
  <c r="D188" i="8"/>
  <c r="C188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C187" i="2"/>
  <c r="D222" i="1"/>
  <c r="C222" i="1"/>
  <c r="D221" i="1"/>
  <c r="C221" i="1"/>
  <c r="D220" i="1"/>
  <c r="C220" i="1"/>
  <c r="D219" i="1"/>
  <c r="C219" i="1"/>
  <c r="D218" i="1"/>
  <c r="C218" i="1"/>
  <c r="D217" i="1"/>
  <c r="C217" i="1"/>
  <c r="D216" i="1"/>
  <c r="C216" i="1"/>
  <c r="D215" i="1"/>
  <c r="C215" i="1"/>
  <c r="D214" i="1"/>
  <c r="C214" i="1"/>
  <c r="D213" i="1"/>
  <c r="C213" i="1"/>
  <c r="D212" i="1"/>
  <c r="C212" i="1"/>
  <c r="D211" i="1"/>
  <c r="C211" i="1"/>
  <c r="D210" i="1"/>
  <c r="C210" i="1"/>
  <c r="D209" i="1"/>
  <c r="C209" i="1"/>
  <c r="D208" i="1"/>
  <c r="C208" i="1"/>
  <c r="D207" i="1"/>
  <c r="C207" i="1"/>
  <c r="D206" i="1"/>
  <c r="C206" i="1"/>
  <c r="D205" i="1"/>
  <c r="C205" i="1"/>
  <c r="D204" i="1"/>
  <c r="C204" i="1"/>
  <c r="D203" i="1"/>
  <c r="C203" i="1"/>
  <c r="D202" i="1"/>
  <c r="C202" i="1"/>
  <c r="D201" i="1"/>
  <c r="C201" i="1"/>
  <c r="C192" i="1"/>
  <c r="C193" i="1"/>
  <c r="C194" i="1"/>
  <c r="C195" i="1"/>
  <c r="C196" i="1"/>
  <c r="C197" i="1"/>
  <c r="C198" i="1"/>
  <c r="C199" i="1"/>
  <c r="D200" i="1"/>
  <c r="D199" i="1"/>
  <c r="D198" i="1"/>
  <c r="D197" i="1"/>
  <c r="D196" i="1"/>
  <c r="D195" i="1"/>
  <c r="D194" i="1"/>
  <c r="D193" i="1"/>
  <c r="D192" i="1"/>
  <c r="D161" i="1"/>
  <c r="C161" i="1"/>
  <c r="C129" i="1"/>
  <c r="D129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222" i="2"/>
  <c r="C222" i="2"/>
  <c r="D221" i="2"/>
  <c r="C221" i="2"/>
  <c r="D220" i="2"/>
  <c r="C220" i="2"/>
  <c r="D219" i="2"/>
  <c r="C219" i="2"/>
  <c r="D218" i="2"/>
  <c r="C218" i="2"/>
  <c r="D217" i="2"/>
  <c r="C217" i="2"/>
  <c r="D216" i="2"/>
  <c r="C216" i="2"/>
  <c r="D215" i="2"/>
  <c r="C215" i="2"/>
  <c r="D214" i="2"/>
  <c r="C214" i="2"/>
  <c r="D213" i="2"/>
  <c r="C213" i="2"/>
  <c r="D212" i="2"/>
  <c r="C212" i="2"/>
  <c r="D211" i="2"/>
  <c r="C211" i="2"/>
  <c r="D210" i="2"/>
  <c r="C210" i="2"/>
  <c r="D209" i="2"/>
  <c r="C209" i="2"/>
  <c r="D208" i="2"/>
  <c r="C208" i="2"/>
  <c r="D207" i="2"/>
  <c r="C207" i="2"/>
  <c r="D206" i="2"/>
  <c r="C206" i="2"/>
  <c r="D205" i="2"/>
  <c r="C205" i="2"/>
  <c r="D204" i="2"/>
  <c r="C204" i="2"/>
  <c r="D203" i="2"/>
  <c r="C203" i="2"/>
  <c r="D202" i="2"/>
  <c r="C202" i="2"/>
  <c r="D201" i="2"/>
  <c r="C201" i="2"/>
  <c r="D200" i="2"/>
  <c r="C200" i="2"/>
  <c r="D199" i="2"/>
  <c r="C199" i="2"/>
  <c r="D198" i="2"/>
  <c r="C198" i="2"/>
  <c r="D197" i="2"/>
  <c r="C197" i="2"/>
  <c r="D196" i="2"/>
  <c r="C196" i="2"/>
  <c r="D195" i="2"/>
  <c r="C195" i="2"/>
  <c r="C192" i="2"/>
  <c r="C193" i="2"/>
  <c r="C194" i="2"/>
  <c r="D194" i="2"/>
  <c r="D193" i="2"/>
  <c r="D192" i="2"/>
  <c r="D161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8" i="2"/>
  <c r="C189" i="2"/>
  <c r="C190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H3" i="3"/>
  <c r="B3" i="3"/>
  <c r="H94" i="12"/>
  <c r="G4" i="10"/>
  <c r="F4" i="10"/>
  <c r="E4" i="10"/>
  <c r="D4" i="10"/>
  <c r="C4" i="10"/>
  <c r="B4" i="10"/>
  <c r="W5" i="4"/>
  <c r="R5" i="4" s="1"/>
  <c r="W6" i="4"/>
  <c r="R6" i="4" s="1"/>
  <c r="W7" i="4"/>
  <c r="X7" i="4" s="1"/>
  <c r="W8" i="4"/>
  <c r="AF8" i="4" s="1"/>
  <c r="W9" i="4"/>
  <c r="R9" i="4" s="1"/>
  <c r="W10" i="4"/>
  <c r="AB10" i="4" s="1"/>
  <c r="W11" i="4"/>
  <c r="X11" i="4" s="1"/>
  <c r="W12" i="4"/>
  <c r="AB12" i="4" s="1"/>
  <c r="W13" i="4"/>
  <c r="X13" i="4" s="1"/>
  <c r="W14" i="4"/>
  <c r="AJ14" i="4" s="1"/>
  <c r="W15" i="4"/>
  <c r="R15" i="4" s="1"/>
  <c r="W16" i="4"/>
  <c r="AF16" i="4" s="1"/>
  <c r="W17" i="4"/>
  <c r="W18" i="4"/>
  <c r="W19" i="4"/>
  <c r="X19" i="4" s="1"/>
  <c r="W20" i="4"/>
  <c r="X20" i="4" s="1"/>
  <c r="W21" i="4"/>
  <c r="AJ21" i="4" s="1"/>
  <c r="W22" i="4"/>
  <c r="R22" i="4" s="1"/>
  <c r="W23" i="4"/>
  <c r="AB23" i="4" s="1"/>
  <c r="W24" i="4"/>
  <c r="R24" i="4" s="1"/>
  <c r="W25" i="4"/>
  <c r="R25" i="4" s="1"/>
  <c r="W26" i="4"/>
  <c r="AB26" i="4" s="1"/>
  <c r="W27" i="4"/>
  <c r="X27" i="4" s="1"/>
  <c r="W28" i="4"/>
  <c r="AJ28" i="4" s="1"/>
  <c r="I29" i="4"/>
  <c r="AM103" i="5"/>
  <c r="AJ5" i="5"/>
  <c r="V5" i="5" s="1"/>
  <c r="X5" i="5" s="1"/>
  <c r="AJ6" i="5"/>
  <c r="V6" i="5" s="1"/>
  <c r="X6" i="5" s="1"/>
  <c r="AJ7" i="5"/>
  <c r="V7" i="5" s="1"/>
  <c r="X7" i="5" s="1"/>
  <c r="AJ8" i="5"/>
  <c r="V8" i="5" s="1"/>
  <c r="X8" i="5" s="1"/>
  <c r="AJ9" i="5"/>
  <c r="V9" i="5" s="1"/>
  <c r="X9" i="5" s="1"/>
  <c r="AJ10" i="5"/>
  <c r="V10" i="5" s="1"/>
  <c r="X10" i="5" s="1"/>
  <c r="AJ11" i="5"/>
  <c r="AJ12" i="5"/>
  <c r="AI12" i="5" s="1"/>
  <c r="S12" i="5" s="1"/>
  <c r="AJ13" i="5"/>
  <c r="AI13" i="5" s="1"/>
  <c r="S13" i="5" s="1"/>
  <c r="AJ14" i="5"/>
  <c r="AI14" i="5" s="1"/>
  <c r="S14" i="5" s="1"/>
  <c r="AJ15" i="5"/>
  <c r="AJ16" i="5"/>
  <c r="AI16" i="5" s="1"/>
  <c r="S16" i="5" s="1"/>
  <c r="AJ17" i="5"/>
  <c r="AI17" i="5" s="1"/>
  <c r="S17" i="5" s="1"/>
  <c r="AJ18" i="5"/>
  <c r="AI18" i="5" s="1"/>
  <c r="S18" i="5" s="1"/>
  <c r="AJ19" i="5"/>
  <c r="V19" i="5" s="1"/>
  <c r="X19" i="5" s="1"/>
  <c r="AJ20" i="5"/>
  <c r="AI20" i="5" s="1"/>
  <c r="S20" i="5" s="1"/>
  <c r="AJ21" i="5"/>
  <c r="AI21" i="5" s="1"/>
  <c r="S21" i="5" s="1"/>
  <c r="AJ22" i="5"/>
  <c r="V22" i="5" s="1"/>
  <c r="X22" i="5" s="1"/>
  <c r="AJ23" i="5"/>
  <c r="AJ24" i="5"/>
  <c r="AI24" i="5" s="1"/>
  <c r="S24" i="5" s="1"/>
  <c r="AJ25" i="5"/>
  <c r="AI25" i="5" s="1"/>
  <c r="S25" i="5" s="1"/>
  <c r="AJ26" i="5"/>
  <c r="AI26" i="5" s="1"/>
  <c r="S26" i="5" s="1"/>
  <c r="AJ27" i="5"/>
  <c r="AI27" i="5" s="1"/>
  <c r="S27" i="5" s="1"/>
  <c r="AJ28" i="5"/>
  <c r="AI28" i="5" s="1"/>
  <c r="S28" i="5" s="1"/>
  <c r="AJ29" i="5"/>
  <c r="AI29" i="5" s="1"/>
  <c r="S29" i="5" s="1"/>
  <c r="AJ30" i="5"/>
  <c r="V30" i="5" s="1"/>
  <c r="X30" i="5" s="1"/>
  <c r="AJ31" i="5"/>
  <c r="AJ32" i="5"/>
  <c r="AI32" i="5" s="1"/>
  <c r="S32" i="5" s="1"/>
  <c r="AJ33" i="5"/>
  <c r="AI33" i="5" s="1"/>
  <c r="S33" i="5" s="1"/>
  <c r="AJ34" i="5"/>
  <c r="V34" i="5" s="1"/>
  <c r="X34" i="5" s="1"/>
  <c r="AJ35" i="5"/>
  <c r="AI35" i="5" s="1"/>
  <c r="S35" i="5" s="1"/>
  <c r="AJ36" i="5"/>
  <c r="AI36" i="5" s="1"/>
  <c r="S36" i="5" s="1"/>
  <c r="AJ37" i="5"/>
  <c r="V37" i="5" s="1"/>
  <c r="X37" i="5" s="1"/>
  <c r="AJ38" i="5"/>
  <c r="AI38" i="5" s="1"/>
  <c r="S38" i="5" s="1"/>
  <c r="AJ39" i="5"/>
  <c r="AJ40" i="5"/>
  <c r="AI40" i="5" s="1"/>
  <c r="S40" i="5" s="1"/>
  <c r="AJ41" i="5"/>
  <c r="V41" i="5" s="1"/>
  <c r="X41" i="5" s="1"/>
  <c r="AJ42" i="5"/>
  <c r="V42" i="5" s="1"/>
  <c r="X42" i="5" s="1"/>
  <c r="AJ43" i="5"/>
  <c r="AI43" i="5" s="1"/>
  <c r="S43" i="5" s="1"/>
  <c r="AJ44" i="5"/>
  <c r="AI44" i="5" s="1"/>
  <c r="S44" i="5" s="1"/>
  <c r="AJ45" i="5"/>
  <c r="AI45" i="5" s="1"/>
  <c r="S45" i="5" s="1"/>
  <c r="AJ46" i="5"/>
  <c r="AI46" i="5" s="1"/>
  <c r="S46" i="5" s="1"/>
  <c r="AJ47" i="5"/>
  <c r="AJ48" i="5"/>
  <c r="AI48" i="5" s="1"/>
  <c r="S48" i="5" s="1"/>
  <c r="AJ49" i="5"/>
  <c r="V49" i="5" s="1"/>
  <c r="X49" i="5" s="1"/>
  <c r="AJ50" i="5"/>
  <c r="V50" i="5" s="1"/>
  <c r="X50" i="5" s="1"/>
  <c r="AJ51" i="5"/>
  <c r="V51" i="5" s="1"/>
  <c r="X51" i="5" s="1"/>
  <c r="AJ52" i="5"/>
  <c r="AI52" i="5" s="1"/>
  <c r="S52" i="5" s="1"/>
  <c r="AJ53" i="5"/>
  <c r="AI53" i="5" s="1"/>
  <c r="S53" i="5" s="1"/>
  <c r="AJ54" i="5"/>
  <c r="AJ55" i="5"/>
  <c r="AJ56" i="5"/>
  <c r="AI56" i="5" s="1"/>
  <c r="S56" i="5" s="1"/>
  <c r="AJ57" i="5"/>
  <c r="AI57" i="5" s="1"/>
  <c r="S57" i="5" s="1"/>
  <c r="AJ58" i="5"/>
  <c r="V58" i="5" s="1"/>
  <c r="X58" i="5" s="1"/>
  <c r="AJ59" i="5"/>
  <c r="V59" i="5" s="1"/>
  <c r="X59" i="5" s="1"/>
  <c r="AJ60" i="5"/>
  <c r="AI60" i="5" s="1"/>
  <c r="S60" i="5" s="1"/>
  <c r="AJ61" i="5"/>
  <c r="AI61" i="5" s="1"/>
  <c r="S61" i="5" s="1"/>
  <c r="AJ62" i="5"/>
  <c r="AI62" i="5" s="1"/>
  <c r="S62" i="5" s="1"/>
  <c r="U62" i="5" s="1"/>
  <c r="AJ63" i="5"/>
  <c r="AJ64" i="5"/>
  <c r="V64" i="5" s="1"/>
  <c r="X64" i="5" s="1"/>
  <c r="AJ65" i="5"/>
  <c r="AI65" i="5" s="1"/>
  <c r="S65" i="5" s="1"/>
  <c r="AJ66" i="5"/>
  <c r="AI66" i="5" s="1"/>
  <c r="S66" i="5" s="1"/>
  <c r="AJ67" i="5"/>
  <c r="AI67" i="5" s="1"/>
  <c r="S67" i="5" s="1"/>
  <c r="AJ68" i="5"/>
  <c r="AI68" i="5" s="1"/>
  <c r="S68" i="5" s="1"/>
  <c r="AJ69" i="5"/>
  <c r="AI69" i="5" s="1"/>
  <c r="S69" i="5" s="1"/>
  <c r="AJ70" i="5"/>
  <c r="V70" i="5" s="1"/>
  <c r="X70" i="5" s="1"/>
  <c r="AJ71" i="5"/>
  <c r="AI71" i="5" s="1"/>
  <c r="S71" i="5" s="1"/>
  <c r="AJ72" i="5"/>
  <c r="AI72" i="5" s="1"/>
  <c r="S72" i="5" s="1"/>
  <c r="AJ73" i="5"/>
  <c r="AI73" i="5" s="1"/>
  <c r="S73" i="5" s="1"/>
  <c r="AG103" i="5"/>
  <c r="R103" i="5"/>
  <c r="O7" i="5"/>
  <c r="O103" i="5" s="1"/>
  <c r="N7" i="5"/>
  <c r="N103" i="5" s="1"/>
  <c r="M7" i="5"/>
  <c r="M103" i="5" s="1"/>
  <c r="I103" i="5"/>
  <c r="H103" i="5"/>
  <c r="AL85" i="5"/>
  <c r="AJ85" i="5"/>
  <c r="AI85" i="5" s="1"/>
  <c r="S85" i="5" s="1"/>
  <c r="AF85" i="5"/>
  <c r="AB85" i="5"/>
  <c r="AC85" i="5" s="1"/>
  <c r="AD85" i="5" s="1"/>
  <c r="Z85" i="5"/>
  <c r="AA85" i="5" s="1"/>
  <c r="AL84" i="5"/>
  <c r="AJ84" i="5"/>
  <c r="AI84" i="5" s="1"/>
  <c r="S84" i="5" s="1"/>
  <c r="AF84" i="5"/>
  <c r="AB84" i="5"/>
  <c r="AC84" i="5" s="1"/>
  <c r="AD84" i="5" s="1"/>
  <c r="Z84" i="5"/>
  <c r="AA84" i="5" s="1"/>
  <c r="AL83" i="5"/>
  <c r="AJ83" i="5"/>
  <c r="V83" i="5" s="1"/>
  <c r="X83" i="5" s="1"/>
  <c r="AF83" i="5"/>
  <c r="AB83" i="5"/>
  <c r="AC83" i="5" s="1"/>
  <c r="AD83" i="5" s="1"/>
  <c r="Z83" i="5"/>
  <c r="AA83" i="5" s="1"/>
  <c r="AL82" i="5"/>
  <c r="AJ82" i="5"/>
  <c r="AI82" i="5" s="1"/>
  <c r="S82" i="5" s="1"/>
  <c r="AF82" i="5"/>
  <c r="AB82" i="5"/>
  <c r="AC82" i="5" s="1"/>
  <c r="AD82" i="5" s="1"/>
  <c r="Z82" i="5"/>
  <c r="AA82" i="5" s="1"/>
  <c r="AL81" i="5"/>
  <c r="AJ81" i="5"/>
  <c r="V81" i="5" s="1"/>
  <c r="X81" i="5" s="1"/>
  <c r="AF81" i="5"/>
  <c r="AB81" i="5"/>
  <c r="AC81" i="5" s="1"/>
  <c r="AD81" i="5" s="1"/>
  <c r="Z81" i="5"/>
  <c r="AA81" i="5" s="1"/>
  <c r="AL80" i="5"/>
  <c r="AJ80" i="5"/>
  <c r="V80" i="5" s="1"/>
  <c r="X80" i="5" s="1"/>
  <c r="AF80" i="5"/>
  <c r="AB80" i="5"/>
  <c r="AC80" i="5" s="1"/>
  <c r="AD80" i="5" s="1"/>
  <c r="Z80" i="5"/>
  <c r="AA80" i="5" s="1"/>
  <c r="AL79" i="5"/>
  <c r="AJ79" i="5"/>
  <c r="AF79" i="5"/>
  <c r="AB79" i="5"/>
  <c r="AC79" i="5" s="1"/>
  <c r="AD79" i="5" s="1"/>
  <c r="Z79" i="5"/>
  <c r="AA79" i="5" s="1"/>
  <c r="AL78" i="5"/>
  <c r="AJ78" i="5"/>
  <c r="V78" i="5" s="1"/>
  <c r="X78" i="5" s="1"/>
  <c r="AF78" i="5"/>
  <c r="AB78" i="5"/>
  <c r="AC78" i="5" s="1"/>
  <c r="AD78" i="5" s="1"/>
  <c r="Z78" i="5"/>
  <c r="AA78" i="5" s="1"/>
  <c r="AL77" i="5"/>
  <c r="AJ77" i="5"/>
  <c r="AI77" i="5" s="1"/>
  <c r="S77" i="5" s="1"/>
  <c r="AF77" i="5"/>
  <c r="AB77" i="5"/>
  <c r="AC77" i="5" s="1"/>
  <c r="AD77" i="5" s="1"/>
  <c r="Z77" i="5"/>
  <c r="AA77" i="5" s="1"/>
  <c r="AL76" i="5"/>
  <c r="AJ76" i="5"/>
  <c r="AF76" i="5"/>
  <c r="AB76" i="5"/>
  <c r="AC76" i="5" s="1"/>
  <c r="AD76" i="5" s="1"/>
  <c r="Z76" i="5"/>
  <c r="AA76" i="5" s="1"/>
  <c r="AL75" i="5"/>
  <c r="AJ75" i="5"/>
  <c r="AF75" i="5"/>
  <c r="AB75" i="5"/>
  <c r="AC75" i="5" s="1"/>
  <c r="AD75" i="5" s="1"/>
  <c r="Z75" i="5"/>
  <c r="AA75" i="5" s="1"/>
  <c r="AL74" i="5"/>
  <c r="AJ74" i="5"/>
  <c r="V74" i="5" s="1"/>
  <c r="X74" i="5" s="1"/>
  <c r="AF74" i="5"/>
  <c r="AB74" i="5"/>
  <c r="AC74" i="5" s="1"/>
  <c r="AD74" i="5" s="1"/>
  <c r="Z74" i="5"/>
  <c r="AA74" i="5" s="1"/>
  <c r="AL73" i="5"/>
  <c r="AF73" i="5"/>
  <c r="AB73" i="5"/>
  <c r="AC73" i="5" s="1"/>
  <c r="AD73" i="5" s="1"/>
  <c r="Z73" i="5"/>
  <c r="AA73" i="5" s="1"/>
  <c r="AL72" i="5"/>
  <c r="AF72" i="5"/>
  <c r="AB72" i="5"/>
  <c r="AC72" i="5" s="1"/>
  <c r="AD72" i="5" s="1"/>
  <c r="Z72" i="5"/>
  <c r="AA72" i="5" s="1"/>
  <c r="AL71" i="5"/>
  <c r="AF71" i="5"/>
  <c r="AB71" i="5"/>
  <c r="AC71" i="5" s="1"/>
  <c r="AD71" i="5" s="1"/>
  <c r="Z71" i="5"/>
  <c r="AA71" i="5" s="1"/>
  <c r="AL70" i="5"/>
  <c r="AF70" i="5"/>
  <c r="AB70" i="5"/>
  <c r="AC70" i="5" s="1"/>
  <c r="AD70" i="5" s="1"/>
  <c r="Z70" i="5"/>
  <c r="AA70" i="5" s="1"/>
  <c r="AL69" i="5"/>
  <c r="AF69" i="5"/>
  <c r="AB69" i="5"/>
  <c r="AC69" i="5" s="1"/>
  <c r="AD69" i="5" s="1"/>
  <c r="Z69" i="5"/>
  <c r="AA69" i="5" s="1"/>
  <c r="AL68" i="5"/>
  <c r="AF68" i="5"/>
  <c r="AB68" i="5"/>
  <c r="AC68" i="5" s="1"/>
  <c r="AD68" i="5" s="1"/>
  <c r="Z68" i="5"/>
  <c r="AA68" i="5" s="1"/>
  <c r="AL67" i="5"/>
  <c r="AF67" i="5"/>
  <c r="AB67" i="5"/>
  <c r="AC67" i="5" s="1"/>
  <c r="AD67" i="5" s="1"/>
  <c r="Z67" i="5"/>
  <c r="AA67" i="5" s="1"/>
  <c r="AL66" i="5"/>
  <c r="AF66" i="5"/>
  <c r="AB66" i="5"/>
  <c r="AC66" i="5" s="1"/>
  <c r="AD66" i="5" s="1"/>
  <c r="Z66" i="5"/>
  <c r="AA66" i="5" s="1"/>
  <c r="AL65" i="5"/>
  <c r="AF65" i="5"/>
  <c r="AB65" i="5"/>
  <c r="AC65" i="5" s="1"/>
  <c r="AD65" i="5" s="1"/>
  <c r="Z65" i="5"/>
  <c r="AA65" i="5" s="1"/>
  <c r="AL64" i="5"/>
  <c r="AF64" i="5"/>
  <c r="AB64" i="5"/>
  <c r="AC64" i="5" s="1"/>
  <c r="AD64" i="5" s="1"/>
  <c r="Z64" i="5"/>
  <c r="AA64" i="5" s="1"/>
  <c r="AL63" i="5"/>
  <c r="AF63" i="5"/>
  <c r="AB63" i="5"/>
  <c r="AC63" i="5" s="1"/>
  <c r="AD63" i="5" s="1"/>
  <c r="Z63" i="5"/>
  <c r="AA63" i="5" s="1"/>
  <c r="AL62" i="5"/>
  <c r="AF62" i="5"/>
  <c r="AB62" i="5"/>
  <c r="AC62" i="5" s="1"/>
  <c r="AD62" i="5" s="1"/>
  <c r="Z62" i="5"/>
  <c r="AA62" i="5" s="1"/>
  <c r="AL61" i="5"/>
  <c r="AF61" i="5"/>
  <c r="AB61" i="5"/>
  <c r="AC61" i="5" s="1"/>
  <c r="AD61" i="5" s="1"/>
  <c r="Z61" i="5"/>
  <c r="AA61" i="5" s="1"/>
  <c r="AL60" i="5"/>
  <c r="AF60" i="5"/>
  <c r="AB60" i="5"/>
  <c r="AC60" i="5" s="1"/>
  <c r="AD60" i="5" s="1"/>
  <c r="Z60" i="5"/>
  <c r="AA60" i="5" s="1"/>
  <c r="AL59" i="5"/>
  <c r="AF59" i="5"/>
  <c r="AB59" i="5"/>
  <c r="AC59" i="5" s="1"/>
  <c r="AD59" i="5" s="1"/>
  <c r="Z59" i="5"/>
  <c r="AA59" i="5" s="1"/>
  <c r="AL58" i="5"/>
  <c r="AF58" i="5"/>
  <c r="AB58" i="5"/>
  <c r="AC58" i="5" s="1"/>
  <c r="AD58" i="5" s="1"/>
  <c r="Z58" i="5"/>
  <c r="AA58" i="5" s="1"/>
  <c r="AL57" i="5"/>
  <c r="AF57" i="5"/>
  <c r="AB57" i="5"/>
  <c r="AC57" i="5" s="1"/>
  <c r="AD57" i="5" s="1"/>
  <c r="Z57" i="5"/>
  <c r="AA57" i="5" s="1"/>
  <c r="AL56" i="5"/>
  <c r="AF56" i="5"/>
  <c r="AB56" i="5"/>
  <c r="AC56" i="5" s="1"/>
  <c r="AD56" i="5" s="1"/>
  <c r="Z56" i="5"/>
  <c r="AA56" i="5" s="1"/>
  <c r="AL55" i="5"/>
  <c r="AF55" i="5"/>
  <c r="AB55" i="5"/>
  <c r="AC55" i="5" s="1"/>
  <c r="AD55" i="5" s="1"/>
  <c r="Z55" i="5"/>
  <c r="AA55" i="5" s="1"/>
  <c r="AL54" i="5"/>
  <c r="AI54" i="5"/>
  <c r="S54" i="5" s="1"/>
  <c r="AF54" i="5"/>
  <c r="AB54" i="5"/>
  <c r="AC54" i="5" s="1"/>
  <c r="AD54" i="5" s="1"/>
  <c r="Z54" i="5"/>
  <c r="AA54" i="5" s="1"/>
  <c r="V54" i="5"/>
  <c r="X54" i="5" s="1"/>
  <c r="AL53" i="5"/>
  <c r="AF53" i="5"/>
  <c r="AB53" i="5"/>
  <c r="AC53" i="5" s="1"/>
  <c r="AD53" i="5" s="1"/>
  <c r="Z53" i="5"/>
  <c r="AA53" i="5" s="1"/>
  <c r="AL52" i="5"/>
  <c r="AF52" i="5"/>
  <c r="AB52" i="5"/>
  <c r="AC52" i="5" s="1"/>
  <c r="AD52" i="5" s="1"/>
  <c r="Z52" i="5"/>
  <c r="AA52" i="5" s="1"/>
  <c r="AL51" i="5"/>
  <c r="AF51" i="5"/>
  <c r="AB51" i="5"/>
  <c r="AC51" i="5" s="1"/>
  <c r="AD51" i="5" s="1"/>
  <c r="Z51" i="5"/>
  <c r="AA51" i="5" s="1"/>
  <c r="AL50" i="5"/>
  <c r="AF50" i="5"/>
  <c r="AB50" i="5"/>
  <c r="AC50" i="5" s="1"/>
  <c r="AD50" i="5" s="1"/>
  <c r="Z50" i="5"/>
  <c r="AA50" i="5" s="1"/>
  <c r="AL49" i="5"/>
  <c r="AF49" i="5"/>
  <c r="AB49" i="5"/>
  <c r="AC49" i="5" s="1"/>
  <c r="AD49" i="5" s="1"/>
  <c r="Z49" i="5"/>
  <c r="AA49" i="5" s="1"/>
  <c r="AL48" i="5"/>
  <c r="AF48" i="5"/>
  <c r="AB48" i="5"/>
  <c r="AC48" i="5" s="1"/>
  <c r="AD48" i="5" s="1"/>
  <c r="Z48" i="5"/>
  <c r="AA48" i="5" s="1"/>
  <c r="AL47" i="5"/>
  <c r="AF47" i="5"/>
  <c r="AB47" i="5"/>
  <c r="AC47" i="5" s="1"/>
  <c r="AD47" i="5" s="1"/>
  <c r="Z47" i="5"/>
  <c r="AA47" i="5" s="1"/>
  <c r="AL46" i="5"/>
  <c r="AF46" i="5"/>
  <c r="AB46" i="5"/>
  <c r="AC46" i="5" s="1"/>
  <c r="AD46" i="5" s="1"/>
  <c r="Z46" i="5"/>
  <c r="AA46" i="5" s="1"/>
  <c r="AL45" i="5"/>
  <c r="AF45" i="5"/>
  <c r="AB45" i="5"/>
  <c r="AC45" i="5" s="1"/>
  <c r="AD45" i="5" s="1"/>
  <c r="Z45" i="5"/>
  <c r="AA45" i="5" s="1"/>
  <c r="AL44" i="5"/>
  <c r="AF44" i="5"/>
  <c r="AB44" i="5"/>
  <c r="AC44" i="5" s="1"/>
  <c r="AD44" i="5" s="1"/>
  <c r="Z44" i="5"/>
  <c r="AA44" i="5" s="1"/>
  <c r="AL43" i="5"/>
  <c r="AF43" i="5"/>
  <c r="AB43" i="5"/>
  <c r="AC43" i="5" s="1"/>
  <c r="AD43" i="5" s="1"/>
  <c r="Z43" i="5"/>
  <c r="AA43" i="5" s="1"/>
  <c r="AL42" i="5"/>
  <c r="AF42" i="5"/>
  <c r="AB42" i="5"/>
  <c r="AC42" i="5" s="1"/>
  <c r="AD42" i="5" s="1"/>
  <c r="Z42" i="5"/>
  <c r="AA42" i="5" s="1"/>
  <c r="AL41" i="5"/>
  <c r="AF41" i="5"/>
  <c r="AB41" i="5"/>
  <c r="AC41" i="5" s="1"/>
  <c r="AD41" i="5" s="1"/>
  <c r="Z41" i="5"/>
  <c r="AA41" i="5" s="1"/>
  <c r="AL40" i="5"/>
  <c r="AF40" i="5"/>
  <c r="AB40" i="5"/>
  <c r="AC40" i="5" s="1"/>
  <c r="AD40" i="5" s="1"/>
  <c r="Z40" i="5"/>
  <c r="AA40" i="5" s="1"/>
  <c r="AL39" i="5"/>
  <c r="AF39" i="5"/>
  <c r="AB39" i="5"/>
  <c r="AC39" i="5" s="1"/>
  <c r="AD39" i="5" s="1"/>
  <c r="Z39" i="5"/>
  <c r="AA39" i="5" s="1"/>
  <c r="AL38" i="5"/>
  <c r="AF38" i="5"/>
  <c r="AB38" i="5"/>
  <c r="AC38" i="5" s="1"/>
  <c r="AD38" i="5" s="1"/>
  <c r="Z38" i="5"/>
  <c r="AA38" i="5" s="1"/>
  <c r="AL37" i="5"/>
  <c r="AF37" i="5"/>
  <c r="AB37" i="5"/>
  <c r="AC37" i="5" s="1"/>
  <c r="AD37" i="5" s="1"/>
  <c r="Z37" i="5"/>
  <c r="AA37" i="5" s="1"/>
  <c r="AL36" i="5"/>
  <c r="AF36" i="5"/>
  <c r="AB36" i="5"/>
  <c r="AC36" i="5" s="1"/>
  <c r="AD36" i="5" s="1"/>
  <c r="Z36" i="5"/>
  <c r="AA36" i="5" s="1"/>
  <c r="AL35" i="5"/>
  <c r="AF35" i="5"/>
  <c r="AB35" i="5"/>
  <c r="AC35" i="5" s="1"/>
  <c r="AD35" i="5" s="1"/>
  <c r="Z35" i="5"/>
  <c r="AA35" i="5" s="1"/>
  <c r="AL34" i="5"/>
  <c r="AF34" i="5"/>
  <c r="AB34" i="5"/>
  <c r="AC34" i="5" s="1"/>
  <c r="AD34" i="5" s="1"/>
  <c r="Z34" i="5"/>
  <c r="AA34" i="5" s="1"/>
  <c r="AL33" i="5"/>
  <c r="AF33" i="5"/>
  <c r="AB33" i="5"/>
  <c r="AC33" i="5" s="1"/>
  <c r="AD33" i="5" s="1"/>
  <c r="Z33" i="5"/>
  <c r="AA33" i="5" s="1"/>
  <c r="AL32" i="5"/>
  <c r="AF32" i="5"/>
  <c r="AB32" i="5"/>
  <c r="AC32" i="5" s="1"/>
  <c r="AD32" i="5" s="1"/>
  <c r="Z32" i="5"/>
  <c r="AA32" i="5" s="1"/>
  <c r="AL31" i="5"/>
  <c r="AF31" i="5"/>
  <c r="AB31" i="5"/>
  <c r="AC31" i="5" s="1"/>
  <c r="AD31" i="5" s="1"/>
  <c r="Z31" i="5"/>
  <c r="AA31" i="5" s="1"/>
  <c r="AL30" i="5"/>
  <c r="AF30" i="5"/>
  <c r="AB30" i="5"/>
  <c r="AC30" i="5" s="1"/>
  <c r="AD30" i="5" s="1"/>
  <c r="Z30" i="5"/>
  <c r="AA30" i="5" s="1"/>
  <c r="AL29" i="5"/>
  <c r="AF29" i="5"/>
  <c r="AB29" i="5"/>
  <c r="AC29" i="5" s="1"/>
  <c r="AD29" i="5" s="1"/>
  <c r="Z29" i="5"/>
  <c r="AA29" i="5" s="1"/>
  <c r="AL28" i="5"/>
  <c r="AF28" i="5"/>
  <c r="AB28" i="5"/>
  <c r="AC28" i="5" s="1"/>
  <c r="AD28" i="5" s="1"/>
  <c r="Z28" i="5"/>
  <c r="AA28" i="5" s="1"/>
  <c r="AL27" i="5"/>
  <c r="AF27" i="5"/>
  <c r="AB27" i="5"/>
  <c r="AC27" i="5" s="1"/>
  <c r="AD27" i="5" s="1"/>
  <c r="Z27" i="5"/>
  <c r="AA27" i="5" s="1"/>
  <c r="AL26" i="5"/>
  <c r="AF26" i="5"/>
  <c r="AB26" i="5"/>
  <c r="AC26" i="5" s="1"/>
  <c r="AD26" i="5" s="1"/>
  <c r="Z26" i="5"/>
  <c r="AA26" i="5" s="1"/>
  <c r="AL25" i="5"/>
  <c r="AF25" i="5"/>
  <c r="AB25" i="5"/>
  <c r="AC25" i="5" s="1"/>
  <c r="AD25" i="5" s="1"/>
  <c r="Z25" i="5"/>
  <c r="AA25" i="5" s="1"/>
  <c r="AL24" i="5"/>
  <c r="AF24" i="5"/>
  <c r="AB24" i="5"/>
  <c r="AC24" i="5" s="1"/>
  <c r="AD24" i="5" s="1"/>
  <c r="Z24" i="5"/>
  <c r="AA24" i="5" s="1"/>
  <c r="AL23" i="5"/>
  <c r="AF23" i="5"/>
  <c r="AB23" i="5"/>
  <c r="AC23" i="5" s="1"/>
  <c r="AD23" i="5" s="1"/>
  <c r="Z23" i="5"/>
  <c r="AA23" i="5" s="1"/>
  <c r="AL22" i="5"/>
  <c r="AF22" i="5"/>
  <c r="AB22" i="5"/>
  <c r="AC22" i="5" s="1"/>
  <c r="AD22" i="5" s="1"/>
  <c r="Z22" i="5"/>
  <c r="AA22" i="5" s="1"/>
  <c r="AL21" i="5"/>
  <c r="AF21" i="5"/>
  <c r="AB21" i="5"/>
  <c r="AC21" i="5" s="1"/>
  <c r="AD21" i="5" s="1"/>
  <c r="Z21" i="5"/>
  <c r="AA21" i="5" s="1"/>
  <c r="AL20" i="5"/>
  <c r="AF20" i="5"/>
  <c r="AB20" i="5"/>
  <c r="AC20" i="5" s="1"/>
  <c r="AD20" i="5" s="1"/>
  <c r="Z20" i="5"/>
  <c r="AA20" i="5" s="1"/>
  <c r="AL19" i="5"/>
  <c r="AF19" i="5"/>
  <c r="AB19" i="5"/>
  <c r="AC19" i="5" s="1"/>
  <c r="AD19" i="5" s="1"/>
  <c r="Z19" i="5"/>
  <c r="AA19" i="5" s="1"/>
  <c r="AL18" i="5"/>
  <c r="AF18" i="5"/>
  <c r="AB18" i="5"/>
  <c r="AC18" i="5" s="1"/>
  <c r="AD18" i="5" s="1"/>
  <c r="Z18" i="5"/>
  <c r="AA18" i="5" s="1"/>
  <c r="AL17" i="5"/>
  <c r="AF17" i="5"/>
  <c r="AB17" i="5"/>
  <c r="AC17" i="5" s="1"/>
  <c r="AD17" i="5" s="1"/>
  <c r="Z17" i="5"/>
  <c r="AA17" i="5" s="1"/>
  <c r="AL16" i="5"/>
  <c r="AF16" i="5"/>
  <c r="AB16" i="5"/>
  <c r="AC16" i="5" s="1"/>
  <c r="AD16" i="5" s="1"/>
  <c r="Z16" i="5"/>
  <c r="AA16" i="5" s="1"/>
  <c r="AL15" i="5"/>
  <c r="AF15" i="5"/>
  <c r="AB15" i="5"/>
  <c r="AC15" i="5" s="1"/>
  <c r="AD15" i="5" s="1"/>
  <c r="Z15" i="5"/>
  <c r="AA15" i="5" s="1"/>
  <c r="AL14" i="5"/>
  <c r="AF14" i="5"/>
  <c r="AB14" i="5"/>
  <c r="AC14" i="5" s="1"/>
  <c r="AD14" i="5" s="1"/>
  <c r="Z14" i="5"/>
  <c r="AA14" i="5" s="1"/>
  <c r="AL13" i="5"/>
  <c r="AF13" i="5"/>
  <c r="AB13" i="5"/>
  <c r="AC13" i="5" s="1"/>
  <c r="AD13" i="5" s="1"/>
  <c r="Z13" i="5"/>
  <c r="AA13" i="5" s="1"/>
  <c r="AL12" i="5"/>
  <c r="AF12" i="5"/>
  <c r="AB12" i="5"/>
  <c r="AC12" i="5" s="1"/>
  <c r="AD12" i="5" s="1"/>
  <c r="Z12" i="5"/>
  <c r="AA12" i="5" s="1"/>
  <c r="AL11" i="5"/>
  <c r="AF11" i="5"/>
  <c r="AB11" i="5"/>
  <c r="AC11" i="5" s="1"/>
  <c r="AD11" i="5" s="1"/>
  <c r="Z11" i="5"/>
  <c r="AA11" i="5" s="1"/>
  <c r="W10" i="5"/>
  <c r="AL10" i="5" s="1"/>
  <c r="AB10" i="5"/>
  <c r="AC10" i="5" s="1"/>
  <c r="AD10" i="5" s="1"/>
  <c r="Z10" i="5"/>
  <c r="W9" i="5"/>
  <c r="AL9" i="5" s="1"/>
  <c r="AB9" i="5"/>
  <c r="AC9" i="5" s="1"/>
  <c r="AD9" i="5" s="1"/>
  <c r="Z9" i="5"/>
  <c r="W8" i="5"/>
  <c r="AB8" i="5"/>
  <c r="AC8" i="5" s="1"/>
  <c r="AD8" i="5" s="1"/>
  <c r="Z8" i="5"/>
  <c r="W7" i="5"/>
  <c r="AL7" i="5" s="1"/>
  <c r="AB7" i="5"/>
  <c r="AC7" i="5" s="1"/>
  <c r="AD7" i="5" s="1"/>
  <c r="Z7" i="5"/>
  <c r="W6" i="5"/>
  <c r="AB6" i="5"/>
  <c r="AC6" i="5" s="1"/>
  <c r="AD6" i="5" s="1"/>
  <c r="Z6" i="5"/>
  <c r="AB5" i="5"/>
  <c r="AC5" i="5" s="1"/>
  <c r="AD5" i="5" s="1"/>
  <c r="Z5" i="5"/>
  <c r="W2" i="5"/>
  <c r="X1" i="5" s="1"/>
  <c r="W5" i="5" s="1"/>
  <c r="AF1" i="5"/>
  <c r="C1" i="10"/>
  <c r="AR33" i="4"/>
  <c r="AR34" i="4"/>
  <c r="AR35" i="4"/>
  <c r="AR36" i="4"/>
  <c r="AQ33" i="4"/>
  <c r="AQ34" i="4"/>
  <c r="AQ35" i="4"/>
  <c r="AQ36" i="4"/>
  <c r="AP33" i="4"/>
  <c r="AP34" i="4"/>
  <c r="AP35" i="4"/>
  <c r="AP36" i="4"/>
  <c r="AN37" i="4"/>
  <c r="AM37" i="4"/>
  <c r="AL37" i="4"/>
  <c r="W33" i="4"/>
  <c r="R33" i="4" s="1"/>
  <c r="W34" i="4"/>
  <c r="X34" i="4" s="1"/>
  <c r="W35" i="4"/>
  <c r="X35" i="4" s="1"/>
  <c r="W36" i="4"/>
  <c r="AB36" i="4" s="1"/>
  <c r="AI37" i="4"/>
  <c r="AH33" i="4"/>
  <c r="AH34" i="4"/>
  <c r="AH35" i="4"/>
  <c r="AH36" i="4"/>
  <c r="AE37" i="4"/>
  <c r="AD33" i="4"/>
  <c r="AD34" i="4"/>
  <c r="AD35" i="4"/>
  <c r="AD36" i="4"/>
  <c r="AA37" i="4"/>
  <c r="Z33" i="4"/>
  <c r="Z34" i="4"/>
  <c r="Z35" i="4"/>
  <c r="Z36" i="4"/>
  <c r="J37" i="4"/>
  <c r="I37" i="4"/>
  <c r="H37" i="4"/>
  <c r="F37" i="4"/>
  <c r="A37" i="4"/>
  <c r="D36" i="4"/>
  <c r="E36" i="4" s="1"/>
  <c r="D35" i="4"/>
  <c r="E35" i="4" s="1"/>
  <c r="D34" i="4"/>
  <c r="E34" i="4" s="1"/>
  <c r="D33" i="4"/>
  <c r="E33" i="4" s="1"/>
  <c r="X8" i="4"/>
  <c r="X10" i="4"/>
  <c r="X22" i="4"/>
  <c r="R8" i="4"/>
  <c r="T8" i="4" s="1"/>
  <c r="AV5" i="4"/>
  <c r="AV6" i="4"/>
  <c r="AV7" i="4"/>
  <c r="AV8" i="4"/>
  <c r="AV9" i="4"/>
  <c r="AV10" i="4"/>
  <c r="AV11" i="4"/>
  <c r="AV12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U5" i="4"/>
  <c r="AU6" i="4"/>
  <c r="AU7" i="4"/>
  <c r="AU8" i="4"/>
  <c r="AU9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22" i="4"/>
  <c r="AU23" i="4"/>
  <c r="AU24" i="4"/>
  <c r="AU25" i="4"/>
  <c r="AU26" i="4"/>
  <c r="AU27" i="4"/>
  <c r="AU28" i="4"/>
  <c r="AT5" i="4"/>
  <c r="AT6" i="4"/>
  <c r="AT7" i="4"/>
  <c r="AT8" i="4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R5" i="4"/>
  <c r="AR6" i="4"/>
  <c r="AR7" i="4"/>
  <c r="AR8" i="4"/>
  <c r="AR9" i="4"/>
  <c r="AR10" i="4"/>
  <c r="AR11" i="4"/>
  <c r="AR12" i="4"/>
  <c r="AR13" i="4"/>
  <c r="AR14" i="4"/>
  <c r="AR15" i="4"/>
  <c r="AR16" i="4"/>
  <c r="AR17" i="4"/>
  <c r="AR18" i="4"/>
  <c r="AR19" i="4"/>
  <c r="AR20" i="4"/>
  <c r="AR21" i="4"/>
  <c r="AR22" i="4"/>
  <c r="AR23" i="4"/>
  <c r="AR24" i="4"/>
  <c r="AR25" i="4"/>
  <c r="AR26" i="4"/>
  <c r="AR27" i="4"/>
  <c r="AR28" i="4"/>
  <c r="AQ5" i="4"/>
  <c r="AQ6" i="4"/>
  <c r="AQ7" i="4"/>
  <c r="AQ8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P5" i="4"/>
  <c r="AP6" i="4"/>
  <c r="AP7" i="4"/>
  <c r="AP8" i="4"/>
  <c r="AP9" i="4"/>
  <c r="AP10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N29" i="4"/>
  <c r="AM29" i="4"/>
  <c r="AL29" i="4"/>
  <c r="AI29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E29" i="4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A29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J29" i="4"/>
  <c r="H29" i="4"/>
  <c r="G29" i="4"/>
  <c r="F29" i="4"/>
  <c r="A29" i="4"/>
  <c r="D28" i="4"/>
  <c r="E28" i="4" s="1"/>
  <c r="AB27" i="4"/>
  <c r="D27" i="4"/>
  <c r="E27" i="4" s="1"/>
  <c r="D26" i="4"/>
  <c r="E26" i="4" s="1"/>
  <c r="D25" i="4"/>
  <c r="E25" i="4" s="1"/>
  <c r="D24" i="4"/>
  <c r="E24" i="4" s="1"/>
  <c r="D23" i="4"/>
  <c r="E23" i="4" s="1"/>
  <c r="AJ22" i="4"/>
  <c r="D22" i="4"/>
  <c r="E22" i="4" s="1"/>
  <c r="M22" i="4" s="1"/>
  <c r="D21" i="4"/>
  <c r="E21" i="4" s="1"/>
  <c r="D20" i="4"/>
  <c r="E20" i="4" s="1"/>
  <c r="D19" i="4"/>
  <c r="E19" i="4" s="1"/>
  <c r="D18" i="4"/>
  <c r="E18" i="4" s="1"/>
  <c r="AJ17" i="4"/>
  <c r="D17" i="4"/>
  <c r="E17" i="4" s="1"/>
  <c r="M17" i="4" s="1"/>
  <c r="R17" i="4"/>
  <c r="S17" i="4" s="1"/>
  <c r="D16" i="4"/>
  <c r="E16" i="4" s="1"/>
  <c r="D15" i="4"/>
  <c r="E15" i="4" s="1"/>
  <c r="D14" i="4"/>
  <c r="E14" i="4" s="1"/>
  <c r="D13" i="4"/>
  <c r="E13" i="4" s="1"/>
  <c r="D12" i="4"/>
  <c r="E12" i="4" s="1"/>
  <c r="D11" i="4"/>
  <c r="E11" i="4" s="1"/>
  <c r="D10" i="4"/>
  <c r="E10" i="4" s="1"/>
  <c r="R10" i="4"/>
  <c r="S10" i="4" s="1"/>
  <c r="D9" i="4"/>
  <c r="E9" i="4" s="1"/>
  <c r="M9" i="4" s="1"/>
  <c r="D8" i="4"/>
  <c r="E8" i="4" s="1"/>
  <c r="D7" i="4"/>
  <c r="E7" i="4" s="1"/>
  <c r="AF6" i="4"/>
  <c r="D6" i="4"/>
  <c r="E6" i="4" s="1"/>
  <c r="D5" i="4"/>
  <c r="E5" i="4" s="1"/>
  <c r="D159" i="8"/>
  <c r="C159" i="8"/>
  <c r="D158" i="8"/>
  <c r="C158" i="8"/>
  <c r="D157" i="8"/>
  <c r="C157" i="8"/>
  <c r="D156" i="8"/>
  <c r="C156" i="8"/>
  <c r="D155" i="8"/>
  <c r="C155" i="8"/>
  <c r="D154" i="8"/>
  <c r="C154" i="8"/>
  <c r="D153" i="8"/>
  <c r="C153" i="8"/>
  <c r="D152" i="8"/>
  <c r="C152" i="8"/>
  <c r="D151" i="8"/>
  <c r="C151" i="8"/>
  <c r="D150" i="8"/>
  <c r="C150" i="8"/>
  <c r="D149" i="8"/>
  <c r="C149" i="8"/>
  <c r="D148" i="8"/>
  <c r="C148" i="8"/>
  <c r="D147" i="8"/>
  <c r="C147" i="8"/>
  <c r="D146" i="8"/>
  <c r="C146" i="8"/>
  <c r="D145" i="8"/>
  <c r="C145" i="8"/>
  <c r="D144" i="8"/>
  <c r="C144" i="8"/>
  <c r="D143" i="8"/>
  <c r="C143" i="8"/>
  <c r="D142" i="8"/>
  <c r="C142" i="8"/>
  <c r="D141" i="8"/>
  <c r="C141" i="8"/>
  <c r="D140" i="8"/>
  <c r="C140" i="8"/>
  <c r="D139" i="8"/>
  <c r="C139" i="8"/>
  <c r="D138" i="8"/>
  <c r="C138" i="8"/>
  <c r="D137" i="8"/>
  <c r="C137" i="8"/>
  <c r="D136" i="8"/>
  <c r="C136" i="8"/>
  <c r="D135" i="8"/>
  <c r="C135" i="8"/>
  <c r="D134" i="8"/>
  <c r="C134" i="8"/>
  <c r="D133" i="8"/>
  <c r="C133" i="8"/>
  <c r="D132" i="8"/>
  <c r="C132" i="8"/>
  <c r="D131" i="8"/>
  <c r="C131" i="8"/>
  <c r="C129" i="8"/>
  <c r="C130" i="8"/>
  <c r="D130" i="8"/>
  <c r="D129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159" i="2"/>
  <c r="C159" i="2"/>
  <c r="D158" i="2"/>
  <c r="C158" i="2"/>
  <c r="D157" i="2"/>
  <c r="C157" i="2"/>
  <c r="D156" i="2"/>
  <c r="C156" i="2"/>
  <c r="D155" i="2"/>
  <c r="C155" i="2"/>
  <c r="D154" i="2"/>
  <c r="C154" i="2"/>
  <c r="D153" i="2"/>
  <c r="C153" i="2"/>
  <c r="D152" i="2"/>
  <c r="C152" i="2"/>
  <c r="D151" i="2"/>
  <c r="C151" i="2"/>
  <c r="D150" i="2"/>
  <c r="C150" i="2"/>
  <c r="D149" i="2"/>
  <c r="C149" i="2"/>
  <c r="D148" i="2"/>
  <c r="C148" i="2"/>
  <c r="D147" i="2"/>
  <c r="C147" i="2"/>
  <c r="D146" i="2"/>
  <c r="C146" i="2"/>
  <c r="D145" i="2"/>
  <c r="C145" i="2"/>
  <c r="D144" i="2"/>
  <c r="C144" i="2"/>
  <c r="D143" i="2"/>
  <c r="C143" i="2"/>
  <c r="D142" i="2"/>
  <c r="C142" i="2"/>
  <c r="D141" i="2"/>
  <c r="C141" i="2"/>
  <c r="D140" i="2"/>
  <c r="C140" i="2"/>
  <c r="D139" i="2"/>
  <c r="C139" i="2"/>
  <c r="D138" i="2"/>
  <c r="C138" i="2"/>
  <c r="D137" i="2"/>
  <c r="C137" i="2"/>
  <c r="D136" i="2"/>
  <c r="C136" i="2"/>
  <c r="D135" i="2"/>
  <c r="C135" i="2"/>
  <c r="D134" i="2"/>
  <c r="C134" i="2"/>
  <c r="D133" i="2"/>
  <c r="C133" i="2"/>
  <c r="D132" i="2"/>
  <c r="C132" i="2"/>
  <c r="D131" i="2"/>
  <c r="C131" i="2"/>
  <c r="D130" i="2"/>
  <c r="C130" i="2"/>
  <c r="C129" i="2"/>
  <c r="D129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B385" i="9"/>
  <c r="B384" i="9"/>
  <c r="B383" i="9"/>
  <c r="B382" i="9"/>
  <c r="B381" i="9"/>
  <c r="B380" i="9"/>
  <c r="B379" i="9"/>
  <c r="B378" i="9"/>
  <c r="B377" i="9"/>
  <c r="B376" i="9"/>
  <c r="B375" i="9"/>
  <c r="B374" i="9"/>
  <c r="B373" i="9"/>
  <c r="B372" i="9"/>
  <c r="B371" i="9"/>
  <c r="B370" i="9"/>
  <c r="B369" i="9"/>
  <c r="B368" i="9"/>
  <c r="B367" i="9"/>
  <c r="B366" i="9"/>
  <c r="B365" i="9"/>
  <c r="B364" i="9"/>
  <c r="B363" i="9"/>
  <c r="B362" i="9"/>
  <c r="B361" i="9"/>
  <c r="B360" i="9"/>
  <c r="B359" i="9"/>
  <c r="B358" i="9"/>
  <c r="B357" i="9"/>
  <c r="B356" i="9"/>
  <c r="B355" i="9"/>
  <c r="B354" i="9"/>
  <c r="B353" i="9"/>
  <c r="B352" i="9"/>
  <c r="B351" i="9"/>
  <c r="B350" i="9"/>
  <c r="B349" i="9"/>
  <c r="B348" i="9"/>
  <c r="B347" i="9"/>
  <c r="B346" i="9"/>
  <c r="B345" i="9"/>
  <c r="B344" i="9"/>
  <c r="B343" i="9"/>
  <c r="B342" i="9"/>
  <c r="B341" i="9"/>
  <c r="B340" i="9"/>
  <c r="B339" i="9"/>
  <c r="B338" i="9"/>
  <c r="B337" i="9"/>
  <c r="B336" i="9"/>
  <c r="B335" i="9"/>
  <c r="B334" i="9"/>
  <c r="B333" i="9"/>
  <c r="B332" i="9"/>
  <c r="B331" i="9"/>
  <c r="B330" i="9"/>
  <c r="B329" i="9"/>
  <c r="B328" i="9"/>
  <c r="B327" i="9"/>
  <c r="B326" i="9"/>
  <c r="B325" i="9"/>
  <c r="B324" i="9"/>
  <c r="B323" i="9"/>
  <c r="B322" i="9"/>
  <c r="B321" i="9"/>
  <c r="B320" i="9"/>
  <c r="B319" i="9"/>
  <c r="B318" i="9"/>
  <c r="B317" i="9"/>
  <c r="B316" i="9"/>
  <c r="B315" i="9"/>
  <c r="B314" i="9"/>
  <c r="B313" i="9"/>
  <c r="B312" i="9"/>
  <c r="B311" i="9"/>
  <c r="B310" i="9"/>
  <c r="B309" i="9"/>
  <c r="B308" i="9"/>
  <c r="B307" i="9"/>
  <c r="B306" i="9"/>
  <c r="B305" i="9"/>
  <c r="B304" i="9"/>
  <c r="B303" i="9"/>
  <c r="B302" i="9"/>
  <c r="B301" i="9"/>
  <c r="B300" i="9"/>
  <c r="B299" i="9"/>
  <c r="B298" i="9"/>
  <c r="B297" i="9"/>
  <c r="B296" i="9"/>
  <c r="B295" i="9"/>
  <c r="B294" i="9"/>
  <c r="B293" i="9"/>
  <c r="B292" i="9"/>
  <c r="B291" i="9"/>
  <c r="B290" i="9"/>
  <c r="B289" i="9"/>
  <c r="B288" i="9"/>
  <c r="B287" i="9"/>
  <c r="B286" i="9"/>
  <c r="B285" i="9"/>
  <c r="B284" i="9"/>
  <c r="B283" i="9"/>
  <c r="B282" i="9"/>
  <c r="B281" i="9"/>
  <c r="B280" i="9"/>
  <c r="B279" i="9"/>
  <c r="B278" i="9"/>
  <c r="B277" i="9"/>
  <c r="B276" i="9"/>
  <c r="B275" i="9"/>
  <c r="B274" i="9"/>
  <c r="B273" i="9"/>
  <c r="B272" i="9"/>
  <c r="B271" i="9"/>
  <c r="B270" i="9"/>
  <c r="B269" i="9"/>
  <c r="B268" i="9"/>
  <c r="B267" i="9"/>
  <c r="B266" i="9"/>
  <c r="B265" i="9"/>
  <c r="B264" i="9"/>
  <c r="B263" i="9"/>
  <c r="B262" i="9"/>
  <c r="B261" i="9"/>
  <c r="B260" i="9"/>
  <c r="B259" i="9"/>
  <c r="B258" i="9"/>
  <c r="B257" i="9"/>
  <c r="B256" i="9"/>
  <c r="B255" i="9"/>
  <c r="B254" i="9"/>
  <c r="B253" i="9"/>
  <c r="B252" i="9"/>
  <c r="B251" i="9"/>
  <c r="B250" i="9"/>
  <c r="B249" i="9"/>
  <c r="B248" i="9"/>
  <c r="B247" i="9"/>
  <c r="B246" i="9"/>
  <c r="B245" i="9"/>
  <c r="B244" i="9"/>
  <c r="B243" i="9"/>
  <c r="B242" i="9"/>
  <c r="B241" i="9"/>
  <c r="B240" i="9"/>
  <c r="B239" i="9"/>
  <c r="B238" i="9"/>
  <c r="B237" i="9"/>
  <c r="B236" i="9"/>
  <c r="B235" i="9"/>
  <c r="B234" i="9"/>
  <c r="B233" i="9"/>
  <c r="B232" i="9"/>
  <c r="B231" i="9"/>
  <c r="B230" i="9"/>
  <c r="B229" i="9"/>
  <c r="B228" i="9"/>
  <c r="B227" i="9"/>
  <c r="B226" i="9"/>
  <c r="B225" i="9"/>
  <c r="B224" i="9"/>
  <c r="B223" i="9"/>
  <c r="B222" i="9"/>
  <c r="B221" i="9"/>
  <c r="B220" i="9"/>
  <c r="B219" i="9"/>
  <c r="B218" i="9"/>
  <c r="B217" i="9"/>
  <c r="B216" i="9"/>
  <c r="B215" i="9"/>
  <c r="B214" i="9"/>
  <c r="B213" i="9"/>
  <c r="B212" i="9"/>
  <c r="B211" i="9"/>
  <c r="B210" i="9"/>
  <c r="B209" i="9"/>
  <c r="B208" i="9"/>
  <c r="B207" i="9"/>
  <c r="B206" i="9"/>
  <c r="B205" i="9"/>
  <c r="B204" i="9"/>
  <c r="B203" i="9"/>
  <c r="B202" i="9"/>
  <c r="B201" i="9"/>
  <c r="B200" i="9"/>
  <c r="B199" i="9"/>
  <c r="B198" i="9"/>
  <c r="B197" i="9"/>
  <c r="B196" i="9"/>
  <c r="B195" i="9"/>
  <c r="B194" i="9"/>
  <c r="B193" i="9"/>
  <c r="B192" i="9"/>
  <c r="B191" i="9"/>
  <c r="B190" i="9"/>
  <c r="B189" i="9"/>
  <c r="B188" i="9"/>
  <c r="B187" i="9"/>
  <c r="B186" i="9"/>
  <c r="B185" i="9"/>
  <c r="B184" i="9"/>
  <c r="B183" i="9"/>
  <c r="B182" i="9"/>
  <c r="B181" i="9"/>
  <c r="B180" i="9"/>
  <c r="B179" i="9"/>
  <c r="B178" i="9"/>
  <c r="B177" i="9"/>
  <c r="B176" i="9"/>
  <c r="B175" i="9"/>
  <c r="B174" i="9"/>
  <c r="B173" i="9"/>
  <c r="B172" i="9"/>
  <c r="B171" i="9"/>
  <c r="B170" i="9"/>
  <c r="B169" i="9"/>
  <c r="B168" i="9"/>
  <c r="B167" i="9"/>
  <c r="B166" i="9"/>
  <c r="B165" i="9"/>
  <c r="B164" i="9"/>
  <c r="B163" i="9"/>
  <c r="B162" i="9"/>
  <c r="B161" i="9"/>
  <c r="B160" i="9"/>
  <c r="B159" i="9"/>
  <c r="B158" i="9"/>
  <c r="B157" i="9"/>
  <c r="B156" i="9"/>
  <c r="B155" i="9"/>
  <c r="B154" i="9"/>
  <c r="B153" i="9"/>
  <c r="B152" i="9"/>
  <c r="B151" i="9"/>
  <c r="B150" i="9"/>
  <c r="B149" i="9"/>
  <c r="B148" i="9"/>
  <c r="B147" i="9"/>
  <c r="B146" i="9"/>
  <c r="B145" i="9"/>
  <c r="B144" i="9"/>
  <c r="B143" i="9"/>
  <c r="B142" i="9"/>
  <c r="B141" i="9"/>
  <c r="B140" i="9"/>
  <c r="B139" i="9"/>
  <c r="B138" i="9"/>
  <c r="B137" i="9"/>
  <c r="B136" i="9"/>
  <c r="B135" i="9"/>
  <c r="B134" i="9"/>
  <c r="B133" i="9"/>
  <c r="B132" i="9"/>
  <c r="B131" i="9"/>
  <c r="B130" i="9"/>
  <c r="B129" i="9"/>
  <c r="B128" i="9"/>
  <c r="B127" i="9"/>
  <c r="B126" i="9"/>
  <c r="B125" i="9"/>
  <c r="B124" i="9"/>
  <c r="B123" i="9"/>
  <c r="B122" i="9"/>
  <c r="B121" i="9"/>
  <c r="B120" i="9"/>
  <c r="B119" i="9"/>
  <c r="B118" i="9"/>
  <c r="B117" i="9"/>
  <c r="B116" i="9"/>
  <c r="B115" i="9"/>
  <c r="B114" i="9"/>
  <c r="B113" i="9"/>
  <c r="B112" i="9"/>
  <c r="B111" i="9"/>
  <c r="B110" i="9"/>
  <c r="B109" i="9"/>
  <c r="B108" i="9"/>
  <c r="B107" i="9"/>
  <c r="B106" i="9"/>
  <c r="B105" i="9"/>
  <c r="B104" i="9"/>
  <c r="B103" i="9"/>
  <c r="B102" i="9"/>
  <c r="B101" i="9"/>
  <c r="B100" i="9"/>
  <c r="B99" i="9"/>
  <c r="B98" i="9"/>
  <c r="B97" i="9"/>
  <c r="B96" i="9"/>
  <c r="B95" i="9"/>
  <c r="B94" i="9"/>
  <c r="B93" i="9"/>
  <c r="B92" i="9"/>
  <c r="B91" i="9"/>
  <c r="B90" i="9"/>
  <c r="B89" i="9"/>
  <c r="B88" i="9"/>
  <c r="B87" i="9"/>
  <c r="B86" i="9"/>
  <c r="B85" i="9"/>
  <c r="B84" i="9"/>
  <c r="B83" i="9"/>
  <c r="B82" i="9"/>
  <c r="B81" i="9"/>
  <c r="B80" i="9"/>
  <c r="B79" i="9"/>
  <c r="B78" i="9"/>
  <c r="B77" i="9"/>
  <c r="B76" i="9"/>
  <c r="B75" i="9"/>
  <c r="B74" i="9"/>
  <c r="B73" i="9"/>
  <c r="B72" i="9"/>
  <c r="B71" i="9"/>
  <c r="B70" i="9"/>
  <c r="B69" i="9"/>
  <c r="B68" i="9"/>
  <c r="B67" i="9"/>
  <c r="B66" i="9"/>
  <c r="B65" i="9"/>
  <c r="B64" i="9"/>
  <c r="B63" i="9"/>
  <c r="B62" i="9"/>
  <c r="B61" i="9"/>
  <c r="B60" i="9"/>
  <c r="B59" i="9"/>
  <c r="B58" i="9"/>
  <c r="B57" i="9"/>
  <c r="B56" i="9"/>
  <c r="B55" i="9"/>
  <c r="B54" i="9"/>
  <c r="B53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A18" i="9"/>
  <c r="A17" i="9"/>
  <c r="A16" i="9"/>
  <c r="A15" i="9"/>
  <c r="A14" i="9"/>
  <c r="A13" i="9"/>
  <c r="A12" i="9"/>
  <c r="A11" i="9"/>
  <c r="M10" i="9"/>
  <c r="A10" i="9"/>
  <c r="M9" i="9"/>
  <c r="L9" i="9" s="1"/>
  <c r="A9" i="9"/>
  <c r="M8" i="9"/>
  <c r="A8" i="9"/>
  <c r="M7" i="9"/>
  <c r="A7" i="9"/>
  <c r="M6" i="9"/>
  <c r="A6" i="9"/>
  <c r="M5" i="9"/>
  <c r="A5" i="9"/>
  <c r="M4" i="9"/>
  <c r="B15" i="18"/>
  <c r="E15" i="18" s="1"/>
  <c r="B14" i="18"/>
  <c r="C14" i="18" s="1"/>
  <c r="B13" i="18"/>
  <c r="E13" i="18" s="1"/>
  <c r="B12" i="18"/>
  <c r="E12" i="18" s="1"/>
  <c r="B11" i="18"/>
  <c r="D11" i="18" s="1"/>
  <c r="B10" i="18"/>
  <c r="B9" i="18"/>
  <c r="E9" i="18" s="1"/>
  <c r="B8" i="18"/>
  <c r="C8" i="18" s="1"/>
  <c r="B7" i="18"/>
  <c r="C7" i="18" s="1"/>
  <c r="B6" i="18"/>
  <c r="D6" i="18" s="1"/>
  <c r="B5" i="18"/>
  <c r="B4" i="18"/>
  <c r="D4" i="18" s="1"/>
  <c r="B3" i="18"/>
  <c r="C3" i="18" s="1"/>
  <c r="B2" i="18"/>
  <c r="E2" i="18" s="1"/>
  <c r="E97" i="20"/>
  <c r="E72" i="20"/>
  <c r="H81" i="20"/>
  <c r="L89" i="20"/>
  <c r="M89" i="20"/>
  <c r="M97" i="20"/>
  <c r="I70" i="20"/>
  <c r="G45" i="20"/>
  <c r="N89" i="20"/>
  <c r="J91" i="20"/>
  <c r="I97" i="20"/>
  <c r="I89" i="20"/>
  <c r="J70" i="20"/>
  <c r="H100" i="20"/>
  <c r="E63" i="20"/>
  <c r="J97" i="20"/>
  <c r="N19" i="20"/>
  <c r="L29" i="20"/>
  <c r="L45" i="20"/>
  <c r="O93" i="20"/>
  <c r="J78" i="20"/>
  <c r="E99" i="20"/>
  <c r="L67" i="20"/>
  <c r="L75" i="20"/>
  <c r="O47" i="20"/>
  <c r="G90" i="20"/>
  <c r="N50" i="20"/>
  <c r="E65" i="20"/>
  <c r="J73" i="20"/>
  <c r="G73" i="20"/>
  <c r="I65" i="20"/>
  <c r="E6" i="20"/>
  <c r="E73" i="20"/>
  <c r="N73" i="20"/>
  <c r="H73" i="20"/>
  <c r="H65" i="20"/>
  <c r="I99" i="20"/>
  <c r="O65" i="20"/>
  <c r="N65" i="20"/>
  <c r="J65" i="20"/>
  <c r="G50" i="20"/>
  <c r="E50" i="20"/>
  <c r="L101" i="20"/>
  <c r="I101" i="20"/>
  <c r="X75" i="20"/>
  <c r="X65" i="20"/>
  <c r="W65" i="20"/>
  <c r="W93" i="20"/>
  <c r="W90" i="20"/>
  <c r="X101" i="20"/>
  <c r="H89" i="20"/>
  <c r="X89" i="20"/>
  <c r="W89" i="20"/>
  <c r="W100" i="20"/>
  <c r="H97" i="20"/>
  <c r="X97" i="20"/>
  <c r="W97" i="20"/>
  <c r="W88" i="20"/>
  <c r="X81" i="20"/>
  <c r="W81" i="20"/>
  <c r="M73" i="20"/>
  <c r="X73" i="20"/>
  <c r="W73" i="20"/>
  <c r="X71" i="20"/>
  <c r="M65" i="20"/>
  <c r="N22" i="20"/>
  <c r="J42" i="20"/>
  <c r="N30" i="20"/>
  <c r="O58" i="20"/>
  <c r="H55" i="20"/>
  <c r="L33" i="20"/>
  <c r="N55" i="20"/>
  <c r="E49" i="20"/>
  <c r="J49" i="20"/>
  <c r="H49" i="20"/>
  <c r="X47" i="20"/>
  <c r="I26" i="20"/>
  <c r="W10" i="20"/>
  <c r="X10" i="20"/>
  <c r="G32" i="20"/>
  <c r="X31" i="20"/>
  <c r="X24" i="20"/>
  <c r="W24" i="20"/>
  <c r="X8" i="20"/>
  <c r="W8" i="20"/>
  <c r="H17" i="20"/>
  <c r="X17" i="20"/>
  <c r="W17" i="20"/>
  <c r="O41" i="20"/>
  <c r="X45" i="20"/>
  <c r="X37" i="20"/>
  <c r="X6" i="20"/>
  <c r="W6" i="20"/>
  <c r="L40" i="20"/>
  <c r="X40" i="20"/>
  <c r="W40" i="20"/>
  <c r="X9" i="20"/>
  <c r="W9" i="20"/>
  <c r="X50" i="20"/>
  <c r="W50" i="20"/>
  <c r="X29" i="20"/>
  <c r="W13" i="20"/>
  <c r="X32" i="20"/>
  <c r="W32" i="20"/>
  <c r="M49" i="20"/>
  <c r="X49" i="20"/>
  <c r="W49" i="20"/>
  <c r="L20" i="20"/>
  <c r="W12" i="20"/>
  <c r="J25" i="20"/>
  <c r="W25" i="20"/>
  <c r="X42" i="20"/>
  <c r="L49" i="20"/>
  <c r="L48" i="20"/>
  <c r="N12" i="20"/>
  <c r="H48" i="20"/>
  <c r="I48" i="20"/>
  <c r="H20" i="20"/>
  <c r="E48" i="20"/>
  <c r="J12" i="20"/>
  <c r="L12" i="20"/>
  <c r="H12" i="20"/>
  <c r="L28" i="20"/>
  <c r="L17" i="20"/>
  <c r="H32" i="20"/>
  <c r="H25" i="20"/>
  <c r="N32" i="20"/>
  <c r="G25" i="20"/>
  <c r="E25" i="20"/>
  <c r="L32" i="20"/>
  <c r="E32" i="20"/>
  <c r="J32" i="20"/>
  <c r="H9" i="20"/>
  <c r="H40" i="20"/>
  <c r="G40" i="20"/>
  <c r="L25" i="20"/>
  <c r="M25" i="20"/>
  <c r="I9" i="20"/>
  <c r="N25" i="20"/>
  <c r="J40" i="20"/>
  <c r="I17" i="20"/>
  <c r="C255" i="8"/>
  <c r="E26" i="20"/>
  <c r="J33" i="20"/>
  <c r="E33" i="20"/>
  <c r="L26" i="20"/>
  <c r="L18" i="20"/>
  <c r="O40" i="20"/>
  <c r="N40" i="20"/>
  <c r="I40" i="20"/>
  <c r="G33" i="20"/>
  <c r="E40" i="20"/>
  <c r="M40" i="20"/>
  <c r="E37" i="20"/>
  <c r="M37" i="20"/>
  <c r="M24" i="20"/>
  <c r="N8" i="20"/>
  <c r="J37" i="20"/>
  <c r="L8" i="20"/>
  <c r="L37" i="20"/>
  <c r="M38" i="20"/>
  <c r="N24" i="20"/>
  <c r="G24" i="20"/>
  <c r="L24" i="20"/>
  <c r="H24" i="20"/>
  <c r="I24" i="20"/>
  <c r="J24" i="20"/>
  <c r="O24" i="20"/>
  <c r="E38" i="20"/>
  <c r="I8" i="20"/>
  <c r="G16" i="20"/>
  <c r="L16" i="20"/>
  <c r="I16" i="20"/>
  <c r="G8" i="20"/>
  <c r="E8" i="20"/>
  <c r="H8" i="20"/>
  <c r="M16" i="20"/>
  <c r="L23" i="20"/>
  <c r="J8" i="20"/>
  <c r="O8" i="20"/>
  <c r="G36" i="20"/>
  <c r="J16" i="20"/>
  <c r="O32" i="20"/>
  <c r="H16" i="20"/>
  <c r="N16" i="20"/>
  <c r="M8" i="20"/>
  <c r="H6" i="20"/>
  <c r="N9" i="20"/>
  <c r="N31" i="20"/>
  <c r="N13" i="20"/>
  <c r="H13" i="20"/>
  <c r="E20" i="20"/>
  <c r="J20" i="20"/>
  <c r="M20" i="20"/>
  <c r="N20" i="20"/>
  <c r="O20" i="20"/>
  <c r="J9" i="20"/>
  <c r="G13" i="20"/>
  <c r="I39" i="20"/>
  <c r="O6" i="20"/>
  <c r="G6" i="20"/>
  <c r="M9" i="20"/>
  <c r="M17" i="20"/>
  <c r="L13" i="20"/>
  <c r="M13" i="20"/>
  <c r="M28" i="20"/>
  <c r="E13" i="20"/>
  <c r="J17" i="20"/>
  <c r="E24" i="20"/>
  <c r="N17" i="20"/>
  <c r="L9" i="20"/>
  <c r="N6" i="20"/>
  <c r="N28" i="20"/>
  <c r="G17" i="20"/>
  <c r="I6" i="20"/>
  <c r="E9" i="20"/>
  <c r="H54" i="20"/>
  <c r="M54" i="20"/>
  <c r="O54" i="20"/>
  <c r="E54" i="20"/>
  <c r="J54" i="20"/>
  <c r="I54" i="20"/>
  <c r="L54" i="20"/>
  <c r="L98" i="20"/>
  <c r="H98" i="20"/>
  <c r="G98" i="20"/>
  <c r="E98" i="20"/>
  <c r="M98" i="20"/>
  <c r="I98" i="20"/>
  <c r="J92" i="20"/>
  <c r="O69" i="20"/>
  <c r="I66" i="20"/>
  <c r="E66" i="20"/>
  <c r="O66" i="20"/>
  <c r="L66" i="20"/>
  <c r="H66" i="20"/>
  <c r="N66" i="20"/>
  <c r="M66" i="20"/>
  <c r="G66" i="20"/>
  <c r="E100" i="20"/>
  <c r="G100" i="20"/>
  <c r="O100" i="20"/>
  <c r="I100" i="20"/>
  <c r="J100" i="20"/>
  <c r="M100" i="20"/>
  <c r="E94" i="20"/>
  <c r="M94" i="20"/>
  <c r="G94" i="20"/>
  <c r="E81" i="20"/>
  <c r="J81" i="20"/>
  <c r="G81" i="20"/>
  <c r="L81" i="20"/>
  <c r="M81" i="20"/>
  <c r="G47" i="20"/>
  <c r="M58" i="20"/>
  <c r="E58" i="20"/>
  <c r="I58" i="20"/>
  <c r="N58" i="20"/>
  <c r="L58" i="20"/>
  <c r="H58" i="20"/>
  <c r="J58" i="20"/>
  <c r="E17" i="20"/>
  <c r="O9" i="20"/>
  <c r="G58" i="20"/>
  <c r="L64" i="20"/>
  <c r="I64" i="20"/>
  <c r="E64" i="20"/>
  <c r="M64" i="20"/>
  <c r="H64" i="20"/>
  <c r="I28" i="20"/>
  <c r="O18" i="20"/>
  <c r="O10" i="20"/>
  <c r="G75" i="20"/>
  <c r="G10" i="20"/>
  <c r="O97" i="20"/>
  <c r="N91" i="20"/>
  <c r="O26" i="20"/>
  <c r="O16" i="20"/>
  <c r="I12" i="20"/>
  <c r="L73" i="20"/>
  <c r="G49" i="20"/>
  <c r="L10" i="20"/>
  <c r="G37" i="20"/>
  <c r="O33" i="20"/>
  <c r="E29" i="20"/>
  <c r="O25" i="20"/>
  <c r="I18" i="20"/>
  <c r="O17" i="20"/>
  <c r="E56" i="20"/>
  <c r="G56" i="20"/>
  <c r="H56" i="20"/>
  <c r="I56" i="20"/>
  <c r="J56" i="20"/>
  <c r="L56" i="20"/>
  <c r="M56" i="20"/>
  <c r="N56" i="20"/>
  <c r="O56" i="20"/>
  <c r="W56" i="20"/>
  <c r="X56" i="20"/>
  <c r="N54" i="20"/>
  <c r="E59" i="20"/>
  <c r="N59" i="20"/>
  <c r="M44" i="20"/>
  <c r="E44" i="20"/>
  <c r="O44" i="20"/>
  <c r="H44" i="20"/>
  <c r="J57" i="20"/>
  <c r="I57" i="20"/>
  <c r="G57" i="20"/>
  <c r="G44" i="20"/>
  <c r="L57" i="20"/>
  <c r="E62" i="20"/>
  <c r="X44" i="20"/>
  <c r="W15" i="20"/>
  <c r="N57" i="20"/>
  <c r="M57" i="20"/>
  <c r="W44" i="20"/>
  <c r="L44" i="20"/>
  <c r="W57" i="20"/>
  <c r="J44" i="20"/>
  <c r="X57" i="20"/>
  <c r="E57" i="20"/>
  <c r="O46" i="20"/>
  <c r="N52" i="20"/>
  <c r="O34" i="20"/>
  <c r="N41" i="20"/>
  <c r="W52" i="20"/>
  <c r="J41" i="20"/>
  <c r="J21" i="20"/>
  <c r="G52" i="20"/>
  <c r="J34" i="20"/>
  <c r="I41" i="20"/>
  <c r="N14" i="20"/>
  <c r="X62" i="20"/>
  <c r="M52" i="20"/>
  <c r="G34" i="20"/>
  <c r="M34" i="20"/>
  <c r="L41" i="20"/>
  <c r="H41" i="20"/>
  <c r="W62" i="20"/>
  <c r="O21" i="20"/>
  <c r="E21" i="20"/>
  <c r="H52" i="20"/>
  <c r="L34" i="20"/>
  <c r="M21" i="20"/>
  <c r="M41" i="20"/>
  <c r="I52" i="20"/>
  <c r="E34" i="20"/>
  <c r="G46" i="20"/>
  <c r="W34" i="20"/>
  <c r="W41" i="20"/>
  <c r="L21" i="20"/>
  <c r="O52" i="20"/>
  <c r="H34" i="20"/>
  <c r="X34" i="20"/>
  <c r="X21" i="20"/>
  <c r="X41" i="20"/>
  <c r="J52" i="20"/>
  <c r="I34" i="20"/>
  <c r="W21" i="20"/>
  <c r="G41" i="20"/>
  <c r="E52" i="20"/>
  <c r="N21" i="20"/>
  <c r="L4" i="20"/>
  <c r="M48" i="20"/>
  <c r="O28" i="20"/>
  <c r="H4" i="20"/>
  <c r="N48" i="20"/>
  <c r="I33" i="20"/>
  <c r="O5" i="20"/>
  <c r="W16" i="20"/>
  <c r="I4" i="20"/>
  <c r="M33" i="20"/>
  <c r="H5" i="20"/>
  <c r="X16" i="20"/>
  <c r="G5" i="20"/>
  <c r="N5" i="20"/>
  <c r="W33" i="20"/>
  <c r="E5" i="20"/>
  <c r="M5" i="20"/>
  <c r="I5" i="20"/>
  <c r="J5" i="20"/>
  <c r="J48" i="20"/>
  <c r="O48" i="20"/>
  <c r="W48" i="20"/>
  <c r="X28" i="20"/>
  <c r="W5" i="20"/>
  <c r="W4" i="20"/>
  <c r="L5" i="20"/>
  <c r="G48" i="20"/>
  <c r="X4" i="20"/>
  <c r="AB34" i="4"/>
  <c r="V33" i="4"/>
  <c r="AI80" i="5"/>
  <c r="S80" i="5" s="1"/>
  <c r="V22" i="4"/>
  <c r="AJ36" i="4"/>
  <c r="M4" i="20"/>
  <c r="N4" i="20"/>
  <c r="O4" i="20"/>
  <c r="N94" i="20"/>
  <c r="W94" i="20"/>
  <c r="H86" i="20"/>
  <c r="G86" i="20"/>
  <c r="W86" i="20"/>
  <c r="I86" i="20"/>
  <c r="L78" i="20"/>
  <c r="W78" i="20"/>
  <c r="N70" i="20"/>
  <c r="X70" i="20"/>
  <c r="N53" i="20"/>
  <c r="M45" i="20"/>
  <c r="W45" i="20"/>
  <c r="J45" i="20"/>
  <c r="I45" i="20"/>
  <c r="N37" i="20"/>
  <c r="H37" i="20"/>
  <c r="W37" i="20"/>
  <c r="I37" i="20"/>
  <c r="O37" i="20"/>
  <c r="G29" i="20"/>
  <c r="I29" i="20"/>
  <c r="N29" i="20"/>
  <c r="W29" i="20"/>
  <c r="G21" i="20"/>
  <c r="I21" i="20"/>
  <c r="J13" i="20"/>
  <c r="O13" i="20"/>
  <c r="I13" i="20"/>
  <c r="X13" i="20"/>
  <c r="AI63" i="5"/>
  <c r="S63" i="5" s="1"/>
  <c r="V63" i="5"/>
  <c r="X63" i="5" s="1"/>
  <c r="AI55" i="5"/>
  <c r="S55" i="5" s="1"/>
  <c r="V55" i="5"/>
  <c r="X55" i="5" s="1"/>
  <c r="AI47" i="5"/>
  <c r="S47" i="5" s="1"/>
  <c r="V47" i="5"/>
  <c r="X47" i="5" s="1"/>
  <c r="AI39" i="5"/>
  <c r="S39" i="5" s="1"/>
  <c r="V39" i="5"/>
  <c r="X39" i="5" s="1"/>
  <c r="AI31" i="5"/>
  <c r="S31" i="5" s="1"/>
  <c r="V31" i="5"/>
  <c r="X31" i="5" s="1"/>
  <c r="V15" i="5"/>
  <c r="X15" i="5" s="1"/>
  <c r="AI15" i="5"/>
  <c r="S15" i="5" s="1"/>
  <c r="AJ25" i="4"/>
  <c r="X25" i="4"/>
  <c r="AF25" i="4"/>
  <c r="AB25" i="4"/>
  <c r="AF17" i="4"/>
  <c r="AB17" i="4"/>
  <c r="X17" i="4"/>
  <c r="AJ9" i="4"/>
  <c r="AB9" i="4"/>
  <c r="X9" i="4"/>
  <c r="R20" i="4"/>
  <c r="T20" i="4" s="1"/>
  <c r="V84" i="5"/>
  <c r="X84" i="5" s="1"/>
  <c r="AB35" i="4"/>
  <c r="AI19" i="5"/>
  <c r="S19" i="5" s="1"/>
  <c r="V43" i="5"/>
  <c r="X43" i="5" s="1"/>
  <c r="AI50" i="5"/>
  <c r="S50" i="5" s="1"/>
  <c r="V67" i="5"/>
  <c r="X67" i="5" s="1"/>
  <c r="V27" i="5"/>
  <c r="X27" i="5" s="1"/>
  <c r="AI51" i="5"/>
  <c r="S51" i="5" s="1"/>
  <c r="AI59" i="5"/>
  <c r="S59" i="5" s="1"/>
  <c r="AI83" i="5"/>
  <c r="S83" i="5" s="1"/>
  <c r="AP37" i="4"/>
  <c r="AF28" i="4"/>
  <c r="AA9" i="5"/>
  <c r="AF20" i="4"/>
  <c r="V23" i="4"/>
  <c r="S8" i="4"/>
  <c r="AD29" i="4"/>
  <c r="AF36" i="4"/>
  <c r="AL8" i="5"/>
  <c r="AF7" i="5"/>
  <c r="AF9" i="5"/>
  <c r="AF35" i="4"/>
  <c r="R36" i="4"/>
  <c r="S36" i="4" s="1"/>
  <c r="AI7" i="5"/>
  <c r="S7" i="5" s="1"/>
  <c r="AJ35" i="4"/>
  <c r="X36" i="4"/>
  <c r="V75" i="5"/>
  <c r="X75" i="5" s="1"/>
  <c r="AI75" i="5"/>
  <c r="S75" i="5" s="1"/>
  <c r="V77" i="5"/>
  <c r="X77" i="5" s="1"/>
  <c r="V79" i="5"/>
  <c r="X79" i="5" s="1"/>
  <c r="AI79" i="5"/>
  <c r="S79" i="5" s="1"/>
  <c r="AB5" i="4"/>
  <c r="AB13" i="4"/>
  <c r="AB21" i="4"/>
  <c r="AF8" i="5"/>
  <c r="AF5" i="4"/>
  <c r="AF13" i="4"/>
  <c r="AF21" i="4"/>
  <c r="X5" i="4"/>
  <c r="AJ34" i="4"/>
  <c r="V44" i="5"/>
  <c r="X44" i="5" s="1"/>
  <c r="N100" i="20"/>
  <c r="L100" i="20"/>
  <c r="X100" i="20"/>
  <c r="L94" i="20"/>
  <c r="H94" i="20"/>
  <c r="X94" i="20"/>
  <c r="J90" i="20"/>
  <c r="H88" i="20"/>
  <c r="N88" i="20"/>
  <c r="X88" i="20"/>
  <c r="O86" i="20"/>
  <c r="E86" i="20"/>
  <c r="J86" i="20"/>
  <c r="X86" i="20"/>
  <c r="G82" i="20"/>
  <c r="H80" i="20"/>
  <c r="E80" i="20"/>
  <c r="L80" i="20"/>
  <c r="X80" i="20"/>
  <c r="N78" i="20"/>
  <c r="I78" i="20"/>
  <c r="H78" i="20"/>
  <c r="M78" i="20"/>
  <c r="O78" i="20"/>
  <c r="G78" i="20"/>
  <c r="X78" i="20"/>
  <c r="G74" i="20"/>
  <c r="M74" i="20"/>
  <c r="X74" i="20"/>
  <c r="L72" i="20"/>
  <c r="O72" i="20"/>
  <c r="X72" i="20"/>
  <c r="G70" i="20"/>
  <c r="W70" i="20"/>
  <c r="L70" i="20"/>
  <c r="G64" i="20"/>
  <c r="N64" i="20"/>
  <c r="O64" i="20"/>
  <c r="X64" i="20"/>
  <c r="H29" i="20"/>
  <c r="E45" i="20"/>
  <c r="O29" i="20"/>
  <c r="J29" i="20"/>
  <c r="M29" i="20"/>
  <c r="N45" i="20"/>
  <c r="H21" i="20"/>
  <c r="O45" i="20"/>
  <c r="H45" i="20"/>
  <c r="O85" i="20"/>
  <c r="H85" i="20"/>
  <c r="L85" i="20"/>
  <c r="E85" i="20"/>
  <c r="N85" i="20"/>
  <c r="J85" i="20"/>
  <c r="G83" i="20"/>
  <c r="O83" i="20"/>
  <c r="O79" i="20"/>
  <c r="E77" i="20"/>
  <c r="J77" i="20"/>
  <c r="O77" i="20"/>
  <c r="N67" i="20"/>
  <c r="E67" i="20"/>
  <c r="O67" i="20"/>
  <c r="G67" i="20"/>
  <c r="L65" i="20"/>
  <c r="G65" i="20"/>
  <c r="N63" i="20"/>
  <c r="O59" i="20"/>
  <c r="H59" i="20"/>
  <c r="W59" i="20"/>
  <c r="H57" i="20"/>
  <c r="O57" i="20"/>
  <c r="H50" i="20"/>
  <c r="L50" i="20"/>
  <c r="M42" i="20"/>
  <c r="O42" i="20"/>
  <c r="E42" i="20"/>
  <c r="N98" i="20"/>
  <c r="O98" i="20"/>
  <c r="I94" i="20"/>
  <c r="J94" i="20"/>
  <c r="O94" i="20"/>
  <c r="M88" i="20"/>
  <c r="G88" i="20"/>
  <c r="L88" i="20"/>
  <c r="L86" i="20"/>
  <c r="N86" i="20"/>
  <c r="M86" i="20"/>
  <c r="N36" i="20"/>
  <c r="O36" i="20"/>
  <c r="E91" i="20"/>
  <c r="E78" i="20"/>
  <c r="H101" i="20"/>
  <c r="E101" i="20"/>
  <c r="J101" i="20"/>
  <c r="L97" i="20"/>
  <c r="N97" i="20"/>
  <c r="G97" i="20"/>
  <c r="H95" i="20"/>
  <c r="J89" i="20"/>
  <c r="O89" i="20"/>
  <c r="E89" i="20"/>
  <c r="G89" i="20"/>
  <c r="L87" i="20"/>
  <c r="G77" i="20"/>
  <c r="H77" i="20"/>
  <c r="H75" i="20"/>
  <c r="E75" i="20"/>
  <c r="O75" i="20"/>
  <c r="I73" i="20"/>
  <c r="O73" i="20"/>
  <c r="I59" i="20"/>
  <c r="L59" i="20"/>
  <c r="E88" i="20"/>
  <c r="O88" i="20"/>
  <c r="N81" i="20"/>
  <c r="O81" i="20"/>
  <c r="N74" i="20"/>
  <c r="E74" i="20"/>
  <c r="O74" i="20"/>
  <c r="J74" i="20"/>
  <c r="L74" i="20"/>
  <c r="I74" i="20"/>
  <c r="H72" i="20"/>
  <c r="G72" i="20"/>
  <c r="M72" i="20"/>
  <c r="J72" i="20"/>
  <c r="M70" i="20"/>
  <c r="E70" i="20"/>
  <c r="O70" i="20"/>
  <c r="H70" i="20"/>
  <c r="I32" i="20"/>
  <c r="M32" i="20"/>
  <c r="T17" i="4"/>
  <c r="T10" i="4"/>
  <c r="H11" i="20"/>
  <c r="J62" i="20"/>
  <c r="I62" i="20"/>
  <c r="L62" i="20"/>
  <c r="AB18" i="4"/>
  <c r="X18" i="4"/>
  <c r="AJ18" i="4"/>
  <c r="AF18" i="4"/>
  <c r="R14" i="4"/>
  <c r="S14" i="4" s="1"/>
  <c r="AF14" i="4"/>
  <c r="X14" i="4"/>
  <c r="AB14" i="4"/>
  <c r="V23" i="5"/>
  <c r="X23" i="5" s="1"/>
  <c r="AI23" i="5"/>
  <c r="S23" i="5" s="1"/>
  <c r="V11" i="5"/>
  <c r="X11" i="5" s="1"/>
  <c r="AI11" i="5"/>
  <c r="S11" i="5" s="1"/>
  <c r="X21" i="4"/>
  <c r="R21" i="4"/>
  <c r="S21" i="4" s="1"/>
  <c r="R18" i="4"/>
  <c r="T18" i="4" s="1"/>
  <c r="V66" i="5"/>
  <c r="X66" i="5" s="1"/>
  <c r="X83" i="20"/>
  <c r="X98" i="20"/>
  <c r="M36" i="20"/>
  <c r="J64" i="20"/>
  <c r="N101" i="20"/>
  <c r="I72" i="20"/>
  <c r="I83" i="20"/>
  <c r="O101" i="20"/>
  <c r="AF9" i="4"/>
  <c r="V8" i="4"/>
  <c r="Q8" i="4" s="1"/>
  <c r="V60" i="5"/>
  <c r="X60" i="5" s="1"/>
  <c r="E83" i="20"/>
  <c r="H91" i="20"/>
  <c r="O91" i="20"/>
  <c r="W91" i="20"/>
  <c r="W75" i="20"/>
  <c r="W87" i="20"/>
  <c r="W101" i="20"/>
  <c r="G101" i="20"/>
  <c r="H83" i="20"/>
  <c r="N75" i="20"/>
  <c r="V68" i="5"/>
  <c r="X68" i="5" s="1"/>
  <c r="V72" i="5"/>
  <c r="X72" i="5" s="1"/>
  <c r="R26" i="4"/>
  <c r="T26" i="4" s="1"/>
  <c r="I44" i="20"/>
  <c r="AJ5" i="4"/>
  <c r="AF26" i="4"/>
  <c r="X26" i="4"/>
  <c r="R35" i="4"/>
  <c r="S35" i="4" s="1"/>
  <c r="AJ26" i="4"/>
  <c r="V71" i="5"/>
  <c r="X71" i="5" s="1"/>
  <c r="V52" i="5"/>
  <c r="X52" i="5" s="1"/>
  <c r="C36" i="1"/>
  <c r="D33" i="1"/>
  <c r="D32" i="1"/>
  <c r="AI76" i="5"/>
  <c r="S76" i="5" s="1"/>
  <c r="V76" i="5"/>
  <c r="X76" i="5" s="1"/>
  <c r="O62" i="20"/>
  <c r="N62" i="20"/>
  <c r="H62" i="20"/>
  <c r="G62" i="20"/>
  <c r="C38" i="1"/>
  <c r="C37" i="1"/>
  <c r="D37" i="1"/>
  <c r="Q4" i="9"/>
  <c r="Q11" i="9"/>
  <c r="Q9" i="9"/>
  <c r="Q7" i="9"/>
  <c r="Q5" i="9"/>
  <c r="Q10" i="9"/>
  <c r="Q8" i="9"/>
  <c r="Q6" i="9"/>
  <c r="F2" i="9"/>
  <c r="V35" i="5" l="1"/>
  <c r="X35" i="5" s="1"/>
  <c r="AJ13" i="4"/>
  <c r="R13" i="4"/>
  <c r="S13" i="4" s="1"/>
  <c r="C60" i="32"/>
  <c r="K44" i="26"/>
  <c r="L44" i="26" s="1"/>
  <c r="M44" i="26" s="1"/>
  <c r="T44" i="26"/>
  <c r="U44" i="26"/>
  <c r="R44" i="26"/>
  <c r="S44" i="26"/>
  <c r="U43" i="26"/>
  <c r="S43" i="26"/>
  <c r="T43" i="26"/>
  <c r="R43" i="26"/>
  <c r="O42" i="26"/>
  <c r="U42" i="26"/>
  <c r="R42" i="26"/>
  <c r="S42" i="26"/>
  <c r="T42" i="26"/>
  <c r="K41" i="26"/>
  <c r="L41" i="26" s="1"/>
  <c r="U41" i="26"/>
  <c r="R41" i="26"/>
  <c r="S41" i="26"/>
  <c r="T41" i="26"/>
  <c r="K40" i="26"/>
  <c r="T40" i="26"/>
  <c r="R40" i="26"/>
  <c r="S40" i="26"/>
  <c r="U40" i="26"/>
  <c r="C23" i="32"/>
  <c r="Q10" i="20"/>
  <c r="V27" i="4"/>
  <c r="V19" i="4"/>
  <c r="Q19" i="4" s="1"/>
  <c r="V15" i="4"/>
  <c r="V11" i="4"/>
  <c r="Q11" i="4" s="1"/>
  <c r="V7" i="4"/>
  <c r="V36" i="4"/>
  <c r="AR37" i="4"/>
  <c r="AA6" i="5"/>
  <c r="AF34" i="4"/>
  <c r="Q33" i="4"/>
  <c r="AF27" i="4"/>
  <c r="V33" i="5"/>
  <c r="X33" i="5" s="1"/>
  <c r="AB15" i="4"/>
  <c r="AB11" i="4"/>
  <c r="B147" i="32"/>
  <c r="AJ8" i="4"/>
  <c r="R16" i="4"/>
  <c r="S16" i="4" s="1"/>
  <c r="X16" i="4"/>
  <c r="V46" i="5"/>
  <c r="X46" i="5" s="1"/>
  <c r="AI6" i="5"/>
  <c r="S6" i="5" s="1"/>
  <c r="T6" i="5" s="1"/>
  <c r="T21" i="4"/>
  <c r="V28" i="4"/>
  <c r="Q28" i="4" s="1"/>
  <c r="V24" i="4"/>
  <c r="Q24" i="4" s="1"/>
  <c r="V20" i="4"/>
  <c r="Q20" i="4" s="1"/>
  <c r="V16" i="4"/>
  <c r="Q16" i="4" s="1"/>
  <c r="V12" i="4"/>
  <c r="AH37" i="4"/>
  <c r="AQ37" i="4"/>
  <c r="AA7" i="5"/>
  <c r="V13" i="5"/>
  <c r="X13" i="5" s="1"/>
  <c r="W29" i="4"/>
  <c r="AJ29" i="4" s="1"/>
  <c r="C286" i="2"/>
  <c r="L14" i="27"/>
  <c r="L15" i="27" s="1"/>
  <c r="L14" i="28"/>
  <c r="L15" i="28" s="1"/>
  <c r="V25" i="4"/>
  <c r="Q25" i="4" s="1"/>
  <c r="V21" i="4"/>
  <c r="Q21" i="4" s="1"/>
  <c r="AQ29" i="4"/>
  <c r="T15" i="4"/>
  <c r="S15" i="4"/>
  <c r="X33" i="4"/>
  <c r="V65" i="5"/>
  <c r="X65" i="5" s="1"/>
  <c r="AI37" i="5"/>
  <c r="S37" i="5" s="1"/>
  <c r="U37" i="5" s="1"/>
  <c r="V25" i="5"/>
  <c r="X25" i="5" s="1"/>
  <c r="AB7" i="4"/>
  <c r="R7" i="4"/>
  <c r="S7" i="4" s="1"/>
  <c r="AI9" i="5"/>
  <c r="S9" i="5" s="1"/>
  <c r="U9" i="5" s="1"/>
  <c r="Q22" i="4"/>
  <c r="AF11" i="4"/>
  <c r="AF15" i="4"/>
  <c r="AJ27" i="4"/>
  <c r="R11" i="4"/>
  <c r="X15" i="4"/>
  <c r="V53" i="5"/>
  <c r="X53" i="5" s="1"/>
  <c r="L55" i="3"/>
  <c r="M55" i="3" s="1"/>
  <c r="R19" i="4"/>
  <c r="T19" i="4" s="1"/>
  <c r="AF19" i="4"/>
  <c r="AB19" i="4"/>
  <c r="V29" i="5"/>
  <c r="X29" i="5" s="1"/>
  <c r="X23" i="4"/>
  <c r="AF7" i="4"/>
  <c r="T13" i="4"/>
  <c r="AJ11" i="4"/>
  <c r="AJ15" i="4"/>
  <c r="V17" i="5"/>
  <c r="X17" i="5" s="1"/>
  <c r="V82" i="5"/>
  <c r="X82" i="5" s="1"/>
  <c r="AJ19" i="4"/>
  <c r="R27" i="4"/>
  <c r="S27" i="4" s="1"/>
  <c r="R23" i="4"/>
  <c r="T23" i="4" s="1"/>
  <c r="AJ23" i="4"/>
  <c r="AJ7" i="4"/>
  <c r="AI49" i="5"/>
  <c r="S49" i="5" s="1"/>
  <c r="U49" i="5" s="1"/>
  <c r="V57" i="5"/>
  <c r="X57" i="5" s="1"/>
  <c r="AI78" i="5"/>
  <c r="S78" i="5" s="1"/>
  <c r="AI74" i="5"/>
  <c r="S74" i="5" s="1"/>
  <c r="U74" i="5" s="1"/>
  <c r="AF23" i="4"/>
  <c r="V21" i="5"/>
  <c r="X21" i="5" s="1"/>
  <c r="V17" i="4"/>
  <c r="V13" i="4"/>
  <c r="V9" i="4"/>
  <c r="Q9" i="4" s="1"/>
  <c r="V5" i="4"/>
  <c r="Q17" i="4"/>
  <c r="Q13" i="4"/>
  <c r="V26" i="4"/>
  <c r="Q26" i="4" s="1"/>
  <c r="V18" i="4"/>
  <c r="Q18" i="4" s="1"/>
  <c r="V14" i="4"/>
  <c r="Q14" i="4" s="1"/>
  <c r="V10" i="4"/>
  <c r="Q10" i="4" s="1"/>
  <c r="V6" i="4"/>
  <c r="Q6" i="4" s="1"/>
  <c r="AA8" i="5"/>
  <c r="C160" i="1"/>
  <c r="D21" i="28"/>
  <c r="E21" i="28" s="1"/>
  <c r="H14" i="28"/>
  <c r="H15" i="28" s="1"/>
  <c r="AH29" i="4"/>
  <c r="AP29" i="4"/>
  <c r="AR29" i="4"/>
  <c r="AT29" i="4"/>
  <c r="AU29" i="4"/>
  <c r="AV29" i="4"/>
  <c r="D21" i="27"/>
  <c r="H14" i="27"/>
  <c r="H15" i="27" s="1"/>
  <c r="Z37" i="4"/>
  <c r="AD37" i="4"/>
  <c r="C35" i="8"/>
  <c r="S24" i="4"/>
  <c r="T24" i="4"/>
  <c r="V35" i="4"/>
  <c r="Q35" i="4" s="1"/>
  <c r="AF33" i="4"/>
  <c r="AF37" i="4" s="1"/>
  <c r="Z29" i="4"/>
  <c r="AF12" i="4"/>
  <c r="V38" i="5"/>
  <c r="X38" i="5" s="1"/>
  <c r="AI70" i="5"/>
  <c r="S70" i="5" s="1"/>
  <c r="T70" i="5" s="1"/>
  <c r="AF10" i="5"/>
  <c r="AI81" i="5"/>
  <c r="S81" i="5" s="1"/>
  <c r="T81" i="5" s="1"/>
  <c r="AL6" i="5"/>
  <c r="T16" i="4"/>
  <c r="Q7" i="4"/>
  <c r="AB20" i="4"/>
  <c r="AA10" i="5"/>
  <c r="AJ103" i="5"/>
  <c r="AJ12" i="4"/>
  <c r="M8" i="4"/>
  <c r="AB16" i="4"/>
  <c r="AJ20" i="4"/>
  <c r="AB24" i="4"/>
  <c r="R28" i="4"/>
  <c r="X28" i="4"/>
  <c r="V62" i="5"/>
  <c r="X62" i="5" s="1"/>
  <c r="V34" i="4"/>
  <c r="Q34" i="4" s="1"/>
  <c r="T36" i="4"/>
  <c r="W37" i="4"/>
  <c r="AJ37" i="4" s="1"/>
  <c r="Q15" i="4"/>
  <c r="V26" i="5"/>
  <c r="X26" i="5" s="1"/>
  <c r="AB8" i="4"/>
  <c r="AJ16" i="4"/>
  <c r="AF24" i="4"/>
  <c r="X24" i="4"/>
  <c r="V18" i="5"/>
  <c r="X18" i="5" s="1"/>
  <c r="AI42" i="5"/>
  <c r="S42" i="5" s="1"/>
  <c r="U42" i="5" s="1"/>
  <c r="AJ33" i="4"/>
  <c r="R12" i="4"/>
  <c r="S12" i="4" s="1"/>
  <c r="AI30" i="5"/>
  <c r="S30" i="5" s="1"/>
  <c r="U30" i="5" s="1"/>
  <c r="S20" i="4"/>
  <c r="AB33" i="4"/>
  <c r="AB37" i="4" s="1"/>
  <c r="V85" i="5"/>
  <c r="X85" i="5" s="1"/>
  <c r="AI10" i="5"/>
  <c r="S10" i="5" s="1"/>
  <c r="U10" i="5" s="1"/>
  <c r="AI22" i="5"/>
  <c r="S22" i="5" s="1"/>
  <c r="U22" i="5" s="1"/>
  <c r="AF6" i="5"/>
  <c r="Q23" i="4"/>
  <c r="X12" i="4"/>
  <c r="AI34" i="5"/>
  <c r="S34" i="5" s="1"/>
  <c r="T34" i="5" s="1"/>
  <c r="Q27" i="4"/>
  <c r="AI58" i="5"/>
  <c r="S58" i="5" s="1"/>
  <c r="T58" i="5" s="1"/>
  <c r="Q36" i="4"/>
  <c r="AJ24" i="4"/>
  <c r="AB28" i="4"/>
  <c r="V14" i="5"/>
  <c r="X14" i="5" s="1"/>
  <c r="N15" i="4"/>
  <c r="R34" i="4"/>
  <c r="R37" i="4" s="1"/>
  <c r="S22" i="4"/>
  <c r="T22" i="4"/>
  <c r="S6" i="4"/>
  <c r="T6" i="4"/>
  <c r="C160" i="8"/>
  <c r="AF10" i="4"/>
  <c r="AB22" i="4"/>
  <c r="X6" i="4"/>
  <c r="AI8" i="5"/>
  <c r="S8" i="5" s="1"/>
  <c r="AI64" i="5"/>
  <c r="S64" i="5" s="1"/>
  <c r="T64" i="5" s="1"/>
  <c r="C191" i="2"/>
  <c r="AB6" i="4"/>
  <c r="AJ10" i="4"/>
  <c r="AF22" i="4"/>
  <c r="V16" i="5"/>
  <c r="X16" i="5" s="1"/>
  <c r="V20" i="5"/>
  <c r="X20" i="5" s="1"/>
  <c r="V24" i="5"/>
  <c r="X24" i="5" s="1"/>
  <c r="V32" i="5"/>
  <c r="X32" i="5" s="1"/>
  <c r="V36" i="5"/>
  <c r="X36" i="5" s="1"/>
  <c r="V48" i="5"/>
  <c r="X48" i="5" s="1"/>
  <c r="C128" i="2"/>
  <c r="C160" i="2"/>
  <c r="AJ6" i="4"/>
  <c r="V12" i="5"/>
  <c r="X12" i="5" s="1"/>
  <c r="V28" i="5"/>
  <c r="X28" i="5" s="1"/>
  <c r="V40" i="5"/>
  <c r="X40" i="5" s="1"/>
  <c r="V56" i="5"/>
  <c r="X56" i="5" s="1"/>
  <c r="C191" i="1"/>
  <c r="C223" i="8"/>
  <c r="C255" i="2"/>
  <c r="O51" i="25"/>
  <c r="P51" i="25" s="1"/>
  <c r="Q51" i="25" s="1"/>
  <c r="R51" i="25" s="1"/>
  <c r="S51" i="25" s="1"/>
  <c r="T51" i="25" s="1"/>
  <c r="T12" i="4"/>
  <c r="S26" i="4"/>
  <c r="C128" i="1"/>
  <c r="AI41" i="5"/>
  <c r="S41" i="5" s="1"/>
  <c r="U41" i="5" s="1"/>
  <c r="V61" i="5"/>
  <c r="X61" i="5" s="1"/>
  <c r="V73" i="5"/>
  <c r="X73" i="5" s="1"/>
  <c r="V45" i="5"/>
  <c r="X45" i="5" s="1"/>
  <c r="V69" i="5"/>
  <c r="X69" i="5" s="1"/>
  <c r="T35" i="4"/>
  <c r="U61" i="5"/>
  <c r="T61" i="5"/>
  <c r="C35" i="1"/>
  <c r="D5" i="29"/>
  <c r="X37" i="4"/>
  <c r="C128" i="8"/>
  <c r="T47" i="5"/>
  <c r="U47" i="5"/>
  <c r="T73" i="5"/>
  <c r="U73" i="5"/>
  <c r="U79" i="5"/>
  <c r="T79" i="5"/>
  <c r="T18" i="5"/>
  <c r="U18" i="5"/>
  <c r="K42" i="26"/>
  <c r="L42" i="26" s="1"/>
  <c r="O40" i="26"/>
  <c r="B180" i="32"/>
  <c r="C6" i="32"/>
  <c r="K47" i="25"/>
  <c r="L47" i="25" s="1"/>
  <c r="C97" i="8"/>
  <c r="C97" i="1"/>
  <c r="C97" i="2"/>
  <c r="C65" i="8"/>
  <c r="C65" i="2"/>
  <c r="C65" i="1"/>
  <c r="B31" i="32"/>
  <c r="C113" i="32"/>
  <c r="C35" i="2"/>
  <c r="C132" i="32"/>
  <c r="B116" i="32"/>
  <c r="C82" i="32"/>
  <c r="U31" i="5"/>
  <c r="T31" i="5"/>
  <c r="U21" i="5"/>
  <c r="T21" i="5"/>
  <c r="U59" i="5"/>
  <c r="T59" i="5"/>
  <c r="U36" i="5"/>
  <c r="T36" i="5"/>
  <c r="U27" i="5"/>
  <c r="T27" i="5"/>
  <c r="T62" i="5"/>
  <c r="S18" i="4"/>
  <c r="L43" i="3"/>
  <c r="M43" i="3" s="1"/>
  <c r="Q12" i="4"/>
  <c r="B40" i="32"/>
  <c r="B16" i="32"/>
  <c r="L6" i="9"/>
  <c r="L7" i="9"/>
  <c r="L4" i="9"/>
  <c r="L5" i="9"/>
  <c r="L8" i="9"/>
  <c r="C381" i="8"/>
  <c r="C381" i="2"/>
  <c r="B109" i="32"/>
  <c r="C55" i="32"/>
  <c r="B210" i="32"/>
  <c r="U54" i="5"/>
  <c r="T54" i="5"/>
  <c r="U14" i="5"/>
  <c r="T14" i="5"/>
  <c r="U46" i="5"/>
  <c r="T46" i="5"/>
  <c r="T65" i="5"/>
  <c r="U65" i="5"/>
  <c r="U19" i="5"/>
  <c r="T19" i="5"/>
  <c r="C223" i="1"/>
  <c r="C349" i="1"/>
  <c r="C381" i="1"/>
  <c r="T7" i="4"/>
  <c r="D14" i="10"/>
  <c r="B100" i="32"/>
  <c r="C100" i="32"/>
  <c r="F15" i="9"/>
  <c r="F18" i="9"/>
  <c r="U23" i="5"/>
  <c r="T23" i="5"/>
  <c r="U80" i="5"/>
  <c r="T80" i="5"/>
  <c r="U12" i="5"/>
  <c r="T12" i="5"/>
  <c r="U38" i="5"/>
  <c r="T38" i="5"/>
  <c r="T85" i="5"/>
  <c r="U85" i="5"/>
  <c r="U43" i="5"/>
  <c r="T43" i="5"/>
  <c r="T74" i="5"/>
  <c r="U67" i="5"/>
  <c r="T67" i="5"/>
  <c r="T5" i="4"/>
  <c r="S5" i="4"/>
  <c r="T72" i="5"/>
  <c r="U72" i="5"/>
  <c r="U17" i="5"/>
  <c r="T17" i="5"/>
  <c r="U7" i="5"/>
  <c r="T7" i="5"/>
  <c r="U51" i="5"/>
  <c r="T51" i="5"/>
  <c r="U40" i="5"/>
  <c r="T40" i="5"/>
  <c r="U55" i="5"/>
  <c r="T55" i="5"/>
  <c r="U53" i="5"/>
  <c r="T53" i="5"/>
  <c r="T26" i="5"/>
  <c r="U26" i="5"/>
  <c r="S9" i="4"/>
  <c r="T9" i="4"/>
  <c r="E5" i="29"/>
  <c r="C223" i="2"/>
  <c r="C255" i="1"/>
  <c r="E8" i="29"/>
  <c r="D8" i="29" s="1"/>
  <c r="D63" i="29"/>
  <c r="G2" i="9"/>
  <c r="G9" i="9" s="1"/>
  <c r="E63" i="29"/>
  <c r="C191" i="8"/>
  <c r="D21" i="10"/>
  <c r="C27" i="10"/>
  <c r="E27" i="10"/>
  <c r="C24" i="10"/>
  <c r="C30" i="10" s="1"/>
  <c r="L66" i="3"/>
  <c r="M66" i="3" s="1"/>
  <c r="L70" i="3"/>
  <c r="M70" i="3" s="1"/>
  <c r="N41" i="26"/>
  <c r="R20" i="20"/>
  <c r="U8" i="5"/>
  <c r="T8" i="5"/>
  <c r="U13" i="5"/>
  <c r="T13" i="5"/>
  <c r="U28" i="5"/>
  <c r="T28" i="5"/>
  <c r="U45" i="5"/>
  <c r="T45" i="5"/>
  <c r="U56" i="5"/>
  <c r="T56" i="5"/>
  <c r="T11" i="5"/>
  <c r="U11" i="5"/>
  <c r="U68" i="5"/>
  <c r="T68" i="5"/>
  <c r="T52" i="5"/>
  <c r="U52" i="5"/>
  <c r="T76" i="5"/>
  <c r="U76" i="5"/>
  <c r="U77" i="5"/>
  <c r="T77" i="5"/>
  <c r="U69" i="5"/>
  <c r="T69" i="5"/>
  <c r="T9" i="5"/>
  <c r="T50" i="5"/>
  <c r="U50" i="5"/>
  <c r="U15" i="5"/>
  <c r="T15" i="5"/>
  <c r="T39" i="5"/>
  <c r="U39" i="5"/>
  <c r="T20" i="5"/>
  <c r="U20" i="5"/>
  <c r="U24" i="5"/>
  <c r="T24" i="5"/>
  <c r="U35" i="5"/>
  <c r="T35" i="5"/>
  <c r="T48" i="5"/>
  <c r="U48" i="5"/>
  <c r="U33" i="5"/>
  <c r="T33" i="5"/>
  <c r="U25" i="5"/>
  <c r="T25" i="5"/>
  <c r="T82" i="5"/>
  <c r="U82" i="5"/>
  <c r="T63" i="5"/>
  <c r="U63" i="5"/>
  <c r="U16" i="5"/>
  <c r="T16" i="5"/>
  <c r="U32" i="5"/>
  <c r="T32" i="5"/>
  <c r="U57" i="5"/>
  <c r="T57" i="5"/>
  <c r="U75" i="5"/>
  <c r="T75" i="5"/>
  <c r="U71" i="5"/>
  <c r="T71" i="5"/>
  <c r="S25" i="4"/>
  <c r="T25" i="4"/>
  <c r="T66" i="5"/>
  <c r="U66" i="5"/>
  <c r="U78" i="5"/>
  <c r="T78" i="5"/>
  <c r="U81" i="5"/>
  <c r="U29" i="5"/>
  <c r="T29" i="5"/>
  <c r="T83" i="5"/>
  <c r="U83" i="5"/>
  <c r="U84" i="5"/>
  <c r="T84" i="5"/>
  <c r="T60" i="5"/>
  <c r="U60" i="5"/>
  <c r="U44" i="5"/>
  <c r="T44" i="5"/>
  <c r="T33" i="4"/>
  <c r="S33" i="4"/>
  <c r="F12" i="9"/>
  <c r="F10" i="9"/>
  <c r="F17" i="9"/>
  <c r="F11" i="9"/>
  <c r="J3" i="3"/>
  <c r="B36" i="32"/>
  <c r="F4" i="9"/>
  <c r="F14" i="9"/>
  <c r="F16" i="9"/>
  <c r="F7" i="9"/>
  <c r="T14" i="4"/>
  <c r="C349" i="2"/>
  <c r="D12" i="29"/>
  <c r="F9" i="9"/>
  <c r="N7" i="4"/>
  <c r="F6" i="9"/>
  <c r="F5" i="9"/>
  <c r="F13" i="9"/>
  <c r="F8" i="9"/>
  <c r="S97" i="20"/>
  <c r="B159" i="32"/>
  <c r="C29" i="32"/>
  <c r="C193" i="32"/>
  <c r="Q101" i="20"/>
  <c r="S70" i="20"/>
  <c r="C246" i="32"/>
  <c r="B5" i="32"/>
  <c r="C69" i="32"/>
  <c r="C198" i="32"/>
  <c r="S100" i="20"/>
  <c r="K56" i="25"/>
  <c r="M56" i="25" s="1"/>
  <c r="C24" i="32"/>
  <c r="O57" i="25"/>
  <c r="P57" i="25" s="1"/>
  <c r="Q57" i="25" s="1"/>
  <c r="R57" i="25" s="1"/>
  <c r="S57" i="25" s="1"/>
  <c r="T57" i="25" s="1"/>
  <c r="O62" i="25"/>
  <c r="P62" i="25" s="1"/>
  <c r="Q62" i="25" s="1"/>
  <c r="R62" i="25" s="1"/>
  <c r="S62" i="25" s="1"/>
  <c r="T62" i="25" s="1"/>
  <c r="C207" i="32"/>
  <c r="N38" i="25"/>
  <c r="M38" i="25"/>
  <c r="L38" i="25"/>
  <c r="O38" i="25"/>
  <c r="P38" i="25" s="1"/>
  <c r="Q38" i="25" s="1"/>
  <c r="R38" i="25" s="1"/>
  <c r="S38" i="25" s="1"/>
  <c r="T38" i="25" s="1"/>
  <c r="O49" i="25"/>
  <c r="P49" i="25" s="1"/>
  <c r="Q49" i="25" s="1"/>
  <c r="R49" i="25" s="1"/>
  <c r="S49" i="25" s="1"/>
  <c r="T49" i="25" s="1"/>
  <c r="O40" i="25"/>
  <c r="P40" i="25" s="1"/>
  <c r="Q40" i="25" s="1"/>
  <c r="R40" i="25" s="1"/>
  <c r="S40" i="25" s="1"/>
  <c r="T40" i="25" s="1"/>
  <c r="O45" i="25"/>
  <c r="P45" i="25" s="1"/>
  <c r="Q45" i="25" s="1"/>
  <c r="R45" i="25" s="1"/>
  <c r="S45" i="25" s="1"/>
  <c r="T45" i="25" s="1"/>
  <c r="C52" i="32"/>
  <c r="C114" i="32"/>
  <c r="B92" i="32"/>
  <c r="B22" i="32"/>
  <c r="K42" i="25"/>
  <c r="N42" i="25" s="1"/>
  <c r="B237" i="32"/>
  <c r="C237" i="32"/>
  <c r="C235" i="32"/>
  <c r="B235" i="32"/>
  <c r="C232" i="32"/>
  <c r="B232" i="32"/>
  <c r="B243" i="32"/>
  <c r="C243" i="32"/>
  <c r="B230" i="32"/>
  <c r="C230" i="32"/>
  <c r="B229" i="32"/>
  <c r="C229" i="32"/>
  <c r="B245" i="32"/>
  <c r="C245" i="32"/>
  <c r="B226" i="32"/>
  <c r="C226" i="32"/>
  <c r="C248" i="32"/>
  <c r="B248" i="32"/>
  <c r="B242" i="32"/>
  <c r="C242" i="32"/>
  <c r="B234" i="32"/>
  <c r="C234" i="32"/>
  <c r="C240" i="32"/>
  <c r="B240" i="32"/>
  <c r="B239" i="32"/>
  <c r="C239" i="32"/>
  <c r="B227" i="32"/>
  <c r="C227" i="32"/>
  <c r="R100" i="20"/>
  <c r="R17" i="20"/>
  <c r="C349" i="8"/>
  <c r="L60" i="3"/>
  <c r="M60" i="3" s="1"/>
  <c r="L44" i="3"/>
  <c r="M44" i="3" s="1"/>
  <c r="L45" i="3"/>
  <c r="M45" i="3" s="1"/>
  <c r="L71" i="3"/>
  <c r="M71" i="3" s="1"/>
  <c r="L27" i="3"/>
  <c r="M27" i="3" s="1"/>
  <c r="L77" i="3"/>
  <c r="M77" i="3" s="1"/>
  <c r="L54" i="3"/>
  <c r="M54" i="3" s="1"/>
  <c r="L6" i="3"/>
  <c r="M6" i="3" s="1"/>
  <c r="L39" i="3"/>
  <c r="M39" i="3" s="1"/>
  <c r="O59" i="25"/>
  <c r="P59" i="25" s="1"/>
  <c r="Q59" i="25" s="1"/>
  <c r="R59" i="25" s="1"/>
  <c r="S59" i="25" s="1"/>
  <c r="T59" i="25" s="1"/>
  <c r="C205" i="32"/>
  <c r="O61" i="25"/>
  <c r="P61" i="25" s="1"/>
  <c r="Q61" i="25" s="1"/>
  <c r="R61" i="25" s="1"/>
  <c r="S61" i="25" s="1"/>
  <c r="T61" i="25" s="1"/>
  <c r="C129" i="32"/>
  <c r="B59" i="32"/>
  <c r="B212" i="32"/>
  <c r="C206" i="32"/>
  <c r="O41" i="25"/>
  <c r="P41" i="25" s="1"/>
  <c r="Q41" i="25" s="1"/>
  <c r="R41" i="25" s="1"/>
  <c r="S41" i="25" s="1"/>
  <c r="T41" i="25" s="1"/>
  <c r="B51" i="32"/>
  <c r="O39" i="25"/>
  <c r="P39" i="25" s="1"/>
  <c r="Q39" i="25" s="1"/>
  <c r="R39" i="25" s="1"/>
  <c r="S39" i="25" s="1"/>
  <c r="T39" i="25" s="1"/>
  <c r="B167" i="32"/>
  <c r="C318" i="8"/>
  <c r="C318" i="2"/>
  <c r="C219" i="32"/>
  <c r="B12" i="32"/>
  <c r="N44" i="26"/>
  <c r="P44" i="26"/>
  <c r="N40" i="26"/>
  <c r="P40" i="26"/>
  <c r="O43" i="26"/>
  <c r="P43" i="26"/>
  <c r="N42" i="26"/>
  <c r="P42" i="26"/>
  <c r="O41" i="26"/>
  <c r="P41" i="26"/>
  <c r="R57" i="20"/>
  <c r="Q58" i="20"/>
  <c r="R81" i="20"/>
  <c r="R88" i="20"/>
  <c r="T33" i="20"/>
  <c r="C318" i="1"/>
  <c r="AK273" i="33"/>
  <c r="AK274" i="33"/>
  <c r="C134" i="32"/>
  <c r="C32" i="32"/>
  <c r="R65" i="20"/>
  <c r="R21" i="20"/>
  <c r="Q64" i="20"/>
  <c r="C154" i="32"/>
  <c r="AK197" i="33"/>
  <c r="AK196" i="33"/>
  <c r="AK198" i="33"/>
  <c r="S12" i="20"/>
  <c r="C91" i="32"/>
  <c r="S64" i="20"/>
  <c r="O56" i="25"/>
  <c r="P56" i="25" s="1"/>
  <c r="Q56" i="25" s="1"/>
  <c r="R56" i="25" s="1"/>
  <c r="S56" i="25" s="1"/>
  <c r="T56" i="25" s="1"/>
  <c r="O44" i="25"/>
  <c r="P44" i="25" s="1"/>
  <c r="Q44" i="25" s="1"/>
  <c r="R44" i="25" s="1"/>
  <c r="S44" i="25" s="1"/>
  <c r="T44" i="25" s="1"/>
  <c r="O58" i="25"/>
  <c r="P58" i="25" s="1"/>
  <c r="Q58" i="25" s="1"/>
  <c r="R58" i="25" s="1"/>
  <c r="S58" i="25" s="1"/>
  <c r="T58" i="25" s="1"/>
  <c r="T73" i="20"/>
  <c r="O48" i="25"/>
  <c r="P48" i="25" s="1"/>
  <c r="Q48" i="25" s="1"/>
  <c r="R48" i="25" s="1"/>
  <c r="S48" i="25" s="1"/>
  <c r="T48" i="25" s="1"/>
  <c r="O54" i="25"/>
  <c r="P54" i="25" s="1"/>
  <c r="Q54" i="25" s="1"/>
  <c r="R54" i="25" s="1"/>
  <c r="S54" i="25" s="1"/>
  <c r="T54" i="25" s="1"/>
  <c r="K58" i="25"/>
  <c r="T81" i="20"/>
  <c r="O46" i="25"/>
  <c r="P46" i="25" s="1"/>
  <c r="Q46" i="25" s="1"/>
  <c r="R46" i="25" s="1"/>
  <c r="S46" i="25" s="1"/>
  <c r="T46" i="25" s="1"/>
  <c r="K50" i="25"/>
  <c r="N50" i="25" s="1"/>
  <c r="R89" i="20"/>
  <c r="T64" i="20"/>
  <c r="S94" i="20"/>
  <c r="Q17" i="20"/>
  <c r="C165" i="32"/>
  <c r="C208" i="32"/>
  <c r="C286" i="1"/>
  <c r="S73" i="20"/>
  <c r="T24" i="20"/>
  <c r="T91" i="20"/>
  <c r="R52" i="20"/>
  <c r="Q37" i="20"/>
  <c r="Q29" i="20"/>
  <c r="S59" i="20"/>
  <c r="R56" i="20"/>
  <c r="Q49" i="20"/>
  <c r="Q13" i="20"/>
  <c r="B144" i="32"/>
  <c r="C144" i="32"/>
  <c r="B11" i="32"/>
  <c r="C11" i="32"/>
  <c r="B41" i="32"/>
  <c r="C41" i="32"/>
  <c r="B107" i="32"/>
  <c r="C107" i="32"/>
  <c r="B101" i="32"/>
  <c r="C101" i="32"/>
  <c r="B73" i="32"/>
  <c r="C73" i="32"/>
  <c r="B140" i="32"/>
  <c r="C140" i="32"/>
  <c r="B97" i="32"/>
  <c r="C97" i="32"/>
  <c r="B119" i="32"/>
  <c r="C119" i="32"/>
  <c r="B163" i="32"/>
  <c r="C163" i="32"/>
  <c r="B85" i="32"/>
  <c r="C85" i="32"/>
  <c r="B194" i="32"/>
  <c r="C194" i="32"/>
  <c r="B123" i="32"/>
  <c r="C123" i="32"/>
  <c r="B181" i="32"/>
  <c r="C181" i="32"/>
  <c r="B151" i="32"/>
  <c r="C151" i="32"/>
  <c r="B33" i="32"/>
  <c r="C33" i="32"/>
  <c r="B105" i="32"/>
  <c r="C105" i="32"/>
  <c r="B93" i="32"/>
  <c r="C93" i="32"/>
  <c r="B83" i="32"/>
  <c r="C83" i="32"/>
  <c r="B186" i="32"/>
  <c r="C186" i="32"/>
  <c r="B177" i="32"/>
  <c r="C177" i="32"/>
  <c r="B62" i="32"/>
  <c r="C62" i="32"/>
  <c r="B102" i="32"/>
  <c r="C102" i="32"/>
  <c r="B79" i="32"/>
  <c r="C79" i="32"/>
  <c r="B203" i="32"/>
  <c r="C203" i="32"/>
  <c r="B76" i="32"/>
  <c r="C76" i="32"/>
  <c r="B168" i="32"/>
  <c r="C168" i="32"/>
  <c r="B17" i="32"/>
  <c r="C17" i="32"/>
  <c r="B74" i="32"/>
  <c r="C74" i="32"/>
  <c r="B217" i="32"/>
  <c r="C217" i="32"/>
  <c r="B81" i="32"/>
  <c r="C81" i="32"/>
  <c r="B160" i="32"/>
  <c r="C160" i="32"/>
  <c r="B135" i="32"/>
  <c r="C135" i="32"/>
  <c r="B214" i="32"/>
  <c r="C214" i="32"/>
  <c r="B10" i="32"/>
  <c r="C10" i="32"/>
  <c r="B131" i="32"/>
  <c r="C131" i="32"/>
  <c r="B67" i="32"/>
  <c r="C67" i="32"/>
  <c r="B127" i="32"/>
  <c r="C127" i="32"/>
  <c r="B128" i="32"/>
  <c r="C128" i="32"/>
  <c r="B34" i="32"/>
  <c r="C34" i="32"/>
  <c r="B183" i="32"/>
  <c r="C183" i="32"/>
  <c r="B218" i="32"/>
  <c r="C218" i="32"/>
  <c r="B157" i="32"/>
  <c r="C157" i="32"/>
  <c r="B176" i="32"/>
  <c r="C176" i="32"/>
  <c r="B143" i="32"/>
  <c r="C143" i="32"/>
  <c r="B57" i="32"/>
  <c r="C57" i="32"/>
  <c r="B18" i="32"/>
  <c r="C18" i="32"/>
  <c r="B89" i="32"/>
  <c r="C89" i="32"/>
  <c r="B70" i="32"/>
  <c r="C70" i="32"/>
  <c r="B77" i="32"/>
  <c r="C77" i="32"/>
  <c r="B25" i="32"/>
  <c r="C25" i="32"/>
  <c r="B111" i="32"/>
  <c r="C111" i="32"/>
  <c r="B120" i="32"/>
  <c r="C120" i="32"/>
  <c r="B211" i="32"/>
  <c r="C211" i="32"/>
  <c r="B192" i="32"/>
  <c r="C192" i="32"/>
  <c r="B26" i="32"/>
  <c r="C26" i="32"/>
  <c r="B152" i="32"/>
  <c r="C152" i="32"/>
  <c r="B9" i="32"/>
  <c r="C9" i="32"/>
  <c r="B162" i="32"/>
  <c r="C162" i="32"/>
  <c r="B66" i="32"/>
  <c r="C66" i="32"/>
  <c r="B50" i="32"/>
  <c r="C50" i="32"/>
  <c r="B96" i="32"/>
  <c r="C96" i="32"/>
  <c r="B189" i="32"/>
  <c r="C189" i="32"/>
  <c r="B104" i="32"/>
  <c r="C104" i="32"/>
  <c r="B166" i="32"/>
  <c r="C166" i="32"/>
  <c r="B201" i="32"/>
  <c r="C201" i="32"/>
  <c r="B65" i="32"/>
  <c r="C65" i="32"/>
  <c r="B170" i="32"/>
  <c r="C170" i="32"/>
  <c r="B88" i="32"/>
  <c r="C88" i="32"/>
  <c r="B171" i="32"/>
  <c r="C171" i="32"/>
  <c r="B103" i="32"/>
  <c r="C103" i="32"/>
  <c r="B49" i="32"/>
  <c r="C49" i="32"/>
  <c r="B200" i="32"/>
  <c r="C200" i="32"/>
  <c r="B87" i="32"/>
  <c r="C87" i="32"/>
  <c r="B209" i="32"/>
  <c r="C209" i="32"/>
  <c r="B8" i="32"/>
  <c r="C8" i="32"/>
  <c r="B155" i="32"/>
  <c r="C155" i="32"/>
  <c r="B174" i="32"/>
  <c r="C174" i="32"/>
  <c r="B94" i="32"/>
  <c r="C94" i="32"/>
  <c r="B112" i="32"/>
  <c r="C112" i="32"/>
  <c r="B58" i="32"/>
  <c r="C58" i="32"/>
  <c r="B28" i="32"/>
  <c r="C28" i="32"/>
  <c r="B71" i="32"/>
  <c r="C71" i="32"/>
  <c r="B75" i="32"/>
  <c r="C75" i="32"/>
  <c r="B215" i="32"/>
  <c r="C215" i="32"/>
  <c r="B42" i="32"/>
  <c r="C42" i="32"/>
  <c r="B222" i="32"/>
  <c r="C222" i="32"/>
  <c r="S86" i="20"/>
  <c r="Q50" i="20"/>
  <c r="T41" i="20"/>
  <c r="Q44" i="20"/>
  <c r="S28" i="20"/>
  <c r="T9" i="20"/>
  <c r="R54" i="20"/>
  <c r="Q98" i="20"/>
  <c r="T52" i="20"/>
  <c r="G28" i="20"/>
  <c r="Q28" i="20" s="1"/>
  <c r="G20" i="20"/>
  <c r="Q20" i="20" s="1"/>
  <c r="E36" i="20"/>
  <c r="Q40" i="20"/>
  <c r="G12" i="20"/>
  <c r="Q12" i="20" s="1"/>
  <c r="E12" i="20"/>
  <c r="M93" i="20"/>
  <c r="X93" i="20"/>
  <c r="N93" i="20"/>
  <c r="W20" i="20"/>
  <c r="I93" i="20"/>
  <c r="I36" i="20"/>
  <c r="S36" i="20" s="1"/>
  <c r="R94" i="20"/>
  <c r="R41" i="20"/>
  <c r="E28" i="20"/>
  <c r="J28" i="20"/>
  <c r="T28" i="20" s="1"/>
  <c r="W77" i="20"/>
  <c r="G93" i="20"/>
  <c r="N61" i="20"/>
  <c r="X77" i="20"/>
  <c r="N77" i="20"/>
  <c r="I77" i="20"/>
  <c r="O12" i="20"/>
  <c r="T12" i="20" s="1"/>
  <c r="X52" i="20"/>
  <c r="L77" i="20"/>
  <c r="Q77" i="20" s="1"/>
  <c r="J93" i="20"/>
  <c r="T93" i="20" s="1"/>
  <c r="T44" i="20"/>
  <c r="L36" i="20"/>
  <c r="Q36" i="20" s="1"/>
  <c r="Q33" i="20"/>
  <c r="R25" i="20"/>
  <c r="M12" i="20"/>
  <c r="X85" i="20"/>
  <c r="L93" i="20"/>
  <c r="S89" i="20"/>
  <c r="E93" i="20"/>
  <c r="E4" i="20"/>
  <c r="B100" i="20"/>
  <c r="B77" i="20"/>
  <c r="B20" i="20"/>
  <c r="B12" i="20"/>
  <c r="J4" i="20"/>
  <c r="T4" i="20" s="1"/>
  <c r="M99" i="20"/>
  <c r="X92" i="20"/>
  <c r="I68" i="20"/>
  <c r="M51" i="20"/>
  <c r="B11" i="20"/>
  <c r="B18" i="20"/>
  <c r="B10" i="20"/>
  <c r="B56" i="20"/>
  <c r="T13" i="20"/>
  <c r="M95" i="20"/>
  <c r="R95" i="20" s="1"/>
  <c r="B17" i="20"/>
  <c r="B97" i="20"/>
  <c r="B89" i="20"/>
  <c r="B73" i="20"/>
  <c r="B65" i="20"/>
  <c r="B57" i="20"/>
  <c r="B40" i="20"/>
  <c r="B32" i="20"/>
  <c r="B24" i="20"/>
  <c r="B16" i="20"/>
  <c r="B8" i="20"/>
  <c r="T8" i="20"/>
  <c r="B15" i="20"/>
  <c r="B4" i="20"/>
  <c r="B22" i="20"/>
  <c r="B14" i="20"/>
  <c r="T85" i="20"/>
  <c r="L95" i="20"/>
  <c r="B94" i="20"/>
  <c r="B86" i="20"/>
  <c r="B78" i="20"/>
  <c r="B70" i="20"/>
  <c r="B45" i="20"/>
  <c r="B37" i="20"/>
  <c r="B29" i="20"/>
  <c r="B21" i="20"/>
  <c r="B13" i="20"/>
  <c r="I35" i="20"/>
  <c r="B35" i="20"/>
  <c r="J99" i="20"/>
  <c r="B99" i="20"/>
  <c r="G91" i="20"/>
  <c r="B91" i="20"/>
  <c r="J83" i="20"/>
  <c r="T83" i="20" s="1"/>
  <c r="B83" i="20"/>
  <c r="M75" i="20"/>
  <c r="R75" i="20" s="1"/>
  <c r="B75" i="20"/>
  <c r="J67" i="20"/>
  <c r="T67" i="20" s="1"/>
  <c r="B67" i="20"/>
  <c r="J59" i="20"/>
  <c r="T59" i="20" s="1"/>
  <c r="B59" i="20"/>
  <c r="O50" i="20"/>
  <c r="B50" i="20"/>
  <c r="I42" i="20"/>
  <c r="B42" i="20"/>
  <c r="N34" i="20"/>
  <c r="V34" i="20" s="1"/>
  <c r="AC34" i="20" s="1"/>
  <c r="AD34" i="20" s="1"/>
  <c r="AE34" i="20" s="1"/>
  <c r="B34" i="20"/>
  <c r="W26" i="20"/>
  <c r="B26" i="20"/>
  <c r="R66" i="20"/>
  <c r="W98" i="20"/>
  <c r="B98" i="20"/>
  <c r="I90" i="20"/>
  <c r="B90" i="20"/>
  <c r="H82" i="20"/>
  <c r="B82" i="20"/>
  <c r="H74" i="20"/>
  <c r="R74" i="20" s="1"/>
  <c r="B74" i="20"/>
  <c r="X66" i="20"/>
  <c r="B66" i="20"/>
  <c r="X58" i="20"/>
  <c r="B58" i="20"/>
  <c r="I49" i="20"/>
  <c r="B49" i="20"/>
  <c r="E41" i="20"/>
  <c r="B41" i="20"/>
  <c r="X33" i="20"/>
  <c r="B33" i="20"/>
  <c r="I25" i="20"/>
  <c r="S25" i="20" s="1"/>
  <c r="B25" i="20"/>
  <c r="G9" i="20"/>
  <c r="Q9" i="20" s="1"/>
  <c r="B9" i="20"/>
  <c r="G76" i="20"/>
  <c r="B76" i="20"/>
  <c r="X60" i="20"/>
  <c r="B60" i="20"/>
  <c r="J27" i="20"/>
  <c r="B27" i="20"/>
  <c r="M11" i="20"/>
  <c r="R11" i="20" s="1"/>
  <c r="I81" i="20"/>
  <c r="V81" i="20" s="1"/>
  <c r="B81" i="20"/>
  <c r="X48" i="20"/>
  <c r="B48" i="20"/>
  <c r="W43" i="20"/>
  <c r="B43" i="20"/>
  <c r="M60" i="20"/>
  <c r="T25" i="20"/>
  <c r="E96" i="20"/>
  <c r="B96" i="20"/>
  <c r="J88" i="20"/>
  <c r="T88" i="20" s="1"/>
  <c r="B88" i="20"/>
  <c r="N80" i="20"/>
  <c r="B80" i="20"/>
  <c r="N72" i="20"/>
  <c r="V72" i="20" s="1"/>
  <c r="B72" i="20"/>
  <c r="W64" i="20"/>
  <c r="B64" i="20"/>
  <c r="J55" i="20"/>
  <c r="B55" i="20"/>
  <c r="M47" i="20"/>
  <c r="B47" i="20"/>
  <c r="O39" i="20"/>
  <c r="B39" i="20"/>
  <c r="L31" i="20"/>
  <c r="B31" i="20"/>
  <c r="I23" i="20"/>
  <c r="B23" i="20"/>
  <c r="N7" i="20"/>
  <c r="B7" i="20"/>
  <c r="H84" i="20"/>
  <c r="B84" i="20"/>
  <c r="E68" i="20"/>
  <c r="B68" i="20"/>
  <c r="I51" i="20"/>
  <c r="B51" i="20"/>
  <c r="I19" i="20"/>
  <c r="S19" i="20" s="1"/>
  <c r="B19" i="20"/>
  <c r="S5" i="20"/>
  <c r="R34" i="20"/>
  <c r="L27" i="20"/>
  <c r="L51" i="20"/>
  <c r="S58" i="20"/>
  <c r="W19" i="20"/>
  <c r="E95" i="20"/>
  <c r="B95" i="20"/>
  <c r="M87" i="20"/>
  <c r="B87" i="20"/>
  <c r="N79" i="20"/>
  <c r="B79" i="20"/>
  <c r="H71" i="20"/>
  <c r="B71" i="20"/>
  <c r="O63" i="20"/>
  <c r="B63" i="20"/>
  <c r="G54" i="20"/>
  <c r="V54" i="20" s="1"/>
  <c r="B54" i="20"/>
  <c r="N46" i="20"/>
  <c r="B46" i="20"/>
  <c r="X38" i="20"/>
  <c r="B38" i="20"/>
  <c r="O30" i="20"/>
  <c r="B30" i="20"/>
  <c r="L6" i="20"/>
  <c r="Q6" i="20" s="1"/>
  <c r="B6" i="20"/>
  <c r="W92" i="20"/>
  <c r="B92" i="20"/>
  <c r="L19" i="20"/>
  <c r="E27" i="20"/>
  <c r="E60" i="20"/>
  <c r="E35" i="20"/>
  <c r="E84" i="20"/>
  <c r="M62" i="20"/>
  <c r="V62" i="20" s="1"/>
  <c r="Y62" i="20" s="1"/>
  <c r="AI62" i="20" s="1"/>
  <c r="B62" i="20"/>
  <c r="W53" i="20"/>
  <c r="B53" i="20"/>
  <c r="X5" i="20"/>
  <c r="B5" i="20"/>
  <c r="T70" i="20"/>
  <c r="N35" i="20"/>
  <c r="R64" i="20"/>
  <c r="H93" i="20"/>
  <c r="B93" i="20"/>
  <c r="W85" i="20"/>
  <c r="B85" i="20"/>
  <c r="N69" i="20"/>
  <c r="B69" i="20"/>
  <c r="E61" i="20"/>
  <c r="B61" i="20"/>
  <c r="L52" i="20"/>
  <c r="Q52" i="20" s="1"/>
  <c r="B52" i="20"/>
  <c r="N44" i="20"/>
  <c r="V44" i="20" s="1"/>
  <c r="B44" i="20"/>
  <c r="H36" i="20"/>
  <c r="R36" i="20" s="1"/>
  <c r="B36" i="20"/>
  <c r="W28" i="20"/>
  <c r="B28" i="20"/>
  <c r="N43" i="26"/>
  <c r="K43" i="26"/>
  <c r="H19" i="20"/>
  <c r="M35" i="20"/>
  <c r="J35" i="20"/>
  <c r="N84" i="20"/>
  <c r="H10" i="20"/>
  <c r="L11" i="20"/>
  <c r="Q67" i="20"/>
  <c r="O51" i="20"/>
  <c r="N68" i="20"/>
  <c r="W84" i="20"/>
  <c r="S29" i="20"/>
  <c r="H60" i="20"/>
  <c r="E92" i="20"/>
  <c r="L42" i="20"/>
  <c r="M18" i="20"/>
  <c r="G26" i="20"/>
  <c r="Q26" i="20" s="1"/>
  <c r="H35" i="20"/>
  <c r="E43" i="20"/>
  <c r="W42" i="20"/>
  <c r="E18" i="20"/>
  <c r="M10" i="20"/>
  <c r="N10" i="20"/>
  <c r="M50" i="20"/>
  <c r="X67" i="20"/>
  <c r="I75" i="20"/>
  <c r="S75" i="20" s="1"/>
  <c r="H99" i="20"/>
  <c r="M84" i="20"/>
  <c r="X59" i="20"/>
  <c r="I91" i="20"/>
  <c r="S91" i="20" s="1"/>
  <c r="N92" i="20"/>
  <c r="M43" i="20"/>
  <c r="H43" i="20"/>
  <c r="L68" i="20"/>
  <c r="O84" i="20"/>
  <c r="S13" i="20"/>
  <c r="W51" i="20"/>
  <c r="G51" i="20"/>
  <c r="Q75" i="20"/>
  <c r="L60" i="20"/>
  <c r="I92" i="20"/>
  <c r="S6" i="20"/>
  <c r="H42" i="20"/>
  <c r="R42" i="20" s="1"/>
  <c r="H18" i="20"/>
  <c r="G35" i="20"/>
  <c r="N18" i="20"/>
  <c r="S18" i="20" s="1"/>
  <c r="X35" i="20"/>
  <c r="H26" i="20"/>
  <c r="X18" i="20"/>
  <c r="I50" i="20"/>
  <c r="S50" i="20" s="1"/>
  <c r="X91" i="20"/>
  <c r="W67" i="20"/>
  <c r="X99" i="20"/>
  <c r="X84" i="20"/>
  <c r="J60" i="20"/>
  <c r="M59" i="20"/>
  <c r="R59" i="20" s="1"/>
  <c r="J19" i="20"/>
  <c r="E19" i="20"/>
  <c r="E16" i="20"/>
  <c r="G43" i="20"/>
  <c r="O43" i="20"/>
  <c r="I43" i="20"/>
  <c r="E11" i="20"/>
  <c r="G68" i="20"/>
  <c r="L84" i="20"/>
  <c r="G27" i="20"/>
  <c r="H27" i="20"/>
  <c r="N27" i="20"/>
  <c r="L91" i="20"/>
  <c r="O60" i="20"/>
  <c r="H92" i="20"/>
  <c r="I10" i="20"/>
  <c r="M26" i="20"/>
  <c r="W35" i="20"/>
  <c r="W18" i="20"/>
  <c r="M91" i="20"/>
  <c r="R91" i="20" s="1"/>
  <c r="W83" i="20"/>
  <c r="I67" i="20"/>
  <c r="S67" i="20" s="1"/>
  <c r="W99" i="20"/>
  <c r="I84" i="20"/>
  <c r="N42" i="20"/>
  <c r="L83" i="20"/>
  <c r="Q83" i="20" s="1"/>
  <c r="N99" i="20"/>
  <c r="S99" i="20" s="1"/>
  <c r="J84" i="20"/>
  <c r="G59" i="20"/>
  <c r="Q59" i="20" s="1"/>
  <c r="J15" i="20"/>
  <c r="I60" i="20"/>
  <c r="M68" i="20"/>
  <c r="E51" i="20"/>
  <c r="J51" i="20"/>
  <c r="N51" i="20"/>
  <c r="X51" i="20"/>
  <c r="L43" i="20"/>
  <c r="J43" i="20"/>
  <c r="M92" i="20"/>
  <c r="R92" i="20" s="1"/>
  <c r="G84" i="20"/>
  <c r="O27" i="20"/>
  <c r="M27" i="20"/>
  <c r="H51" i="20"/>
  <c r="T56" i="20"/>
  <c r="G60" i="20"/>
  <c r="E10" i="20"/>
  <c r="X11" i="20"/>
  <c r="O35" i="20"/>
  <c r="J50" i="20"/>
  <c r="G18" i="20"/>
  <c r="Q18" i="20" s="1"/>
  <c r="G42" i="20"/>
  <c r="N83" i="20"/>
  <c r="S83" i="20" s="1"/>
  <c r="G99" i="20"/>
  <c r="H22" i="20"/>
  <c r="M14" i="20"/>
  <c r="G19" i="20"/>
  <c r="X68" i="20"/>
  <c r="O11" i="20"/>
  <c r="J11" i="20"/>
  <c r="G11" i="20"/>
  <c r="G92" i="20"/>
  <c r="T42" i="20"/>
  <c r="W68" i="20"/>
  <c r="I27" i="20"/>
  <c r="W27" i="20"/>
  <c r="N60" i="20"/>
  <c r="J18" i="20"/>
  <c r="T18" i="20" s="1"/>
  <c r="N26" i="20"/>
  <c r="S26" i="20" s="1"/>
  <c r="L35" i="20"/>
  <c r="W11" i="20"/>
  <c r="X43" i="20"/>
  <c r="X26" i="20"/>
  <c r="W60" i="20"/>
  <c r="O99" i="20"/>
  <c r="L99" i="20"/>
  <c r="J75" i="20"/>
  <c r="T75" i="20" s="1"/>
  <c r="M67" i="20"/>
  <c r="O76" i="20"/>
  <c r="N43" i="20"/>
  <c r="I11" i="20"/>
  <c r="N11" i="20"/>
  <c r="H76" i="20"/>
  <c r="Q89" i="20"/>
  <c r="L92" i="20"/>
  <c r="M19" i="20"/>
  <c r="J68" i="20"/>
  <c r="Q78" i="20"/>
  <c r="X27" i="20"/>
  <c r="O92" i="20"/>
  <c r="T92" i="20" s="1"/>
  <c r="J26" i="20"/>
  <c r="T26" i="20" s="1"/>
  <c r="J10" i="20"/>
  <c r="T10" i="20" s="1"/>
  <c r="X19" i="20"/>
  <c r="M83" i="20"/>
  <c r="R83" i="20" s="1"/>
  <c r="H67" i="20"/>
  <c r="O19" i="20"/>
  <c r="X20" i="20"/>
  <c r="S101" i="20"/>
  <c r="F5" i="18"/>
  <c r="C286" i="8"/>
  <c r="N49" i="20"/>
  <c r="R49" i="20"/>
  <c r="W66" i="20"/>
  <c r="I88" i="20"/>
  <c r="S88" i="20" s="1"/>
  <c r="Q8" i="20"/>
  <c r="T65" i="20"/>
  <c r="Q73" i="20"/>
  <c r="S54" i="20"/>
  <c r="T34" i="20"/>
  <c r="J98" i="20"/>
  <c r="T98" i="20" s="1"/>
  <c r="R24" i="20"/>
  <c r="X25" i="20"/>
  <c r="O49" i="20"/>
  <c r="T49" i="20" s="1"/>
  <c r="W58" i="20"/>
  <c r="R37" i="20"/>
  <c r="L82" i="20"/>
  <c r="Q82" i="20" s="1"/>
  <c r="J66" i="20"/>
  <c r="T66" i="20" s="1"/>
  <c r="I71" i="20"/>
  <c r="J87" i="20"/>
  <c r="M63" i="20"/>
  <c r="I79" i="20"/>
  <c r="O15" i="20"/>
  <c r="M39" i="20"/>
  <c r="O23" i="20"/>
  <c r="I47" i="20"/>
  <c r="N39" i="20"/>
  <c r="S39" i="20" s="1"/>
  <c r="S17" i="20"/>
  <c r="N23" i="20"/>
  <c r="H23" i="20"/>
  <c r="S16" i="20"/>
  <c r="S24" i="20"/>
  <c r="H31" i="20"/>
  <c r="W31" i="20"/>
  <c r="W47" i="20"/>
  <c r="O55" i="20"/>
  <c r="L63" i="20"/>
  <c r="G79" i="20"/>
  <c r="I55" i="20"/>
  <c r="S55" i="20" s="1"/>
  <c r="M7" i="20"/>
  <c r="I87" i="20"/>
  <c r="N95" i="20"/>
  <c r="J63" i="20"/>
  <c r="L79" i="20"/>
  <c r="Q21" i="20"/>
  <c r="G71" i="20"/>
  <c r="E31" i="20"/>
  <c r="N15" i="20"/>
  <c r="W23" i="20"/>
  <c r="W39" i="20"/>
  <c r="M55" i="20"/>
  <c r="R55" i="20" s="1"/>
  <c r="W71" i="20"/>
  <c r="O95" i="20"/>
  <c r="N71" i="20"/>
  <c r="H63" i="20"/>
  <c r="J71" i="20"/>
  <c r="N87" i="20"/>
  <c r="E87" i="20"/>
  <c r="G63" i="20"/>
  <c r="L71" i="20"/>
  <c r="E79" i="20"/>
  <c r="M15" i="20"/>
  <c r="I15" i="20"/>
  <c r="H15" i="20"/>
  <c r="E71" i="20"/>
  <c r="G31" i="20"/>
  <c r="L39" i="20"/>
  <c r="R40" i="20"/>
  <c r="J39" i="20"/>
  <c r="X23" i="20"/>
  <c r="X39" i="20"/>
  <c r="E55" i="20"/>
  <c r="G55" i="20"/>
  <c r="W95" i="20"/>
  <c r="J95" i="20"/>
  <c r="W79" i="20"/>
  <c r="H87" i="20"/>
  <c r="G87" i="20"/>
  <c r="Q87" i="20" s="1"/>
  <c r="Q88" i="20"/>
  <c r="I63" i="20"/>
  <c r="S63" i="20" s="1"/>
  <c r="O71" i="20"/>
  <c r="H79" i="20"/>
  <c r="T21" i="20"/>
  <c r="X15" i="20"/>
  <c r="L15" i="20"/>
  <c r="O31" i="20"/>
  <c r="M31" i="20"/>
  <c r="E39" i="20"/>
  <c r="I31" i="20"/>
  <c r="S31" i="20" s="1"/>
  <c r="J23" i="20"/>
  <c r="E47" i="20"/>
  <c r="E23" i="20"/>
  <c r="H39" i="20"/>
  <c r="L55" i="20"/>
  <c r="X95" i="20"/>
  <c r="G95" i="20"/>
  <c r="G15" i="20"/>
  <c r="G39" i="20"/>
  <c r="G23" i="20"/>
  <c r="Q23" i="20" s="1"/>
  <c r="H47" i="20"/>
  <c r="L47" i="20"/>
  <c r="Q47" i="20" s="1"/>
  <c r="W55" i="20"/>
  <c r="I95" i="20"/>
  <c r="X79" i="20"/>
  <c r="M71" i="20"/>
  <c r="Q48" i="20"/>
  <c r="X55" i="20"/>
  <c r="X63" i="20"/>
  <c r="M79" i="20"/>
  <c r="E15" i="20"/>
  <c r="O87" i="20"/>
  <c r="J31" i="20"/>
  <c r="M23" i="20"/>
  <c r="J47" i="20"/>
  <c r="T47" i="20" s="1"/>
  <c r="N47" i="20"/>
  <c r="W63" i="20"/>
  <c r="T45" i="20"/>
  <c r="T37" i="20"/>
  <c r="Q32" i="20"/>
  <c r="O55" i="25"/>
  <c r="P55" i="25" s="1"/>
  <c r="Q55" i="25" s="1"/>
  <c r="R55" i="25" s="1"/>
  <c r="S55" i="25" s="1"/>
  <c r="T55" i="25" s="1"/>
  <c r="L62" i="25"/>
  <c r="N62" i="25"/>
  <c r="G15" i="18"/>
  <c r="F10" i="18"/>
  <c r="R45" i="20"/>
  <c r="T40" i="20"/>
  <c r="Q57" i="20"/>
  <c r="Q94" i="20"/>
  <c r="T17" i="20"/>
  <c r="R9" i="20"/>
  <c r="T20" i="20"/>
  <c r="R16" i="20"/>
  <c r="V65" i="20"/>
  <c r="AC65" i="20" s="1"/>
  <c r="AD65" i="20" s="1"/>
  <c r="AE65" i="20" s="1"/>
  <c r="S78" i="20"/>
  <c r="Q100" i="20"/>
  <c r="R73" i="20"/>
  <c r="N40" i="25"/>
  <c r="L40" i="25"/>
  <c r="M40" i="25"/>
  <c r="K43" i="25"/>
  <c r="M43" i="25" s="1"/>
  <c r="N54" i="25"/>
  <c r="L54" i="25"/>
  <c r="K37" i="25"/>
  <c r="O53" i="25"/>
  <c r="P53" i="25" s="1"/>
  <c r="Q53" i="25" s="1"/>
  <c r="R53" i="25" s="1"/>
  <c r="S53" i="25" s="1"/>
  <c r="T53" i="25" s="1"/>
  <c r="L61" i="25"/>
  <c r="N61" i="25"/>
  <c r="M61" i="25"/>
  <c r="L55" i="25"/>
  <c r="M55" i="25"/>
  <c r="M51" i="25"/>
  <c r="L51" i="25"/>
  <c r="N51" i="25"/>
  <c r="M49" i="25"/>
  <c r="N49" i="25"/>
  <c r="L49" i="25"/>
  <c r="O50" i="25"/>
  <c r="P50" i="25" s="1"/>
  <c r="Q50" i="25" s="1"/>
  <c r="R50" i="25" s="1"/>
  <c r="S50" i="25" s="1"/>
  <c r="T50" i="25" s="1"/>
  <c r="O63" i="25"/>
  <c r="P63" i="25" s="1"/>
  <c r="Q63" i="25" s="1"/>
  <c r="R63" i="25" s="1"/>
  <c r="S63" i="25" s="1"/>
  <c r="T63" i="25" s="1"/>
  <c r="L57" i="25"/>
  <c r="N57" i="25" s="1"/>
  <c r="M57" i="25"/>
  <c r="K52" i="25"/>
  <c r="L53" i="25"/>
  <c r="M53" i="25"/>
  <c r="N55" i="25"/>
  <c r="K63" i="25"/>
  <c r="T101" i="20"/>
  <c r="L7" i="20"/>
  <c r="H7" i="20"/>
  <c r="L61" i="20"/>
  <c r="X82" i="20"/>
  <c r="O90" i="20"/>
  <c r="T90" i="20" s="1"/>
  <c r="G96" i="20"/>
  <c r="X53" i="20"/>
  <c r="X14" i="20"/>
  <c r="H46" i="20"/>
  <c r="G14" i="20"/>
  <c r="J69" i="20"/>
  <c r="T69" i="20" s="1"/>
  <c r="T32" i="20"/>
  <c r="H53" i="20"/>
  <c r="G22" i="20"/>
  <c r="W61" i="20"/>
  <c r="W82" i="20"/>
  <c r="V73" i="20"/>
  <c r="AC73" i="20" s="1"/>
  <c r="AD73" i="20" s="1"/>
  <c r="AE73" i="20" s="1"/>
  <c r="J7" i="20"/>
  <c r="G61" i="20"/>
  <c r="Q65" i="20"/>
  <c r="W76" i="20"/>
  <c r="I82" i="20"/>
  <c r="H96" i="20"/>
  <c r="E53" i="20"/>
  <c r="L14" i="20"/>
  <c r="E46" i="20"/>
  <c r="J22" i="20"/>
  <c r="L69" i="20"/>
  <c r="W38" i="20"/>
  <c r="W22" i="20"/>
  <c r="G30" i="20"/>
  <c r="X61" i="20"/>
  <c r="L96" i="20"/>
  <c r="I85" i="20"/>
  <c r="S85" i="20" s="1"/>
  <c r="W7" i="20"/>
  <c r="R32" i="20"/>
  <c r="M61" i="20"/>
  <c r="R29" i="20"/>
  <c r="N76" i="20"/>
  <c r="E82" i="20"/>
  <c r="X90" i="20"/>
  <c r="L53" i="20"/>
  <c r="J46" i="20"/>
  <c r="T46" i="20" s="1"/>
  <c r="O14" i="20"/>
  <c r="X46" i="20"/>
  <c r="W46" i="20"/>
  <c r="G69" i="20"/>
  <c r="I30" i="20"/>
  <c r="S30" i="20" s="1"/>
  <c r="O38" i="20"/>
  <c r="S40" i="20"/>
  <c r="X22" i="20"/>
  <c r="H30" i="20"/>
  <c r="X76" i="20"/>
  <c r="W96" i="20"/>
  <c r="O96" i="20"/>
  <c r="G85" i="20"/>
  <c r="Q85" i="20" s="1"/>
  <c r="T57" i="20"/>
  <c r="E76" i="20"/>
  <c r="J82" i="20"/>
  <c r="H90" i="20"/>
  <c r="J53" i="20"/>
  <c r="E7" i="20"/>
  <c r="I46" i="20"/>
  <c r="J30" i="20"/>
  <c r="O22" i="20"/>
  <c r="T58" i="20"/>
  <c r="I69" i="20"/>
  <c r="L22" i="20"/>
  <c r="E30" i="20"/>
  <c r="L38" i="20"/>
  <c r="M22" i="20"/>
  <c r="G53" i="20"/>
  <c r="N96" i="20"/>
  <c r="M85" i="20"/>
  <c r="R85" i="20" s="1"/>
  <c r="L76" i="20"/>
  <c r="I61" i="20"/>
  <c r="J79" i="20"/>
  <c r="T79" i="20" s="1"/>
  <c r="O7" i="20"/>
  <c r="G7" i="20"/>
  <c r="E90" i="20"/>
  <c r="M82" i="20"/>
  <c r="N90" i="20"/>
  <c r="X96" i="20"/>
  <c r="M53" i="20"/>
  <c r="M46" i="20"/>
  <c r="L46" i="20"/>
  <c r="Q46" i="20" s="1"/>
  <c r="E69" i="20"/>
  <c r="G38" i="20"/>
  <c r="I38" i="20"/>
  <c r="J38" i="20"/>
  <c r="W30" i="20"/>
  <c r="E22" i="20"/>
  <c r="W69" i="20"/>
  <c r="J76" i="20"/>
  <c r="M96" i="20"/>
  <c r="I7" i="20"/>
  <c r="M76" i="20"/>
  <c r="M90" i="20"/>
  <c r="V45" i="20"/>
  <c r="AC45" i="20" s="1"/>
  <c r="AD45" i="20" s="1"/>
  <c r="AE45" i="20" s="1"/>
  <c r="Q72" i="20"/>
  <c r="N82" i="20"/>
  <c r="L90" i="20"/>
  <c r="Q90" i="20" s="1"/>
  <c r="J96" i="20"/>
  <c r="O53" i="20"/>
  <c r="T48" i="20"/>
  <c r="I14" i="20"/>
  <c r="S14" i="20" s="1"/>
  <c r="W14" i="20"/>
  <c r="E14" i="20"/>
  <c r="J14" i="20"/>
  <c r="M69" i="20"/>
  <c r="I22" i="20"/>
  <c r="S22" i="20" s="1"/>
  <c r="H38" i="20"/>
  <c r="R38" i="20" s="1"/>
  <c r="N38" i="20"/>
  <c r="V40" i="20"/>
  <c r="Y40" i="20" s="1"/>
  <c r="AI40" i="20" s="1"/>
  <c r="X30" i="20"/>
  <c r="N33" i="20"/>
  <c r="S33" i="20" s="1"/>
  <c r="L30" i="20"/>
  <c r="O82" i="20"/>
  <c r="X69" i="20"/>
  <c r="J61" i="20"/>
  <c r="H61" i="20"/>
  <c r="X7" i="20"/>
  <c r="I76" i="20"/>
  <c r="I96" i="20"/>
  <c r="R101" i="20"/>
  <c r="I53" i="20"/>
  <c r="S53" i="20" s="1"/>
  <c r="T78" i="20"/>
  <c r="S21" i="20"/>
  <c r="H14" i="20"/>
  <c r="S52" i="20"/>
  <c r="V57" i="20"/>
  <c r="Y57" i="20" s="1"/>
  <c r="R44" i="20"/>
  <c r="H69" i="20"/>
  <c r="H33" i="20"/>
  <c r="R33" i="20" s="1"/>
  <c r="M30" i="20"/>
  <c r="W72" i="20"/>
  <c r="O61" i="20"/>
  <c r="R97" i="20"/>
  <c r="Q41" i="20"/>
  <c r="R86" i="20"/>
  <c r="H68" i="20"/>
  <c r="J80" i="20"/>
  <c r="G80" i="20"/>
  <c r="Q80" i="20" s="1"/>
  <c r="O68" i="20"/>
  <c r="T86" i="20"/>
  <c r="X36" i="20"/>
  <c r="M6" i="20"/>
  <c r="R6" i="20" s="1"/>
  <c r="I80" i="20"/>
  <c r="S62" i="20"/>
  <c r="R70" i="20"/>
  <c r="H28" i="20"/>
  <c r="R28" i="20" s="1"/>
  <c r="W36" i="20"/>
  <c r="W54" i="20"/>
  <c r="O80" i="20"/>
  <c r="T77" i="20"/>
  <c r="V37" i="20"/>
  <c r="AC37" i="20" s="1"/>
  <c r="AD37" i="20" s="1"/>
  <c r="AE37" i="20" s="1"/>
  <c r="X54" i="20"/>
  <c r="W74" i="20"/>
  <c r="X87" i="20"/>
  <c r="S74" i="20"/>
  <c r="J6" i="20"/>
  <c r="T6" i="20" s="1"/>
  <c r="W80" i="20"/>
  <c r="M80" i="20"/>
  <c r="R80" i="20" s="1"/>
  <c r="J36" i="20"/>
  <c r="T54" i="20"/>
  <c r="S56" i="20"/>
  <c r="Q81" i="20"/>
  <c r="Q62" i="20"/>
  <c r="R78" i="20"/>
  <c r="Q45" i="20"/>
  <c r="S37" i="20"/>
  <c r="Q4" i="20"/>
  <c r="R8" i="20"/>
  <c r="Q16" i="20"/>
  <c r="S8" i="20"/>
  <c r="V101" i="20"/>
  <c r="AC101" i="20" s="1"/>
  <c r="AD101" i="20" s="1"/>
  <c r="AE101" i="20" s="1"/>
  <c r="T72" i="20"/>
  <c r="T5" i="20"/>
  <c r="S20" i="20"/>
  <c r="V13" i="20"/>
  <c r="AC13" i="20" s="1"/>
  <c r="AD13" i="20" s="1"/>
  <c r="AE13" i="20" s="1"/>
  <c r="S45" i="20"/>
  <c r="R72" i="20"/>
  <c r="Q34" i="20"/>
  <c r="R98" i="20"/>
  <c r="T29" i="20"/>
  <c r="V56" i="20"/>
  <c r="AC56" i="20" s="1"/>
  <c r="AD56" i="20" s="1"/>
  <c r="AE56" i="20" s="1"/>
  <c r="T100" i="20"/>
  <c r="S9" i="20"/>
  <c r="Q25" i="20"/>
  <c r="T74" i="20"/>
  <c r="T94" i="20"/>
  <c r="S57" i="20"/>
  <c r="Q66" i="20"/>
  <c r="V29" i="20"/>
  <c r="AC29" i="20" s="1"/>
  <c r="AD29" i="20" s="1"/>
  <c r="AE29" i="20" s="1"/>
  <c r="V8" i="20"/>
  <c r="AC8" i="20" s="1"/>
  <c r="AD8" i="20" s="1"/>
  <c r="AE8" i="20" s="1"/>
  <c r="Q86" i="20"/>
  <c r="V5" i="20"/>
  <c r="T16" i="20"/>
  <c r="T97" i="20"/>
  <c r="T89" i="20"/>
  <c r="V32" i="20"/>
  <c r="Y32" i="20" s="1"/>
  <c r="R5" i="20"/>
  <c r="S98" i="20"/>
  <c r="V17" i="20"/>
  <c r="Y17" i="20" s="1"/>
  <c r="AI17" i="20" s="1"/>
  <c r="S65" i="20"/>
  <c r="V64" i="20"/>
  <c r="Q74" i="20"/>
  <c r="R4" i="20"/>
  <c r="S66" i="20"/>
  <c r="R13" i="20"/>
  <c r="S48" i="20"/>
  <c r="T62" i="20"/>
  <c r="Q5" i="20"/>
  <c r="V97" i="20"/>
  <c r="Y97" i="20" s="1"/>
  <c r="Q70" i="20"/>
  <c r="R58" i="20"/>
  <c r="V70" i="20"/>
  <c r="V86" i="20"/>
  <c r="Y86" i="20" s="1"/>
  <c r="Q97" i="20"/>
  <c r="V58" i="20"/>
  <c r="Q56" i="20"/>
  <c r="V100" i="20"/>
  <c r="Y100" i="20" s="1"/>
  <c r="V94" i="20"/>
  <c r="S32" i="20"/>
  <c r="V41" i="20"/>
  <c r="S41" i="20"/>
  <c r="R77" i="20"/>
  <c r="Q24" i="20"/>
  <c r="V24" i="20"/>
  <c r="S4" i="20"/>
  <c r="V16" i="20"/>
  <c r="V78" i="20"/>
  <c r="R48" i="20"/>
  <c r="V48" i="20"/>
  <c r="V21" i="20"/>
  <c r="V89" i="20"/>
  <c r="L59" i="25"/>
  <c r="N59" i="25" s="1"/>
  <c r="M59" i="25"/>
  <c r="N46" i="25"/>
  <c r="L46" i="25"/>
  <c r="M46" i="25"/>
  <c r="L44" i="25"/>
  <c r="M44" i="25"/>
  <c r="N44" i="25"/>
  <c r="L48" i="25"/>
  <c r="N48" i="25"/>
  <c r="L41" i="25"/>
  <c r="M41" i="25"/>
  <c r="N41" i="25"/>
  <c r="L45" i="25"/>
  <c r="N45" i="25"/>
  <c r="M45" i="25"/>
  <c r="N39" i="25"/>
  <c r="L39" i="25"/>
  <c r="M39" i="25"/>
  <c r="K60" i="25"/>
  <c r="N53" i="25"/>
  <c r="L24" i="3"/>
  <c r="M24" i="3" s="1"/>
  <c r="L61" i="3"/>
  <c r="M61" i="3" s="1"/>
  <c r="L58" i="3"/>
  <c r="M58" i="3" s="1"/>
  <c r="L57" i="3"/>
  <c r="M57" i="3" s="1"/>
  <c r="L49" i="3"/>
  <c r="M49" i="3" s="1"/>
  <c r="L50" i="3"/>
  <c r="M50" i="3" s="1"/>
  <c r="L47" i="3"/>
  <c r="M47" i="3" s="1"/>
  <c r="L17" i="3"/>
  <c r="M17" i="3" s="1"/>
  <c r="L69" i="3"/>
  <c r="M69" i="3" s="1"/>
  <c r="D2" i="18"/>
  <c r="K39" i="3"/>
  <c r="L19" i="3"/>
  <c r="M19" i="3" s="1"/>
  <c r="K54" i="3"/>
  <c r="K55" i="3"/>
  <c r="K60" i="3"/>
  <c r="L10" i="3"/>
  <c r="M10" i="3" s="1"/>
  <c r="L42" i="3"/>
  <c r="M42" i="3" s="1"/>
  <c r="K66" i="3"/>
  <c r="F11" i="18"/>
  <c r="D15" i="18"/>
  <c r="E11" i="18"/>
  <c r="L18" i="3"/>
  <c r="M18" i="3" s="1"/>
  <c r="L12" i="3"/>
  <c r="M12" i="3" s="1"/>
  <c r="L62" i="3"/>
  <c r="M62" i="3" s="1"/>
  <c r="L16" i="3"/>
  <c r="M16" i="3" s="1"/>
  <c r="K44" i="3"/>
  <c r="E3" i="18"/>
  <c r="C11" i="18"/>
  <c r="L59" i="3"/>
  <c r="M59" i="3" s="1"/>
  <c r="K45" i="3"/>
  <c r="L35" i="3"/>
  <c r="M35" i="3" s="1"/>
  <c r="F1" i="10"/>
  <c r="M1" i="10" s="1"/>
  <c r="L65" i="3"/>
  <c r="M65" i="3" s="1"/>
  <c r="L67" i="3"/>
  <c r="M67" i="3" s="1"/>
  <c r="L31" i="3"/>
  <c r="M31" i="3" s="1"/>
  <c r="K43" i="3"/>
  <c r="E6" i="18"/>
  <c r="D10" i="18"/>
  <c r="N17" i="4"/>
  <c r="O17" i="4" s="1"/>
  <c r="D12" i="18"/>
  <c r="C10" i="18"/>
  <c r="N22" i="4"/>
  <c r="O22" i="4" s="1"/>
  <c r="F14" i="18"/>
  <c r="C6" i="18"/>
  <c r="F4" i="18"/>
  <c r="F12" i="18"/>
  <c r="M7" i="4"/>
  <c r="E10" i="18"/>
  <c r="C2" i="18"/>
  <c r="E14" i="18"/>
  <c r="D14" i="18"/>
  <c r="F6" i="18"/>
  <c r="K6" i="3"/>
  <c r="L11" i="3"/>
  <c r="M11" i="3" s="1"/>
  <c r="L23" i="3"/>
  <c r="M23" i="3" s="1"/>
  <c r="C12" i="18"/>
  <c r="E4" i="18"/>
  <c r="E8" i="18"/>
  <c r="D8" i="18"/>
  <c r="F8" i="18"/>
  <c r="L9" i="3"/>
  <c r="M9" i="3" s="1"/>
  <c r="L29" i="3"/>
  <c r="M29" i="3" s="1"/>
  <c r="L5" i="3"/>
  <c r="M5" i="3" s="1"/>
  <c r="L64" i="3"/>
  <c r="M64" i="3" s="1"/>
  <c r="L7" i="3"/>
  <c r="M7" i="3" s="1"/>
  <c r="K80" i="3"/>
  <c r="L38" i="3"/>
  <c r="M38" i="3" s="1"/>
  <c r="L46" i="3"/>
  <c r="M46" i="3" s="1"/>
  <c r="B21" i="10"/>
  <c r="E7" i="18"/>
  <c r="K71" i="3"/>
  <c r="K77" i="3"/>
  <c r="K27" i="3"/>
  <c r="L75" i="3"/>
  <c r="M75" i="3" s="1"/>
  <c r="C15" i="18"/>
  <c r="L13" i="3"/>
  <c r="M13" i="3" s="1"/>
  <c r="L73" i="3"/>
  <c r="M73" i="3" s="1"/>
  <c r="L10" i="10"/>
  <c r="D7" i="18"/>
  <c r="F15" i="18"/>
  <c r="F7" i="18"/>
  <c r="D3" i="18"/>
  <c r="F3" i="18"/>
  <c r="N8" i="4"/>
  <c r="E24" i="10"/>
  <c r="E5" i="18"/>
  <c r="N26" i="4"/>
  <c r="M26" i="4"/>
  <c r="M25" i="4"/>
  <c r="N25" i="4"/>
  <c r="J12" i="10"/>
  <c r="L12" i="10" s="1"/>
  <c r="L10" i="9"/>
  <c r="R4" i="9"/>
  <c r="R5" i="9" s="1"/>
  <c r="R6" i="9" s="1"/>
  <c r="R7" i="9" s="1"/>
  <c r="R8" i="9" s="1"/>
  <c r="R9" i="9" s="1"/>
  <c r="R10" i="9" s="1"/>
  <c r="R11" i="9" s="1"/>
  <c r="N11" i="4"/>
  <c r="M11" i="4"/>
  <c r="M20" i="4"/>
  <c r="N20" i="4"/>
  <c r="M23" i="4"/>
  <c r="N27" i="4"/>
  <c r="M27" i="4"/>
  <c r="K25" i="3"/>
  <c r="L25" i="3"/>
  <c r="M25" i="3" s="1"/>
  <c r="K26" i="3"/>
  <c r="L26" i="3"/>
  <c r="M26" i="3" s="1"/>
  <c r="K20" i="3"/>
  <c r="L20" i="3"/>
  <c r="M20" i="3" s="1"/>
  <c r="K14" i="3"/>
  <c r="L14" i="3"/>
  <c r="M14" i="3" s="1"/>
  <c r="L74" i="3"/>
  <c r="M74" i="3" s="1"/>
  <c r="K74" i="3"/>
  <c r="L78" i="3"/>
  <c r="M78" i="3" s="1"/>
  <c r="K78" i="3"/>
  <c r="L79" i="3"/>
  <c r="M79" i="3" s="1"/>
  <c r="K79" i="3"/>
  <c r="D9" i="18"/>
  <c r="F9" i="18"/>
  <c r="C9" i="18"/>
  <c r="M14" i="4"/>
  <c r="N14" i="4"/>
  <c r="K41" i="3"/>
  <c r="L41" i="3"/>
  <c r="M41" i="3" s="1"/>
  <c r="K56" i="3"/>
  <c r="L56" i="3"/>
  <c r="M56" i="3" s="1"/>
  <c r="K52" i="3"/>
  <c r="L52" i="3"/>
  <c r="M52" i="3" s="1"/>
  <c r="K53" i="3"/>
  <c r="L53" i="3"/>
  <c r="M53" i="3" s="1"/>
  <c r="K51" i="3"/>
  <c r="L51" i="3"/>
  <c r="M51" i="3" s="1"/>
  <c r="L48" i="3"/>
  <c r="M48" i="3" s="1"/>
  <c r="K48" i="3"/>
  <c r="K15" i="3"/>
  <c r="L15" i="3"/>
  <c r="M15" i="3" s="1"/>
  <c r="K8" i="3"/>
  <c r="L8" i="3"/>
  <c r="M8" i="3" s="1"/>
  <c r="K40" i="3"/>
  <c r="L40" i="3"/>
  <c r="M40" i="3" s="1"/>
  <c r="K36" i="3"/>
  <c r="L36" i="3"/>
  <c r="M36" i="3" s="1"/>
  <c r="L63" i="3"/>
  <c r="M63" i="3" s="1"/>
  <c r="K63" i="3"/>
  <c r="J11" i="10"/>
  <c r="L11" i="10" s="1"/>
  <c r="J7" i="10"/>
  <c r="L7" i="10" s="1"/>
  <c r="J9" i="10"/>
  <c r="L9" i="10" s="1"/>
  <c r="J13" i="10"/>
  <c r="L13" i="10" s="1"/>
  <c r="K34" i="3"/>
  <c r="L34" i="3"/>
  <c r="M34" i="3" s="1"/>
  <c r="K28" i="3"/>
  <c r="L28" i="3"/>
  <c r="M28" i="3" s="1"/>
  <c r="L76" i="3"/>
  <c r="K76" i="3"/>
  <c r="G8" i="10"/>
  <c r="B14" i="10"/>
  <c r="F2" i="18"/>
  <c r="M15" i="4"/>
  <c r="N9" i="4"/>
  <c r="O9" i="4" s="1"/>
  <c r="C4" i="18"/>
  <c r="L72" i="3"/>
  <c r="M72" i="3" s="1"/>
  <c r="L21" i="3"/>
  <c r="M21" i="3" s="1"/>
  <c r="L30" i="3"/>
  <c r="M30" i="3" s="1"/>
  <c r="L32" i="3"/>
  <c r="M32" i="3" s="1"/>
  <c r="L68" i="3"/>
  <c r="M68" i="3" s="1"/>
  <c r="K70" i="3"/>
  <c r="L33" i="3"/>
  <c r="M33" i="3" s="1"/>
  <c r="J6" i="10"/>
  <c r="C5" i="18"/>
  <c r="D5" i="18"/>
  <c r="F13" i="18"/>
  <c r="C13" i="18"/>
  <c r="D13" i="18"/>
  <c r="K22" i="3"/>
  <c r="L22" i="3"/>
  <c r="M22" i="3" s="1"/>
  <c r="K37" i="3"/>
  <c r="L37" i="3"/>
  <c r="M37" i="3" s="1"/>
  <c r="M6" i="4"/>
  <c r="N6" i="4"/>
  <c r="M10" i="4"/>
  <c r="N10" i="4"/>
  <c r="M12" i="4"/>
  <c r="N12" i="4"/>
  <c r="N16" i="4"/>
  <c r="M16" i="4"/>
  <c r="M19" i="4"/>
  <c r="M21" i="4"/>
  <c r="N21" i="4"/>
  <c r="M28" i="4"/>
  <c r="N28" i="4"/>
  <c r="M34" i="4"/>
  <c r="M36" i="4"/>
  <c r="N36" i="4"/>
  <c r="AI5" i="5"/>
  <c r="W103" i="5"/>
  <c r="AA5" i="5"/>
  <c r="AF5" i="5"/>
  <c r="AF103" i="5" s="1"/>
  <c r="AL5" i="5"/>
  <c r="AL103" i="5" s="1"/>
  <c r="N5" i="4"/>
  <c r="M5" i="4"/>
  <c r="N13" i="4"/>
  <c r="M13" i="4"/>
  <c r="M18" i="4"/>
  <c r="N18" i="4"/>
  <c r="N24" i="4"/>
  <c r="M24" i="4"/>
  <c r="M33" i="4"/>
  <c r="N33" i="4"/>
  <c r="N35" i="4"/>
  <c r="M35" i="4"/>
  <c r="L40" i="26" l="1"/>
  <c r="M40" i="26" s="1"/>
  <c r="V44" i="26"/>
  <c r="V41" i="26"/>
  <c r="M41" i="26"/>
  <c r="V40" i="26"/>
  <c r="V43" i="26"/>
  <c r="V42" i="26"/>
  <c r="Q37" i="4"/>
  <c r="O8" i="4"/>
  <c r="O15" i="4"/>
  <c r="T37" i="5"/>
  <c r="T30" i="5"/>
  <c r="S77" i="35"/>
  <c r="T41" i="5"/>
  <c r="T27" i="4"/>
  <c r="N19" i="4"/>
  <c r="O19" i="4" s="1"/>
  <c r="T49" i="5"/>
  <c r="S19" i="4"/>
  <c r="X29" i="4"/>
  <c r="T42" i="5"/>
  <c r="U34" i="5"/>
  <c r="T22" i="5"/>
  <c r="N23" i="4"/>
  <c r="O23" i="4" s="1"/>
  <c r="R29" i="4"/>
  <c r="S29" i="4" s="1"/>
  <c r="U6" i="5"/>
  <c r="S23" i="4"/>
  <c r="AF29" i="4"/>
  <c r="AB29" i="4"/>
  <c r="V29" i="4"/>
  <c r="X30" i="4"/>
  <c r="S11" i="4"/>
  <c r="T11" i="4"/>
  <c r="T10" i="5"/>
  <c r="U64" i="5"/>
  <c r="U70" i="5"/>
  <c r="Q5" i="4"/>
  <c r="Q29" i="4" s="1"/>
  <c r="U58" i="5"/>
  <c r="T37" i="4"/>
  <c r="N34" i="4"/>
  <c r="O34" i="4" s="1"/>
  <c r="M42" i="26"/>
  <c r="V37" i="4"/>
  <c r="S28" i="4"/>
  <c r="T28" i="4"/>
  <c r="M47" i="25"/>
  <c r="S34" i="4"/>
  <c r="S37" i="4" s="1"/>
  <c r="T34" i="4"/>
  <c r="S78" i="35"/>
  <c r="G6" i="9"/>
  <c r="T71" i="35"/>
  <c r="S65" i="35"/>
  <c r="S73" i="35"/>
  <c r="T77" i="35"/>
  <c r="S71" i="35"/>
  <c r="T65" i="35"/>
  <c r="T74" i="35"/>
  <c r="T80" i="35"/>
  <c r="T76" i="35"/>
  <c r="S66" i="35"/>
  <c r="S70" i="35"/>
  <c r="T75" i="35"/>
  <c r="T69" i="35"/>
  <c r="T73" i="35"/>
  <c r="T68" i="35"/>
  <c r="T72" i="35"/>
  <c r="T78" i="35"/>
  <c r="T66" i="35"/>
  <c r="S80" i="35"/>
  <c r="S68" i="35"/>
  <c r="T70" i="35"/>
  <c r="S76" i="35"/>
  <c r="S79" i="35"/>
  <c r="S75" i="35"/>
  <c r="T79" i="35"/>
  <c r="T67" i="35"/>
  <c r="S74" i="35"/>
  <c r="S69" i="35"/>
  <c r="S72" i="35"/>
  <c r="S67" i="35"/>
  <c r="AW31" i="33"/>
  <c r="AX31" i="33"/>
  <c r="AW32" i="33"/>
  <c r="AX32" i="33"/>
  <c r="G11" i="9"/>
  <c r="G18" i="9"/>
  <c r="T64" i="35"/>
  <c r="S64" i="35"/>
  <c r="N47" i="25"/>
  <c r="AW30" i="33"/>
  <c r="N27" i="10"/>
  <c r="N28" i="10" s="1"/>
  <c r="N29" i="10" s="1"/>
  <c r="N30" i="10" s="1"/>
  <c r="N31" i="10" s="1"/>
  <c r="N32" i="10" s="1"/>
  <c r="N33" i="10" s="1"/>
  <c r="G5" i="9"/>
  <c r="G12" i="9"/>
  <c r="G14" i="9"/>
  <c r="F3" i="29"/>
  <c r="N56" i="25"/>
  <c r="L42" i="25"/>
  <c r="L56" i="25"/>
  <c r="G15" i="9"/>
  <c r="G13" i="9"/>
  <c r="G10" i="9"/>
  <c r="G7" i="9"/>
  <c r="G4" i="9"/>
  <c r="G17" i="9"/>
  <c r="G16" i="9"/>
  <c r="K6" i="9"/>
  <c r="M42" i="25"/>
  <c r="G8" i="9"/>
  <c r="R19" i="20"/>
  <c r="N80" i="3"/>
  <c r="N82" i="3" s="1"/>
  <c r="N87" i="3" s="1"/>
  <c r="O7" i="4"/>
  <c r="V25" i="20"/>
  <c r="Y25" i="20" s="1"/>
  <c r="AH25" i="20" s="1"/>
  <c r="V98" i="20"/>
  <c r="Y98" i="20" s="1"/>
  <c r="V20" i="20"/>
  <c r="AC20" i="20" s="1"/>
  <c r="AD20" i="20" s="1"/>
  <c r="AE20" i="20" s="1"/>
  <c r="Q54" i="20"/>
  <c r="S72" i="20"/>
  <c r="S23" i="20"/>
  <c r="T68" i="20"/>
  <c r="R84" i="20"/>
  <c r="Y58" i="20"/>
  <c r="AI58" i="20" s="1"/>
  <c r="AW17" i="33"/>
  <c r="AW21" i="33"/>
  <c r="AW25" i="33"/>
  <c r="AW29" i="33"/>
  <c r="AW18" i="33"/>
  <c r="AW22" i="33"/>
  <c r="AW26" i="33"/>
  <c r="AW19" i="33"/>
  <c r="AW23" i="33"/>
  <c r="AW27" i="33"/>
  <c r="AW20" i="33"/>
  <c r="AW24" i="33"/>
  <c r="AW28" i="33"/>
  <c r="S43" i="20"/>
  <c r="S69" i="20"/>
  <c r="S42" i="20"/>
  <c r="S35" i="20"/>
  <c r="V74" i="20"/>
  <c r="AC74" i="20" s="1"/>
  <c r="AD74" i="20" s="1"/>
  <c r="AE74" i="20" s="1"/>
  <c r="S87" i="20"/>
  <c r="V12" i="20"/>
  <c r="AC12" i="20" s="1"/>
  <c r="AD12" i="20" s="1"/>
  <c r="AE12" i="20" s="1"/>
  <c r="R26" i="20"/>
  <c r="Q84" i="20"/>
  <c r="T51" i="20"/>
  <c r="T27" i="20"/>
  <c r="S77" i="20"/>
  <c r="V66" i="20"/>
  <c r="AC66" i="20" s="1"/>
  <c r="AD66" i="20" s="1"/>
  <c r="AE66" i="20" s="1"/>
  <c r="R22" i="20"/>
  <c r="S93" i="20"/>
  <c r="S68" i="20"/>
  <c r="R93" i="20"/>
  <c r="R12" i="20"/>
  <c r="R68" i="20"/>
  <c r="Q60" i="20"/>
  <c r="R47" i="20"/>
  <c r="T63" i="20"/>
  <c r="S80" i="20"/>
  <c r="S7" i="20"/>
  <c r="T30" i="20"/>
  <c r="S10" i="20"/>
  <c r="Q95" i="20"/>
  <c r="R51" i="20"/>
  <c r="Q68" i="20"/>
  <c r="R82" i="20"/>
  <c r="M50" i="25"/>
  <c r="V9" i="20"/>
  <c r="AC9" i="20" s="1"/>
  <c r="AD9" i="20" s="1"/>
  <c r="AE9" i="20" s="1"/>
  <c r="L50" i="25"/>
  <c r="R62" i="20"/>
  <c r="M58" i="25"/>
  <c r="L58" i="25"/>
  <c r="N58" i="25"/>
  <c r="S49" i="20"/>
  <c r="R87" i="20"/>
  <c r="R35" i="20"/>
  <c r="T39" i="20"/>
  <c r="S34" i="20"/>
  <c r="V77" i="20"/>
  <c r="Y77" i="20" s="1"/>
  <c r="V50" i="20"/>
  <c r="AC50" i="20" s="1"/>
  <c r="AD50" i="20" s="1"/>
  <c r="AE50" i="20" s="1"/>
  <c r="S90" i="20"/>
  <c r="S79" i="20"/>
  <c r="V4" i="20"/>
  <c r="Y4" i="20" s="1"/>
  <c r="AH4" i="20" s="1"/>
  <c r="Q92" i="20"/>
  <c r="T11" i="20"/>
  <c r="S46" i="20"/>
  <c r="S61" i="20"/>
  <c r="V52" i="20"/>
  <c r="Y52" i="20" s="1"/>
  <c r="R7" i="20"/>
  <c r="R50" i="20"/>
  <c r="T50" i="20"/>
  <c r="T55" i="20"/>
  <c r="R18" i="20"/>
  <c r="S51" i="20"/>
  <c r="V49" i="20"/>
  <c r="AC49" i="20" s="1"/>
  <c r="AD49" i="20" s="1"/>
  <c r="AE49" i="20" s="1"/>
  <c r="S44" i="20"/>
  <c r="Q51" i="20"/>
  <c r="Q61" i="20"/>
  <c r="V63" i="20"/>
  <c r="Y63" i="20" s="1"/>
  <c r="Y65" i="20"/>
  <c r="AH65" i="20" s="1"/>
  <c r="T84" i="20"/>
  <c r="Q43" i="20"/>
  <c r="V84" i="20"/>
  <c r="Y84" i="20" s="1"/>
  <c r="S84" i="20"/>
  <c r="Q76" i="20"/>
  <c r="V75" i="20"/>
  <c r="Y75" i="20" s="1"/>
  <c r="AI75" i="20" s="1"/>
  <c r="R76" i="20"/>
  <c r="T22" i="20"/>
  <c r="S27" i="20"/>
  <c r="Y73" i="20"/>
  <c r="AI73" i="20" s="1"/>
  <c r="T96" i="20"/>
  <c r="R96" i="20"/>
  <c r="Q11" i="20"/>
  <c r="V93" i="20"/>
  <c r="Y93" i="20" s="1"/>
  <c r="AI93" i="20" s="1"/>
  <c r="Q42" i="20"/>
  <c r="T76" i="20"/>
  <c r="T15" i="20"/>
  <c r="V88" i="20"/>
  <c r="Y88" i="20" s="1"/>
  <c r="V83" i="20"/>
  <c r="AC83" i="20" s="1"/>
  <c r="AD83" i="20" s="1"/>
  <c r="AE83" i="20" s="1"/>
  <c r="AC5" i="20"/>
  <c r="AD5" i="20" s="1"/>
  <c r="AE5" i="20" s="1"/>
  <c r="Q22" i="20"/>
  <c r="Y37" i="20"/>
  <c r="AH37" i="20" s="1"/>
  <c r="Q93" i="20"/>
  <c r="Q99" i="20"/>
  <c r="T71" i="20"/>
  <c r="R46" i="20"/>
  <c r="R15" i="20"/>
  <c r="V26" i="20"/>
  <c r="AC26" i="20" s="1"/>
  <c r="AD26" i="20" s="1"/>
  <c r="AE26" i="20" s="1"/>
  <c r="R39" i="20"/>
  <c r="V15" i="20"/>
  <c r="AC15" i="20" s="1"/>
  <c r="AD15" i="20" s="1"/>
  <c r="AE15" i="20" s="1"/>
  <c r="T19" i="20"/>
  <c r="T35" i="20"/>
  <c r="Q15" i="20"/>
  <c r="S82" i="20"/>
  <c r="O3" i="20"/>
  <c r="V51" i="20"/>
  <c r="Y51" i="20" s="1"/>
  <c r="V39" i="20"/>
  <c r="Y39" i="20" s="1"/>
  <c r="Z39" i="20" s="1"/>
  <c r="AA39" i="20" s="1"/>
  <c r="V23" i="20"/>
  <c r="AC23" i="20" s="1"/>
  <c r="AD23" i="20" s="1"/>
  <c r="AE23" i="20" s="1"/>
  <c r="V46" i="20"/>
  <c r="Y46" i="20" s="1"/>
  <c r="AH46" i="20" s="1"/>
  <c r="R60" i="20"/>
  <c r="T99" i="20"/>
  <c r="R99" i="20"/>
  <c r="Q35" i="20"/>
  <c r="Q69" i="20"/>
  <c r="S76" i="20"/>
  <c r="Q71" i="20"/>
  <c r="Q79" i="20"/>
  <c r="V87" i="20"/>
  <c r="Y87" i="20" s="1"/>
  <c r="Q96" i="20"/>
  <c r="V27" i="20"/>
  <c r="AC27" i="20" s="1"/>
  <c r="AD27" i="20" s="1"/>
  <c r="AE27" i="20" s="1"/>
  <c r="R53" i="20"/>
  <c r="Q14" i="20"/>
  <c r="S60" i="20"/>
  <c r="T43" i="20"/>
  <c r="V19" i="20"/>
  <c r="Y19" i="20" s="1"/>
  <c r="AI19" i="20" s="1"/>
  <c r="R71" i="20"/>
  <c r="S11" i="20"/>
  <c r="AC81" i="20"/>
  <c r="AD81" i="20" s="1"/>
  <c r="AE81" i="20" s="1"/>
  <c r="Y81" i="20"/>
  <c r="AH81" i="20" s="1"/>
  <c r="T7" i="20"/>
  <c r="V42" i="20"/>
  <c r="Y42" i="20" s="1"/>
  <c r="AI42" i="20" s="1"/>
  <c r="R90" i="20"/>
  <c r="R30" i="20"/>
  <c r="Q63" i="20"/>
  <c r="V18" i="20"/>
  <c r="AC18" i="20" s="1"/>
  <c r="AD18" i="20" s="1"/>
  <c r="AE18" i="20" s="1"/>
  <c r="R27" i="20"/>
  <c r="Q19" i="20"/>
  <c r="V33" i="20"/>
  <c r="AC33" i="20" s="1"/>
  <c r="AD33" i="20" s="1"/>
  <c r="AE33" i="20" s="1"/>
  <c r="R79" i="20"/>
  <c r="Q31" i="20"/>
  <c r="V95" i="20"/>
  <c r="Y95" i="20" s="1"/>
  <c r="AI95" i="20" s="1"/>
  <c r="V47" i="20"/>
  <c r="AC47" i="20" s="1"/>
  <c r="AD47" i="20" s="1"/>
  <c r="AE47" i="20" s="1"/>
  <c r="R10" i="20"/>
  <c r="AC40" i="20"/>
  <c r="AD40" i="20" s="1"/>
  <c r="AE40" i="20" s="1"/>
  <c r="Q38" i="20"/>
  <c r="R67" i="20"/>
  <c r="Z40" i="20"/>
  <c r="AA40" i="20" s="1"/>
  <c r="Q27" i="20"/>
  <c r="V60" i="20"/>
  <c r="Y60" i="20" s="1"/>
  <c r="V43" i="20"/>
  <c r="AC43" i="20" s="1"/>
  <c r="AD43" i="20" s="1"/>
  <c r="AE43" i="20" s="1"/>
  <c r="V71" i="20"/>
  <c r="Y71" i="20" s="1"/>
  <c r="S81" i="20"/>
  <c r="V91" i="20"/>
  <c r="AC91" i="20" s="1"/>
  <c r="AD91" i="20" s="1"/>
  <c r="AE91" i="20" s="1"/>
  <c r="L43" i="26"/>
  <c r="M43" i="26" s="1"/>
  <c r="S92" i="20"/>
  <c r="Q39" i="20"/>
  <c r="S95" i="20"/>
  <c r="V67" i="20"/>
  <c r="AC67" i="20" s="1"/>
  <c r="AD67" i="20" s="1"/>
  <c r="AE67" i="20" s="1"/>
  <c r="V14" i="20"/>
  <c r="Y14" i="20" s="1"/>
  <c r="AI14" i="20" s="1"/>
  <c r="Q30" i="20"/>
  <c r="V59" i="20"/>
  <c r="AC59" i="20" s="1"/>
  <c r="AD59" i="20" s="1"/>
  <c r="AE59" i="20" s="1"/>
  <c r="V11" i="20"/>
  <c r="AC11" i="20" s="1"/>
  <c r="AD11" i="20" s="1"/>
  <c r="AE11" i="20" s="1"/>
  <c r="T23" i="20"/>
  <c r="V92" i="20"/>
  <c r="Y92" i="20" s="1"/>
  <c r="Z92" i="20" s="1"/>
  <c r="AA92" i="20" s="1"/>
  <c r="V10" i="20"/>
  <c r="R43" i="20"/>
  <c r="V85" i="20"/>
  <c r="Y85" i="20" s="1"/>
  <c r="Z85" i="20" s="1"/>
  <c r="AA85" i="20" s="1"/>
  <c r="Q91" i="20"/>
  <c r="V76" i="20"/>
  <c r="Y76" i="20" s="1"/>
  <c r="V35" i="20"/>
  <c r="Y35" i="20" s="1"/>
  <c r="T60" i="20"/>
  <c r="V69" i="20"/>
  <c r="Y69" i="20" s="1"/>
  <c r="AH69" i="20" s="1"/>
  <c r="V99" i="20"/>
  <c r="AH40" i="20"/>
  <c r="R31" i="20"/>
  <c r="S15" i="20"/>
  <c r="V31" i="20"/>
  <c r="AC31" i="20" s="1"/>
  <c r="AD31" i="20" s="1"/>
  <c r="AE31" i="20" s="1"/>
  <c r="L3" i="20"/>
  <c r="T2" i="30" s="1"/>
  <c r="T31" i="20"/>
  <c r="R23" i="20"/>
  <c r="T95" i="20"/>
  <c r="R63" i="20"/>
  <c r="T87" i="20"/>
  <c r="Y72" i="20"/>
  <c r="AI72" i="20" s="1"/>
  <c r="S71" i="20"/>
  <c r="S47" i="20"/>
  <c r="E3" i="20"/>
  <c r="Q55" i="20"/>
  <c r="V55" i="20"/>
  <c r="R14" i="20"/>
  <c r="AC17" i="20"/>
  <c r="AD17" i="20" s="1"/>
  <c r="AE17" i="20" s="1"/>
  <c r="V68" i="20"/>
  <c r="Y68" i="20" s="1"/>
  <c r="V7" i="20"/>
  <c r="Y7" i="20" s="1"/>
  <c r="AH7" i="20" s="1"/>
  <c r="AC58" i="20"/>
  <c r="AD58" i="20" s="1"/>
  <c r="AE58" i="20" s="1"/>
  <c r="V38" i="20"/>
  <c r="Y38" i="20" s="1"/>
  <c r="V96" i="20"/>
  <c r="Y96" i="20" s="1"/>
  <c r="V28" i="20"/>
  <c r="AC28" i="20" s="1"/>
  <c r="AD28" i="20" s="1"/>
  <c r="AE28" i="20" s="1"/>
  <c r="Y5" i="20"/>
  <c r="Z5" i="20" s="1"/>
  <c r="Y45" i="20"/>
  <c r="AI45" i="20" s="1"/>
  <c r="G14" i="18"/>
  <c r="G7" i="18"/>
  <c r="G2" i="18"/>
  <c r="G4" i="18"/>
  <c r="G3" i="20"/>
  <c r="T53" i="20"/>
  <c r="S38" i="20"/>
  <c r="T61" i="20"/>
  <c r="Y34" i="20"/>
  <c r="Z34" i="20" s="1"/>
  <c r="AA34" i="20" s="1"/>
  <c r="AG34" i="20" s="1"/>
  <c r="V22" i="20"/>
  <c r="Y22" i="20" s="1"/>
  <c r="AH22" i="20" s="1"/>
  <c r="V79" i="20"/>
  <c r="AC79" i="20" s="1"/>
  <c r="AD79" i="20" s="1"/>
  <c r="AE79" i="20" s="1"/>
  <c r="V82" i="20"/>
  <c r="Y82" i="20" s="1"/>
  <c r="Y13" i="20"/>
  <c r="AH13" i="20" s="1"/>
  <c r="AC57" i="20"/>
  <c r="AD57" i="20" s="1"/>
  <c r="AE57" i="20" s="1"/>
  <c r="J3" i="20"/>
  <c r="V61" i="20"/>
  <c r="AC61" i="20" s="1"/>
  <c r="AD61" i="20" s="1"/>
  <c r="AE61" i="20" s="1"/>
  <c r="N43" i="25"/>
  <c r="L43" i="25"/>
  <c r="L37" i="25"/>
  <c r="N37" i="25"/>
  <c r="M37" i="25"/>
  <c r="L52" i="25"/>
  <c r="M52" i="25"/>
  <c r="N52" i="25"/>
  <c r="L63" i="25"/>
  <c r="N63" i="25" s="1"/>
  <c r="M63" i="25"/>
  <c r="Z57" i="20"/>
  <c r="AA57" i="20" s="1"/>
  <c r="AH57" i="20"/>
  <c r="AI57" i="20"/>
  <c r="V80" i="20"/>
  <c r="Y80" i="20" s="1"/>
  <c r="V53" i="20"/>
  <c r="R69" i="20"/>
  <c r="Q7" i="20"/>
  <c r="T82" i="20"/>
  <c r="Y101" i="20"/>
  <c r="AH101" i="20" s="1"/>
  <c r="R61" i="20"/>
  <c r="V6" i="20"/>
  <c r="V30" i="20"/>
  <c r="Y30" i="20" s="1"/>
  <c r="AC86" i="20"/>
  <c r="AD86" i="20" s="1"/>
  <c r="AE86" i="20" s="1"/>
  <c r="AC72" i="20"/>
  <c r="AD72" i="20" s="1"/>
  <c r="AE72" i="20" s="1"/>
  <c r="M3" i="20"/>
  <c r="U2" i="30" s="1"/>
  <c r="S96" i="20"/>
  <c r="T14" i="20"/>
  <c r="I3" i="20"/>
  <c r="V90" i="20"/>
  <c r="AC90" i="20" s="1"/>
  <c r="AD90" i="20" s="1"/>
  <c r="AE90" i="20" s="1"/>
  <c r="N3" i="20"/>
  <c r="V2" i="30" s="1"/>
  <c r="H3" i="20"/>
  <c r="T38" i="20"/>
  <c r="Q53" i="20"/>
  <c r="W3" i="20"/>
  <c r="T36" i="20"/>
  <c r="X3" i="20"/>
  <c r="T80" i="20"/>
  <c r="AC32" i="20"/>
  <c r="AD32" i="20" s="1"/>
  <c r="AE32" i="20" s="1"/>
  <c r="V36" i="20"/>
  <c r="Y36" i="20" s="1"/>
  <c r="Z36" i="20" s="1"/>
  <c r="AA36" i="20" s="1"/>
  <c r="Y29" i="20"/>
  <c r="Z29" i="20" s="1"/>
  <c r="AA29" i="20" s="1"/>
  <c r="AG29" i="20" s="1"/>
  <c r="AC100" i="20"/>
  <c r="AD100" i="20" s="1"/>
  <c r="AE100" i="20" s="1"/>
  <c r="Y64" i="20"/>
  <c r="AC64" i="20"/>
  <c r="AD64" i="20" s="1"/>
  <c r="AE64" i="20" s="1"/>
  <c r="AC97" i="20"/>
  <c r="AD97" i="20" s="1"/>
  <c r="AE97" i="20" s="1"/>
  <c r="Y56" i="20"/>
  <c r="AC62" i="20"/>
  <c r="AD62" i="20" s="1"/>
  <c r="AE62" i="20" s="1"/>
  <c r="AH62" i="20"/>
  <c r="Z62" i="20"/>
  <c r="AA62" i="20" s="1"/>
  <c r="Y8" i="20"/>
  <c r="AH8" i="20" s="1"/>
  <c r="Y94" i="20"/>
  <c r="AC94" i="20"/>
  <c r="AD94" i="20" s="1"/>
  <c r="AE94" i="20" s="1"/>
  <c r="Z17" i="20"/>
  <c r="AA17" i="20" s="1"/>
  <c r="Y70" i="20"/>
  <c r="AC70" i="20"/>
  <c r="AD70" i="20" s="1"/>
  <c r="AE70" i="20" s="1"/>
  <c r="AH17" i="20"/>
  <c r="AH32" i="20"/>
  <c r="AI32" i="20"/>
  <c r="Z32" i="20"/>
  <c r="AA32" i="20" s="1"/>
  <c r="Y89" i="20"/>
  <c r="AC89" i="20"/>
  <c r="AD89" i="20" s="1"/>
  <c r="AE89" i="20" s="1"/>
  <c r="Y78" i="20"/>
  <c r="AC78" i="20"/>
  <c r="AD78" i="20" s="1"/>
  <c r="AE78" i="20" s="1"/>
  <c r="Z100" i="20"/>
  <c r="AA100" i="20" s="1"/>
  <c r="AI100" i="20"/>
  <c r="AH100" i="20"/>
  <c r="AI86" i="20"/>
  <c r="AH86" i="20"/>
  <c r="Z86" i="20"/>
  <c r="AA86" i="20" s="1"/>
  <c r="Y44" i="20"/>
  <c r="AC44" i="20"/>
  <c r="AD44" i="20" s="1"/>
  <c r="AE44" i="20" s="1"/>
  <c r="AC16" i="20"/>
  <c r="AD16" i="20" s="1"/>
  <c r="AE16" i="20" s="1"/>
  <c r="Y16" i="20"/>
  <c r="Z97" i="20"/>
  <c r="AA97" i="20" s="1"/>
  <c r="AH97" i="20"/>
  <c r="AI97" i="20"/>
  <c r="Y54" i="20"/>
  <c r="AC54" i="20"/>
  <c r="AD54" i="20" s="1"/>
  <c r="AE54" i="20" s="1"/>
  <c r="AC21" i="20"/>
  <c r="AD21" i="20" s="1"/>
  <c r="AE21" i="20" s="1"/>
  <c r="Y21" i="20"/>
  <c r="AC24" i="20"/>
  <c r="AD24" i="20" s="1"/>
  <c r="AE24" i="20" s="1"/>
  <c r="Y24" i="20"/>
  <c r="AC48" i="20"/>
  <c r="AD48" i="20" s="1"/>
  <c r="AE48" i="20" s="1"/>
  <c r="Y48" i="20"/>
  <c r="AC41" i="20"/>
  <c r="AD41" i="20" s="1"/>
  <c r="AE41" i="20" s="1"/>
  <c r="Y41" i="20"/>
  <c r="L60" i="25"/>
  <c r="M60" i="25"/>
  <c r="N60" i="25"/>
  <c r="O25" i="4"/>
  <c r="O26" i="4"/>
  <c r="O14" i="4"/>
  <c r="O20" i="4"/>
  <c r="O11" i="4"/>
  <c r="K3" i="3"/>
  <c r="O27" i="4"/>
  <c r="O35" i="4"/>
  <c r="M37" i="4"/>
  <c r="O24" i="4"/>
  <c r="O13" i="4"/>
  <c r="O16" i="4"/>
  <c r="H8" i="10"/>
  <c r="G14" i="10"/>
  <c r="M76" i="3"/>
  <c r="L3" i="3"/>
  <c r="L6" i="10"/>
  <c r="O5" i="4"/>
  <c r="O33" i="4"/>
  <c r="O37" i="4" s="1"/>
  <c r="O18" i="4"/>
  <c r="M29" i="4"/>
  <c r="O36" i="4"/>
  <c r="O28" i="4"/>
  <c r="O21" i="4"/>
  <c r="O12" i="4"/>
  <c r="O10" i="4"/>
  <c r="O6" i="4"/>
  <c r="S5" i="5"/>
  <c r="AI103" i="5"/>
  <c r="N37" i="4" l="1"/>
  <c r="N29" i="4"/>
  <c r="O29" i="4" s="1"/>
  <c r="D95" i="20"/>
  <c r="T29" i="4"/>
  <c r="S30" i="4"/>
  <c r="S62" i="35"/>
  <c r="T62" i="35"/>
  <c r="M27" i="10"/>
  <c r="M28" i="10" s="1"/>
  <c r="AY32" i="33"/>
  <c r="AY31" i="33"/>
  <c r="AI25" i="20"/>
  <c r="AC25" i="20"/>
  <c r="AD25" i="20" s="1"/>
  <c r="AE25" i="20" s="1"/>
  <c r="D27" i="10"/>
  <c r="D24" i="10"/>
  <c r="K27" i="10"/>
  <c r="D272" i="20"/>
  <c r="D206" i="20"/>
  <c r="D239" i="20"/>
  <c r="D277" i="20"/>
  <c r="D219" i="20"/>
  <c r="D250" i="20"/>
  <c r="D181" i="20"/>
  <c r="D271" i="20"/>
  <c r="D197" i="20"/>
  <c r="D247" i="20"/>
  <c r="D278" i="20"/>
  <c r="D262" i="20"/>
  <c r="D264" i="20"/>
  <c r="D178" i="20"/>
  <c r="D246" i="20"/>
  <c r="D275" i="20"/>
  <c r="D176" i="20"/>
  <c r="D252" i="20"/>
  <c r="D161" i="20"/>
  <c r="D169" i="20"/>
  <c r="D209" i="20"/>
  <c r="D194" i="20"/>
  <c r="D173" i="20"/>
  <c r="D261" i="20"/>
  <c r="D237" i="20"/>
  <c r="D185" i="20"/>
  <c r="D227" i="20"/>
  <c r="D211" i="20"/>
  <c r="D177" i="20"/>
  <c r="D210" i="20"/>
  <c r="D240" i="20"/>
  <c r="D245" i="20"/>
  <c r="D266" i="20"/>
  <c r="D232" i="20"/>
  <c r="D183" i="20"/>
  <c r="D202" i="20"/>
  <c r="D244" i="20"/>
  <c r="D263" i="20"/>
  <c r="D170" i="20"/>
  <c r="D236" i="20"/>
  <c r="D267" i="20"/>
  <c r="D257" i="20"/>
  <c r="D184" i="20"/>
  <c r="D228" i="20"/>
  <c r="AM2" i="33"/>
  <c r="D230" i="20"/>
  <c r="D218" i="20"/>
  <c r="D238" i="20"/>
  <c r="D207" i="20"/>
  <c r="D243" i="20"/>
  <c r="D166" i="20"/>
  <c r="D234" i="20"/>
  <c r="D208" i="20"/>
  <c r="D215" i="20"/>
  <c r="D179" i="20"/>
  <c r="D212" i="20"/>
  <c r="D203" i="20"/>
  <c r="D162" i="20"/>
  <c r="D214" i="20"/>
  <c r="D276" i="20"/>
  <c r="D242" i="20"/>
  <c r="D231" i="20"/>
  <c r="D268" i="20"/>
  <c r="D165" i="20"/>
  <c r="D186" i="20"/>
  <c r="D224" i="20"/>
  <c r="D167" i="20"/>
  <c r="D251" i="20"/>
  <c r="D217" i="20"/>
  <c r="D198" i="20"/>
  <c r="D226" i="20"/>
  <c r="D241" i="20"/>
  <c r="D164" i="20"/>
  <c r="D195" i="20"/>
  <c r="D269" i="20"/>
  <c r="D200" i="20"/>
  <c r="D220" i="20"/>
  <c r="D249" i="20"/>
  <c r="D225" i="20"/>
  <c r="D196" i="20"/>
  <c r="D274" i="20"/>
  <c r="D270" i="20"/>
  <c r="D213" i="20"/>
  <c r="D205" i="20"/>
  <c r="D160" i="20"/>
  <c r="D253" i="20"/>
  <c r="D201" i="20"/>
  <c r="D273" i="20"/>
  <c r="D258" i="20"/>
  <c r="D189" i="20"/>
  <c r="D223" i="20"/>
  <c r="AW33" i="33"/>
  <c r="Z25" i="20"/>
  <c r="AA25" i="20" s="1"/>
  <c r="D260" i="20"/>
  <c r="D190" i="20"/>
  <c r="D171" i="20"/>
  <c r="D233" i="20"/>
  <c r="D204" i="20"/>
  <c r="D255" i="20"/>
  <c r="D180" i="20"/>
  <c r="D168" i="20"/>
  <c r="D256" i="20"/>
  <c r="D188" i="20"/>
  <c r="D172" i="20"/>
  <c r="D221" i="20"/>
  <c r="D192" i="20"/>
  <c r="D254" i="20"/>
  <c r="D193" i="20"/>
  <c r="D248" i="20"/>
  <c r="D222" i="20"/>
  <c r="D216" i="20"/>
  <c r="D174" i="20"/>
  <c r="D235" i="20"/>
  <c r="D259" i="20"/>
  <c r="D265" i="20"/>
  <c r="D199" i="20"/>
  <c r="D159" i="20"/>
  <c r="D191" i="20"/>
  <c r="D175" i="20"/>
  <c r="D182" i="20"/>
  <c r="D163" i="20"/>
  <c r="D229" i="20"/>
  <c r="D187" i="20"/>
  <c r="N9" i="9"/>
  <c r="N10" i="9"/>
  <c r="N7" i="9"/>
  <c r="N6" i="9"/>
  <c r="A24" i="10"/>
  <c r="K7" i="9"/>
  <c r="AC98" i="20"/>
  <c r="AD98" i="20" s="1"/>
  <c r="AE98" i="20" s="1"/>
  <c r="D128" i="20"/>
  <c r="D108" i="20"/>
  <c r="D129" i="20"/>
  <c r="D107" i="20"/>
  <c r="D114" i="20"/>
  <c r="D121" i="20"/>
  <c r="D133" i="20"/>
  <c r="G30" i="10"/>
  <c r="Q80" i="3"/>
  <c r="S80" i="3"/>
  <c r="T80" i="3" s="1"/>
  <c r="W80" i="3" s="1"/>
  <c r="P2" i="3"/>
  <c r="P4" i="3"/>
  <c r="P3" i="3"/>
  <c r="P1" i="3"/>
  <c r="N5" i="9"/>
  <c r="D104" i="20"/>
  <c r="D102" i="20"/>
  <c r="D135" i="20"/>
  <c r="D132" i="20"/>
  <c r="D140" i="20"/>
  <c r="D117" i="20"/>
  <c r="D118" i="20"/>
  <c r="D150" i="20"/>
  <c r="D134" i="20"/>
  <c r="D158" i="20"/>
  <c r="D131" i="20"/>
  <c r="D149" i="20"/>
  <c r="D126" i="20"/>
  <c r="D116" i="20"/>
  <c r="D137" i="20"/>
  <c r="D157" i="20"/>
  <c r="D125" i="20"/>
  <c r="D138" i="20"/>
  <c r="D103" i="20"/>
  <c r="D147" i="20"/>
  <c r="D145" i="20"/>
  <c r="D148" i="20"/>
  <c r="D152" i="20"/>
  <c r="D112" i="20"/>
  <c r="D139" i="20"/>
  <c r="D123" i="20"/>
  <c r="D155" i="20"/>
  <c r="D151" i="20"/>
  <c r="D119" i="20"/>
  <c r="D142" i="20"/>
  <c r="D105" i="20"/>
  <c r="D146" i="20"/>
  <c r="D143" i="20"/>
  <c r="D124" i="20"/>
  <c r="D109" i="20"/>
  <c r="D106" i="20"/>
  <c r="D110" i="20"/>
  <c r="D156" i="20"/>
  <c r="D144" i="20"/>
  <c r="D141" i="20"/>
  <c r="D154" i="20"/>
  <c r="D113" i="20"/>
  <c r="D115" i="20"/>
  <c r="D122" i="20"/>
  <c r="D127" i="20"/>
  <c r="D136" i="20"/>
  <c r="D120" i="20"/>
  <c r="D130" i="20"/>
  <c r="D111" i="20"/>
  <c r="D153" i="20"/>
  <c r="AG62" i="25"/>
  <c r="Y20" i="20"/>
  <c r="AH20" i="20" s="1"/>
  <c r="Y74" i="20"/>
  <c r="Z74" i="20" s="1"/>
  <c r="AA74" i="20" s="1"/>
  <c r="AG74" i="20" s="1"/>
  <c r="AH58" i="20"/>
  <c r="Z58" i="20"/>
  <c r="AA58" i="20" s="1"/>
  <c r="AG58" i="20" s="1"/>
  <c r="Y12" i="20"/>
  <c r="Z12" i="20" s="1"/>
  <c r="AA12" i="20" s="1"/>
  <c r="AG12" i="20" s="1"/>
  <c r="AC52" i="20"/>
  <c r="AD52" i="20" s="1"/>
  <c r="AE52" i="20" s="1"/>
  <c r="AW34" i="33"/>
  <c r="Y83" i="20"/>
  <c r="AH83" i="20" s="1"/>
  <c r="D29" i="20"/>
  <c r="D8" i="20"/>
  <c r="D50" i="20"/>
  <c r="D64" i="20"/>
  <c r="D62" i="20"/>
  <c r="D91" i="20"/>
  <c r="D51" i="20"/>
  <c r="D13" i="20"/>
  <c r="D100" i="20"/>
  <c r="N4" i="9"/>
  <c r="D7" i="20"/>
  <c r="D93" i="20"/>
  <c r="D78" i="20"/>
  <c r="D94" i="20"/>
  <c r="D24" i="20"/>
  <c r="D59" i="20"/>
  <c r="D14" i="20"/>
  <c r="D45" i="20"/>
  <c r="D39" i="20"/>
  <c r="D9" i="20"/>
  <c r="D84" i="20"/>
  <c r="D86" i="20"/>
  <c r="D80" i="20"/>
  <c r="D83" i="20"/>
  <c r="D61" i="20"/>
  <c r="D27" i="20"/>
  <c r="D46" i="20"/>
  <c r="D11" i="20"/>
  <c r="D96" i="20"/>
  <c r="D79" i="20"/>
  <c r="D36" i="20"/>
  <c r="D66" i="20"/>
  <c r="D77" i="20"/>
  <c r="D71" i="20"/>
  <c r="D12" i="20"/>
  <c r="D6" i="20"/>
  <c r="D92" i="20"/>
  <c r="D41" i="20"/>
  <c r="D65" i="20"/>
  <c r="D57" i="20"/>
  <c r="D17" i="20"/>
  <c r="D87" i="20"/>
  <c r="D47" i="20"/>
  <c r="D88" i="20"/>
  <c r="D15" i="20"/>
  <c r="D48" i="20"/>
  <c r="D97" i="20"/>
  <c r="D55" i="20"/>
  <c r="D10" i="20"/>
  <c r="D73" i="20"/>
  <c r="D28" i="20"/>
  <c r="D52" i="20"/>
  <c r="D76" i="20"/>
  <c r="D69" i="20"/>
  <c r="D49" i="20"/>
  <c r="D90" i="20"/>
  <c r="D56" i="20"/>
  <c r="D68" i="20"/>
  <c r="D72" i="20"/>
  <c r="D67" i="20"/>
  <c r="D101" i="20"/>
  <c r="D53" i="20"/>
  <c r="D40" i="20"/>
  <c r="D74" i="20"/>
  <c r="D35" i="20"/>
  <c r="D5" i="20"/>
  <c r="D34" i="20"/>
  <c r="D31" i="20"/>
  <c r="D81" i="20"/>
  <c r="D43" i="20"/>
  <c r="D26" i="20"/>
  <c r="D21" i="20"/>
  <c r="D25" i="20"/>
  <c r="D16" i="20"/>
  <c r="D42" i="20"/>
  <c r="D32" i="20"/>
  <c r="D63" i="20"/>
  <c r="D44" i="20"/>
  <c r="D30" i="20"/>
  <c r="D37" i="20"/>
  <c r="D18" i="20"/>
  <c r="D19" i="20"/>
  <c r="D99" i="20"/>
  <c r="D58" i="20"/>
  <c r="D85" i="20"/>
  <c r="D4" i="20"/>
  <c r="D23" i="20"/>
  <c r="D54" i="20"/>
  <c r="D20" i="20"/>
  <c r="D75" i="20"/>
  <c r="D89" i="20"/>
  <c r="D22" i="20"/>
  <c r="D33" i="20"/>
  <c r="D82" i="20"/>
  <c r="D70" i="20"/>
  <c r="D60" i="20"/>
  <c r="D98" i="20"/>
  <c r="D38" i="20"/>
  <c r="Y66" i="20"/>
  <c r="AI66" i="20" s="1"/>
  <c r="AH39" i="20"/>
  <c r="Y50" i="20"/>
  <c r="AH50" i="20" s="1"/>
  <c r="AI4" i="20"/>
  <c r="Z4" i="20"/>
  <c r="AA4" i="20" s="1"/>
  <c r="Y27" i="20"/>
  <c r="AI27" i="20" s="1"/>
  <c r="AC77" i="20"/>
  <c r="AD77" i="20" s="1"/>
  <c r="AE77" i="20" s="1"/>
  <c r="N8" i="9"/>
  <c r="Y9" i="20"/>
  <c r="AH9" i="20" s="1"/>
  <c r="Y18" i="20"/>
  <c r="AH18" i="20" s="1"/>
  <c r="AC51" i="20"/>
  <c r="AD51" i="20" s="1"/>
  <c r="AE51" i="20" s="1"/>
  <c r="AC84" i="20"/>
  <c r="AD84" i="20" s="1"/>
  <c r="AE84" i="20" s="1"/>
  <c r="AC60" i="20"/>
  <c r="AD60" i="20" s="1"/>
  <c r="AE60" i="20" s="1"/>
  <c r="AC88" i="20"/>
  <c r="AD88" i="20" s="1"/>
  <c r="AE88" i="20" s="1"/>
  <c r="AC19" i="20"/>
  <c r="AD19" i="20" s="1"/>
  <c r="AE19" i="20" s="1"/>
  <c r="Y49" i="20"/>
  <c r="AI49" i="20" s="1"/>
  <c r="AI39" i="20"/>
  <c r="AC4" i="20"/>
  <c r="AD4" i="20" s="1"/>
  <c r="AE4" i="20" s="1"/>
  <c r="Z19" i="20"/>
  <c r="AA19" i="20" s="1"/>
  <c r="AH19" i="20"/>
  <c r="Z73" i="20"/>
  <c r="AA73" i="20" s="1"/>
  <c r="AG73" i="20" s="1"/>
  <c r="AC63" i="20"/>
  <c r="AD63" i="20" s="1"/>
  <c r="AE63" i="20" s="1"/>
  <c r="AH75" i="20"/>
  <c r="Z63" i="20"/>
  <c r="AA63" i="20" s="1"/>
  <c r="AH63" i="20"/>
  <c r="AI63" i="20"/>
  <c r="AC75" i="20"/>
  <c r="AD75" i="20" s="1"/>
  <c r="AE75" i="20" s="1"/>
  <c r="AC87" i="20"/>
  <c r="AD87" i="20" s="1"/>
  <c r="AE87" i="20" s="1"/>
  <c r="Z37" i="20"/>
  <c r="AA37" i="20" s="1"/>
  <c r="AG37" i="20" s="1"/>
  <c r="Y15" i="20"/>
  <c r="AH15" i="20" s="1"/>
  <c r="AI37" i="20"/>
  <c r="Z75" i="20"/>
  <c r="AA75" i="20" s="1"/>
  <c r="AI65" i="20"/>
  <c r="Z65" i="20"/>
  <c r="AA65" i="20" s="1"/>
  <c r="AG65" i="20" s="1"/>
  <c r="Y59" i="20"/>
  <c r="Z59" i="20" s="1"/>
  <c r="AA59" i="20" s="1"/>
  <c r="AG59" i="20" s="1"/>
  <c r="AH73" i="20"/>
  <c r="Y26" i="20"/>
  <c r="Z26" i="20" s="1"/>
  <c r="AA26" i="20" s="1"/>
  <c r="AG26" i="20" s="1"/>
  <c r="AG40" i="20"/>
  <c r="AA63" i="25"/>
  <c r="A4" i="32"/>
  <c r="Z81" i="20"/>
  <c r="AA81" i="20" s="1"/>
  <c r="AG81" i="20" s="1"/>
  <c r="AH85" i="20"/>
  <c r="AC93" i="20"/>
  <c r="AD93" i="20" s="1"/>
  <c r="AE93" i="20" s="1"/>
  <c r="AI81" i="20"/>
  <c r="Y43" i="20"/>
  <c r="AI43" i="20" s="1"/>
  <c r="AH95" i="20"/>
  <c r="AC76" i="20"/>
  <c r="AD76" i="20" s="1"/>
  <c r="AE76" i="20" s="1"/>
  <c r="AC46" i="20"/>
  <c r="AD46" i="20" s="1"/>
  <c r="AE46" i="20" s="1"/>
  <c r="Z72" i="20"/>
  <c r="AA72" i="20" s="1"/>
  <c r="AG72" i="20" s="1"/>
  <c r="Z93" i="20"/>
  <c r="AA93" i="20" s="1"/>
  <c r="AH93" i="20"/>
  <c r="AC39" i="20"/>
  <c r="AD39" i="20" s="1"/>
  <c r="AE39" i="20" s="1"/>
  <c r="AG39" i="20" s="1"/>
  <c r="Y23" i="20"/>
  <c r="AC68" i="20"/>
  <c r="AD68" i="20" s="1"/>
  <c r="AE68" i="20" s="1"/>
  <c r="Y91" i="20"/>
  <c r="AI91" i="20" s="1"/>
  <c r="AI85" i="20"/>
  <c r="AH72" i="20"/>
  <c r="Y31" i="20"/>
  <c r="AH31" i="20" s="1"/>
  <c r="AC85" i="20"/>
  <c r="AD85" i="20" s="1"/>
  <c r="AE85" i="20" s="1"/>
  <c r="AG85" i="20" s="1"/>
  <c r="Y90" i="20"/>
  <c r="Z90" i="20" s="1"/>
  <c r="AA90" i="20" s="1"/>
  <c r="AG90" i="20" s="1"/>
  <c r="AC71" i="20"/>
  <c r="AD71" i="20" s="1"/>
  <c r="AE71" i="20" s="1"/>
  <c r="AI22" i="20"/>
  <c r="Z45" i="20"/>
  <c r="AA45" i="20" s="1"/>
  <c r="AG45" i="20" s="1"/>
  <c r="AH42" i="20"/>
  <c r="Y47" i="20"/>
  <c r="Z47" i="20" s="1"/>
  <c r="AA47" i="20" s="1"/>
  <c r="AG47" i="20" s="1"/>
  <c r="Z42" i="20"/>
  <c r="AA42" i="20" s="1"/>
  <c r="AC35" i="20"/>
  <c r="AD35" i="20" s="1"/>
  <c r="AE35" i="20" s="1"/>
  <c r="Y28" i="20"/>
  <c r="AH28" i="20" s="1"/>
  <c r="AC42" i="20"/>
  <c r="AD42" i="20" s="1"/>
  <c r="AE42" i="20" s="1"/>
  <c r="Y67" i="20"/>
  <c r="AC82" i="20"/>
  <c r="AD82" i="20" s="1"/>
  <c r="AE82" i="20" s="1"/>
  <c r="AC22" i="20"/>
  <c r="AD22" i="20" s="1"/>
  <c r="AE22" i="20" s="1"/>
  <c r="Z95" i="20"/>
  <c r="AA95" i="20" s="1"/>
  <c r="AC95" i="20"/>
  <c r="AD95" i="20" s="1"/>
  <c r="AE95" i="20" s="1"/>
  <c r="AC92" i="20"/>
  <c r="AD92" i="20" s="1"/>
  <c r="AE92" i="20" s="1"/>
  <c r="AG92" i="20" s="1"/>
  <c r="Z69" i="20"/>
  <c r="AA69" i="20" s="1"/>
  <c r="AC38" i="20"/>
  <c r="AD38" i="20" s="1"/>
  <c r="AE38" i="20" s="1"/>
  <c r="Y11" i="20"/>
  <c r="Z11" i="20" s="1"/>
  <c r="AA11" i="20" s="1"/>
  <c r="AG11" i="20" s="1"/>
  <c r="AC69" i="20"/>
  <c r="AD69" i="20" s="1"/>
  <c r="AE69" i="20" s="1"/>
  <c r="Z7" i="20"/>
  <c r="AA7" i="20" s="1"/>
  <c r="AI7" i="20"/>
  <c r="Y33" i="20"/>
  <c r="AH33" i="20" s="1"/>
  <c r="AG17" i="20"/>
  <c r="AH45" i="20"/>
  <c r="S3" i="20"/>
  <c r="AI69" i="20"/>
  <c r="AH5" i="20"/>
  <c r="Z14" i="20"/>
  <c r="AA14" i="20" s="1"/>
  <c r="Y61" i="20"/>
  <c r="AI61" i="20" s="1"/>
  <c r="AI5" i="20"/>
  <c r="AH14" i="20"/>
  <c r="AC14" i="20"/>
  <c r="AD14" i="20" s="1"/>
  <c r="AE14" i="20" s="1"/>
  <c r="AC30" i="20"/>
  <c r="AD30" i="20" s="1"/>
  <c r="AE30" i="20" s="1"/>
  <c r="Z22" i="20"/>
  <c r="AA22" i="20" s="1"/>
  <c r="AC99" i="20"/>
  <c r="AD99" i="20" s="1"/>
  <c r="AE99" i="20" s="1"/>
  <c r="Y99" i="20"/>
  <c r="AH92" i="20"/>
  <c r="AI92" i="20"/>
  <c r="AC96" i="20"/>
  <c r="AD96" i="20" s="1"/>
  <c r="AE96" i="20" s="1"/>
  <c r="Y10" i="20"/>
  <c r="AC10" i="20"/>
  <c r="AD10" i="20" s="1"/>
  <c r="AE10" i="20" s="1"/>
  <c r="G12" i="18"/>
  <c r="G13" i="18"/>
  <c r="G6" i="18"/>
  <c r="G5" i="18"/>
  <c r="G11" i="18"/>
  <c r="G9" i="18"/>
  <c r="G8" i="18"/>
  <c r="G3" i="18"/>
  <c r="AG86" i="20"/>
  <c r="AH34" i="20"/>
  <c r="Z8" i="20"/>
  <c r="AA8" i="20" s="1"/>
  <c r="AG8" i="20" s="1"/>
  <c r="U4" i="30"/>
  <c r="V4" i="30" s="1"/>
  <c r="W4" i="30" s="1"/>
  <c r="X4" i="30" s="1"/>
  <c r="Y4" i="30" s="1"/>
  <c r="AA4" i="30" s="1"/>
  <c r="Q3" i="20"/>
  <c r="U6" i="30"/>
  <c r="V6" i="30" s="1"/>
  <c r="W6" i="30" s="1"/>
  <c r="X6" i="30" s="1"/>
  <c r="Y6" i="30" s="1"/>
  <c r="AA6" i="30" s="1"/>
  <c r="Y55" i="20"/>
  <c r="AC55" i="20"/>
  <c r="AD55" i="20" s="1"/>
  <c r="AE55" i="20" s="1"/>
  <c r="AC7" i="20"/>
  <c r="AD7" i="20" s="1"/>
  <c r="AE7" i="20" s="1"/>
  <c r="AC80" i="20"/>
  <c r="AD80" i="20" s="1"/>
  <c r="AE80" i="20" s="1"/>
  <c r="AG57" i="20"/>
  <c r="AI34" i="20"/>
  <c r="AI13" i="20"/>
  <c r="R3" i="20"/>
  <c r="Z101" i="20"/>
  <c r="AA101" i="20" s="1"/>
  <c r="AG101" i="20" s="1"/>
  <c r="Y79" i="20"/>
  <c r="AH79" i="20" s="1"/>
  <c r="AI8" i="20"/>
  <c r="G10" i="18"/>
  <c r="U5" i="30"/>
  <c r="V5" i="30" s="1"/>
  <c r="U8" i="30"/>
  <c r="V8" i="30" s="1"/>
  <c r="W8" i="30" s="1"/>
  <c r="X8" i="30" s="1"/>
  <c r="Y8" i="30" s="1"/>
  <c r="U7" i="30"/>
  <c r="V7" i="30" s="1"/>
  <c r="W7" i="30" s="1"/>
  <c r="X7" i="30" s="1"/>
  <c r="Y7" i="30" s="1"/>
  <c r="Z13" i="20"/>
  <c r="AA13" i="20" s="1"/>
  <c r="AG13" i="20" s="1"/>
  <c r="AC36" i="20"/>
  <c r="AD36" i="20" s="1"/>
  <c r="AE36" i="20" s="1"/>
  <c r="AG36" i="20" s="1"/>
  <c r="V3" i="20"/>
  <c r="AC3" i="20" s="1"/>
  <c r="AC6" i="20"/>
  <c r="AD6" i="20" s="1"/>
  <c r="AE6" i="20" s="1"/>
  <c r="Y6" i="20"/>
  <c r="AI6" i="20" s="1"/>
  <c r="AI101" i="20"/>
  <c r="T3" i="20"/>
  <c r="Y53" i="20"/>
  <c r="AC53" i="20"/>
  <c r="AD53" i="20" s="1"/>
  <c r="AE53" i="20" s="1"/>
  <c r="AH29" i="20"/>
  <c r="AH36" i="20"/>
  <c r="AI36" i="20"/>
  <c r="AI46" i="20"/>
  <c r="AG97" i="20"/>
  <c r="Z46" i="20"/>
  <c r="AA46" i="20" s="1"/>
  <c r="AG32" i="20"/>
  <c r="AI29" i="20"/>
  <c r="AG100" i="20"/>
  <c r="AI98" i="20"/>
  <c r="Z98" i="20"/>
  <c r="AA98" i="20" s="1"/>
  <c r="AH98" i="20"/>
  <c r="AG62" i="20"/>
  <c r="AH64" i="20"/>
  <c r="Z64" i="20"/>
  <c r="AA64" i="20" s="1"/>
  <c r="AG64" i="20" s="1"/>
  <c r="AI64" i="20"/>
  <c r="AI52" i="20"/>
  <c r="AH52" i="20"/>
  <c r="Z52" i="20"/>
  <c r="AA52" i="20" s="1"/>
  <c r="Z56" i="20"/>
  <c r="AA56" i="20" s="1"/>
  <c r="AG56" i="20" s="1"/>
  <c r="AH56" i="20"/>
  <c r="AI56" i="20"/>
  <c r="AH96" i="20"/>
  <c r="Z96" i="20"/>
  <c r="AA96" i="20" s="1"/>
  <c r="AI96" i="20"/>
  <c r="AH88" i="20"/>
  <c r="AI88" i="20"/>
  <c r="Z88" i="20"/>
  <c r="AA88" i="20" s="1"/>
  <c r="AI87" i="20"/>
  <c r="AH87" i="20"/>
  <c r="Z87" i="20"/>
  <c r="AA87" i="20" s="1"/>
  <c r="AI68" i="20"/>
  <c r="AH68" i="20"/>
  <c r="Z68" i="20"/>
  <c r="AA68" i="20" s="1"/>
  <c r="AI94" i="20"/>
  <c r="AH94" i="20"/>
  <c r="Z94" i="20"/>
  <c r="AA94" i="20" s="1"/>
  <c r="AG94" i="20" s="1"/>
  <c r="Z71" i="20"/>
  <c r="AA71" i="20" s="1"/>
  <c r="AI71" i="20"/>
  <c r="AH71" i="20"/>
  <c r="AH70" i="20"/>
  <c r="Z70" i="20"/>
  <c r="AA70" i="20" s="1"/>
  <c r="AG70" i="20" s="1"/>
  <c r="AI70" i="20"/>
  <c r="AH60" i="20"/>
  <c r="Z60" i="20"/>
  <c r="AA60" i="20" s="1"/>
  <c r="AI60" i="20"/>
  <c r="AI80" i="20"/>
  <c r="AH80" i="20"/>
  <c r="Z80" i="20"/>
  <c r="AA80" i="20" s="1"/>
  <c r="AH35" i="20"/>
  <c r="AI35" i="20"/>
  <c r="Z35" i="20"/>
  <c r="AA35" i="20" s="1"/>
  <c r="AI77" i="20"/>
  <c r="AH77" i="20"/>
  <c r="Z77" i="20"/>
  <c r="AA77" i="20" s="1"/>
  <c r="AI78" i="20"/>
  <c r="AH78" i="20"/>
  <c r="Z78" i="20"/>
  <c r="AA78" i="20" s="1"/>
  <c r="AG78" i="20" s="1"/>
  <c r="Z24" i="20"/>
  <c r="AA24" i="20" s="1"/>
  <c r="AG24" i="20" s="1"/>
  <c r="AI24" i="20"/>
  <c r="AH24" i="20"/>
  <c r="AI82" i="20"/>
  <c r="AH82" i="20"/>
  <c r="Z82" i="20"/>
  <c r="AA82" i="20" s="1"/>
  <c r="AH76" i="20"/>
  <c r="AI76" i="20"/>
  <c r="Z76" i="20"/>
  <c r="AA76" i="20" s="1"/>
  <c r="Z44" i="20"/>
  <c r="AA44" i="20" s="1"/>
  <c r="AG44" i="20" s="1"/>
  <c r="AI44" i="20"/>
  <c r="AH44" i="20"/>
  <c r="Z51" i="20"/>
  <c r="AA51" i="20" s="1"/>
  <c r="AI51" i="20"/>
  <c r="AH51" i="20"/>
  <c r="Z16" i="20"/>
  <c r="AA16" i="20" s="1"/>
  <c r="AG16" i="20" s="1"/>
  <c r="AH16" i="20"/>
  <c r="AI16" i="20"/>
  <c r="AI30" i="20"/>
  <c r="Z30" i="20"/>
  <c r="AA30" i="20" s="1"/>
  <c r="AH30" i="20"/>
  <c r="AI89" i="20"/>
  <c r="Z89" i="20"/>
  <c r="AA89" i="20" s="1"/>
  <c r="AG89" i="20" s="1"/>
  <c r="AH89" i="20"/>
  <c r="AH21" i="20"/>
  <c r="Z21" i="20"/>
  <c r="AA21" i="20" s="1"/>
  <c r="AG21" i="20" s="1"/>
  <c r="AI21" i="20"/>
  <c r="AA5" i="20"/>
  <c r="Z54" i="20"/>
  <c r="AA54" i="20" s="1"/>
  <c r="AG54" i="20" s="1"/>
  <c r="AH54" i="20"/>
  <c r="AI54" i="20"/>
  <c r="AI84" i="20"/>
  <c r="AH84" i="20"/>
  <c r="Z84" i="20"/>
  <c r="AA84" i="20" s="1"/>
  <c r="Z38" i="20"/>
  <c r="AA38" i="20" s="1"/>
  <c r="AH38" i="20"/>
  <c r="AI38" i="20"/>
  <c r="AI41" i="20"/>
  <c r="AH41" i="20"/>
  <c r="Z41" i="20"/>
  <c r="AA41" i="20" s="1"/>
  <c r="AG41" i="20" s="1"/>
  <c r="AH48" i="20"/>
  <c r="AI48" i="20"/>
  <c r="Z48" i="20"/>
  <c r="AA48" i="20" s="1"/>
  <c r="AG48" i="20" s="1"/>
  <c r="M6" i="10"/>
  <c r="M7" i="10" s="1"/>
  <c r="M3" i="3"/>
  <c r="P5" i="3"/>
  <c r="J8" i="10"/>
  <c r="J14" i="10" s="1"/>
  <c r="H14" i="10"/>
  <c r="T5" i="5"/>
  <c r="T103" i="5" s="1"/>
  <c r="U5" i="5"/>
  <c r="U103" i="5" s="1"/>
  <c r="S103" i="5"/>
  <c r="S28" i="10" l="1"/>
  <c r="K28" i="10" s="1"/>
  <c r="AN2" i="33"/>
  <c r="AG25" i="20"/>
  <c r="AM243" i="33"/>
  <c r="AL243" i="33" s="1"/>
  <c r="AM251" i="33"/>
  <c r="AL251" i="33" s="1"/>
  <c r="AM272" i="33"/>
  <c r="AL272" i="33" s="1"/>
  <c r="AM240" i="33"/>
  <c r="AL240" i="33" s="1"/>
  <c r="AM248" i="33"/>
  <c r="AL248" i="33" s="1"/>
  <c r="AM241" i="33"/>
  <c r="AL241" i="33" s="1"/>
  <c r="AM249" i="33"/>
  <c r="AL249" i="33" s="1"/>
  <c r="AM242" i="33"/>
  <c r="AL242" i="33" s="1"/>
  <c r="AM250" i="33"/>
  <c r="AL250" i="33" s="1"/>
  <c r="AM239" i="33"/>
  <c r="AL239" i="33" s="1"/>
  <c r="AM247" i="33"/>
  <c r="AL247" i="33" s="1"/>
  <c r="AM244" i="33"/>
  <c r="AL244" i="33" s="1"/>
  <c r="AM252" i="33"/>
  <c r="AL252" i="33" s="1"/>
  <c r="AM245" i="33"/>
  <c r="AL245" i="33" s="1"/>
  <c r="AM246" i="33"/>
  <c r="AL246" i="33" s="1"/>
  <c r="AX30" i="33"/>
  <c r="AY30" i="33" s="1"/>
  <c r="AM370" i="33"/>
  <c r="AL370" i="33" s="1"/>
  <c r="AM364" i="33"/>
  <c r="AL364" i="33" s="1"/>
  <c r="AM363" i="33"/>
  <c r="AL363" i="33" s="1"/>
  <c r="AM359" i="33"/>
  <c r="AL359" i="33" s="1"/>
  <c r="AM361" i="33"/>
  <c r="AL361" i="33" s="1"/>
  <c r="AM365" i="33"/>
  <c r="AL365" i="33" s="1"/>
  <c r="AM368" i="33"/>
  <c r="AL368" i="33" s="1"/>
  <c r="AM371" i="33"/>
  <c r="AL371" i="33" s="1"/>
  <c r="AM369" i="33"/>
  <c r="AL369" i="33" s="1"/>
  <c r="AM362" i="33"/>
  <c r="AL362" i="33" s="1"/>
  <c r="AM367" i="33"/>
  <c r="AL367" i="33" s="1"/>
  <c r="AM360" i="33"/>
  <c r="AL360" i="33" s="1"/>
  <c r="AM358" i="33"/>
  <c r="AL358" i="33" s="1"/>
  <c r="AM366" i="33"/>
  <c r="AL366" i="33" s="1"/>
  <c r="AM357" i="33"/>
  <c r="AL357" i="33" s="1"/>
  <c r="AM345" i="33"/>
  <c r="AL345" i="33" s="1"/>
  <c r="AM346" i="33"/>
  <c r="AL346" i="33" s="1"/>
  <c r="AM349" i="33"/>
  <c r="AL349" i="33" s="1"/>
  <c r="AM351" i="33"/>
  <c r="AL351" i="33" s="1"/>
  <c r="AM352" i="33"/>
  <c r="AL352" i="33" s="1"/>
  <c r="AM344" i="33"/>
  <c r="AL344" i="33" s="1"/>
  <c r="AM356" i="33"/>
  <c r="AL356" i="33" s="1"/>
  <c r="AM348" i="33"/>
  <c r="AL348" i="33" s="1"/>
  <c r="AM353" i="33"/>
  <c r="AL353" i="33" s="1"/>
  <c r="AM347" i="33"/>
  <c r="AL347" i="33" s="1"/>
  <c r="AM355" i="33"/>
  <c r="AL355" i="33" s="1"/>
  <c r="AM354" i="33"/>
  <c r="AL354" i="33" s="1"/>
  <c r="AM350" i="33"/>
  <c r="AL350" i="33" s="1"/>
  <c r="AM334" i="33"/>
  <c r="AL334" i="33" s="1"/>
  <c r="AM339" i="33"/>
  <c r="AL339" i="33" s="1"/>
  <c r="AM332" i="33"/>
  <c r="AL332" i="33" s="1"/>
  <c r="AM338" i="33"/>
  <c r="AL338" i="33" s="1"/>
  <c r="AM330" i="33"/>
  <c r="AL330" i="33" s="1"/>
  <c r="AM333" i="33"/>
  <c r="AL333" i="33" s="1"/>
  <c r="AM337" i="33"/>
  <c r="AL337" i="33" s="1"/>
  <c r="AM336" i="33"/>
  <c r="AL336" i="33" s="1"/>
  <c r="AM335" i="33"/>
  <c r="AL335" i="33" s="1"/>
  <c r="AM341" i="33"/>
  <c r="AL341" i="33" s="1"/>
  <c r="AM331" i="33"/>
  <c r="AL331" i="33" s="1"/>
  <c r="AM340" i="33"/>
  <c r="AL340" i="33" s="1"/>
  <c r="AM342" i="33"/>
  <c r="AL342" i="33" s="1"/>
  <c r="AM343" i="33"/>
  <c r="AL343" i="33" s="1"/>
  <c r="AM41" i="33"/>
  <c r="AL41" i="33" s="1"/>
  <c r="AM51" i="33"/>
  <c r="AL51" i="33" s="1"/>
  <c r="AM57" i="33"/>
  <c r="AL57" i="33" s="1"/>
  <c r="AM59" i="33"/>
  <c r="AL59" i="33" s="1"/>
  <c r="AM60" i="33"/>
  <c r="AL60" i="33" s="1"/>
  <c r="AM37" i="33"/>
  <c r="AL37" i="33" s="1"/>
  <c r="AM54" i="33"/>
  <c r="AL54" i="33" s="1"/>
  <c r="AM55" i="33"/>
  <c r="AL55" i="33" s="1"/>
  <c r="AM61" i="33"/>
  <c r="AL61" i="33" s="1"/>
  <c r="AM45" i="33"/>
  <c r="AL45" i="33" s="1"/>
  <c r="AM39" i="33"/>
  <c r="AL39" i="33" s="1"/>
  <c r="AM38" i="33"/>
  <c r="AL38" i="33" s="1"/>
  <c r="AM50" i="33"/>
  <c r="AL50" i="33" s="1"/>
  <c r="AM42" i="33"/>
  <c r="AL42" i="33" s="1"/>
  <c r="AM44" i="33"/>
  <c r="AL44" i="33" s="1"/>
  <c r="AM64" i="33"/>
  <c r="AL64" i="33" s="1"/>
  <c r="AM53" i="33"/>
  <c r="AL53" i="33" s="1"/>
  <c r="AM47" i="33"/>
  <c r="AL47" i="33" s="1"/>
  <c r="AM40" i="33"/>
  <c r="AL40" i="33" s="1"/>
  <c r="AM46" i="33"/>
  <c r="AL46" i="33" s="1"/>
  <c r="AM43" i="33"/>
  <c r="AL43" i="33" s="1"/>
  <c r="AM58" i="33"/>
  <c r="AL58" i="33" s="1"/>
  <c r="AM62" i="33"/>
  <c r="AL62" i="33" s="1"/>
  <c r="AM35" i="33"/>
  <c r="AL35" i="33" s="1"/>
  <c r="AM52" i="33"/>
  <c r="AL52" i="33" s="1"/>
  <c r="AM36" i="33"/>
  <c r="AL36" i="33" s="1"/>
  <c r="AM48" i="33"/>
  <c r="AL48" i="33" s="1"/>
  <c r="AM56" i="33"/>
  <c r="AL56" i="33" s="1"/>
  <c r="AM63" i="33"/>
  <c r="AL63" i="33" s="1"/>
  <c r="AM49" i="33"/>
  <c r="AL49" i="33" s="1"/>
  <c r="AM166" i="33"/>
  <c r="AL166" i="33" s="1"/>
  <c r="AM173" i="33"/>
  <c r="AL173" i="33" s="1"/>
  <c r="AM177" i="33"/>
  <c r="AL177" i="33" s="1"/>
  <c r="AM181" i="33"/>
  <c r="AL181" i="33" s="1"/>
  <c r="AM185" i="33"/>
  <c r="AL185" i="33" s="1"/>
  <c r="AM184" i="33"/>
  <c r="AL184" i="33" s="1"/>
  <c r="AM176" i="33"/>
  <c r="AL176" i="33" s="1"/>
  <c r="AM186" i="33"/>
  <c r="AL186" i="33" s="1"/>
  <c r="AM178" i="33"/>
  <c r="AL178" i="33" s="1"/>
  <c r="AM170" i="33"/>
  <c r="AL170" i="33" s="1"/>
  <c r="AM167" i="33"/>
  <c r="AL167" i="33" s="1"/>
  <c r="AM180" i="33"/>
  <c r="AL180" i="33" s="1"/>
  <c r="AM188" i="33"/>
  <c r="AL188" i="33" s="1"/>
  <c r="AM182" i="33"/>
  <c r="AL182" i="33" s="1"/>
  <c r="AM174" i="33"/>
  <c r="AL174" i="33" s="1"/>
  <c r="AM169" i="33"/>
  <c r="AL169" i="33" s="1"/>
  <c r="AM172" i="33"/>
  <c r="AL172" i="33" s="1"/>
  <c r="AM171" i="33"/>
  <c r="AL171" i="33" s="1"/>
  <c r="AM175" i="33"/>
  <c r="AL175" i="33" s="1"/>
  <c r="AM183" i="33"/>
  <c r="AL183" i="33" s="1"/>
  <c r="AM187" i="33"/>
  <c r="AL187" i="33" s="1"/>
  <c r="AM179" i="33"/>
  <c r="AL179" i="33" s="1"/>
  <c r="AM168" i="33"/>
  <c r="AL168" i="33" s="1"/>
  <c r="D30" i="10"/>
  <c r="M29" i="10"/>
  <c r="S29" i="10"/>
  <c r="U29" i="10" s="1"/>
  <c r="R35" i="10"/>
  <c r="R42" i="10"/>
  <c r="S27" i="10"/>
  <c r="U27" i="10" s="1"/>
  <c r="R27" i="10"/>
  <c r="R28" i="10" s="1"/>
  <c r="AG98" i="20"/>
  <c r="AM211" i="33"/>
  <c r="AL211" i="33" s="1"/>
  <c r="AM160" i="33"/>
  <c r="AL160" i="33" s="1"/>
  <c r="AM162" i="33"/>
  <c r="AL162" i="33" s="1"/>
  <c r="AM163" i="33"/>
  <c r="AL163" i="33" s="1"/>
  <c r="AM156" i="33"/>
  <c r="AL156" i="33" s="1"/>
  <c r="AM152" i="33"/>
  <c r="AL152" i="33" s="1"/>
  <c r="AM150" i="33"/>
  <c r="AL150" i="33" s="1"/>
  <c r="AM164" i="33"/>
  <c r="AL164" i="33" s="1"/>
  <c r="AM157" i="33"/>
  <c r="AL157" i="33" s="1"/>
  <c r="AM158" i="33"/>
  <c r="AL158" i="33" s="1"/>
  <c r="AM154" i="33"/>
  <c r="AL154" i="33" s="1"/>
  <c r="AM149" i="33"/>
  <c r="AL149" i="33" s="1"/>
  <c r="AM151" i="33"/>
  <c r="AL151" i="33" s="1"/>
  <c r="AM153" i="33"/>
  <c r="AL153" i="33" s="1"/>
  <c r="AM165" i="33"/>
  <c r="AL165" i="33" s="1"/>
  <c r="AM161" i="33"/>
  <c r="AL161" i="33" s="1"/>
  <c r="AM159" i="33"/>
  <c r="AL159" i="33" s="1"/>
  <c r="AM155" i="33"/>
  <c r="AL155" i="33" s="1"/>
  <c r="AM107" i="33"/>
  <c r="AL107" i="33" s="1"/>
  <c r="AM226" i="33"/>
  <c r="AL226" i="33" s="1"/>
  <c r="AM213" i="33"/>
  <c r="AL213" i="33" s="1"/>
  <c r="AM84" i="33"/>
  <c r="AL84" i="33" s="1"/>
  <c r="AM293" i="33"/>
  <c r="AL293" i="33" s="1"/>
  <c r="AM146" i="33"/>
  <c r="AL146" i="33" s="1"/>
  <c r="AM33" i="33"/>
  <c r="AL33" i="33" s="1"/>
  <c r="AM222" i="33"/>
  <c r="AL222" i="33" s="1"/>
  <c r="AM291" i="33"/>
  <c r="AL291" i="33" s="1"/>
  <c r="AM235" i="33"/>
  <c r="AL235" i="33" s="1"/>
  <c r="AM225" i="33"/>
  <c r="AL225" i="33" s="1"/>
  <c r="AM16" i="33"/>
  <c r="AL16" i="33" s="1"/>
  <c r="AM206" i="33"/>
  <c r="AL206" i="33" s="1"/>
  <c r="AM328" i="33"/>
  <c r="AL328" i="33" s="1"/>
  <c r="AM202" i="33"/>
  <c r="AL202" i="33" s="1"/>
  <c r="AM96" i="33"/>
  <c r="AL96" i="33" s="1"/>
  <c r="AM130" i="33"/>
  <c r="AL130" i="33" s="1"/>
  <c r="AM273" i="33"/>
  <c r="AL273" i="33" s="1"/>
  <c r="AM93" i="33"/>
  <c r="AL93" i="33" s="1"/>
  <c r="AM303" i="33"/>
  <c r="AL303" i="33" s="1"/>
  <c r="AM229" i="33"/>
  <c r="AL229" i="33" s="1"/>
  <c r="AM122" i="33"/>
  <c r="AL122" i="33" s="1"/>
  <c r="AM105" i="33"/>
  <c r="AL105" i="33" s="1"/>
  <c r="AM95" i="33"/>
  <c r="AL95" i="33" s="1"/>
  <c r="AM101" i="33"/>
  <c r="AL101" i="33" s="1"/>
  <c r="AM324" i="33"/>
  <c r="AL324" i="33" s="1"/>
  <c r="AM112" i="33"/>
  <c r="AL112" i="33" s="1"/>
  <c r="AM119" i="33"/>
  <c r="AL119" i="33" s="1"/>
  <c r="AM144" i="33"/>
  <c r="AL144" i="33" s="1"/>
  <c r="AM312" i="33"/>
  <c r="AL312" i="33" s="1"/>
  <c r="AM8" i="33"/>
  <c r="AL8" i="33" s="1"/>
  <c r="AM302" i="33"/>
  <c r="AL302" i="33" s="1"/>
  <c r="AM74" i="33"/>
  <c r="AL74" i="33" s="1"/>
  <c r="AM120" i="33"/>
  <c r="AL120" i="33" s="1"/>
  <c r="AM219" i="33"/>
  <c r="AL219" i="33" s="1"/>
  <c r="AM238" i="33"/>
  <c r="AL238" i="33" s="1"/>
  <c r="AM305" i="33"/>
  <c r="AL305" i="33" s="1"/>
  <c r="AM79" i="33"/>
  <c r="AL79" i="33" s="1"/>
  <c r="AM209" i="33"/>
  <c r="AL209" i="33" s="1"/>
  <c r="AM75" i="33"/>
  <c r="AL75" i="33" s="1"/>
  <c r="AM318" i="33"/>
  <c r="AL318" i="33" s="1"/>
  <c r="AM98" i="33"/>
  <c r="AL98" i="33" s="1"/>
  <c r="AM88" i="33"/>
  <c r="AL88" i="33" s="1"/>
  <c r="AM29" i="33"/>
  <c r="AL29" i="33" s="1"/>
  <c r="AM30" i="33"/>
  <c r="AL30" i="33" s="1"/>
  <c r="AM289" i="33"/>
  <c r="AL289" i="33" s="1"/>
  <c r="AM141" i="33"/>
  <c r="AL141" i="33" s="1"/>
  <c r="AM136" i="33"/>
  <c r="AL136" i="33" s="1"/>
  <c r="AM319" i="33"/>
  <c r="AL319" i="33" s="1"/>
  <c r="AM137" i="33"/>
  <c r="AL137" i="33" s="1"/>
  <c r="AM109" i="33"/>
  <c r="AL109" i="33" s="1"/>
  <c r="AM288" i="33"/>
  <c r="AL288" i="33" s="1"/>
  <c r="AM70" i="33"/>
  <c r="AL70" i="33" s="1"/>
  <c r="AM20" i="33"/>
  <c r="AL20" i="33" s="1"/>
  <c r="AM121" i="33"/>
  <c r="AL121" i="33" s="1"/>
  <c r="AM274" i="33"/>
  <c r="AL274" i="33" s="1"/>
  <c r="AM301" i="33"/>
  <c r="AL301" i="33" s="1"/>
  <c r="AM315" i="33"/>
  <c r="AL315" i="33" s="1"/>
  <c r="AM216" i="33"/>
  <c r="AL216" i="33" s="1"/>
  <c r="AM322" i="33"/>
  <c r="AL322" i="33" s="1"/>
  <c r="AM14" i="33"/>
  <c r="AL14" i="33" s="1"/>
  <c r="AM320" i="33"/>
  <c r="AL320" i="33" s="1"/>
  <c r="AM83" i="33"/>
  <c r="AL83" i="33" s="1"/>
  <c r="AM223" i="33"/>
  <c r="AL223" i="33" s="1"/>
  <c r="AM145" i="33"/>
  <c r="AL145" i="33" s="1"/>
  <c r="AM77" i="33"/>
  <c r="AL77" i="33" s="1"/>
  <c r="AM311" i="33"/>
  <c r="AL311" i="33" s="1"/>
  <c r="AM67" i="33"/>
  <c r="AL67" i="33" s="1"/>
  <c r="AM310" i="33"/>
  <c r="AL310" i="33" s="1"/>
  <c r="AM196" i="33"/>
  <c r="AL196" i="33" s="1"/>
  <c r="AM214" i="33"/>
  <c r="AL214" i="33" s="1"/>
  <c r="AM132" i="33"/>
  <c r="AL132" i="33" s="1"/>
  <c r="AM131" i="33"/>
  <c r="AL131" i="33" s="1"/>
  <c r="AM89" i="33"/>
  <c r="AL89" i="33" s="1"/>
  <c r="AM294" i="33"/>
  <c r="AL294" i="33" s="1"/>
  <c r="AM237" i="33"/>
  <c r="AL237" i="33" s="1"/>
  <c r="AM23" i="33"/>
  <c r="AL23" i="33" s="1"/>
  <c r="AM13" i="33"/>
  <c r="AL13" i="33" s="1"/>
  <c r="AM110" i="33"/>
  <c r="AL110" i="33" s="1"/>
  <c r="AM12" i="33"/>
  <c r="AL12" i="33" s="1"/>
  <c r="AM200" i="33"/>
  <c r="AL200" i="33" s="1"/>
  <c r="AM220" i="33"/>
  <c r="AL220" i="33" s="1"/>
  <c r="AM97" i="33"/>
  <c r="AL97" i="33" s="1"/>
  <c r="AM123" i="33"/>
  <c r="AL123" i="33" s="1"/>
  <c r="AM133" i="33"/>
  <c r="AM91" i="33"/>
  <c r="AL91" i="33" s="1"/>
  <c r="AM210" i="33"/>
  <c r="AL210" i="33" s="1"/>
  <c r="AM230" i="33"/>
  <c r="AL230" i="33" s="1"/>
  <c r="AM126" i="33"/>
  <c r="AL126" i="33" s="1"/>
  <c r="AM69" i="33"/>
  <c r="AL69" i="33" s="1"/>
  <c r="AM117" i="33"/>
  <c r="AL117" i="33" s="1"/>
  <c r="AM81" i="33"/>
  <c r="AL81" i="33" s="1"/>
  <c r="AM228" i="33"/>
  <c r="AL228" i="33" s="1"/>
  <c r="AM308" i="33"/>
  <c r="AL308" i="33" s="1"/>
  <c r="AM147" i="33"/>
  <c r="AL147" i="33" s="1"/>
  <c r="AM27" i="33"/>
  <c r="AL27" i="33" s="1"/>
  <c r="AM85" i="33"/>
  <c r="AL85" i="33" s="1"/>
  <c r="AM207" i="33"/>
  <c r="AL207" i="33" s="1"/>
  <c r="AM326" i="33"/>
  <c r="AL326" i="33" s="1"/>
  <c r="AM10" i="33"/>
  <c r="AL10" i="33" s="1"/>
  <c r="AM221" i="33"/>
  <c r="AL221" i="33" s="1"/>
  <c r="AM208" i="33"/>
  <c r="AL208" i="33" s="1"/>
  <c r="AM140" i="33"/>
  <c r="AL140" i="33" s="1"/>
  <c r="AM99" i="33"/>
  <c r="AL99" i="33" s="1"/>
  <c r="AM234" i="33"/>
  <c r="AL234" i="33" s="1"/>
  <c r="AM116" i="33"/>
  <c r="AL116" i="33" s="1"/>
  <c r="AM128" i="33"/>
  <c r="AL128" i="33" s="1"/>
  <c r="AM313" i="33"/>
  <c r="AL313" i="33" s="1"/>
  <c r="AM114" i="33"/>
  <c r="AL114" i="33" s="1"/>
  <c r="AM217" i="33"/>
  <c r="AL217" i="33" s="1"/>
  <c r="AM21" i="33"/>
  <c r="AL21" i="33" s="1"/>
  <c r="AM90" i="33"/>
  <c r="AL90" i="33" s="1"/>
  <c r="AM19" i="33"/>
  <c r="AL19" i="33" s="1"/>
  <c r="AM17" i="33"/>
  <c r="AL17" i="33" s="1"/>
  <c r="AM34" i="33"/>
  <c r="AL34" i="33" s="1"/>
  <c r="AM87" i="33"/>
  <c r="AL87" i="33" s="1"/>
  <c r="AM28" i="33"/>
  <c r="AL28" i="33" s="1"/>
  <c r="AM198" i="33"/>
  <c r="AL198" i="33" s="1"/>
  <c r="AM26" i="33"/>
  <c r="AL26" i="33" s="1"/>
  <c r="AM111" i="33"/>
  <c r="AL111" i="33" s="1"/>
  <c r="AM125" i="33"/>
  <c r="AL125" i="33" s="1"/>
  <c r="AM232" i="33"/>
  <c r="AL232" i="33" s="1"/>
  <c r="AM94" i="33"/>
  <c r="AL94" i="33" s="1"/>
  <c r="AM329" i="33"/>
  <c r="AL329" i="33" s="1"/>
  <c r="AM231" i="33"/>
  <c r="AL231" i="33" s="1"/>
  <c r="AM106" i="33"/>
  <c r="AL106" i="33" s="1"/>
  <c r="AM134" i="33"/>
  <c r="AL134" i="33" s="1"/>
  <c r="AM304" i="33"/>
  <c r="AL304" i="33" s="1"/>
  <c r="AM22" i="33"/>
  <c r="AL22" i="33" s="1"/>
  <c r="AM104" i="33"/>
  <c r="AL104" i="33" s="1"/>
  <c r="AM317" i="33"/>
  <c r="AL317" i="33" s="1"/>
  <c r="AM323" i="33"/>
  <c r="AL323" i="33" s="1"/>
  <c r="AM73" i="33"/>
  <c r="AL73" i="33" s="1"/>
  <c r="AM124" i="33"/>
  <c r="AL124" i="33" s="1"/>
  <c r="AM72" i="33"/>
  <c r="AL72" i="33" s="1"/>
  <c r="AM80" i="33"/>
  <c r="AL80" i="33" s="1"/>
  <c r="AM321" i="33"/>
  <c r="AL321" i="33" s="1"/>
  <c r="AM199" i="33"/>
  <c r="AL199" i="33" s="1"/>
  <c r="AM287" i="33"/>
  <c r="AL287" i="33" s="1"/>
  <c r="AM76" i="33"/>
  <c r="AL76" i="33" s="1"/>
  <c r="AM71" i="33"/>
  <c r="AL71" i="33" s="1"/>
  <c r="AM212" i="33"/>
  <c r="AL212" i="33" s="1"/>
  <c r="AM135" i="33"/>
  <c r="AL135" i="33" s="1"/>
  <c r="AM100" i="33"/>
  <c r="AL100" i="33" s="1"/>
  <c r="AM224" i="33"/>
  <c r="AL224" i="33" s="1"/>
  <c r="AM143" i="33"/>
  <c r="AL143" i="33" s="1"/>
  <c r="AM31" i="33"/>
  <c r="AL31" i="33" s="1"/>
  <c r="AM204" i="33"/>
  <c r="AL204" i="33" s="1"/>
  <c r="AM5" i="33"/>
  <c r="AL5" i="33" s="1"/>
  <c r="AM197" i="33"/>
  <c r="AL197" i="33" s="1"/>
  <c r="AM113" i="33"/>
  <c r="AL113" i="33" s="1"/>
  <c r="AM201" i="33"/>
  <c r="AL201" i="33" s="1"/>
  <c r="AM18" i="33"/>
  <c r="AL18" i="33" s="1"/>
  <c r="AM103" i="33"/>
  <c r="AL103" i="33" s="1"/>
  <c r="AM138" i="33"/>
  <c r="AL138" i="33" s="1"/>
  <c r="AM32" i="33"/>
  <c r="AL32" i="33" s="1"/>
  <c r="AM24" i="33"/>
  <c r="AL24" i="33" s="1"/>
  <c r="AM86" i="33"/>
  <c r="AL86" i="33" s="1"/>
  <c r="AM129" i="33"/>
  <c r="AL129" i="33" s="1"/>
  <c r="AM65" i="33"/>
  <c r="AL65" i="33" s="1"/>
  <c r="AM316" i="33"/>
  <c r="AL316" i="33" s="1"/>
  <c r="AM215" i="33"/>
  <c r="AL215" i="33" s="1"/>
  <c r="AM102" i="33"/>
  <c r="AL102" i="33" s="1"/>
  <c r="AM92" i="33"/>
  <c r="AL92" i="33" s="1"/>
  <c r="AM108" i="33"/>
  <c r="AL108" i="33" s="1"/>
  <c r="AM78" i="33"/>
  <c r="AL78" i="33" s="1"/>
  <c r="AM327" i="33"/>
  <c r="AL327" i="33" s="1"/>
  <c r="AM68" i="33"/>
  <c r="AL68" i="33" s="1"/>
  <c r="AM290" i="33"/>
  <c r="AL290" i="33" s="1"/>
  <c r="AM115" i="33"/>
  <c r="AL115" i="33" s="1"/>
  <c r="AM309" i="33"/>
  <c r="AL309" i="33" s="1"/>
  <c r="AM142" i="33"/>
  <c r="AL142" i="33" s="1"/>
  <c r="AM203" i="33"/>
  <c r="AL203" i="33" s="1"/>
  <c r="AM218" i="33"/>
  <c r="AL218" i="33" s="1"/>
  <c r="AM139" i="33"/>
  <c r="AL139" i="33" s="1"/>
  <c r="AM127" i="33"/>
  <c r="AL127" i="33" s="1"/>
  <c r="AM15" i="33"/>
  <c r="AL15" i="33" s="1"/>
  <c r="AM66" i="33"/>
  <c r="AL66" i="33" s="1"/>
  <c r="AM325" i="33"/>
  <c r="AL325" i="33" s="1"/>
  <c r="AM236" i="33"/>
  <c r="AL236" i="33" s="1"/>
  <c r="AM7" i="33"/>
  <c r="AL7" i="33" s="1"/>
  <c r="AM6" i="33"/>
  <c r="AL6" i="33" s="1"/>
  <c r="AM227" i="33"/>
  <c r="AL227" i="33" s="1"/>
  <c r="AM295" i="33"/>
  <c r="AL295" i="33" s="1"/>
  <c r="AM118" i="33"/>
  <c r="AL118" i="33" s="1"/>
  <c r="AM205" i="33"/>
  <c r="AL205" i="33" s="1"/>
  <c r="AM233" i="33"/>
  <c r="AL233" i="33" s="1"/>
  <c r="AM25" i="33"/>
  <c r="AL25" i="33" s="1"/>
  <c r="AM300" i="33"/>
  <c r="AL300" i="33" s="1"/>
  <c r="AM11" i="33"/>
  <c r="AL11" i="33" s="1"/>
  <c r="AM148" i="33"/>
  <c r="AL148" i="33" s="1"/>
  <c r="AM307" i="33"/>
  <c r="AL307" i="33" s="1"/>
  <c r="AM306" i="33"/>
  <c r="AL306" i="33" s="1"/>
  <c r="AM9" i="33"/>
  <c r="AL9" i="33" s="1"/>
  <c r="AM82" i="33"/>
  <c r="AL82" i="33" s="1"/>
  <c r="AM299" i="33"/>
  <c r="AL299" i="33" s="1"/>
  <c r="AM314" i="33"/>
  <c r="AL314" i="33" s="1"/>
  <c r="C221" i="31"/>
  <c r="C253" i="31"/>
  <c r="C261" i="31"/>
  <c r="C257" i="31"/>
  <c r="C267" i="31"/>
  <c r="B221" i="31"/>
  <c r="B253" i="31"/>
  <c r="C259" i="31"/>
  <c r="C271" i="31"/>
  <c r="E251" i="31"/>
  <c r="B261" i="31"/>
  <c r="B269" i="31"/>
  <c r="D277" i="31"/>
  <c r="D221" i="31"/>
  <c r="E249" i="31"/>
  <c r="E257" i="31"/>
  <c r="E265" i="31"/>
  <c r="E273" i="31"/>
  <c r="B281" i="31"/>
  <c r="B289" i="31"/>
  <c r="B297" i="31"/>
  <c r="B305" i="31"/>
  <c r="B313" i="31"/>
  <c r="B317" i="31"/>
  <c r="B321" i="31"/>
  <c r="C251" i="31"/>
  <c r="C265" i="31"/>
  <c r="B257" i="31"/>
  <c r="B265" i="31"/>
  <c r="B273" i="31"/>
  <c r="D281" i="31"/>
  <c r="E221" i="31"/>
  <c r="E253" i="31"/>
  <c r="E261" i="31"/>
  <c r="E269" i="31"/>
  <c r="B277" i="31"/>
  <c r="B285" i="31"/>
  <c r="B293" i="31"/>
  <c r="B301" i="31"/>
  <c r="B309" i="31"/>
  <c r="B315" i="31"/>
  <c r="B319" i="31"/>
  <c r="B323" i="31"/>
  <c r="B327" i="31"/>
  <c r="B331" i="31"/>
  <c r="B335" i="31"/>
  <c r="B339" i="31"/>
  <c r="B343" i="31"/>
  <c r="B347" i="31"/>
  <c r="B351" i="31"/>
  <c r="B355" i="31"/>
  <c r="B359" i="31"/>
  <c r="B363" i="31"/>
  <c r="B367" i="31"/>
  <c r="B371" i="31"/>
  <c r="B375" i="31"/>
  <c r="D269" i="31"/>
  <c r="D259" i="31"/>
  <c r="C279" i="31"/>
  <c r="C287" i="31"/>
  <c r="C295" i="31"/>
  <c r="D273" i="31"/>
  <c r="E281" i="31"/>
  <c r="D295" i="31"/>
  <c r="D311" i="31"/>
  <c r="C318" i="31"/>
  <c r="D323" i="31"/>
  <c r="E328" i="31"/>
  <c r="C334" i="31"/>
  <c r="D339" i="31"/>
  <c r="E344" i="31"/>
  <c r="C350" i="31"/>
  <c r="D355" i="31"/>
  <c r="E360" i="31"/>
  <c r="C269" i="31"/>
  <c r="E259" i="31"/>
  <c r="D275" i="31"/>
  <c r="D249" i="31"/>
  <c r="B255" i="31"/>
  <c r="B271" i="31"/>
  <c r="B287" i="31"/>
  <c r="B303" i="31"/>
  <c r="B316" i="31"/>
  <c r="B324" i="31"/>
  <c r="B329" i="31"/>
  <c r="B334" i="31"/>
  <c r="B340" i="31"/>
  <c r="B345" i="31"/>
  <c r="B350" i="31"/>
  <c r="B356" i="31"/>
  <c r="B361" i="31"/>
  <c r="B366" i="31"/>
  <c r="B372" i="31"/>
  <c r="B377" i="31"/>
  <c r="D261" i="31"/>
  <c r="D267" i="31"/>
  <c r="C283" i="31"/>
  <c r="E293" i="31"/>
  <c r="E277" i="31"/>
  <c r="D291" i="31"/>
  <c r="C314" i="31"/>
  <c r="E320" i="31"/>
  <c r="D327" i="31"/>
  <c r="D335" i="31"/>
  <c r="C342" i="31"/>
  <c r="E348" i="31"/>
  <c r="E356" i="31"/>
  <c r="D363" i="31"/>
  <c r="E368" i="31"/>
  <c r="C374" i="31"/>
  <c r="B379" i="31"/>
  <c r="B383" i="31"/>
  <c r="B387" i="31"/>
  <c r="B391" i="31"/>
  <c r="B395" i="31"/>
  <c r="B399" i="31"/>
  <c r="B403" i="31"/>
  <c r="B407" i="31"/>
  <c r="B411" i="31"/>
  <c r="B415" i="31"/>
  <c r="B419" i="31"/>
  <c r="B423" i="31"/>
  <c r="B427" i="31"/>
  <c r="B431" i="31"/>
  <c r="B435" i="31"/>
  <c r="B439" i="31"/>
  <c r="B443" i="31"/>
  <c r="B447" i="31"/>
  <c r="B451" i="31"/>
  <c r="B455" i="31"/>
  <c r="B459" i="31"/>
  <c r="B463" i="31"/>
  <c r="B467" i="31"/>
  <c r="B471" i="31"/>
  <c r="B475" i="31"/>
  <c r="B479" i="31"/>
  <c r="B483" i="31"/>
  <c r="B487" i="31"/>
  <c r="B491" i="31"/>
  <c r="B495" i="31"/>
  <c r="B499" i="31"/>
  <c r="B503" i="31"/>
  <c r="B507" i="31"/>
  <c r="B511" i="31"/>
  <c r="B515" i="31"/>
  <c r="B519" i="31"/>
  <c r="B523" i="31"/>
  <c r="B527" i="31"/>
  <c r="B531" i="31"/>
  <c r="B535" i="31"/>
  <c r="B539" i="31"/>
  <c r="B543" i="31"/>
  <c r="B547" i="31"/>
  <c r="B551" i="31"/>
  <c r="B555" i="31"/>
  <c r="B559" i="31"/>
  <c r="B563" i="31"/>
  <c r="B567" i="31"/>
  <c r="B571" i="31"/>
  <c r="B575" i="31"/>
  <c r="B579" i="31"/>
  <c r="B583" i="31"/>
  <c r="B587" i="31"/>
  <c r="B591" i="31"/>
  <c r="B595" i="31"/>
  <c r="B599" i="31"/>
  <c r="B603" i="31"/>
  <c r="B607" i="31"/>
  <c r="B611" i="31"/>
  <c r="B615" i="31"/>
  <c r="B619" i="31"/>
  <c r="D263" i="31"/>
  <c r="E299" i="31"/>
  <c r="C307" i="31"/>
  <c r="E317" i="31"/>
  <c r="C325" i="31"/>
  <c r="C332" i="31"/>
  <c r="C339" i="31"/>
  <c r="D346" i="31"/>
  <c r="D353" i="31"/>
  <c r="D360" i="31"/>
  <c r="E367" i="31"/>
  <c r="E374" i="31"/>
  <c r="E380" i="31"/>
  <c r="C386" i="31"/>
  <c r="D391" i="31"/>
  <c r="C255" i="31"/>
  <c r="B249" i="31"/>
  <c r="E267" i="31"/>
  <c r="B263" i="31"/>
  <c r="B279" i="31"/>
  <c r="B295" i="31"/>
  <c r="B311" i="31"/>
  <c r="B320" i="31"/>
  <c r="B326" i="31"/>
  <c r="B332" i="31"/>
  <c r="B337" i="31"/>
  <c r="B342" i="31"/>
  <c r="B348" i="31"/>
  <c r="B353" i="31"/>
  <c r="B358" i="31"/>
  <c r="B364" i="31"/>
  <c r="B369" i="31"/>
  <c r="B374" i="31"/>
  <c r="C277" i="31"/>
  <c r="E289" i="31"/>
  <c r="C299" i="31"/>
  <c r="D265" i="31"/>
  <c r="D283" i="31"/>
  <c r="D303" i="31"/>
  <c r="E316" i="31"/>
  <c r="E324" i="31"/>
  <c r="D331" i="31"/>
  <c r="C338" i="31"/>
  <c r="C346" i="31"/>
  <c r="E352" i="31"/>
  <c r="D359" i="31"/>
  <c r="C366" i="31"/>
  <c r="D371" i="31"/>
  <c r="E376" i="31"/>
  <c r="B381" i="31"/>
  <c r="B385" i="31"/>
  <c r="B389" i="31"/>
  <c r="B393" i="31"/>
  <c r="B397" i="31"/>
  <c r="B401" i="31"/>
  <c r="B405" i="31"/>
  <c r="B409" i="31"/>
  <c r="B413" i="31"/>
  <c r="B417" i="31"/>
  <c r="B421" i="31"/>
  <c r="B425" i="31"/>
  <c r="B429" i="31"/>
  <c r="B433" i="31"/>
  <c r="B437" i="31"/>
  <c r="B441" i="31"/>
  <c r="B445" i="31"/>
  <c r="B449" i="31"/>
  <c r="B453" i="31"/>
  <c r="B457" i="31"/>
  <c r="B461" i="31"/>
  <c r="B465" i="31"/>
  <c r="B469" i="31"/>
  <c r="B473" i="31"/>
  <c r="B477" i="31"/>
  <c r="B481" i="31"/>
  <c r="B485" i="31"/>
  <c r="B489" i="31"/>
  <c r="B493" i="31"/>
  <c r="B497" i="31"/>
  <c r="B501" i="31"/>
  <c r="B505" i="31"/>
  <c r="B509" i="31"/>
  <c r="B513" i="31"/>
  <c r="B517" i="31"/>
  <c r="B521" i="31"/>
  <c r="B525" i="31"/>
  <c r="B529" i="31"/>
  <c r="B533" i="31"/>
  <c r="B537" i="31"/>
  <c r="B541" i="31"/>
  <c r="B545" i="31"/>
  <c r="B549" i="31"/>
  <c r="B553" i="31"/>
  <c r="B557" i="31"/>
  <c r="B561" i="31"/>
  <c r="B565" i="31"/>
  <c r="B569" i="31"/>
  <c r="B573" i="31"/>
  <c r="B577" i="31"/>
  <c r="B581" i="31"/>
  <c r="B585" i="31"/>
  <c r="B589" i="31"/>
  <c r="B593" i="31"/>
  <c r="B597" i="31"/>
  <c r="B601" i="31"/>
  <c r="B605" i="31"/>
  <c r="B609" i="31"/>
  <c r="B613" i="31"/>
  <c r="B617" i="31"/>
  <c r="B621" i="31"/>
  <c r="E291" i="31"/>
  <c r="E303" i="31"/>
  <c r="D314" i="31"/>
  <c r="D321" i="31"/>
  <c r="D328" i="31"/>
  <c r="E335" i="31"/>
  <c r="E342" i="31"/>
  <c r="E349" i="31"/>
  <c r="C357" i="31"/>
  <c r="C364" i="31"/>
  <c r="C371" i="31"/>
  <c r="C378" i="31"/>
  <c r="D383" i="31"/>
  <c r="E388" i="31"/>
  <c r="C394" i="31"/>
  <c r="D399" i="31"/>
  <c r="E404" i="31"/>
  <c r="C410" i="31"/>
  <c r="D415" i="31"/>
  <c r="E420" i="31"/>
  <c r="C426" i="31"/>
  <c r="D431" i="31"/>
  <c r="E436" i="31"/>
  <c r="C442" i="31"/>
  <c r="D447" i="31"/>
  <c r="E452" i="31"/>
  <c r="C458" i="31"/>
  <c r="D463" i="31"/>
  <c r="E468" i="31"/>
  <c r="C474" i="31"/>
  <c r="D479" i="31"/>
  <c r="E484" i="31"/>
  <c r="C490" i="31"/>
  <c r="D495" i="31"/>
  <c r="E500" i="31"/>
  <c r="C506" i="31"/>
  <c r="D511" i="31"/>
  <c r="E516" i="31"/>
  <c r="E255" i="31"/>
  <c r="B251" i="31"/>
  <c r="B283" i="31"/>
  <c r="B314" i="31"/>
  <c r="B328" i="31"/>
  <c r="B338" i="31"/>
  <c r="B349" i="31"/>
  <c r="B360" i="31"/>
  <c r="B370" i="31"/>
  <c r="D253" i="31"/>
  <c r="C281" i="31"/>
  <c r="D287" i="31"/>
  <c r="D319" i="31"/>
  <c r="E332" i="31"/>
  <c r="D347" i="31"/>
  <c r="C362" i="31"/>
  <c r="E372" i="31"/>
  <c r="B382" i="31"/>
  <c r="B390" i="31"/>
  <c r="B398" i="31"/>
  <c r="B406" i="31"/>
  <c r="B414" i="31"/>
  <c r="B422" i="31"/>
  <c r="B430" i="31"/>
  <c r="B438" i="31"/>
  <c r="B446" i="31"/>
  <c r="B454" i="31"/>
  <c r="B462" i="31"/>
  <c r="B470" i="31"/>
  <c r="B478" i="31"/>
  <c r="B486" i="31"/>
  <c r="B494" i="31"/>
  <c r="B502" i="31"/>
  <c r="B510" i="31"/>
  <c r="B518" i="31"/>
  <c r="B526" i="31"/>
  <c r="B534" i="31"/>
  <c r="B542" i="31"/>
  <c r="B550" i="31"/>
  <c r="B558" i="31"/>
  <c r="B566" i="31"/>
  <c r="B574" i="31"/>
  <c r="B582" i="31"/>
  <c r="B590" i="31"/>
  <c r="B598" i="31"/>
  <c r="B606" i="31"/>
  <c r="B614" i="31"/>
  <c r="B622" i="31"/>
  <c r="D305" i="31"/>
  <c r="C323" i="31"/>
  <c r="D337" i="31"/>
  <c r="E351" i="31"/>
  <c r="E365" i="31"/>
  <c r="D379" i="31"/>
  <c r="C390" i="31"/>
  <c r="C398" i="31"/>
  <c r="C406" i="31"/>
  <c r="E412" i="31"/>
  <c r="D419" i="31"/>
  <c r="D427" i="31"/>
  <c r="C434" i="31"/>
  <c r="E440" i="31"/>
  <c r="E448" i="31"/>
  <c r="D455" i="31"/>
  <c r="C462" i="31"/>
  <c r="C470" i="31"/>
  <c r="E476" i="31"/>
  <c r="D483" i="31"/>
  <c r="D491" i="31"/>
  <c r="C498" i="31"/>
  <c r="E504" i="31"/>
  <c r="E512" i="31"/>
  <c r="D519" i="31"/>
  <c r="E524" i="31"/>
  <c r="D297" i="31"/>
  <c r="C311" i="31"/>
  <c r="D318" i="31"/>
  <c r="D325" i="31"/>
  <c r="D332" i="31"/>
  <c r="E339" i="31"/>
  <c r="E346" i="31"/>
  <c r="E353" i="31"/>
  <c r="C361" i="31"/>
  <c r="C368" i="31"/>
  <c r="C375" i="31"/>
  <c r="C381" i="31"/>
  <c r="D386" i="31"/>
  <c r="E391" i="31"/>
  <c r="C397" i="31"/>
  <c r="D402" i="31"/>
  <c r="E407" i="31"/>
  <c r="C413" i="31"/>
  <c r="D418" i="31"/>
  <c r="E423" i="31"/>
  <c r="C429" i="31"/>
  <c r="D434" i="31"/>
  <c r="E439" i="31"/>
  <c r="C445" i="31"/>
  <c r="D450" i="31"/>
  <c r="E455" i="31"/>
  <c r="C461" i="31"/>
  <c r="D466" i="31"/>
  <c r="E471" i="31"/>
  <c r="C477" i="31"/>
  <c r="D482" i="31"/>
  <c r="E287" i="31"/>
  <c r="E309" i="31"/>
  <c r="C317" i="31"/>
  <c r="C324" i="31"/>
  <c r="C331" i="31"/>
  <c r="D338" i="31"/>
  <c r="D345" i="31"/>
  <c r="C249" i="31"/>
  <c r="E263" i="31"/>
  <c r="B259" i="31"/>
  <c r="B291" i="31"/>
  <c r="B318" i="31"/>
  <c r="B330" i="31"/>
  <c r="B341" i="31"/>
  <c r="B352" i="31"/>
  <c r="B362" i="31"/>
  <c r="B373" i="31"/>
  <c r="E285" i="31"/>
  <c r="D257" i="31"/>
  <c r="D299" i="31"/>
  <c r="C322" i="31"/>
  <c r="E336" i="31"/>
  <c r="D351" i="31"/>
  <c r="E364" i="31"/>
  <c r="D375" i="31"/>
  <c r="B384" i="31"/>
  <c r="B392" i="31"/>
  <c r="B400" i="31"/>
  <c r="B408" i="31"/>
  <c r="B416" i="31"/>
  <c r="B424" i="31"/>
  <c r="B432" i="31"/>
  <c r="B440" i="31"/>
  <c r="B448" i="31"/>
  <c r="B456" i="31"/>
  <c r="B464" i="31"/>
  <c r="B472" i="31"/>
  <c r="B480" i="31"/>
  <c r="B488" i="31"/>
  <c r="B496" i="31"/>
  <c r="B504" i="31"/>
  <c r="B512" i="31"/>
  <c r="B520" i="31"/>
  <c r="B528" i="31"/>
  <c r="B536" i="31"/>
  <c r="B544" i="31"/>
  <c r="B552" i="31"/>
  <c r="B560" i="31"/>
  <c r="B568" i="31"/>
  <c r="B576" i="31"/>
  <c r="B584" i="31"/>
  <c r="B592" i="31"/>
  <c r="B600" i="31"/>
  <c r="B608" i="31"/>
  <c r="B616" i="31"/>
  <c r="C289" i="31"/>
  <c r="C309" i="31"/>
  <c r="E326" i="31"/>
  <c r="C341" i="31"/>
  <c r="C355" i="31"/>
  <c r="D369" i="31"/>
  <c r="C382" i="31"/>
  <c r="E392" i="31"/>
  <c r="E400" i="31"/>
  <c r="D407" i="31"/>
  <c r="C414" i="31"/>
  <c r="C422" i="31"/>
  <c r="E428" i="31"/>
  <c r="D435" i="31"/>
  <c r="D443" i="31"/>
  <c r="C450" i="31"/>
  <c r="E456" i="31"/>
  <c r="E464" i="31"/>
  <c r="D471" i="31"/>
  <c r="C478" i="31"/>
  <c r="C486" i="31"/>
  <c r="E492" i="31"/>
  <c r="D499" i="31"/>
  <c r="D507" i="31"/>
  <c r="C514" i="31"/>
  <c r="E520" i="31"/>
  <c r="C526" i="31"/>
  <c r="D255" i="31"/>
  <c r="E305" i="31"/>
  <c r="C313" i="31"/>
  <c r="C320" i="31"/>
  <c r="C327" i="31"/>
  <c r="D334" i="31"/>
  <c r="D341" i="31"/>
  <c r="D348" i="31"/>
  <c r="E355" i="31"/>
  <c r="E362" i="31"/>
  <c r="E369" i="31"/>
  <c r="C377" i="31"/>
  <c r="D382" i="31"/>
  <c r="E387" i="31"/>
  <c r="C393" i="31"/>
  <c r="D398" i="31"/>
  <c r="E403" i="31"/>
  <c r="C409" i="31"/>
  <c r="D414" i="31"/>
  <c r="E419" i="31"/>
  <c r="C425" i="31"/>
  <c r="D430" i="31"/>
  <c r="E435" i="31"/>
  <c r="C441" i="31"/>
  <c r="D446" i="31"/>
  <c r="E451" i="31"/>
  <c r="C457" i="31"/>
  <c r="D462" i="31"/>
  <c r="E467" i="31"/>
  <c r="C473" i="31"/>
  <c r="D478" i="31"/>
  <c r="C293" i="31"/>
  <c r="E311" i="31"/>
  <c r="E318" i="31"/>
  <c r="E325" i="31"/>
  <c r="C333" i="31"/>
  <c r="C340" i="31"/>
  <c r="C347" i="31"/>
  <c r="D354" i="31"/>
  <c r="D361" i="31"/>
  <c r="D368" i="31"/>
  <c r="E375" i="31"/>
  <c r="D381" i="31"/>
  <c r="E386" i="31"/>
  <c r="C392" i="31"/>
  <c r="D397" i="31"/>
  <c r="E402" i="31"/>
  <c r="C408" i="31"/>
  <c r="D413" i="31"/>
  <c r="E418" i="31"/>
  <c r="C424" i="31"/>
  <c r="D429" i="31"/>
  <c r="E434" i="31"/>
  <c r="C440" i="31"/>
  <c r="D445" i="31"/>
  <c r="E450" i="31"/>
  <c r="C456" i="31"/>
  <c r="D461" i="31"/>
  <c r="E466" i="31"/>
  <c r="C472" i="31"/>
  <c r="D477" i="31"/>
  <c r="E482" i="31"/>
  <c r="C488" i="31"/>
  <c r="D493" i="31"/>
  <c r="E498" i="31"/>
  <c r="C504" i="31"/>
  <c r="D509" i="31"/>
  <c r="E514" i="31"/>
  <c r="C520" i="31"/>
  <c r="D525" i="31"/>
  <c r="E530" i="31"/>
  <c r="C536" i="31"/>
  <c r="D541" i="31"/>
  <c r="E546" i="31"/>
  <c r="C552" i="31"/>
  <c r="D557" i="31"/>
  <c r="D279" i="31"/>
  <c r="B275" i="31"/>
  <c r="B325" i="31"/>
  <c r="B346" i="31"/>
  <c r="B368" i="31"/>
  <c r="C275" i="31"/>
  <c r="E279" i="31"/>
  <c r="C330" i="31"/>
  <c r="C358" i="31"/>
  <c r="B380" i="31"/>
  <c r="B396" i="31"/>
  <c r="B412" i="31"/>
  <c r="B428" i="31"/>
  <c r="B444" i="31"/>
  <c r="B460" i="31"/>
  <c r="B476" i="31"/>
  <c r="B492" i="31"/>
  <c r="B508" i="31"/>
  <c r="B524" i="31"/>
  <c r="B540" i="31"/>
  <c r="B556" i="31"/>
  <c r="B572" i="31"/>
  <c r="B588" i="31"/>
  <c r="B604" i="31"/>
  <c r="B620" i="31"/>
  <c r="E319" i="31"/>
  <c r="C348" i="31"/>
  <c r="D376" i="31"/>
  <c r="E396" i="31"/>
  <c r="D411" i="31"/>
  <c r="E424" i="31"/>
  <c r="D439" i="31"/>
  <c r="C454" i="31"/>
  <c r="D467" i="31"/>
  <c r="C482" i="31"/>
  <c r="E496" i="31"/>
  <c r="C510" i="31"/>
  <c r="D523" i="31"/>
  <c r="D289" i="31"/>
  <c r="D316" i="31"/>
  <c r="E330" i="31"/>
  <c r="C345" i="31"/>
  <c r="C359" i="31"/>
  <c r="D373" i="31"/>
  <c r="C385" i="31"/>
  <c r="E395" i="31"/>
  <c r="D406" i="31"/>
  <c r="C417" i="31"/>
  <c r="E427" i="31"/>
  <c r="D438" i="31"/>
  <c r="C449" i="31"/>
  <c r="E459" i="31"/>
  <c r="D470" i="31"/>
  <c r="C481" i="31"/>
  <c r="C301" i="31"/>
  <c r="D322" i="31"/>
  <c r="D336" i="31"/>
  <c r="E350" i="31"/>
  <c r="E359" i="31"/>
  <c r="D370" i="31"/>
  <c r="E378" i="31"/>
  <c r="D385" i="31"/>
  <c r="D393" i="31"/>
  <c r="C400" i="31"/>
  <c r="E406" i="31"/>
  <c r="E414" i="31"/>
  <c r="D421" i="31"/>
  <c r="C428" i="31"/>
  <c r="C436" i="31"/>
  <c r="E442" i="31"/>
  <c r="D449" i="31"/>
  <c r="D457" i="31"/>
  <c r="C464" i="31"/>
  <c r="E470" i="31"/>
  <c r="E478" i="31"/>
  <c r="D485" i="31"/>
  <c r="C492" i="31"/>
  <c r="C500" i="31"/>
  <c r="E506" i="31"/>
  <c r="D513" i="31"/>
  <c r="D521" i="31"/>
  <c r="C528" i="31"/>
  <c r="E534" i="31"/>
  <c r="E542" i="31"/>
  <c r="D549" i="31"/>
  <c r="C556" i="31"/>
  <c r="E562" i="31"/>
  <c r="C568" i="31"/>
  <c r="D573" i="31"/>
  <c r="E578" i="31"/>
  <c r="C584" i="31"/>
  <c r="D589" i="31"/>
  <c r="E594" i="31"/>
  <c r="C600" i="31"/>
  <c r="D605" i="31"/>
  <c r="E610" i="31"/>
  <c r="C616" i="31"/>
  <c r="D621" i="31"/>
  <c r="E625" i="31"/>
  <c r="E629" i="31"/>
  <c r="E633" i="31"/>
  <c r="E637" i="31"/>
  <c r="E641" i="31"/>
  <c r="E645" i="31"/>
  <c r="E649" i="31"/>
  <c r="E653" i="31"/>
  <c r="E657" i="31"/>
  <c r="E661" i="31"/>
  <c r="E665" i="31"/>
  <c r="E669" i="31"/>
  <c r="E673" i="31"/>
  <c r="E677" i="31"/>
  <c r="E681" i="31"/>
  <c r="E685" i="31"/>
  <c r="E689" i="31"/>
  <c r="E693" i="31"/>
  <c r="E697" i="31"/>
  <c r="E701" i="31"/>
  <c r="E705" i="31"/>
  <c r="E709" i="31"/>
  <c r="E713" i="31"/>
  <c r="E717" i="31"/>
  <c r="E721" i="31"/>
  <c r="E725" i="31"/>
  <c r="E729" i="31"/>
  <c r="E733" i="31"/>
  <c r="E737" i="31"/>
  <c r="D271" i="31"/>
  <c r="C319" i="31"/>
  <c r="E347" i="31"/>
  <c r="C376" i="31"/>
  <c r="E397" i="31"/>
  <c r="C419" i="31"/>
  <c r="D440" i="31"/>
  <c r="E461" i="31"/>
  <c r="C483" i="31"/>
  <c r="E493" i="31"/>
  <c r="D504" i="31"/>
  <c r="C515" i="31"/>
  <c r="E525" i="31"/>
  <c r="C534" i="31"/>
  <c r="C541" i="31"/>
  <c r="D548" i="31"/>
  <c r="D555" i="31"/>
  <c r="D562" i="31"/>
  <c r="E569" i="31"/>
  <c r="E576" i="31"/>
  <c r="E583" i="31"/>
  <c r="C591" i="31"/>
  <c r="C598" i="31"/>
  <c r="C605" i="31"/>
  <c r="D612" i="31"/>
  <c r="D619" i="31"/>
  <c r="D625" i="31"/>
  <c r="B631" i="31"/>
  <c r="C636" i="31"/>
  <c r="D641" i="31"/>
  <c r="B647" i="31"/>
  <c r="C652" i="31"/>
  <c r="D657" i="31"/>
  <c r="B663" i="31"/>
  <c r="C668" i="31"/>
  <c r="C263" i="31"/>
  <c r="B299" i="31"/>
  <c r="B333" i="31"/>
  <c r="B354" i="31"/>
  <c r="B376" i="31"/>
  <c r="C291" i="31"/>
  <c r="D307" i="31"/>
  <c r="E340" i="31"/>
  <c r="D367" i="31"/>
  <c r="B386" i="31"/>
  <c r="B402" i="31"/>
  <c r="B418" i="31"/>
  <c r="B434" i="31"/>
  <c r="B450" i="31"/>
  <c r="B466" i="31"/>
  <c r="B482" i="31"/>
  <c r="B498" i="31"/>
  <c r="B514" i="31"/>
  <c r="B530" i="31"/>
  <c r="B546" i="31"/>
  <c r="B562" i="31"/>
  <c r="B578" i="31"/>
  <c r="B594" i="31"/>
  <c r="B610" i="31"/>
  <c r="C297" i="31"/>
  <c r="D330" i="31"/>
  <c r="E358" i="31"/>
  <c r="E384" i="31"/>
  <c r="C402" i="31"/>
  <c r="E416" i="31"/>
  <c r="C430" i="31"/>
  <c r="E444" i="31"/>
  <c r="D459" i="31"/>
  <c r="E472" i="31"/>
  <c r="D487" i="31"/>
  <c r="C502" i="31"/>
  <c r="D515" i="31"/>
  <c r="D527" i="31"/>
  <c r="E307" i="31"/>
  <c r="E321" i="31"/>
  <c r="C336" i="31"/>
  <c r="D350" i="31"/>
  <c r="D364" i="31"/>
  <c r="D378" i="31"/>
  <c r="C389" i="31"/>
  <c r="E399" i="31"/>
  <c r="D410" i="31"/>
  <c r="C421" i="31"/>
  <c r="E431" i="31"/>
  <c r="D442" i="31"/>
  <c r="C453" i="31"/>
  <c r="E463" i="31"/>
  <c r="D474" i="31"/>
  <c r="D313" i="31"/>
  <c r="E327" i="31"/>
  <c r="E341" i="31"/>
  <c r="D352" i="31"/>
  <c r="C363" i="31"/>
  <c r="C372" i="31"/>
  <c r="C380" i="31"/>
  <c r="C388" i="31"/>
  <c r="E394" i="31"/>
  <c r="D401" i="31"/>
  <c r="D409" i="31"/>
  <c r="C416" i="31"/>
  <c r="E422" i="31"/>
  <c r="E430" i="31"/>
  <c r="D437" i="31"/>
  <c r="C444" i="31"/>
  <c r="C452" i="31"/>
  <c r="E458" i="31"/>
  <c r="D465" i="31"/>
  <c r="D473" i="31"/>
  <c r="C480" i="31"/>
  <c r="E486" i="31"/>
  <c r="E494" i="31"/>
  <c r="D501" i="31"/>
  <c r="C508" i="31"/>
  <c r="C516" i="31"/>
  <c r="E522" i="31"/>
  <c r="D529" i="31"/>
  <c r="D537" i="31"/>
  <c r="C544" i="31"/>
  <c r="E550" i="31"/>
  <c r="E558" i="31"/>
  <c r="C564" i="31"/>
  <c r="D569" i="31"/>
  <c r="E574" i="31"/>
  <c r="C580" i="31"/>
  <c r="D585" i="31"/>
  <c r="E590" i="31"/>
  <c r="C596" i="31"/>
  <c r="D601" i="31"/>
  <c r="E606" i="31"/>
  <c r="C612" i="31"/>
  <c r="D617" i="31"/>
  <c r="E622" i="31"/>
  <c r="E626" i="31"/>
  <c r="E630" i="31"/>
  <c r="E634" i="31"/>
  <c r="E638" i="31"/>
  <c r="E642" i="31"/>
  <c r="E646" i="31"/>
  <c r="E650" i="31"/>
  <c r="E654" i="31"/>
  <c r="E658" i="31"/>
  <c r="E662" i="31"/>
  <c r="E666" i="31"/>
  <c r="E670" i="31"/>
  <c r="E674" i="31"/>
  <c r="E678" i="31"/>
  <c r="E682" i="31"/>
  <c r="E686" i="31"/>
  <c r="E690" i="31"/>
  <c r="E694" i="31"/>
  <c r="E698" i="31"/>
  <c r="E702" i="31"/>
  <c r="E706" i="31"/>
  <c r="E710" i="31"/>
  <c r="E714" i="31"/>
  <c r="E718" i="31"/>
  <c r="E722" i="31"/>
  <c r="E726" i="31"/>
  <c r="E730" i="31"/>
  <c r="E734" i="31"/>
  <c r="E738" i="31"/>
  <c r="D285" i="31"/>
  <c r="D326" i="31"/>
  <c r="E354" i="31"/>
  <c r="E381" i="31"/>
  <c r="C403" i="31"/>
  <c r="D424" i="31"/>
  <c r="E445" i="31"/>
  <c r="C467" i="31"/>
  <c r="E485" i="31"/>
  <c r="D496" i="31"/>
  <c r="C507" i="31"/>
  <c r="E517" i="31"/>
  <c r="D528" i="31"/>
  <c r="E535" i="31"/>
  <c r="C543" i="31"/>
  <c r="C550" i="31"/>
  <c r="C557" i="31"/>
  <c r="D564" i="31"/>
  <c r="D571" i="31"/>
  <c r="D578" i="31"/>
  <c r="E585" i="31"/>
  <c r="E592" i="31"/>
  <c r="E599" i="31"/>
  <c r="C607" i="31"/>
  <c r="C614" i="31"/>
  <c r="C621" i="31"/>
  <c r="B627" i="31"/>
  <c r="C632" i="31"/>
  <c r="D637" i="31"/>
  <c r="B643" i="31"/>
  <c r="C648" i="31"/>
  <c r="D653" i="31"/>
  <c r="B659" i="31"/>
  <c r="C664" i="31"/>
  <c r="D669" i="31"/>
  <c r="B675" i="31"/>
  <c r="C680" i="31"/>
  <c r="D685" i="31"/>
  <c r="B691" i="31"/>
  <c r="C696" i="31"/>
  <c r="D701" i="31"/>
  <c r="B707" i="31"/>
  <c r="C712" i="31"/>
  <c r="C321" i="31"/>
  <c r="D349" i="31"/>
  <c r="E377" i="31"/>
  <c r="C399" i="31"/>
  <c r="D420" i="31"/>
  <c r="E441" i="31"/>
  <c r="C463" i="31"/>
  <c r="E483" i="31"/>
  <c r="D494" i="31"/>
  <c r="C505" i="31"/>
  <c r="E515" i="31"/>
  <c r="D526" i="31"/>
  <c r="D534" i="31"/>
  <c r="E541" i="31"/>
  <c r="E548" i="31"/>
  <c r="E555" i="31"/>
  <c r="C563" i="31"/>
  <c r="C570" i="31"/>
  <c r="C577" i="31"/>
  <c r="D584" i="31"/>
  <c r="D591" i="31"/>
  <c r="D598" i="31"/>
  <c r="E605" i="31"/>
  <c r="E612" i="31"/>
  <c r="E619" i="31"/>
  <c r="E271" i="31"/>
  <c r="B267" i="31"/>
  <c r="B344" i="31"/>
  <c r="D251" i="31"/>
  <c r="C326" i="31"/>
  <c r="B378" i="31"/>
  <c r="B410" i="31"/>
  <c r="B442" i="31"/>
  <c r="B474" i="31"/>
  <c r="B506" i="31"/>
  <c r="B538" i="31"/>
  <c r="B570" i="31"/>
  <c r="B602" i="31"/>
  <c r="C316" i="31"/>
  <c r="C373" i="31"/>
  <c r="E408" i="31"/>
  <c r="C438" i="31"/>
  <c r="C466" i="31"/>
  <c r="C494" i="31"/>
  <c r="C522" i="31"/>
  <c r="E314" i="31"/>
  <c r="C343" i="31"/>
  <c r="E371" i="31"/>
  <c r="D394" i="31"/>
  <c r="E415" i="31"/>
  <c r="C437" i="31"/>
  <c r="D458" i="31"/>
  <c r="E479" i="31"/>
  <c r="D320" i="31"/>
  <c r="C349" i="31"/>
  <c r="E366" i="31"/>
  <c r="C384" i="31"/>
  <c r="E398" i="31"/>
  <c r="C412" i="31"/>
  <c r="E426" i="31"/>
  <c r="D441" i="31"/>
  <c r="E454" i="31"/>
  <c r="D469" i="31"/>
  <c r="C484" i="31"/>
  <c r="D497" i="31"/>
  <c r="C512" i="31"/>
  <c r="E526" i="31"/>
  <c r="C540" i="31"/>
  <c r="E554" i="31"/>
  <c r="E566" i="31"/>
  <c r="D577" i="31"/>
  <c r="C588" i="31"/>
  <c r="E598" i="31"/>
  <c r="D609" i="31"/>
  <c r="C620" i="31"/>
  <c r="E628" i="31"/>
  <c r="E636" i="31"/>
  <c r="E644" i="31"/>
  <c r="E652" i="31"/>
  <c r="E660" i="31"/>
  <c r="E668" i="31"/>
  <c r="E676" i="31"/>
  <c r="E684" i="31"/>
  <c r="E692" i="31"/>
  <c r="E700" i="31"/>
  <c r="E708" i="31"/>
  <c r="E716" i="31"/>
  <c r="E724" i="31"/>
  <c r="E732" i="31"/>
  <c r="D340" i="31"/>
  <c r="D392" i="31"/>
  <c r="C435" i="31"/>
  <c r="E477" i="31"/>
  <c r="E501" i="31"/>
  <c r="C523" i="31"/>
  <c r="D539" i="31"/>
  <c r="E553" i="31"/>
  <c r="E567" i="31"/>
  <c r="C582" i="31"/>
  <c r="D596" i="31"/>
  <c r="D610" i="31"/>
  <c r="C624" i="31"/>
  <c r="B635" i="31"/>
  <c r="D645" i="31"/>
  <c r="C656" i="31"/>
  <c r="B667" i="31"/>
  <c r="C676" i="31"/>
  <c r="B683" i="31"/>
  <c r="D689" i="31"/>
  <c r="D697" i="31"/>
  <c r="C704" i="31"/>
  <c r="B711" i="31"/>
  <c r="C328" i="31"/>
  <c r="E363" i="31"/>
  <c r="E393" i="31"/>
  <c r="E425" i="31"/>
  <c r="D452" i="31"/>
  <c r="C479" i="31"/>
  <c r="C497" i="31"/>
  <c r="D510" i="31"/>
  <c r="E523" i="31"/>
  <c r="D536" i="31"/>
  <c r="C545" i="31"/>
  <c r="C554" i="31"/>
  <c r="E564" i="31"/>
  <c r="E573" i="31"/>
  <c r="D582" i="31"/>
  <c r="C593" i="31"/>
  <c r="C602" i="31"/>
  <c r="C611" i="31"/>
  <c r="E621" i="31"/>
  <c r="C627" i="31"/>
  <c r="D632" i="31"/>
  <c r="B638" i="31"/>
  <c r="C643" i="31"/>
  <c r="D648" i="31"/>
  <c r="B654" i="31"/>
  <c r="C659" i="31"/>
  <c r="D664" i="31"/>
  <c r="B670" i="31"/>
  <c r="C675" i="31"/>
  <c r="D680" i="31"/>
  <c r="B686" i="31"/>
  <c r="C691" i="31"/>
  <c r="D696" i="31"/>
  <c r="B702" i="31"/>
  <c r="C707" i="31"/>
  <c r="D712" i="31"/>
  <c r="E322" i="31"/>
  <c r="C351" i="31"/>
  <c r="C379" i="31"/>
  <c r="D400" i="31"/>
  <c r="E421" i="31"/>
  <c r="C443" i="31"/>
  <c r="D464" i="31"/>
  <c r="D484" i="31"/>
  <c r="C495" i="31"/>
  <c r="E505" i="31"/>
  <c r="D516" i="31"/>
  <c r="C527" i="31"/>
  <c r="C535" i="31"/>
  <c r="C542" i="31"/>
  <c r="C549" i="31"/>
  <c r="D556" i="31"/>
  <c r="D563" i="31"/>
  <c r="D570" i="31"/>
  <c r="E577" i="31"/>
  <c r="E584" i="31"/>
  <c r="E591" i="31"/>
  <c r="C599" i="31"/>
  <c r="C606" i="31"/>
  <c r="C613" i="31"/>
  <c r="D620" i="31"/>
  <c r="C626" i="31"/>
  <c r="D631" i="31"/>
  <c r="B637" i="31"/>
  <c r="C642" i="31"/>
  <c r="D647" i="31"/>
  <c r="B653" i="31"/>
  <c r="C658" i="31"/>
  <c r="D663" i="31"/>
  <c r="B669" i="31"/>
  <c r="C674" i="31"/>
  <c r="D679" i="31"/>
  <c r="B685" i="31"/>
  <c r="C690" i="31"/>
  <c r="D695" i="31"/>
  <c r="B701" i="31"/>
  <c r="C706" i="31"/>
  <c r="D711" i="31"/>
  <c r="B717" i="31"/>
  <c r="C722" i="31"/>
  <c r="D727" i="31"/>
  <c r="B733" i="31"/>
  <c r="C738" i="31"/>
  <c r="D324" i="31"/>
  <c r="C353" i="31"/>
  <c r="D380" i="31"/>
  <c r="E401" i="31"/>
  <c r="C423" i="31"/>
  <c r="D444" i="31"/>
  <c r="E465" i="31"/>
  <c r="C485" i="31"/>
  <c r="E495" i="31"/>
  <c r="D506" i="31"/>
  <c r="C517" i="31"/>
  <c r="E527" i="31"/>
  <c r="D535" i="31"/>
  <c r="D542" i="31"/>
  <c r="E549" i="31"/>
  <c r="E556" i="31"/>
  <c r="E563" i="31"/>
  <c r="C571" i="31"/>
  <c r="C578" i="31"/>
  <c r="C585" i="31"/>
  <c r="D592" i="31"/>
  <c r="D599" i="31"/>
  <c r="D606" i="31"/>
  <c r="E613" i="31"/>
  <c r="E620" i="31"/>
  <c r="D626" i="31"/>
  <c r="B632" i="31"/>
  <c r="C637" i="31"/>
  <c r="D642" i="31"/>
  <c r="B648" i="31"/>
  <c r="C653" i="31"/>
  <c r="D658" i="31"/>
  <c r="B664" i="31"/>
  <c r="C669" i="31"/>
  <c r="D674" i="31"/>
  <c r="B680" i="31"/>
  <c r="C685" i="31"/>
  <c r="D690" i="31"/>
  <c r="B696" i="31"/>
  <c r="C701" i="31"/>
  <c r="D706" i="31"/>
  <c r="B712" i="31"/>
  <c r="C717" i="31"/>
  <c r="D721" i="31"/>
  <c r="D728" i="31"/>
  <c r="B736" i="31"/>
  <c r="D726" i="31"/>
  <c r="C720" i="31"/>
  <c r="C727" i="31"/>
  <c r="D734" i="31"/>
  <c r="C728" i="31"/>
  <c r="D720" i="31"/>
  <c r="B728" i="31"/>
  <c r="B735" i="31"/>
  <c r="B723" i="31"/>
  <c r="C737" i="31"/>
  <c r="B175" i="31"/>
  <c r="B322" i="31"/>
  <c r="E275" i="31"/>
  <c r="C354" i="31"/>
  <c r="B426" i="31"/>
  <c r="B490" i="31"/>
  <c r="B554" i="31"/>
  <c r="B618" i="31"/>
  <c r="D395" i="31"/>
  <c r="D451" i="31"/>
  <c r="E508" i="31"/>
  <c r="C329" i="31"/>
  <c r="E383" i="31"/>
  <c r="D426" i="31"/>
  <c r="C469" i="31"/>
  <c r="E334" i="31"/>
  <c r="E357" i="31"/>
  <c r="E390" i="31"/>
  <c r="D433" i="31"/>
  <c r="E462" i="31"/>
  <c r="E490" i="31"/>
  <c r="E518" i="31"/>
  <c r="C548" i="31"/>
  <c r="C572" i="31"/>
  <c r="D593" i="31"/>
  <c r="E614" i="31"/>
  <c r="E632" i="31"/>
  <c r="E648" i="31"/>
  <c r="E664" i="31"/>
  <c r="E680" i="31"/>
  <c r="E696" i="31"/>
  <c r="E712" i="31"/>
  <c r="E728" i="31"/>
  <c r="E736" i="31"/>
  <c r="C369" i="31"/>
  <c r="D456" i="31"/>
  <c r="D512" i="31"/>
  <c r="D546" i="31"/>
  <c r="C575" i="31"/>
  <c r="D603" i="31"/>
  <c r="D629" i="31"/>
  <c r="B651" i="31"/>
  <c r="C672" i="31"/>
  <c r="B687" i="31"/>
  <c r="C700" i="31"/>
  <c r="B715" i="31"/>
  <c r="C383" i="31"/>
  <c r="D436" i="31"/>
  <c r="C489" i="31"/>
  <c r="D518" i="31"/>
  <c r="E539" i="31"/>
  <c r="D559" i="31"/>
  <c r="C579" i="31"/>
  <c r="D607" i="31"/>
  <c r="D624" i="31"/>
  <c r="C635" i="31"/>
  <c r="B646" i="31"/>
  <c r="D656" i="31"/>
  <c r="C667" i="31"/>
  <c r="B678" i="31"/>
  <c r="D688" i="31"/>
  <c r="C699" i="31"/>
  <c r="B710" i="31"/>
  <c r="C337" i="31"/>
  <c r="D365" i="31"/>
  <c r="D432" i="31"/>
  <c r="C475" i="31"/>
  <c r="D500" i="31"/>
  <c r="E521" i="31"/>
  <c r="D538" i="31"/>
  <c r="E552" i="31"/>
  <c r="C567" i="31"/>
  <c r="C581" i="31"/>
  <c r="D595" i="31"/>
  <c r="E609" i="31"/>
  <c r="D623" i="31"/>
  <c r="C634" i="31"/>
  <c r="B645" i="31"/>
  <c r="D655" i="31"/>
  <c r="C666" i="31"/>
  <c r="B677" i="31"/>
  <c r="D687" i="31"/>
  <c r="C698" i="31"/>
  <c r="B709" i="31"/>
  <c r="D719" i="31"/>
  <c r="C730" i="31"/>
  <c r="C303" i="31"/>
  <c r="C367" i="31"/>
  <c r="D412" i="31"/>
  <c r="C455" i="31"/>
  <c r="D490" i="31"/>
  <c r="E511" i="31"/>
  <c r="E531" i="31"/>
  <c r="C546" i="31"/>
  <c r="D560" i="31"/>
  <c r="D574" i="31"/>
  <c r="E588" i="31"/>
  <c r="C603" i="31"/>
  <c r="C617" i="31"/>
  <c r="C629" i="31"/>
  <c r="B640" i="31"/>
  <c r="D650" i="31"/>
  <c r="C273" i="31"/>
  <c r="B307" i="31"/>
  <c r="B357" i="31"/>
  <c r="E297" i="31"/>
  <c r="D343" i="31"/>
  <c r="B388" i="31"/>
  <c r="B420" i="31"/>
  <c r="B452" i="31"/>
  <c r="B484" i="31"/>
  <c r="B516" i="31"/>
  <c r="B548" i="31"/>
  <c r="B580" i="31"/>
  <c r="B612" i="31"/>
  <c r="E333" i="31"/>
  <c r="D387" i="31"/>
  <c r="C418" i="31"/>
  <c r="C446" i="31"/>
  <c r="D475" i="31"/>
  <c r="D503" i="31"/>
  <c r="E528" i="31"/>
  <c r="E323" i="31"/>
  <c r="C352" i="31"/>
  <c r="E379" i="31"/>
  <c r="C401" i="31"/>
  <c r="D422" i="31"/>
  <c r="E443" i="31"/>
  <c r="C465" i="31"/>
  <c r="C285" i="31"/>
  <c r="D329" i="31"/>
  <c r="C356" i="31"/>
  <c r="E373" i="31"/>
  <c r="D389" i="31"/>
  <c r="C404" i="31"/>
  <c r="D417" i="31"/>
  <c r="C432" i="31"/>
  <c r="E446" i="31"/>
  <c r="C460" i="31"/>
  <c r="E474" i="31"/>
  <c r="D489" i="31"/>
  <c r="E502" i="31"/>
  <c r="D517" i="31"/>
  <c r="C532" i="31"/>
  <c r="D545" i="31"/>
  <c r="C560" i="31"/>
  <c r="E570" i="31"/>
  <c r="D581" i="31"/>
  <c r="C592" i="31"/>
  <c r="E602" i="31"/>
  <c r="D613" i="31"/>
  <c r="E623" i="31"/>
  <c r="E631" i="31"/>
  <c r="E639" i="31"/>
  <c r="E647" i="31"/>
  <c r="E655" i="31"/>
  <c r="E663" i="31"/>
  <c r="E671" i="31"/>
  <c r="E679" i="31"/>
  <c r="E687" i="31"/>
  <c r="E695" i="31"/>
  <c r="E703" i="31"/>
  <c r="E711" i="31"/>
  <c r="E719" i="31"/>
  <c r="E727" i="31"/>
  <c r="E735" i="31"/>
  <c r="D293" i="31"/>
  <c r="E361" i="31"/>
  <c r="D408" i="31"/>
  <c r="C451" i="31"/>
  <c r="D488" i="31"/>
  <c r="E509" i="31"/>
  <c r="D530" i="31"/>
  <c r="E544" i="31"/>
  <c r="C559" i="31"/>
  <c r="C573" i="31"/>
  <c r="D587" i="31"/>
  <c r="E601" i="31"/>
  <c r="E615" i="31"/>
  <c r="C628" i="31"/>
  <c r="B639" i="31"/>
  <c r="D649" i="31"/>
  <c r="C660" i="31"/>
  <c r="B671" i="31"/>
  <c r="D677" i="31"/>
  <c r="C684" i="31"/>
  <c r="C692" i="31"/>
  <c r="B699" i="31"/>
  <c r="D705" i="31"/>
  <c r="D713" i="31"/>
  <c r="C335" i="31"/>
  <c r="E370" i="31"/>
  <c r="D404" i="31"/>
  <c r="C431" i="31"/>
  <c r="E457" i="31"/>
  <c r="D486" i="31"/>
  <c r="E499" i="31"/>
  <c r="C513" i="31"/>
  <c r="C529" i="31"/>
  <c r="C538" i="31"/>
  <c r="C547" i="31"/>
  <c r="E557" i="31"/>
  <c r="D566" i="31"/>
  <c r="D575" i="31"/>
  <c r="C586" i="31"/>
  <c r="C595" i="31"/>
  <c r="E603" i="31"/>
  <c r="D614" i="31"/>
  <c r="C623" i="31"/>
  <c r="D628" i="31"/>
  <c r="B634" i="31"/>
  <c r="C639" i="31"/>
  <c r="D644" i="31"/>
  <c r="B650" i="31"/>
  <c r="C655" i="31"/>
  <c r="D660" i="31"/>
  <c r="B666" i="31"/>
  <c r="C671" i="31"/>
  <c r="D676" i="31"/>
  <c r="B682" i="31"/>
  <c r="C687" i="31"/>
  <c r="D692" i="31"/>
  <c r="B698" i="31"/>
  <c r="C703" i="31"/>
  <c r="D708" i="31"/>
  <c r="B714" i="31"/>
  <c r="E329" i="31"/>
  <c r="D358" i="31"/>
  <c r="D384" i="31"/>
  <c r="E405" i="31"/>
  <c r="C427" i="31"/>
  <c r="D448" i="31"/>
  <c r="E469" i="31"/>
  <c r="C487" i="31"/>
  <c r="E497" i="31"/>
  <c r="D508" i="31"/>
  <c r="C519" i="31"/>
  <c r="E529" i="31"/>
  <c r="E536" i="31"/>
  <c r="E543" i="31"/>
  <c r="C551" i="31"/>
  <c r="C558" i="31"/>
  <c r="C565" i="31"/>
  <c r="D572" i="31"/>
  <c r="D579" i="31"/>
  <c r="D586" i="31"/>
  <c r="E593" i="31"/>
  <c r="E600" i="31"/>
  <c r="E607" i="31"/>
  <c r="C615" i="31"/>
  <c r="C622" i="31"/>
  <c r="D627" i="31"/>
  <c r="B633" i="31"/>
  <c r="C638" i="31"/>
  <c r="D643" i="31"/>
  <c r="B649" i="31"/>
  <c r="C654" i="31"/>
  <c r="D659" i="31"/>
  <c r="B665" i="31"/>
  <c r="C670" i="31"/>
  <c r="D675" i="31"/>
  <c r="B681" i="31"/>
  <c r="C686" i="31"/>
  <c r="D691" i="31"/>
  <c r="B697" i="31"/>
  <c r="C702" i="31"/>
  <c r="D707" i="31"/>
  <c r="B713" i="31"/>
  <c r="C718" i="31"/>
  <c r="D723" i="31"/>
  <c r="B729" i="31"/>
  <c r="C734" i="31"/>
  <c r="E331" i="31"/>
  <c r="C360" i="31"/>
  <c r="E385" i="31"/>
  <c r="C407" i="31"/>
  <c r="D428" i="31"/>
  <c r="E449" i="31"/>
  <c r="C471" i="31"/>
  <c r="E487" i="31"/>
  <c r="D498" i="31"/>
  <c r="C509" i="31"/>
  <c r="E519" i="31"/>
  <c r="C530" i="31"/>
  <c r="C537" i="31"/>
  <c r="D544" i="31"/>
  <c r="D551" i="31"/>
  <c r="D558" i="31"/>
  <c r="E565" i="31"/>
  <c r="E572" i="31"/>
  <c r="E579" i="31"/>
  <c r="C587" i="31"/>
  <c r="C594" i="31"/>
  <c r="C601" i="31"/>
  <c r="D608" i="31"/>
  <c r="D615" i="31"/>
  <c r="D622" i="31"/>
  <c r="B628" i="31"/>
  <c r="C633" i="31"/>
  <c r="D638" i="31"/>
  <c r="B644" i="31"/>
  <c r="C649" i="31"/>
  <c r="D654" i="31"/>
  <c r="B660" i="31"/>
  <c r="C665" i="31"/>
  <c r="D670" i="31"/>
  <c r="B676" i="31"/>
  <c r="C681" i="31"/>
  <c r="D686" i="31"/>
  <c r="B692" i="31"/>
  <c r="C697" i="31"/>
  <c r="D702" i="31"/>
  <c r="B708" i="31"/>
  <c r="C713" i="31"/>
  <c r="C715" i="31"/>
  <c r="C723" i="31"/>
  <c r="D730" i="31"/>
  <c r="D737" i="31"/>
  <c r="D733" i="31"/>
  <c r="B722" i="31"/>
  <c r="C729" i="31"/>
  <c r="C736" i="31"/>
  <c r="C735" i="31"/>
  <c r="D722" i="31"/>
  <c r="D729" i="31"/>
  <c r="D736" i="31"/>
  <c r="D724" i="31"/>
  <c r="B365" i="31"/>
  <c r="B394" i="31"/>
  <c r="B458" i="31"/>
  <c r="B522" i="31"/>
  <c r="B586" i="31"/>
  <c r="D344" i="31"/>
  <c r="D423" i="31"/>
  <c r="E480" i="31"/>
  <c r="E283" i="31"/>
  <c r="D357" i="31"/>
  <c r="C405" i="31"/>
  <c r="E447" i="31"/>
  <c r="E295" i="31"/>
  <c r="D377" i="31"/>
  <c r="D405" i="31"/>
  <c r="C420" i="31"/>
  <c r="C448" i="31"/>
  <c r="C476" i="31"/>
  <c r="D505" i="31"/>
  <c r="D533" i="31"/>
  <c r="D561" i="31"/>
  <c r="E582" i="31"/>
  <c r="C604" i="31"/>
  <c r="E624" i="31"/>
  <c r="E640" i="31"/>
  <c r="E656" i="31"/>
  <c r="E672" i="31"/>
  <c r="E688" i="31"/>
  <c r="E704" i="31"/>
  <c r="E720" i="31"/>
  <c r="C305" i="31"/>
  <c r="E413" i="31"/>
  <c r="C491" i="31"/>
  <c r="D532" i="31"/>
  <c r="E560" i="31"/>
  <c r="C589" i="31"/>
  <c r="E617" i="31"/>
  <c r="C640" i="31"/>
  <c r="D661" i="31"/>
  <c r="B679" i="31"/>
  <c r="D693" i="31"/>
  <c r="C708" i="31"/>
  <c r="D342" i="31"/>
  <c r="E409" i="31"/>
  <c r="D468" i="31"/>
  <c r="D502" i="31"/>
  <c r="C531" i="31"/>
  <c r="D550" i="31"/>
  <c r="D568" i="31"/>
  <c r="E587" i="31"/>
  <c r="E596" i="31"/>
  <c r="D616" i="31"/>
  <c r="B630" i="31"/>
  <c r="D640" i="31"/>
  <c r="C651" i="31"/>
  <c r="B662" i="31"/>
  <c r="D672" i="31"/>
  <c r="C683" i="31"/>
  <c r="B694" i="31"/>
  <c r="D704" i="31"/>
  <c r="D301" i="31"/>
  <c r="E389" i="31"/>
  <c r="C411" i="31"/>
  <c r="E453" i="31"/>
  <c r="E489" i="31"/>
  <c r="C511" i="31"/>
  <c r="D531" i="31"/>
  <c r="E545" i="31"/>
  <c r="E559" i="31"/>
  <c r="C574" i="31"/>
  <c r="D588" i="31"/>
  <c r="D602" i="31"/>
  <c r="E616" i="31"/>
  <c r="B629" i="31"/>
  <c r="D639" i="31"/>
  <c r="C650" i="31"/>
  <c r="B661" i="31"/>
  <c r="D671" i="31"/>
  <c r="C682" i="31"/>
  <c r="B693" i="31"/>
  <c r="D703" i="31"/>
  <c r="C714" i="31"/>
  <c r="B725" i="31"/>
  <c r="D735" i="31"/>
  <c r="E338" i="31"/>
  <c r="C391" i="31"/>
  <c r="E433" i="31"/>
  <c r="D476" i="31"/>
  <c r="C501" i="31"/>
  <c r="D522" i="31"/>
  <c r="C539" i="31"/>
  <c r="C553" i="31"/>
  <c r="D567" i="31"/>
  <c r="E581" i="31"/>
  <c r="E595" i="31"/>
  <c r="C610" i="31"/>
  <c r="B624" i="31"/>
  <c r="D634" i="31"/>
  <c r="C645" i="31"/>
  <c r="B656" i="31"/>
  <c r="D315" i="31"/>
  <c r="B468" i="31"/>
  <c r="B596" i="31"/>
  <c r="E432" i="31"/>
  <c r="D309" i="31"/>
  <c r="E411" i="31"/>
  <c r="C315" i="31"/>
  <c r="C396" i="31"/>
  <c r="D453" i="31"/>
  <c r="E510" i="31"/>
  <c r="D565" i="31"/>
  <c r="C608" i="31"/>
  <c r="E643" i="31"/>
  <c r="E675" i="31"/>
  <c r="E707" i="31"/>
  <c r="D472" i="31"/>
  <c r="E551" i="31"/>
  <c r="E608" i="31"/>
  <c r="B655" i="31"/>
  <c r="C688" i="31"/>
  <c r="E313" i="31"/>
  <c r="C447" i="31"/>
  <c r="C521" i="31"/>
  <c r="C561" i="31"/>
  <c r="D600" i="31"/>
  <c r="C631" i="31"/>
  <c r="D652" i="31"/>
  <c r="B674" i="31"/>
  <c r="C695" i="31"/>
  <c r="E315" i="31"/>
  <c r="D416" i="31"/>
  <c r="D492" i="31"/>
  <c r="C533" i="31"/>
  <c r="E561" i="31"/>
  <c r="C590" i="31"/>
  <c r="D618" i="31"/>
  <c r="B641" i="31"/>
  <c r="C662" i="31"/>
  <c r="D683" i="31"/>
  <c r="B705" i="31"/>
  <c r="C726" i="31"/>
  <c r="E345" i="31"/>
  <c r="C439" i="31"/>
  <c r="E503" i="31"/>
  <c r="E540" i="31"/>
  <c r="C569" i="31"/>
  <c r="E597" i="31"/>
  <c r="C625" i="31"/>
  <c r="D646" i="31"/>
  <c r="D662" i="31"/>
  <c r="C673" i="31"/>
  <c r="B684" i="31"/>
  <c r="D694" i="31"/>
  <c r="C705" i="31"/>
  <c r="B716" i="31"/>
  <c r="B727" i="31"/>
  <c r="C719" i="31"/>
  <c r="D725" i="31"/>
  <c r="C721" i="31"/>
  <c r="B726" i="31"/>
  <c r="D717" i="31"/>
  <c r="C370" i="31"/>
  <c r="B500" i="31"/>
  <c r="E301" i="31"/>
  <c r="E460" i="31"/>
  <c r="E337" i="31"/>
  <c r="C433" i="31"/>
  <c r="E343" i="31"/>
  <c r="E410" i="31"/>
  <c r="C468" i="31"/>
  <c r="C524" i="31"/>
  <c r="C576" i="31"/>
  <c r="E618" i="31"/>
  <c r="E651" i="31"/>
  <c r="E683" i="31"/>
  <c r="E715" i="31"/>
  <c r="D333" i="31"/>
  <c r="C499" i="31"/>
  <c r="C566" i="31"/>
  <c r="B623" i="31"/>
  <c r="D665" i="31"/>
  <c r="B695" i="31"/>
  <c r="D356" i="31"/>
  <c r="E473" i="31"/>
  <c r="E532" i="31"/>
  <c r="E571" i="31"/>
  <c r="C609" i="31"/>
  <c r="D636" i="31"/>
  <c r="B658" i="31"/>
  <c r="C679" i="31"/>
  <c r="D700" i="31"/>
  <c r="C344" i="31"/>
  <c r="E437" i="31"/>
  <c r="C503" i="31"/>
  <c r="D540" i="31"/>
  <c r="E568" i="31"/>
  <c r="C597" i="31"/>
  <c r="B625" i="31"/>
  <c r="C646" i="31"/>
  <c r="D667" i="31"/>
  <c r="B689" i="31"/>
  <c r="C710" i="31"/>
  <c r="D731" i="31"/>
  <c r="D374" i="31"/>
  <c r="D460" i="31"/>
  <c r="D514" i="31"/>
  <c r="E547" i="31"/>
  <c r="D576" i="31"/>
  <c r="E604" i="31"/>
  <c r="D630" i="31"/>
  <c r="B652" i="31"/>
  <c r="D666" i="31"/>
  <c r="C677" i="31"/>
  <c r="B688" i="31"/>
  <c r="D698" i="31"/>
  <c r="C709" i="31"/>
  <c r="B718" i="31"/>
  <c r="C732" i="31"/>
  <c r="C716" i="31"/>
  <c r="B731" i="31"/>
  <c r="D716" i="31"/>
  <c r="C731" i="31"/>
  <c r="B730" i="31"/>
  <c r="B336" i="31"/>
  <c r="B404" i="31"/>
  <c r="B532" i="31"/>
  <c r="D362" i="31"/>
  <c r="E488" i="31"/>
  <c r="D366" i="31"/>
  <c r="D454" i="31"/>
  <c r="C365" i="31"/>
  <c r="D425" i="31"/>
  <c r="D481" i="31"/>
  <c r="E538" i="31"/>
  <c r="E586" i="31"/>
  <c r="E627" i="31"/>
  <c r="E659" i="31"/>
  <c r="E691" i="31"/>
  <c r="E723" i="31"/>
  <c r="C387" i="31"/>
  <c r="D520" i="31"/>
  <c r="D580" i="31"/>
  <c r="D633" i="31"/>
  <c r="D673" i="31"/>
  <c r="B703" i="31"/>
  <c r="D388" i="31"/>
  <c r="E491" i="31"/>
  <c r="D543" i="31"/>
  <c r="E580" i="31"/>
  <c r="C618" i="31"/>
  <c r="B642" i="31"/>
  <c r="C663" i="31"/>
  <c r="D684" i="31"/>
  <c r="B706" i="31"/>
  <c r="D372" i="31"/>
  <c r="C459" i="31"/>
  <c r="E513" i="31"/>
  <c r="D547" i="31"/>
  <c r="E575" i="31"/>
  <c r="D604" i="31"/>
  <c r="C630" i="31"/>
  <c r="D651" i="31"/>
  <c r="B673" i="31"/>
  <c r="C694" i="31"/>
  <c r="D715" i="31"/>
  <c r="B737" i="31"/>
  <c r="D396" i="31"/>
  <c r="E481" i="31"/>
  <c r="C525" i="31"/>
  <c r="C555" i="31"/>
  <c r="D583" i="31"/>
  <c r="E611" i="31"/>
  <c r="B636" i="31"/>
  <c r="C657" i="31"/>
  <c r="B668" i="31"/>
  <c r="D678" i="31"/>
  <c r="C689" i="31"/>
  <c r="B700" i="31"/>
  <c r="D710" i="31"/>
  <c r="B720" i="31"/>
  <c r="B734" i="31"/>
  <c r="D718" i="31"/>
  <c r="D732" i="31"/>
  <c r="B719" i="31"/>
  <c r="C733" i="31"/>
  <c r="B732" i="31"/>
  <c r="B436" i="31"/>
  <c r="B564" i="31"/>
  <c r="D403" i="31"/>
  <c r="C518" i="31"/>
  <c r="D390" i="31"/>
  <c r="E475" i="31"/>
  <c r="E382" i="31"/>
  <c r="E438" i="31"/>
  <c r="C496" i="31"/>
  <c r="D553" i="31"/>
  <c r="D597" i="31"/>
  <c r="E635" i="31"/>
  <c r="E667" i="31"/>
  <c r="E699" i="31"/>
  <c r="E731" i="31"/>
  <c r="E429" i="31"/>
  <c r="E537" i="31"/>
  <c r="D594" i="31"/>
  <c r="C644" i="31"/>
  <c r="D681" i="31"/>
  <c r="D709" i="31"/>
  <c r="C415" i="31"/>
  <c r="E507" i="31"/>
  <c r="D552" i="31"/>
  <c r="E589" i="31"/>
  <c r="B626" i="31"/>
  <c r="C647" i="31"/>
  <c r="D668" i="31"/>
  <c r="B690" i="31"/>
  <c r="C711" i="31"/>
  <c r="C395" i="31"/>
  <c r="D480" i="31"/>
  <c r="D524" i="31"/>
  <c r="D554" i="31"/>
  <c r="C583" i="31"/>
  <c r="D611" i="31"/>
  <c r="D635" i="31"/>
  <c r="B657" i="31"/>
  <c r="C678" i="31"/>
  <c r="D699" i="31"/>
  <c r="B721" i="31"/>
  <c r="D317" i="31"/>
  <c r="E417" i="31"/>
  <c r="C493" i="31"/>
  <c r="E533" i="31"/>
  <c r="C562" i="31"/>
  <c r="D590" i="31"/>
  <c r="C619" i="31"/>
  <c r="C641" i="31"/>
  <c r="C661" i="31"/>
  <c r="B672" i="31"/>
  <c r="D682" i="31"/>
  <c r="C693" i="31"/>
  <c r="B704" i="31"/>
  <c r="D714" i="31"/>
  <c r="C725" i="31"/>
  <c r="B724" i="31"/>
  <c r="B738" i="31"/>
  <c r="C724" i="31"/>
  <c r="D738" i="31"/>
  <c r="E145" i="31"/>
  <c r="B13" i="31"/>
  <c r="C187" i="31"/>
  <c r="C179" i="31"/>
  <c r="C213" i="31"/>
  <c r="B51" i="31"/>
  <c r="C205" i="31"/>
  <c r="D5" i="31"/>
  <c r="E24" i="31"/>
  <c r="B193" i="31"/>
  <c r="C29" i="31"/>
  <c r="B147" i="31"/>
  <c r="E22" i="31"/>
  <c r="B231" i="31"/>
  <c r="B233" i="31"/>
  <c r="B247" i="31"/>
  <c r="D165" i="31"/>
  <c r="E133" i="31"/>
  <c r="C37" i="31"/>
  <c r="E19" i="31"/>
  <c r="E7" i="31"/>
  <c r="C199" i="31"/>
  <c r="C27" i="31"/>
  <c r="C137" i="31"/>
  <c r="C53" i="31"/>
  <c r="D125" i="31"/>
  <c r="C99" i="31"/>
  <c r="E45" i="31"/>
  <c r="B139" i="31"/>
  <c r="D169" i="31"/>
  <c r="D219" i="31"/>
  <c r="E167" i="31"/>
  <c r="B129" i="31"/>
  <c r="B113" i="31"/>
  <c r="B109" i="31"/>
  <c r="C55" i="31"/>
  <c r="D61" i="31"/>
  <c r="C16" i="31"/>
  <c r="E121" i="31"/>
  <c r="B21" i="31"/>
  <c r="B43" i="31"/>
  <c r="B91" i="31"/>
  <c r="E159" i="31"/>
  <c r="B69" i="31"/>
  <c r="D207" i="31"/>
  <c r="D35" i="31"/>
  <c r="D23" i="31"/>
  <c r="B14" i="31"/>
  <c r="E63" i="31"/>
  <c r="D39" i="31"/>
  <c r="D31" i="31"/>
  <c r="B141" i="31"/>
  <c r="C117" i="31"/>
  <c r="B161" i="31"/>
  <c r="B153" i="31"/>
  <c r="D59" i="31"/>
  <c r="D175" i="31"/>
  <c r="C241" i="31"/>
  <c r="C312" i="31"/>
  <c r="C278" i="31"/>
  <c r="E310" i="31"/>
  <c r="E312" i="31"/>
  <c r="E270" i="31"/>
  <c r="D300" i="31"/>
  <c r="B264" i="31"/>
  <c r="D264" i="31"/>
  <c r="C148" i="31"/>
  <c r="D134" i="31"/>
  <c r="D250" i="31"/>
  <c r="E206" i="31"/>
  <c r="D142" i="31"/>
  <c r="C154" i="31"/>
  <c r="C270" i="31"/>
  <c r="C254" i="31"/>
  <c r="C238" i="31"/>
  <c r="C206" i="31"/>
  <c r="B142" i="31"/>
  <c r="C68" i="31"/>
  <c r="B138" i="31"/>
  <c r="B122" i="31"/>
  <c r="B106" i="31"/>
  <c r="B90" i="31"/>
  <c r="E150" i="31"/>
  <c r="E134" i="31"/>
  <c r="E118" i="31"/>
  <c r="C86" i="31"/>
  <c r="E52" i="31"/>
  <c r="D38" i="31"/>
  <c r="D6" i="31"/>
  <c r="C32" i="31"/>
  <c r="B84" i="31"/>
  <c r="B68" i="31"/>
  <c r="B52" i="31"/>
  <c r="B36" i="31"/>
  <c r="D290" i="31"/>
  <c r="B204" i="31"/>
  <c r="E284" i="31"/>
  <c r="D288" i="31"/>
  <c r="D138" i="31"/>
  <c r="E228" i="31"/>
  <c r="B306" i="31"/>
  <c r="B290" i="31"/>
  <c r="D268" i="31"/>
  <c r="E238" i="31"/>
  <c r="D254" i="31"/>
  <c r="D122" i="31"/>
  <c r="D210" i="31"/>
  <c r="D178" i="31"/>
  <c r="D156" i="31"/>
  <c r="E84" i="31"/>
  <c r="E32" i="31"/>
  <c r="C304" i="31"/>
  <c r="C310" i="31"/>
  <c r="E254" i="31"/>
  <c r="D292" i="31"/>
  <c r="B196" i="31"/>
  <c r="D224" i="31"/>
  <c r="D80" i="31"/>
  <c r="D110" i="31"/>
  <c r="D258" i="31"/>
  <c r="E208" i="31"/>
  <c r="D150" i="31"/>
  <c r="D92" i="31"/>
  <c r="C264" i="31"/>
  <c r="C216" i="31"/>
  <c r="C184" i="31"/>
  <c r="E6" i="31"/>
  <c r="B124" i="31"/>
  <c r="B108" i="31"/>
  <c r="B92" i="31"/>
  <c r="E136" i="31"/>
  <c r="E44" i="31"/>
  <c r="D52" i="31"/>
  <c r="D36" i="31"/>
  <c r="C46" i="31"/>
  <c r="C30" i="31"/>
  <c r="B82" i="31"/>
  <c r="D310" i="31"/>
  <c r="D302" i="31"/>
  <c r="D312" i="31"/>
  <c r="C298" i="31"/>
  <c r="B246" i="31"/>
  <c r="E276" i="31"/>
  <c r="B312" i="31"/>
  <c r="B296" i="31"/>
  <c r="B280" i="31"/>
  <c r="D228" i="31"/>
  <c r="B236" i="31"/>
  <c r="D154" i="31"/>
  <c r="D84" i="31"/>
  <c r="D208" i="31"/>
  <c r="B154" i="31"/>
  <c r="C118" i="31"/>
  <c r="C80" i="31"/>
  <c r="B145" i="31"/>
  <c r="E13" i="31"/>
  <c r="B187" i="31"/>
  <c r="D179" i="31"/>
  <c r="B213" i="31"/>
  <c r="D51" i="31"/>
  <c r="D205" i="31"/>
  <c r="B5" i="31"/>
  <c r="C193" i="31"/>
  <c r="D29" i="31"/>
  <c r="E147" i="31"/>
  <c r="D22" i="31"/>
  <c r="C231" i="31"/>
  <c r="E233" i="31"/>
  <c r="C247" i="31"/>
  <c r="C165" i="31"/>
  <c r="D133" i="31"/>
  <c r="E37" i="31"/>
  <c r="B19" i="31"/>
  <c r="B7" i="31"/>
  <c r="B199" i="31"/>
  <c r="E27" i="31"/>
  <c r="B137" i="31"/>
  <c r="E53" i="31"/>
  <c r="B99" i="31"/>
  <c r="E125" i="31"/>
  <c r="C45" i="31"/>
  <c r="D139" i="31"/>
  <c r="C169" i="31"/>
  <c r="C219" i="31"/>
  <c r="B167" i="31"/>
  <c r="C129" i="31"/>
  <c r="D113" i="31"/>
  <c r="C109" i="31"/>
  <c r="D55" i="31"/>
  <c r="B61" i="31"/>
  <c r="E16" i="31"/>
  <c r="B121" i="31"/>
  <c r="D21" i="31"/>
  <c r="D43" i="31"/>
  <c r="E91" i="31"/>
  <c r="C159" i="31"/>
  <c r="C69" i="31"/>
  <c r="B207" i="31"/>
  <c r="C35" i="31"/>
  <c r="E23" i="31"/>
  <c r="C14" i="31"/>
  <c r="C63" i="31"/>
  <c r="E39" i="31"/>
  <c r="B31" i="31"/>
  <c r="C141" i="31"/>
  <c r="D117" i="31"/>
  <c r="D161" i="31"/>
  <c r="C153" i="31"/>
  <c r="E59" i="31"/>
  <c r="E175" i="31"/>
  <c r="D241" i="31"/>
  <c r="E290" i="31"/>
  <c r="B222" i="31"/>
  <c r="D294" i="31"/>
  <c r="C302" i="31"/>
  <c r="B260" i="31"/>
  <c r="D284" i="31"/>
  <c r="D114" i="31"/>
  <c r="B224" i="31"/>
  <c r="D280" i="31"/>
  <c r="E202" i="31"/>
  <c r="E186" i="31"/>
  <c r="B164" i="31"/>
  <c r="C136" i="31"/>
  <c r="D116" i="31"/>
  <c r="C266" i="31"/>
  <c r="C250" i="31"/>
  <c r="C218" i="31"/>
  <c r="C202" i="31"/>
  <c r="C186" i="31"/>
  <c r="B134" i="31"/>
  <c r="B118" i="31"/>
  <c r="E130" i="31"/>
  <c r="E114" i="31"/>
  <c r="E98" i="31"/>
  <c r="E80" i="31"/>
  <c r="E36" i="31"/>
  <c r="C60" i="31"/>
  <c r="C44" i="31"/>
  <c r="C28" i="31"/>
  <c r="B80" i="31"/>
  <c r="B64" i="31"/>
  <c r="B48" i="31"/>
  <c r="B32" i="31"/>
  <c r="C288" i="31"/>
  <c r="E268" i="31"/>
  <c r="C306" i="31"/>
  <c r="B268" i="31"/>
  <c r="E264" i="31"/>
  <c r="E280" i="31"/>
  <c r="B302" i="31"/>
  <c r="B286" i="31"/>
  <c r="D252" i="31"/>
  <c r="C164" i="31"/>
  <c r="B228" i="31"/>
  <c r="D238" i="31"/>
  <c r="C134" i="31"/>
  <c r="D206" i="31"/>
  <c r="C145" i="31"/>
  <c r="D13" i="31"/>
  <c r="D187" i="31"/>
  <c r="E179" i="31"/>
  <c r="E213" i="31"/>
  <c r="E51" i="31"/>
  <c r="E205" i="31"/>
  <c r="C5" i="31"/>
  <c r="D193" i="31"/>
  <c r="B29" i="31"/>
  <c r="C147" i="31"/>
  <c r="B22" i="31"/>
  <c r="E231" i="31"/>
  <c r="D233" i="31"/>
  <c r="E247" i="31"/>
  <c r="E165" i="31"/>
  <c r="B133" i="31"/>
  <c r="D37" i="31"/>
  <c r="C19" i="31"/>
  <c r="C7" i="31"/>
  <c r="D199" i="31"/>
  <c r="B27" i="31"/>
  <c r="E137" i="31"/>
  <c r="D53" i="31"/>
  <c r="B125" i="31"/>
  <c r="E99" i="31"/>
  <c r="D45" i="31"/>
  <c r="E139" i="31"/>
  <c r="E169" i="31"/>
  <c r="B219" i="31"/>
  <c r="C167" i="31"/>
  <c r="E129" i="31"/>
  <c r="E113" i="31"/>
  <c r="E109" i="31"/>
  <c r="E55" i="31"/>
  <c r="E61" i="31"/>
  <c r="B16" i="31"/>
  <c r="D121" i="31"/>
  <c r="E21" i="31"/>
  <c r="C43" i="31"/>
  <c r="C91" i="31"/>
  <c r="D159" i="31"/>
  <c r="E69" i="31"/>
  <c r="E207" i="31"/>
  <c r="E35" i="31"/>
  <c r="B23" i="31"/>
  <c r="E14" i="31"/>
  <c r="B63" i="31"/>
  <c r="B39" i="31"/>
  <c r="E31" i="31"/>
  <c r="D141" i="31"/>
  <c r="E117" i="31"/>
  <c r="C161" i="31"/>
  <c r="D153" i="31"/>
  <c r="C59" i="31"/>
  <c r="B241" i="31"/>
  <c r="C207" i="31"/>
  <c r="C300" i="31"/>
  <c r="C282" i="31"/>
  <c r="E296" i="31"/>
  <c r="E256" i="31"/>
  <c r="E282" i="31"/>
  <c r="B208" i="31"/>
  <c r="E250" i="31"/>
  <c r="D276" i="31"/>
  <c r="C156" i="31"/>
  <c r="E198" i="31"/>
  <c r="E182" i="31"/>
  <c r="D158" i="31"/>
  <c r="D100" i="31"/>
  <c r="C262" i="31"/>
  <c r="C246" i="31"/>
  <c r="C198" i="31"/>
  <c r="C182" i="31"/>
  <c r="B158" i="31"/>
  <c r="C84" i="31"/>
  <c r="E46" i="31"/>
  <c r="B130" i="31"/>
  <c r="B114" i="31"/>
  <c r="B98" i="31"/>
  <c r="E158" i="31"/>
  <c r="E142" i="31"/>
  <c r="E126" i="31"/>
  <c r="E110" i="31"/>
  <c r="D46" i="31"/>
  <c r="D30" i="31"/>
  <c r="C56" i="31"/>
  <c r="C24" i="31"/>
  <c r="B60" i="31"/>
  <c r="B44" i="31"/>
  <c r="E260" i="31"/>
  <c r="E286" i="31"/>
  <c r="E300" i="31"/>
  <c r="B254" i="31"/>
  <c r="B272" i="31"/>
  <c r="D64" i="31"/>
  <c r="B298" i="31"/>
  <c r="B282" i="31"/>
  <c r="D236" i="31"/>
  <c r="D98" i="31"/>
  <c r="D126" i="31"/>
  <c r="D202" i="31"/>
  <c r="C158" i="31"/>
  <c r="D172" i="31"/>
  <c r="C72" i="31"/>
  <c r="E68" i="31"/>
  <c r="E306" i="31"/>
  <c r="D298" i="31"/>
  <c r="B238" i="31"/>
  <c r="C294" i="31"/>
  <c r="B262" i="31"/>
  <c r="E258" i="31"/>
  <c r="D256" i="31"/>
  <c r="B210" i="31"/>
  <c r="D278" i="31"/>
  <c r="E184" i="31"/>
  <c r="C132" i="31"/>
  <c r="D124" i="31"/>
  <c r="C272" i="31"/>
  <c r="C256" i="31"/>
  <c r="C224" i="31"/>
  <c r="C208" i="31"/>
  <c r="B132" i="31"/>
  <c r="B116" i="31"/>
  <c r="B100" i="31"/>
  <c r="E72" i="31"/>
  <c r="D60" i="31"/>
  <c r="D44" i="31"/>
  <c r="C38" i="31"/>
  <c r="C6" i="31"/>
  <c r="C280" i="31"/>
  <c r="C276" i="31"/>
  <c r="E252" i="31"/>
  <c r="E262" i="31"/>
  <c r="D296" i="31"/>
  <c r="B256" i="31"/>
  <c r="B304" i="31"/>
  <c r="B288" i="31"/>
  <c r="D260" i="31"/>
  <c r="B198" i="31"/>
  <c r="D246" i="31"/>
  <c r="C138" i="31"/>
  <c r="D216" i="31"/>
  <c r="D184" i="31"/>
  <c r="C150" i="31"/>
  <c r="C126" i="31"/>
  <c r="C110" i="31"/>
  <c r="C64" i="31"/>
  <c r="E56" i="31"/>
  <c r="D145" i="31"/>
  <c r="C13" i="31"/>
  <c r="E187" i="31"/>
  <c r="B179" i="31"/>
  <c r="D213" i="31"/>
  <c r="C51" i="31"/>
  <c r="B205" i="31"/>
  <c r="E5" i="31"/>
  <c r="E193" i="31"/>
  <c r="E29" i="31"/>
  <c r="D147" i="31"/>
  <c r="C22" i="31"/>
  <c r="D231" i="31"/>
  <c r="C233" i="31"/>
  <c r="D247" i="31"/>
  <c r="B165" i="31"/>
  <c r="C133" i="31"/>
  <c r="B37" i="31"/>
  <c r="D19" i="31"/>
  <c r="D7" i="31"/>
  <c r="E199" i="31"/>
  <c r="D27" i="31"/>
  <c r="D137" i="31"/>
  <c r="B53" i="31"/>
  <c r="C125" i="31"/>
  <c r="D99" i="31"/>
  <c r="B45" i="31"/>
  <c r="C139" i="31"/>
  <c r="B169" i="31"/>
  <c r="E219" i="31"/>
  <c r="D167" i="31"/>
  <c r="D129" i="31"/>
  <c r="C113" i="31"/>
  <c r="D109" i="31"/>
  <c r="B55" i="31"/>
  <c r="C61" i="31"/>
  <c r="D16" i="31"/>
  <c r="C121" i="31"/>
  <c r="C21" i="31"/>
  <c r="E43" i="31"/>
  <c r="D91" i="31"/>
  <c r="B159" i="31"/>
  <c r="D69" i="31"/>
  <c r="B35" i="31"/>
  <c r="C23" i="31"/>
  <c r="D14" i="31"/>
  <c r="D63" i="31"/>
  <c r="C39" i="31"/>
  <c r="C31" i="31"/>
  <c r="E141" i="31"/>
  <c r="B117" i="31"/>
  <c r="E161" i="31"/>
  <c r="E153" i="31"/>
  <c r="B59" i="31"/>
  <c r="C175" i="31"/>
  <c r="E241" i="31"/>
  <c r="D308" i="31"/>
  <c r="E302" i="31"/>
  <c r="B266" i="31"/>
  <c r="C286" i="31"/>
  <c r="B184" i="31"/>
  <c r="E274" i="31"/>
  <c r="D130" i="31"/>
  <c r="B178" i="31"/>
  <c r="D266" i="31"/>
  <c r="D132" i="31"/>
  <c r="E178" i="31"/>
  <c r="B148" i="31"/>
  <c r="C274" i="31"/>
  <c r="C258" i="31"/>
  <c r="C210" i="31"/>
  <c r="C178" i="31"/>
  <c r="E78" i="31"/>
  <c r="E30" i="31"/>
  <c r="B126" i="31"/>
  <c r="B110" i="31"/>
  <c r="E154" i="31"/>
  <c r="E138" i="31"/>
  <c r="E122" i="31"/>
  <c r="E106" i="31"/>
  <c r="E90" i="31"/>
  <c r="E64" i="31"/>
  <c r="D42" i="31"/>
  <c r="C52" i="31"/>
  <c r="C36" i="31"/>
  <c r="B72" i="31"/>
  <c r="B56" i="31"/>
  <c r="B40" i="31"/>
  <c r="B24" i="31"/>
  <c r="C308" i="31"/>
  <c r="B274" i="31"/>
  <c r="C290" i="31"/>
  <c r="E220" i="31"/>
  <c r="E210" i="31"/>
  <c r="B250" i="31"/>
  <c r="B310" i="31"/>
  <c r="B294" i="31"/>
  <c r="B278" i="31"/>
  <c r="B220" i="31"/>
  <c r="B244" i="31"/>
  <c r="B206" i="31"/>
  <c r="D270" i="31"/>
  <c r="C172" i="31"/>
  <c r="D198" i="31"/>
  <c r="D182" i="31"/>
  <c r="C142" i="31"/>
  <c r="C124" i="31"/>
  <c r="C108" i="31"/>
  <c r="C92" i="31"/>
  <c r="D78" i="31"/>
  <c r="E48" i="31"/>
  <c r="D190" i="31"/>
  <c r="C116" i="31"/>
  <c r="B258" i="31"/>
  <c r="E288" i="31"/>
  <c r="D274" i="31"/>
  <c r="E196" i="31"/>
  <c r="B156" i="31"/>
  <c r="D108" i="31"/>
  <c r="C252" i="31"/>
  <c r="C220" i="31"/>
  <c r="C188" i="31"/>
  <c r="E86" i="31"/>
  <c r="B96" i="31"/>
  <c r="E156" i="31"/>
  <c r="E124" i="31"/>
  <c r="E92" i="31"/>
  <c r="D56" i="31"/>
  <c r="D24" i="31"/>
  <c r="B38" i="31"/>
  <c r="D304" i="31"/>
  <c r="E308" i="31"/>
  <c r="B270" i="31"/>
  <c r="E216" i="31"/>
  <c r="B284" i="31"/>
  <c r="E246" i="31"/>
  <c r="C130" i="31"/>
  <c r="D196" i="31"/>
  <c r="C122" i="31"/>
  <c r="C90" i="31"/>
  <c r="C82" i="31"/>
  <c r="C174" i="31"/>
  <c r="C100" i="31"/>
  <c r="E294" i="31"/>
  <c r="E236" i="31"/>
  <c r="E278" i="31"/>
  <c r="B218" i="31"/>
  <c r="B202" i="31"/>
  <c r="D242" i="31"/>
  <c r="E188" i="31"/>
  <c r="B140" i="31"/>
  <c r="D72" i="31"/>
  <c r="C244" i="31"/>
  <c r="C212" i="31"/>
  <c r="C180" i="31"/>
  <c r="E70" i="31"/>
  <c r="B120" i="31"/>
  <c r="D82" i="31"/>
  <c r="E148" i="31"/>
  <c r="E116" i="31"/>
  <c r="C78" i="31"/>
  <c r="D48" i="31"/>
  <c r="C58" i="31"/>
  <c r="C26" i="31"/>
  <c r="B62" i="31"/>
  <c r="B30" i="31"/>
  <c r="C292" i="31"/>
  <c r="E292" i="31"/>
  <c r="E224" i="31"/>
  <c r="B308" i="31"/>
  <c r="B276" i="31"/>
  <c r="E230" i="31"/>
  <c r="D90" i="31"/>
  <c r="D220" i="31"/>
  <c r="D188" i="31"/>
  <c r="D88" i="31"/>
  <c r="C114" i="31"/>
  <c r="E74" i="31"/>
  <c r="D96" i="31"/>
  <c r="E82" i="31"/>
  <c r="C296" i="31"/>
  <c r="D118" i="31"/>
  <c r="E244" i="31"/>
  <c r="D136" i="31"/>
  <c r="D106" i="31"/>
  <c r="E180" i="31"/>
  <c r="D68" i="31"/>
  <c r="C268" i="31"/>
  <c r="C236" i="31"/>
  <c r="C204" i="31"/>
  <c r="E38" i="31"/>
  <c r="E172" i="31"/>
  <c r="E108" i="31"/>
  <c r="E60" i="31"/>
  <c r="D40" i="31"/>
  <c r="B86" i="31"/>
  <c r="B54" i="31"/>
  <c r="B6" i="31"/>
  <c r="B252" i="31"/>
  <c r="C284" i="31"/>
  <c r="B300" i="31"/>
  <c r="D244" i="31"/>
  <c r="B182" i="31"/>
  <c r="D212" i="31"/>
  <c r="D180" i="31"/>
  <c r="D164" i="31"/>
  <c r="C106" i="31"/>
  <c r="E40" i="31"/>
  <c r="B146" i="31"/>
  <c r="E42" i="31"/>
  <c r="D306" i="31"/>
  <c r="E304" i="31"/>
  <c r="E272" i="31"/>
  <c r="D272" i="31"/>
  <c r="B248" i="31"/>
  <c r="D282" i="31"/>
  <c r="E204" i="31"/>
  <c r="B172" i="31"/>
  <c r="C146" i="31"/>
  <c r="C260" i="31"/>
  <c r="C228" i="31"/>
  <c r="C196" i="31"/>
  <c r="B150" i="31"/>
  <c r="B136" i="31"/>
  <c r="B104" i="31"/>
  <c r="E164" i="31"/>
  <c r="E132" i="31"/>
  <c r="E100" i="31"/>
  <c r="E28" i="31"/>
  <c r="D32" i="31"/>
  <c r="C42" i="31"/>
  <c r="B78" i="31"/>
  <c r="B46" i="31"/>
  <c r="E298" i="31"/>
  <c r="D286" i="31"/>
  <c r="D102" i="31"/>
  <c r="E266" i="31"/>
  <c r="B292" i="31"/>
  <c r="B216" i="31"/>
  <c r="D262" i="31"/>
  <c r="B144" i="31"/>
  <c r="D204" i="31"/>
  <c r="C166" i="31"/>
  <c r="D148" i="31"/>
  <c r="C98" i="31"/>
  <c r="D86" i="31"/>
  <c r="C50" i="31"/>
  <c r="C8" i="31"/>
  <c r="E131" i="31"/>
  <c r="E155" i="31"/>
  <c r="B67" i="31"/>
  <c r="D174" i="31"/>
  <c r="C127" i="31"/>
  <c r="E94" i="31"/>
  <c r="E128" i="31"/>
  <c r="E112" i="31"/>
  <c r="E58" i="31"/>
  <c r="E218" i="31"/>
  <c r="B188" i="31"/>
  <c r="E176" i="31"/>
  <c r="D11" i="31"/>
  <c r="C143" i="31"/>
  <c r="C41" i="31"/>
  <c r="C57" i="31"/>
  <c r="B107" i="31"/>
  <c r="B18" i="31"/>
  <c r="C101" i="31"/>
  <c r="D89" i="31"/>
  <c r="D70" i="31"/>
  <c r="E73" i="31"/>
  <c r="E77" i="31"/>
  <c r="C25" i="31"/>
  <c r="C217" i="31"/>
  <c r="B81" i="31"/>
  <c r="B49" i="31"/>
  <c r="C160" i="31"/>
  <c r="E200" i="31"/>
  <c r="D135" i="31"/>
  <c r="E87" i="31"/>
  <c r="D214" i="31"/>
  <c r="E209" i="31"/>
  <c r="C10" i="31"/>
  <c r="C185" i="31"/>
  <c r="B115" i="31"/>
  <c r="D149" i="31"/>
  <c r="B226" i="31"/>
  <c r="B237" i="31"/>
  <c r="E240" i="31"/>
  <c r="D229" i="31"/>
  <c r="D245" i="31"/>
  <c r="B239" i="31"/>
  <c r="B227" i="31"/>
  <c r="E214" i="31"/>
  <c r="B180" i="31"/>
  <c r="B123" i="31"/>
  <c r="B152" i="31"/>
  <c r="D181" i="31"/>
  <c r="C9" i="31"/>
  <c r="C151" i="31"/>
  <c r="B162" i="31"/>
  <c r="E33" i="31"/>
  <c r="E105" i="31"/>
  <c r="B50" i="31"/>
  <c r="D93" i="31"/>
  <c r="B42" i="31"/>
  <c r="C62" i="31"/>
  <c r="D166" i="31"/>
  <c r="D201" i="31"/>
  <c r="D79" i="31"/>
  <c r="D65" i="31"/>
  <c r="C203" i="31"/>
  <c r="D170" i="31"/>
  <c r="C76" i="31"/>
  <c r="E168" i="31"/>
  <c r="E88" i="31"/>
  <c r="C17" i="31"/>
  <c r="D171" i="31"/>
  <c r="D103" i="31"/>
  <c r="E111" i="31"/>
  <c r="E97" i="31"/>
  <c r="C120" i="31"/>
  <c r="B119" i="31"/>
  <c r="B163" i="31"/>
  <c r="E211" i="31"/>
  <c r="D85" i="31"/>
  <c r="B192" i="31"/>
  <c r="E194" i="31"/>
  <c r="D26" i="31"/>
  <c r="D225" i="31"/>
  <c r="D197" i="31"/>
  <c r="B47" i="31"/>
  <c r="B243" i="31"/>
  <c r="D234" i="31"/>
  <c r="D235" i="31"/>
  <c r="E232" i="31"/>
  <c r="B242" i="31"/>
  <c r="C34" i="31"/>
  <c r="B230" i="31"/>
  <c r="D183" i="31"/>
  <c r="B71" i="31"/>
  <c r="D75" i="31"/>
  <c r="D215" i="31"/>
  <c r="E157" i="31"/>
  <c r="E191" i="31"/>
  <c r="C173" i="31"/>
  <c r="B12" i="31"/>
  <c r="D223" i="31"/>
  <c r="C20" i="31"/>
  <c r="D15" i="31"/>
  <c r="D28" i="31"/>
  <c r="E212" i="31"/>
  <c r="B83" i="31"/>
  <c r="C189" i="31"/>
  <c r="D177" i="31"/>
  <c r="D195" i="31"/>
  <c r="E95" i="31"/>
  <c r="D104" i="31"/>
  <c r="B166" i="31"/>
  <c r="E8" i="31"/>
  <c r="C131" i="31"/>
  <c r="C155" i="31"/>
  <c r="E67" i="31"/>
  <c r="B174" i="31"/>
  <c r="B127" i="31"/>
  <c r="C94" i="31"/>
  <c r="D128" i="31"/>
  <c r="B34" i="31"/>
  <c r="B58" i="31"/>
  <c r="C104" i="31"/>
  <c r="D144" i="31"/>
  <c r="D176" i="31"/>
  <c r="E11" i="31"/>
  <c r="B143" i="31"/>
  <c r="B41" i="31"/>
  <c r="B57" i="31"/>
  <c r="D107" i="31"/>
  <c r="C18" i="31"/>
  <c r="E101" i="31"/>
  <c r="C89" i="31"/>
  <c r="B73" i="31"/>
  <c r="B77" i="31"/>
  <c r="C140" i="31"/>
  <c r="B25" i="31"/>
  <c r="E217" i="31"/>
  <c r="C81" i="31"/>
  <c r="D49" i="31"/>
  <c r="E160" i="31"/>
  <c r="D200" i="31"/>
  <c r="E135" i="31"/>
  <c r="B87" i="31"/>
  <c r="D209" i="31"/>
  <c r="D10" i="31"/>
  <c r="D185" i="31"/>
  <c r="E115" i="31"/>
  <c r="C149" i="31"/>
  <c r="D146" i="31"/>
  <c r="D226" i="31"/>
  <c r="D237" i="31"/>
  <c r="B240" i="31"/>
  <c r="E229" i="31"/>
  <c r="E245" i="31"/>
  <c r="D239" i="31"/>
  <c r="D227" i="31"/>
  <c r="E140" i="31"/>
  <c r="E123" i="31"/>
  <c r="E152" i="31"/>
  <c r="C181" i="31"/>
  <c r="B9" i="31"/>
  <c r="D151" i="31"/>
  <c r="C162" i="31"/>
  <c r="C33" i="31"/>
  <c r="B66" i="31"/>
  <c r="D105" i="31"/>
  <c r="D50" i="31"/>
  <c r="E93" i="31"/>
  <c r="C48" i="31"/>
  <c r="E62" i="31"/>
  <c r="E102" i="31"/>
  <c r="E201" i="31"/>
  <c r="B79" i="31"/>
  <c r="B65" i="31"/>
  <c r="B203" i="31"/>
  <c r="B170" i="31"/>
  <c r="E76" i="31"/>
  <c r="D168" i="31"/>
  <c r="B88" i="31"/>
  <c r="E17" i="31"/>
  <c r="B171" i="31"/>
  <c r="C103" i="31"/>
  <c r="B111" i="31"/>
  <c r="B97" i="31"/>
  <c r="E120" i="31"/>
  <c r="C119" i="31"/>
  <c r="C163" i="31"/>
  <c r="B211" i="31"/>
  <c r="E85" i="31"/>
  <c r="C192" i="31"/>
  <c r="C194" i="31"/>
  <c r="C225" i="31"/>
  <c r="C197" i="31"/>
  <c r="C47" i="31"/>
  <c r="C243" i="31"/>
  <c r="C230" i="31"/>
  <c r="C234" i="31"/>
  <c r="B235" i="31"/>
  <c r="E248" i="31"/>
  <c r="E242" i="31"/>
  <c r="D120" i="31"/>
  <c r="B128" i="31"/>
  <c r="C74" i="31"/>
  <c r="E183" i="31"/>
  <c r="C71" i="31"/>
  <c r="E75" i="31"/>
  <c r="B215" i="31"/>
  <c r="D157" i="31"/>
  <c r="C191" i="31"/>
  <c r="E173" i="31"/>
  <c r="D12" i="31"/>
  <c r="B223" i="31"/>
  <c r="B20" i="31"/>
  <c r="E15" i="31"/>
  <c r="E96" i="31"/>
  <c r="D218" i="31"/>
  <c r="E83" i="31"/>
  <c r="B189" i="31"/>
  <c r="E177" i="31"/>
  <c r="E195" i="31"/>
  <c r="D95" i="31"/>
  <c r="E104" i="31"/>
  <c r="C168" i="31"/>
  <c r="B8" i="31"/>
  <c r="B131" i="31"/>
  <c r="D155" i="31"/>
  <c r="C67" i="31"/>
  <c r="E174" i="31"/>
  <c r="D127" i="31"/>
  <c r="B94" i="31"/>
  <c r="D112" i="31"/>
  <c r="E34" i="31"/>
  <c r="D58" i="31"/>
  <c r="B212" i="31"/>
  <c r="E144" i="31"/>
  <c r="C176" i="31"/>
  <c r="B11" i="31"/>
  <c r="D143" i="31"/>
  <c r="D41" i="31"/>
  <c r="D57" i="31"/>
  <c r="C107" i="31"/>
  <c r="E18" i="31"/>
  <c r="D101" i="31"/>
  <c r="B89" i="31"/>
  <c r="D73" i="31"/>
  <c r="C77" i="31"/>
  <c r="D140" i="31"/>
  <c r="D25" i="31"/>
  <c r="B217" i="31"/>
  <c r="E81" i="31"/>
  <c r="E49" i="31"/>
  <c r="C200" i="31"/>
  <c r="B135" i="31"/>
  <c r="C87" i="31"/>
  <c r="C214" i="31"/>
  <c r="B209" i="31"/>
  <c r="B10" i="31"/>
  <c r="E185" i="31"/>
  <c r="D115" i="31"/>
  <c r="B149" i="31"/>
  <c r="E146" i="31"/>
  <c r="C226" i="31"/>
  <c r="E237" i="31"/>
  <c r="C229" i="31"/>
  <c r="C245" i="31"/>
  <c r="C239" i="31"/>
  <c r="C227" i="31"/>
  <c r="E50" i="31"/>
  <c r="B112" i="31"/>
  <c r="C123" i="31"/>
  <c r="C152" i="31"/>
  <c r="E181" i="31"/>
  <c r="E9" i="31"/>
  <c r="B151" i="31"/>
  <c r="E162" i="31"/>
  <c r="B33" i="31"/>
  <c r="D66" i="31"/>
  <c r="B105" i="31"/>
  <c r="B93" i="31"/>
  <c r="C96" i="31"/>
  <c r="E190" i="31"/>
  <c r="D62" i="31"/>
  <c r="C102" i="31"/>
  <c r="B201" i="31"/>
  <c r="C79" i="31"/>
  <c r="C65" i="31"/>
  <c r="E203" i="31"/>
  <c r="C170" i="31"/>
  <c r="D76" i="31"/>
  <c r="B168" i="31"/>
  <c r="B17" i="31"/>
  <c r="E171" i="31"/>
  <c r="D74" i="31"/>
  <c r="B103" i="31"/>
  <c r="C111" i="31"/>
  <c r="D97" i="31"/>
  <c r="D119" i="31"/>
  <c r="E163" i="31"/>
  <c r="D211" i="31"/>
  <c r="B85" i="31"/>
  <c r="E192" i="31"/>
  <c r="D194" i="31"/>
  <c r="E26" i="31"/>
  <c r="E225" i="31"/>
  <c r="B197" i="31"/>
  <c r="D47" i="31"/>
  <c r="D243" i="31"/>
  <c r="E234" i="31"/>
  <c r="C235" i="31"/>
  <c r="C232" i="31"/>
  <c r="C248" i="31"/>
  <c r="C242" i="31"/>
  <c r="D230" i="31"/>
  <c r="B232" i="31"/>
  <c r="C40" i="31"/>
  <c r="B183" i="31"/>
  <c r="E71" i="31"/>
  <c r="C75" i="31"/>
  <c r="E215" i="31"/>
  <c r="C157" i="31"/>
  <c r="B191" i="31"/>
  <c r="D173" i="31"/>
  <c r="E12" i="31"/>
  <c r="E223" i="31"/>
  <c r="D20" i="31"/>
  <c r="B15" i="31"/>
  <c r="E54" i="31"/>
  <c r="D222" i="31"/>
  <c r="D83" i="31"/>
  <c r="D189" i="31"/>
  <c r="B177" i="31"/>
  <c r="C195" i="31"/>
  <c r="B95" i="31"/>
  <c r="B190" i="31"/>
  <c r="C222" i="31"/>
  <c r="D8" i="31"/>
  <c r="D131" i="31"/>
  <c r="B155" i="31"/>
  <c r="D67" i="31"/>
  <c r="E127" i="31"/>
  <c r="D94" i="31"/>
  <c r="C128" i="31"/>
  <c r="C112" i="31"/>
  <c r="D34" i="31"/>
  <c r="B28" i="31"/>
  <c r="D54" i="31"/>
  <c r="B176" i="31"/>
  <c r="C11" i="31"/>
  <c r="E143" i="31"/>
  <c r="E41" i="31"/>
  <c r="E57" i="31"/>
  <c r="E107" i="31"/>
  <c r="D18" i="31"/>
  <c r="B101" i="31"/>
  <c r="E89" i="31"/>
  <c r="C70" i="31"/>
  <c r="C73" i="31"/>
  <c r="D77" i="31"/>
  <c r="E25" i="31"/>
  <c r="D217" i="31"/>
  <c r="D81" i="31"/>
  <c r="C49" i="31"/>
  <c r="D160" i="31"/>
  <c r="B200" i="31"/>
  <c r="C135" i="31"/>
  <c r="D87" i="31"/>
  <c r="B214" i="31"/>
  <c r="C209" i="31"/>
  <c r="E10" i="31"/>
  <c r="B185" i="31"/>
  <c r="C115" i="31"/>
  <c r="E149" i="31"/>
  <c r="E226" i="31"/>
  <c r="C237" i="31"/>
  <c r="C240" i="31"/>
  <c r="B229" i="31"/>
  <c r="B245" i="31"/>
  <c r="E239" i="31"/>
  <c r="E227" i="31"/>
  <c r="B160" i="31"/>
  <c r="C144" i="31"/>
  <c r="D123" i="31"/>
  <c r="D152" i="31"/>
  <c r="B181" i="31"/>
  <c r="D9" i="31"/>
  <c r="E151" i="31"/>
  <c r="D162" i="31"/>
  <c r="D33" i="31"/>
  <c r="E66" i="31"/>
  <c r="C105" i="31"/>
  <c r="C93" i="31"/>
  <c r="D186" i="31"/>
  <c r="C66" i="31"/>
  <c r="E166" i="31"/>
  <c r="B102" i="31"/>
  <c r="C201" i="31"/>
  <c r="E79" i="31"/>
  <c r="E65" i="31"/>
  <c r="D203" i="31"/>
  <c r="E170" i="31"/>
  <c r="B76" i="31"/>
  <c r="C88" i="31"/>
  <c r="D17" i="31"/>
  <c r="C171" i="31"/>
  <c r="B74" i="31"/>
  <c r="E103" i="31"/>
  <c r="D111" i="31"/>
  <c r="C97" i="31"/>
  <c r="E119" i="31"/>
  <c r="D163" i="31"/>
  <c r="C211" i="31"/>
  <c r="C85" i="31"/>
  <c r="D192" i="31"/>
  <c r="B194" i="31"/>
  <c r="B26" i="31"/>
  <c r="B225" i="31"/>
  <c r="E197" i="31"/>
  <c r="E47" i="31"/>
  <c r="E243" i="31"/>
  <c r="B234" i="31"/>
  <c r="E235" i="31"/>
  <c r="D232" i="31"/>
  <c r="D248" i="31"/>
  <c r="B70" i="31"/>
  <c r="D240" i="31"/>
  <c r="C183" i="31"/>
  <c r="D71" i="31"/>
  <c r="B75" i="31"/>
  <c r="C215" i="31"/>
  <c r="B157" i="31"/>
  <c r="D191" i="31"/>
  <c r="B173" i="31"/>
  <c r="C12" i="31"/>
  <c r="C223" i="31"/>
  <c r="E20" i="31"/>
  <c r="C15" i="31"/>
  <c r="C54" i="31"/>
  <c r="B186" i="31"/>
  <c r="E222" i="31"/>
  <c r="C83" i="31"/>
  <c r="E189" i="31"/>
  <c r="C177" i="31"/>
  <c r="B195" i="31"/>
  <c r="C95" i="31"/>
  <c r="C190" i="31"/>
  <c r="AX22" i="33"/>
  <c r="AY22" i="33" s="1"/>
  <c r="AH74" i="20"/>
  <c r="V80" i="3"/>
  <c r="P6" i="3"/>
  <c r="Z20" i="20"/>
  <c r="AA20" i="20" s="1"/>
  <c r="AG20" i="20" s="1"/>
  <c r="AK61" i="25"/>
  <c r="AH60" i="25"/>
  <c r="AJ58" i="25"/>
  <c r="AF57" i="25"/>
  <c r="AG57" i="25" s="1"/>
  <c r="AI55" i="25"/>
  <c r="AK53" i="25"/>
  <c r="AH52" i="25"/>
  <c r="AJ50" i="25"/>
  <c r="AF49" i="25"/>
  <c r="AG49" i="25" s="1"/>
  <c r="AI47" i="25"/>
  <c r="AK45" i="25"/>
  <c r="AH44" i="25"/>
  <c r="AJ42" i="25"/>
  <c r="AF41" i="25"/>
  <c r="AG41" i="25" s="1"/>
  <c r="AI39" i="25"/>
  <c r="AK37" i="25"/>
  <c r="AK59" i="25"/>
  <c r="AJ56" i="25"/>
  <c r="AK51" i="25"/>
  <c r="AH50" i="25"/>
  <c r="AI45" i="25"/>
  <c r="AK43" i="25"/>
  <c r="AF39" i="25"/>
  <c r="AG39" i="25" s="1"/>
  <c r="AI37" i="25"/>
  <c r="AH61" i="25"/>
  <c r="AI56" i="25"/>
  <c r="AJ51" i="25"/>
  <c r="AF50" i="25"/>
  <c r="AG50" i="25" s="1"/>
  <c r="AH45" i="25"/>
  <c r="AJ43" i="25"/>
  <c r="AK38" i="25"/>
  <c r="AH37" i="25"/>
  <c r="AK57" i="25"/>
  <c r="AH56" i="25"/>
  <c r="AI51" i="25"/>
  <c r="AK49" i="25"/>
  <c r="AF45" i="25"/>
  <c r="AG45" i="25" s="1"/>
  <c r="AI43" i="25"/>
  <c r="AJ38" i="25"/>
  <c r="AF37" i="25"/>
  <c r="AG37" i="25" s="1"/>
  <c r="AJ57" i="25"/>
  <c r="AF56" i="25"/>
  <c r="AG56" i="25" s="1"/>
  <c r="AH51" i="25"/>
  <c r="AJ49" i="25"/>
  <c r="AK44" i="25"/>
  <c r="AH43" i="25"/>
  <c r="AI38" i="25"/>
  <c r="AI57" i="25"/>
  <c r="AJ52" i="25"/>
  <c r="AF51" i="25"/>
  <c r="AG51" i="25" s="1"/>
  <c r="AH46" i="25"/>
  <c r="AJ44" i="25"/>
  <c r="AK39" i="25"/>
  <c r="AH38" i="25"/>
  <c r="AJ61" i="25"/>
  <c r="AF60" i="25"/>
  <c r="AG60" i="25" s="1"/>
  <c r="AI58" i="25"/>
  <c r="AK56" i="25"/>
  <c r="AH55" i="25"/>
  <c r="AJ53" i="25"/>
  <c r="AF52" i="25"/>
  <c r="AG52" i="25" s="1"/>
  <c r="AI50" i="25"/>
  <c r="AK48" i="25"/>
  <c r="AH47" i="25"/>
  <c r="AJ45" i="25"/>
  <c r="AF44" i="25"/>
  <c r="AG44" i="25" s="1"/>
  <c r="AI42" i="25"/>
  <c r="AK40" i="25"/>
  <c r="AH39" i="25"/>
  <c r="AJ37" i="25"/>
  <c r="AI61" i="25"/>
  <c r="AF55" i="25"/>
  <c r="AG55" i="25" s="1"/>
  <c r="AJ48" i="25"/>
  <c r="AH42" i="25"/>
  <c r="AF58" i="25"/>
  <c r="AG58" i="25" s="1"/>
  <c r="AH53" i="25"/>
  <c r="AK46" i="25"/>
  <c r="AI40" i="25"/>
  <c r="AF61" i="25"/>
  <c r="AG61" i="25" s="1"/>
  <c r="AF53" i="25"/>
  <c r="AG53" i="25" s="1"/>
  <c r="AJ46" i="25"/>
  <c r="AK41" i="25"/>
  <c r="AH59" i="25"/>
  <c r="AK52" i="25"/>
  <c r="AI46" i="25"/>
  <c r="AJ41" i="25"/>
  <c r="AJ60" i="25"/>
  <c r="AK55" i="25"/>
  <c r="AI49" i="25"/>
  <c r="AI41" i="25"/>
  <c r="AI60" i="25"/>
  <c r="AK58" i="25"/>
  <c r="AH57" i="25"/>
  <c r="AJ55" i="25"/>
  <c r="AF54" i="25"/>
  <c r="AG54" i="25" s="1"/>
  <c r="AI52" i="25"/>
  <c r="AK50" i="25"/>
  <c r="AH49" i="25"/>
  <c r="AJ47" i="25"/>
  <c r="AF46" i="25"/>
  <c r="AG46" i="25" s="1"/>
  <c r="AI44" i="25"/>
  <c r="AK42" i="25"/>
  <c r="AH41" i="25"/>
  <c r="AJ39" i="25"/>
  <c r="AF38" i="25"/>
  <c r="AG38" i="25" s="1"/>
  <c r="AH58" i="25"/>
  <c r="AI53" i="25"/>
  <c r="AF47" i="25"/>
  <c r="AG47" i="25" s="1"/>
  <c r="AJ40" i="25"/>
  <c r="AJ59" i="25"/>
  <c r="AK54" i="25"/>
  <c r="AI48" i="25"/>
  <c r="AF42" i="25"/>
  <c r="AG42" i="25" s="1"/>
  <c r="AI59" i="25"/>
  <c r="AJ54" i="25"/>
  <c r="AH48" i="25"/>
  <c r="AH40" i="25"/>
  <c r="AK60" i="25"/>
  <c r="AI54" i="25"/>
  <c r="AF48" i="25"/>
  <c r="AG48" i="25" s="1"/>
  <c r="AF40" i="25"/>
  <c r="AG40" i="25" s="1"/>
  <c r="AF59" i="25"/>
  <c r="AG59" i="25" s="1"/>
  <c r="AH54" i="25"/>
  <c r="AK47" i="25"/>
  <c r="AF43" i="25"/>
  <c r="AG43" i="25" s="1"/>
  <c r="AI74" i="20"/>
  <c r="AI20" i="20"/>
  <c r="AG52" i="20"/>
  <c r="AH12" i="20"/>
  <c r="AI12" i="20"/>
  <c r="Z83" i="20"/>
  <c r="AA83" i="20" s="1"/>
  <c r="AG83" i="20" s="1"/>
  <c r="AI83" i="20"/>
  <c r="Z50" i="20"/>
  <c r="AA50" i="20" s="1"/>
  <c r="AG50" i="20" s="1"/>
  <c r="AX19" i="33"/>
  <c r="AY19" i="33" s="1"/>
  <c r="AI50" i="20"/>
  <c r="Z66" i="20"/>
  <c r="AA66" i="20" s="1"/>
  <c r="AG66" i="20" s="1"/>
  <c r="AH66" i="20"/>
  <c r="AX24" i="33"/>
  <c r="AY24" i="33" s="1"/>
  <c r="AX29" i="33"/>
  <c r="AY29" i="33" s="1"/>
  <c r="AX27" i="33"/>
  <c r="AY27" i="33" s="1"/>
  <c r="AX20" i="33"/>
  <c r="AY20" i="33" s="1"/>
  <c r="AH27" i="20"/>
  <c r="AX23" i="33"/>
  <c r="AY23" i="33" s="1"/>
  <c r="AX25" i="33"/>
  <c r="AY25" i="33" s="1"/>
  <c r="AX28" i="33"/>
  <c r="AY28" i="33" s="1"/>
  <c r="AX26" i="33"/>
  <c r="AY26" i="33" s="1"/>
  <c r="AX18" i="33"/>
  <c r="AY18" i="33" s="1"/>
  <c r="AH49" i="20"/>
  <c r="AI59" i="20"/>
  <c r="AX17" i="33"/>
  <c r="AX21" i="33"/>
  <c r="AY21" i="33" s="1"/>
  <c r="AG4" i="20"/>
  <c r="Z27" i="20"/>
  <c r="AA27" i="20" s="1"/>
  <c r="AG27" i="20" s="1"/>
  <c r="D2" i="9"/>
  <c r="AG77" i="20"/>
  <c r="AG75" i="20"/>
  <c r="AH59" i="20"/>
  <c r="AI18" i="20"/>
  <c r="Z18" i="20"/>
  <c r="AA18" i="20" s="1"/>
  <c r="AG18" i="20" s="1"/>
  <c r="AG84" i="20"/>
  <c r="AG51" i="20"/>
  <c r="AG60" i="20"/>
  <c r="Z9" i="20"/>
  <c r="AA9" i="20" s="1"/>
  <c r="AG9" i="20" s="1"/>
  <c r="AI9" i="20"/>
  <c r="AG87" i="20"/>
  <c r="AG88" i="20"/>
  <c r="AG19" i="20"/>
  <c r="Z49" i="20"/>
  <c r="AA49" i="20" s="1"/>
  <c r="AG49" i="20" s="1"/>
  <c r="A4" i="31"/>
  <c r="AG63" i="20"/>
  <c r="AG30" i="20"/>
  <c r="AG71" i="20"/>
  <c r="Z15" i="20"/>
  <c r="AA15" i="20" s="1"/>
  <c r="AG15" i="20" s="1"/>
  <c r="AG7" i="20"/>
  <c r="AG22" i="20"/>
  <c r="AH90" i="20"/>
  <c r="AG68" i="20"/>
  <c r="AG96" i="20"/>
  <c r="AI15" i="20"/>
  <c r="AI26" i="20"/>
  <c r="AH26" i="20"/>
  <c r="AG46" i="20"/>
  <c r="AG76" i="20"/>
  <c r="AH43" i="20"/>
  <c r="Z43" i="20"/>
  <c r="AA43" i="20" s="1"/>
  <c r="AG43" i="20" s="1"/>
  <c r="AH91" i="20"/>
  <c r="AI31" i="20"/>
  <c r="Z31" i="20"/>
  <c r="AA31" i="20" s="1"/>
  <c r="AG31" i="20" s="1"/>
  <c r="B4" i="32"/>
  <c r="C4" i="32"/>
  <c r="D3" i="20"/>
  <c r="Z91" i="20"/>
  <c r="AA91" i="20" s="1"/>
  <c r="AG91" i="20" s="1"/>
  <c r="AI11" i="20"/>
  <c r="AG93" i="20"/>
  <c r="AH47" i="20"/>
  <c r="AI47" i="20"/>
  <c r="AG69" i="20"/>
  <c r="AH23" i="20"/>
  <c r="AI23" i="20"/>
  <c r="Z23" i="20"/>
  <c r="AA23" i="20" s="1"/>
  <c r="AG23" i="20" s="1"/>
  <c r="AG95" i="20"/>
  <c r="AI90" i="20"/>
  <c r="AI28" i="20"/>
  <c r="Z28" i="20"/>
  <c r="AA28" i="20" s="1"/>
  <c r="AG28" i="20" s="1"/>
  <c r="AG35" i="20"/>
  <c r="AH11" i="20"/>
  <c r="Z67" i="20"/>
  <c r="AA67" i="20" s="1"/>
  <c r="AG67" i="20" s="1"/>
  <c r="AH67" i="20"/>
  <c r="AI67" i="20"/>
  <c r="AG42" i="20"/>
  <c r="AG38" i="20"/>
  <c r="AG82" i="20"/>
  <c r="AG14" i="20"/>
  <c r="AH61" i="20"/>
  <c r="AG80" i="20"/>
  <c r="Z6" i="30"/>
  <c r="Z61" i="20"/>
  <c r="AA61" i="20" s="1"/>
  <c r="AG61" i="20" s="1"/>
  <c r="AI33" i="20"/>
  <c r="Z33" i="20"/>
  <c r="AA33" i="20" s="1"/>
  <c r="AG33" i="20" s="1"/>
  <c r="Z10" i="20"/>
  <c r="AA10" i="20" s="1"/>
  <c r="AG10" i="20" s="1"/>
  <c r="AH10" i="20"/>
  <c r="AI10" i="20"/>
  <c r="AH99" i="20"/>
  <c r="AI99" i="20"/>
  <c r="Z99" i="20"/>
  <c r="AA99" i="20" s="1"/>
  <c r="AG99" i="20" s="1"/>
  <c r="Z4" i="30"/>
  <c r="Y3" i="20"/>
  <c r="AI3" i="20" s="1"/>
  <c r="AH55" i="20"/>
  <c r="Z55" i="20"/>
  <c r="AA55" i="20" s="1"/>
  <c r="AG55" i="20" s="1"/>
  <c r="AI55" i="20"/>
  <c r="AI79" i="20"/>
  <c r="Z79" i="20"/>
  <c r="AA79" i="20" s="1"/>
  <c r="AG79" i="20" s="1"/>
  <c r="AA7" i="30"/>
  <c r="Z7" i="30"/>
  <c r="AE3" i="20"/>
  <c r="Z8" i="30"/>
  <c r="AA8" i="30"/>
  <c r="W5" i="30"/>
  <c r="X5" i="30" s="1"/>
  <c r="Y5" i="30" s="1"/>
  <c r="AI53" i="20"/>
  <c r="AH53" i="20"/>
  <c r="Z53" i="20"/>
  <c r="AA53" i="20" s="1"/>
  <c r="AG53" i="20" s="1"/>
  <c r="AD3" i="20"/>
  <c r="AH6" i="20"/>
  <c r="Z6" i="20"/>
  <c r="AA6" i="20" s="1"/>
  <c r="AG6" i="20" s="1"/>
  <c r="AG5" i="20"/>
  <c r="L8" i="10"/>
  <c r="L14" i="10" s="1"/>
  <c r="AN166" i="33" l="1"/>
  <c r="AO166" i="33" s="1"/>
  <c r="AN299" i="33"/>
  <c r="AN9" i="33"/>
  <c r="AO9" i="33" s="1"/>
  <c r="AP9" i="33" s="1"/>
  <c r="AQ9" i="33" s="1"/>
  <c r="AN11" i="33"/>
  <c r="AO11" i="33" s="1"/>
  <c r="AP11" i="33" s="1"/>
  <c r="AS11" i="33" s="1"/>
  <c r="AN205" i="33"/>
  <c r="AO205" i="33" s="1"/>
  <c r="AP205" i="33" s="1"/>
  <c r="AS205" i="33" s="1"/>
  <c r="AN6" i="33"/>
  <c r="AO6" i="33" s="1"/>
  <c r="AP6" i="33" s="1"/>
  <c r="AT6" i="33" s="1"/>
  <c r="AN66" i="33"/>
  <c r="AO66" i="33" s="1"/>
  <c r="AP66" i="33" s="1"/>
  <c r="AR66" i="33" s="1"/>
  <c r="AN218" i="33"/>
  <c r="AO218" i="33" s="1"/>
  <c r="AP218" i="33" s="1"/>
  <c r="AN115" i="33"/>
  <c r="AO115" i="33" s="1"/>
  <c r="AP115" i="33" s="1"/>
  <c r="AT115" i="33" s="1"/>
  <c r="AN78" i="33"/>
  <c r="AO78" i="33" s="1"/>
  <c r="AP78" i="33" s="1"/>
  <c r="AR78" i="33" s="1"/>
  <c r="AN215" i="33"/>
  <c r="AO215" i="33" s="1"/>
  <c r="AP215" i="33" s="1"/>
  <c r="AQ215" i="33" s="1"/>
  <c r="AN86" i="33"/>
  <c r="AO86" i="33" s="1"/>
  <c r="AP86" i="33" s="1"/>
  <c r="AR86" i="33" s="1"/>
  <c r="AN103" i="33"/>
  <c r="AO103" i="33" s="1"/>
  <c r="AP103" i="33" s="1"/>
  <c r="AN197" i="33"/>
  <c r="AO197" i="33" s="1"/>
  <c r="AP197" i="33" s="1"/>
  <c r="AR197" i="33" s="1"/>
  <c r="AN135" i="33"/>
  <c r="AO135" i="33" s="1"/>
  <c r="AP135" i="33" s="1"/>
  <c r="AQ135" i="33" s="1"/>
  <c r="AN287" i="33"/>
  <c r="AO287" i="33" s="1"/>
  <c r="AP287" i="33" s="1"/>
  <c r="AR287" i="33" s="1"/>
  <c r="AN72" i="33"/>
  <c r="AO72" i="33" s="1"/>
  <c r="AP72" i="33" s="1"/>
  <c r="AT72" i="33" s="1"/>
  <c r="AN317" i="33"/>
  <c r="AO317" i="33" s="1"/>
  <c r="AP317" i="33" s="1"/>
  <c r="AN304" i="33"/>
  <c r="AO304" i="33" s="1"/>
  <c r="AP304" i="33" s="1"/>
  <c r="AS304" i="33" s="1"/>
  <c r="AN329" i="33"/>
  <c r="AO329" i="33" s="1"/>
  <c r="AP329" i="33" s="1"/>
  <c r="AP377" i="33" s="1"/>
  <c r="AN125" i="33"/>
  <c r="AO125" i="33" s="1"/>
  <c r="AP125" i="33" s="1"/>
  <c r="AQ125" i="33" s="1"/>
  <c r="AN28" i="33"/>
  <c r="AO28" i="33" s="1"/>
  <c r="AP28" i="33" s="1"/>
  <c r="AR28" i="33" s="1"/>
  <c r="AN19" i="33"/>
  <c r="AO19" i="33" s="1"/>
  <c r="AP19" i="33" s="1"/>
  <c r="AR19" i="33" s="1"/>
  <c r="AN114" i="33"/>
  <c r="AO114" i="33" s="1"/>
  <c r="AP114" i="33" s="1"/>
  <c r="AT114" i="33" s="1"/>
  <c r="AN234" i="33"/>
  <c r="AO234" i="33" s="1"/>
  <c r="AP234" i="33" s="1"/>
  <c r="AQ234" i="33" s="1"/>
  <c r="AN208" i="33"/>
  <c r="AO208" i="33" s="1"/>
  <c r="AP208" i="33" s="1"/>
  <c r="AR208" i="33" s="1"/>
  <c r="AN207" i="33"/>
  <c r="AO207" i="33" s="1"/>
  <c r="AP207" i="33" s="1"/>
  <c r="AR207" i="33" s="1"/>
  <c r="AN308" i="33"/>
  <c r="AO308" i="33" s="1"/>
  <c r="AP308" i="33" s="1"/>
  <c r="AN69" i="33"/>
  <c r="AO69" i="33" s="1"/>
  <c r="AP69" i="33" s="1"/>
  <c r="AT69" i="33" s="1"/>
  <c r="AN91" i="33"/>
  <c r="AO91" i="33" s="1"/>
  <c r="AP91" i="33" s="1"/>
  <c r="AR91" i="33" s="1"/>
  <c r="AN220" i="33"/>
  <c r="AO220" i="33" s="1"/>
  <c r="AP220" i="33" s="1"/>
  <c r="AN110" i="33"/>
  <c r="AO110" i="33" s="1"/>
  <c r="AP110" i="33" s="1"/>
  <c r="AS110" i="33" s="1"/>
  <c r="AN294" i="33"/>
  <c r="AO294" i="33" s="1"/>
  <c r="AP294" i="33" s="1"/>
  <c r="AR294" i="33" s="1"/>
  <c r="AN214" i="33"/>
  <c r="AO214" i="33" s="1"/>
  <c r="AP214" i="33" s="1"/>
  <c r="AR214" i="33" s="1"/>
  <c r="AN311" i="33"/>
  <c r="AO311" i="33" s="1"/>
  <c r="AP311" i="33" s="1"/>
  <c r="AT311" i="33" s="1"/>
  <c r="AN83" i="33"/>
  <c r="AO83" i="33" s="1"/>
  <c r="AP83" i="33" s="1"/>
  <c r="AQ83" i="33" s="1"/>
  <c r="AN322" i="33"/>
  <c r="AO322" i="33" s="1"/>
  <c r="AP322" i="33" s="1"/>
  <c r="AS322" i="33" s="1"/>
  <c r="AN274" i="33"/>
  <c r="AO274" i="33" s="1"/>
  <c r="AP274" i="33" s="1"/>
  <c r="AT274" i="33" s="1"/>
  <c r="AN288" i="33"/>
  <c r="AO288" i="33" s="1"/>
  <c r="AP288" i="33" s="1"/>
  <c r="AR288" i="33" s="1"/>
  <c r="AN136" i="33"/>
  <c r="AO136" i="33" s="1"/>
  <c r="AP136" i="33" s="1"/>
  <c r="AT136" i="33" s="1"/>
  <c r="AN29" i="33"/>
  <c r="AO29" i="33" s="1"/>
  <c r="AP29" i="33" s="1"/>
  <c r="AQ29" i="33" s="1"/>
  <c r="AN238" i="33"/>
  <c r="AO238" i="33" s="1"/>
  <c r="AP238" i="33" s="1"/>
  <c r="AQ238" i="33" s="1"/>
  <c r="AN302" i="33"/>
  <c r="AO302" i="33" s="1"/>
  <c r="AP302" i="33" s="1"/>
  <c r="AS302" i="33" s="1"/>
  <c r="AN119" i="33"/>
  <c r="AO119" i="33" s="1"/>
  <c r="AP119" i="33" s="1"/>
  <c r="AQ119" i="33" s="1"/>
  <c r="AN95" i="33"/>
  <c r="AO95" i="33" s="1"/>
  <c r="AP95" i="33" s="1"/>
  <c r="AQ95" i="33" s="1"/>
  <c r="AN303" i="33"/>
  <c r="AO303" i="33" s="1"/>
  <c r="AP303" i="33" s="1"/>
  <c r="AS303" i="33" s="1"/>
  <c r="AN96" i="33"/>
  <c r="AO96" i="33" s="1"/>
  <c r="AP96" i="33" s="1"/>
  <c r="AT96" i="33" s="1"/>
  <c r="AN16" i="33"/>
  <c r="AO16" i="33" s="1"/>
  <c r="AN222" i="33"/>
  <c r="AO222" i="33" s="1"/>
  <c r="AP222" i="33" s="1"/>
  <c r="AS222" i="33" s="1"/>
  <c r="U28" i="10"/>
  <c r="U24" i="10" s="1"/>
  <c r="AN307" i="33"/>
  <c r="AO307" i="33" s="1"/>
  <c r="AP307" i="33" s="1"/>
  <c r="AR307" i="33" s="1"/>
  <c r="AN25" i="33"/>
  <c r="AO25" i="33" s="1"/>
  <c r="AP25" i="33" s="1"/>
  <c r="AN295" i="33"/>
  <c r="AO295" i="33" s="1"/>
  <c r="AP295" i="33" s="1"/>
  <c r="AT295" i="33" s="1"/>
  <c r="AN236" i="33"/>
  <c r="AO236" i="33" s="1"/>
  <c r="AP236" i="33" s="1"/>
  <c r="AQ236" i="33" s="1"/>
  <c r="AN127" i="33"/>
  <c r="AO127" i="33" s="1"/>
  <c r="AP127" i="33" s="1"/>
  <c r="AN142" i="33"/>
  <c r="AO142" i="33" s="1"/>
  <c r="AP142" i="33" s="1"/>
  <c r="AQ142" i="33" s="1"/>
  <c r="AN68" i="33"/>
  <c r="AO68" i="33" s="1"/>
  <c r="AP68" i="33" s="1"/>
  <c r="AS68" i="33" s="1"/>
  <c r="AN92" i="33"/>
  <c r="AO92" i="33" s="1"/>
  <c r="AP92" i="33" s="1"/>
  <c r="AN65" i="33"/>
  <c r="AO65" i="33" s="1"/>
  <c r="AP65" i="33" s="1"/>
  <c r="AR65" i="33" s="1"/>
  <c r="AN32" i="33"/>
  <c r="AO32" i="33" s="1"/>
  <c r="AN201" i="33"/>
  <c r="AO201" i="33" s="1"/>
  <c r="AP201" i="33" s="1"/>
  <c r="AT201" i="33" s="1"/>
  <c r="AN204" i="33"/>
  <c r="AO204" i="33" s="1"/>
  <c r="AP204" i="33" s="1"/>
  <c r="AQ204" i="33" s="1"/>
  <c r="AN224" i="33"/>
  <c r="AO224" i="33" s="1"/>
  <c r="AP224" i="33" s="1"/>
  <c r="AT224" i="33" s="1"/>
  <c r="AN71" i="33"/>
  <c r="AO71" i="33" s="1"/>
  <c r="AP71" i="33" s="1"/>
  <c r="AT71" i="33" s="1"/>
  <c r="AN321" i="33"/>
  <c r="AO321" i="33" s="1"/>
  <c r="AP321" i="33" s="1"/>
  <c r="AS321" i="33" s="1"/>
  <c r="AN73" i="33"/>
  <c r="AO73" i="33" s="1"/>
  <c r="AP73" i="33" s="1"/>
  <c r="AQ73" i="33" s="1"/>
  <c r="AN22" i="33"/>
  <c r="AO22" i="33" s="1"/>
  <c r="AP22" i="33" s="1"/>
  <c r="AN106" i="33"/>
  <c r="AO106" i="33" s="1"/>
  <c r="AP106" i="33" s="1"/>
  <c r="AS106" i="33" s="1"/>
  <c r="AU106" i="33" s="1"/>
  <c r="AN26" i="33"/>
  <c r="AO26" i="33" s="1"/>
  <c r="AP26" i="33" s="1"/>
  <c r="AN34" i="33"/>
  <c r="AO34" i="33" s="1"/>
  <c r="AP34" i="33" s="1"/>
  <c r="AN21" i="33"/>
  <c r="AO21" i="33" s="1"/>
  <c r="AP21" i="33" s="1"/>
  <c r="AQ21" i="33" s="1"/>
  <c r="AN128" i="33"/>
  <c r="AO128" i="33" s="1"/>
  <c r="AP128" i="33" s="1"/>
  <c r="AN10" i="33"/>
  <c r="AO10" i="33" s="1"/>
  <c r="AP10" i="33" s="1"/>
  <c r="AR10" i="33" s="1"/>
  <c r="AN27" i="33"/>
  <c r="AO27" i="33" s="1"/>
  <c r="AP27" i="33" s="1"/>
  <c r="AN81" i="33"/>
  <c r="AO81" i="33" s="1"/>
  <c r="AP81" i="33" s="1"/>
  <c r="AR81" i="33" s="1"/>
  <c r="AN230" i="33"/>
  <c r="AO230" i="33" s="1"/>
  <c r="AP230" i="33" s="1"/>
  <c r="AN123" i="33"/>
  <c r="AO123" i="33" s="1"/>
  <c r="AP123" i="33" s="1"/>
  <c r="AQ123" i="33" s="1"/>
  <c r="AN200" i="33"/>
  <c r="AO200" i="33" s="1"/>
  <c r="AP200" i="33" s="1"/>
  <c r="AQ200" i="33" s="1"/>
  <c r="AN23" i="33"/>
  <c r="AO23" i="33" s="1"/>
  <c r="AP23" i="33" s="1"/>
  <c r="AS23" i="33" s="1"/>
  <c r="AN131" i="33"/>
  <c r="AO131" i="33" s="1"/>
  <c r="AP131" i="33" s="1"/>
  <c r="AR131" i="33" s="1"/>
  <c r="AN310" i="33"/>
  <c r="AO310" i="33" s="1"/>
  <c r="AN145" i="33"/>
  <c r="AO145" i="33" s="1"/>
  <c r="AP145" i="33" s="1"/>
  <c r="AN320" i="33"/>
  <c r="AO320" i="33" s="1"/>
  <c r="AN315" i="33"/>
  <c r="AO315" i="33" s="1"/>
  <c r="AP315" i="33" s="1"/>
  <c r="AR315" i="33" s="1"/>
  <c r="AN20" i="33"/>
  <c r="AO20" i="33" s="1"/>
  <c r="AP20" i="33" s="1"/>
  <c r="AN137" i="33"/>
  <c r="AO137" i="33" s="1"/>
  <c r="AP137" i="33" s="1"/>
  <c r="AR137" i="33" s="1"/>
  <c r="AN289" i="33"/>
  <c r="AO289" i="33" s="1"/>
  <c r="AP289" i="33" s="1"/>
  <c r="AT289" i="33" s="1"/>
  <c r="AN98" i="33"/>
  <c r="AO98" i="33" s="1"/>
  <c r="AP98" i="33" s="1"/>
  <c r="AR98" i="33" s="1"/>
  <c r="AN79" i="33"/>
  <c r="AO79" i="33" s="1"/>
  <c r="AP79" i="33" s="1"/>
  <c r="AN120" i="33"/>
  <c r="AO120" i="33" s="1"/>
  <c r="AP120" i="33" s="1"/>
  <c r="AR120" i="33" s="1"/>
  <c r="AN312" i="33"/>
  <c r="AO312" i="33" s="1"/>
  <c r="AP312" i="33" s="1"/>
  <c r="AQ312" i="33" s="1"/>
  <c r="AN324" i="33"/>
  <c r="AO324" i="33" s="1"/>
  <c r="AP324" i="33" s="1"/>
  <c r="AS324" i="33" s="1"/>
  <c r="AN122" i="33"/>
  <c r="AO122" i="33" s="1"/>
  <c r="AP122" i="33" s="1"/>
  <c r="AR122" i="33" s="1"/>
  <c r="AN273" i="33"/>
  <c r="AO273" i="33" s="1"/>
  <c r="AN328" i="33"/>
  <c r="AO328" i="33" s="1"/>
  <c r="AP328" i="33" s="1"/>
  <c r="AR328" i="33" s="1"/>
  <c r="AN235" i="33"/>
  <c r="AO235" i="33" s="1"/>
  <c r="AP235" i="33" s="1"/>
  <c r="AT235" i="33" s="1"/>
  <c r="AN33" i="33"/>
  <c r="AO33" i="33" s="1"/>
  <c r="AP33" i="33" s="1"/>
  <c r="AQ33" i="33" s="1"/>
  <c r="AN213" i="33"/>
  <c r="AO213" i="33" s="1"/>
  <c r="AN211" i="33"/>
  <c r="AO211" i="33" s="1"/>
  <c r="AP211" i="33" s="1"/>
  <c r="AS211" i="33" s="1"/>
  <c r="AN314" i="33"/>
  <c r="AO314" i="33" s="1"/>
  <c r="AP314" i="33" s="1"/>
  <c r="AS314" i="33" s="1"/>
  <c r="AN82" i="33"/>
  <c r="AO82" i="33" s="1"/>
  <c r="AP82" i="33" s="1"/>
  <c r="AQ82" i="33" s="1"/>
  <c r="AN148" i="33"/>
  <c r="AO148" i="33" s="1"/>
  <c r="AP148" i="33" s="1"/>
  <c r="AR148" i="33" s="1"/>
  <c r="AN233" i="33"/>
  <c r="AO233" i="33" s="1"/>
  <c r="AP233" i="33" s="1"/>
  <c r="AT233" i="33" s="1"/>
  <c r="AN227" i="33"/>
  <c r="AO227" i="33" s="1"/>
  <c r="AP227" i="33" s="1"/>
  <c r="AT227" i="33" s="1"/>
  <c r="AN325" i="33"/>
  <c r="AO325" i="33" s="1"/>
  <c r="AP325" i="33" s="1"/>
  <c r="AR325" i="33" s="1"/>
  <c r="AN139" i="33"/>
  <c r="AO139" i="33" s="1"/>
  <c r="AP139" i="33" s="1"/>
  <c r="AT139" i="33" s="1"/>
  <c r="AN309" i="33"/>
  <c r="AO309" i="33" s="1"/>
  <c r="AN327" i="33"/>
  <c r="AO327" i="33" s="1"/>
  <c r="AP327" i="33" s="1"/>
  <c r="AS327" i="33" s="1"/>
  <c r="AN102" i="33"/>
  <c r="AO102" i="33" s="1"/>
  <c r="AP102" i="33" s="1"/>
  <c r="AN129" i="33"/>
  <c r="AO129" i="33" s="1"/>
  <c r="AP129" i="33" s="1"/>
  <c r="AS129" i="33" s="1"/>
  <c r="AN138" i="33"/>
  <c r="AO138" i="33" s="1"/>
  <c r="AP138" i="33" s="1"/>
  <c r="AS138" i="33" s="1"/>
  <c r="AN113" i="33"/>
  <c r="AO113" i="33" s="1"/>
  <c r="AP113" i="33" s="1"/>
  <c r="AR113" i="33" s="1"/>
  <c r="AN31" i="33"/>
  <c r="AO31" i="33" s="1"/>
  <c r="AP31" i="33" s="1"/>
  <c r="AT31" i="33" s="1"/>
  <c r="AN100" i="33"/>
  <c r="AO100" i="33" s="1"/>
  <c r="AP100" i="33" s="1"/>
  <c r="AN76" i="33"/>
  <c r="AO76" i="33" s="1"/>
  <c r="AP76" i="33" s="1"/>
  <c r="AS76" i="33" s="1"/>
  <c r="AN80" i="33"/>
  <c r="AO80" i="33" s="1"/>
  <c r="AP80" i="33" s="1"/>
  <c r="AQ80" i="33" s="1"/>
  <c r="AN323" i="33"/>
  <c r="AO323" i="33" s="1"/>
  <c r="AP323" i="33" s="1"/>
  <c r="AN231" i="33"/>
  <c r="AO231" i="33" s="1"/>
  <c r="AP231" i="33" s="1"/>
  <c r="AN232" i="33"/>
  <c r="AO232" i="33" s="1"/>
  <c r="AP232" i="33" s="1"/>
  <c r="AT232" i="33" s="1"/>
  <c r="AN198" i="33"/>
  <c r="AO198" i="33" s="1"/>
  <c r="AP198" i="33" s="1"/>
  <c r="AT198" i="33" s="1"/>
  <c r="AN17" i="33"/>
  <c r="AO17" i="33" s="1"/>
  <c r="AP17" i="33" s="1"/>
  <c r="AN217" i="33"/>
  <c r="AO217" i="33" s="1"/>
  <c r="AP217" i="33" s="1"/>
  <c r="AQ217" i="33" s="1"/>
  <c r="AN116" i="33"/>
  <c r="AO116" i="33" s="1"/>
  <c r="AP116" i="33" s="1"/>
  <c r="AN140" i="33"/>
  <c r="AO140" i="33" s="1"/>
  <c r="AP140" i="33" s="1"/>
  <c r="AR140" i="33" s="1"/>
  <c r="AN326" i="33"/>
  <c r="AO326" i="33" s="1"/>
  <c r="AP326" i="33" s="1"/>
  <c r="AQ326" i="33" s="1"/>
  <c r="AN147" i="33"/>
  <c r="AO147" i="33" s="1"/>
  <c r="AP147" i="33" s="1"/>
  <c r="AS147" i="33" s="1"/>
  <c r="AN117" i="33"/>
  <c r="AO117" i="33" s="1"/>
  <c r="AP117" i="33" s="1"/>
  <c r="AN210" i="33"/>
  <c r="AO210" i="33" s="1"/>
  <c r="AP210" i="33" s="1"/>
  <c r="AQ210" i="33" s="1"/>
  <c r="AN97" i="33"/>
  <c r="AO97" i="33" s="1"/>
  <c r="AP97" i="33" s="1"/>
  <c r="AR97" i="33" s="1"/>
  <c r="AN12" i="33"/>
  <c r="AO12" i="33" s="1"/>
  <c r="AP12" i="33" s="1"/>
  <c r="AR12" i="33" s="1"/>
  <c r="AN237" i="33"/>
  <c r="AO237" i="33" s="1"/>
  <c r="AP237" i="33" s="1"/>
  <c r="AQ237" i="33" s="1"/>
  <c r="AN132" i="33"/>
  <c r="AO132" i="33" s="1"/>
  <c r="AP132" i="33" s="1"/>
  <c r="AT132" i="33" s="1"/>
  <c r="AN67" i="33"/>
  <c r="AO67" i="33" s="1"/>
  <c r="AN223" i="33"/>
  <c r="AO223" i="33" s="1"/>
  <c r="AP223" i="33" s="1"/>
  <c r="AR223" i="33" s="1"/>
  <c r="AN14" i="33"/>
  <c r="AO14" i="33" s="1"/>
  <c r="AP14" i="33" s="1"/>
  <c r="AQ14" i="33" s="1"/>
  <c r="AN301" i="33"/>
  <c r="AO301" i="33" s="1"/>
  <c r="AP301" i="33" s="1"/>
  <c r="AS301" i="33" s="1"/>
  <c r="AN70" i="33"/>
  <c r="AO70" i="33" s="1"/>
  <c r="AP70" i="33" s="1"/>
  <c r="AS70" i="33" s="1"/>
  <c r="AN319" i="33"/>
  <c r="AO319" i="33" s="1"/>
  <c r="AN318" i="33"/>
  <c r="AO318" i="33" s="1"/>
  <c r="AN305" i="33"/>
  <c r="AO305" i="33" s="1"/>
  <c r="AP305" i="33" s="1"/>
  <c r="AQ305" i="33" s="1"/>
  <c r="AN74" i="33"/>
  <c r="AO74" i="33" s="1"/>
  <c r="AP74" i="33" s="1"/>
  <c r="AN144" i="33"/>
  <c r="AO144" i="33" s="1"/>
  <c r="AP144" i="33" s="1"/>
  <c r="AR144" i="33" s="1"/>
  <c r="AN101" i="33"/>
  <c r="AO101" i="33" s="1"/>
  <c r="AN229" i="33"/>
  <c r="AO229" i="33" s="1"/>
  <c r="AP229" i="33" s="1"/>
  <c r="AR229" i="33" s="1"/>
  <c r="AN130" i="33"/>
  <c r="AO130" i="33" s="1"/>
  <c r="AP130" i="33" s="1"/>
  <c r="AS130" i="33" s="1"/>
  <c r="AN206" i="33"/>
  <c r="AO206" i="33" s="1"/>
  <c r="AP206" i="33" s="1"/>
  <c r="AQ206" i="33" s="1"/>
  <c r="AN291" i="33"/>
  <c r="AO291" i="33" s="1"/>
  <c r="AP291" i="33" s="1"/>
  <c r="AR291" i="33" s="1"/>
  <c r="AN146" i="33"/>
  <c r="AO146" i="33" s="1"/>
  <c r="AP146" i="33" s="1"/>
  <c r="AQ146" i="33" s="1"/>
  <c r="AN226" i="33"/>
  <c r="AO226" i="33" s="1"/>
  <c r="AP226" i="33" s="1"/>
  <c r="AT226" i="33" s="1"/>
  <c r="AN306" i="33"/>
  <c r="AO306" i="33" s="1"/>
  <c r="AP306" i="33" s="1"/>
  <c r="AR306" i="33" s="1"/>
  <c r="AN300" i="33"/>
  <c r="AO300" i="33" s="1"/>
  <c r="AP300" i="33" s="1"/>
  <c r="AT300" i="33" s="1"/>
  <c r="AN118" i="33"/>
  <c r="AO118" i="33" s="1"/>
  <c r="AP118" i="33" s="1"/>
  <c r="AS118" i="33" s="1"/>
  <c r="AN7" i="33"/>
  <c r="AO7" i="33" s="1"/>
  <c r="AP7" i="33" s="1"/>
  <c r="AR7" i="33" s="1"/>
  <c r="AN15" i="33"/>
  <c r="AO15" i="33" s="1"/>
  <c r="AP15" i="33" s="1"/>
  <c r="AS15" i="33" s="1"/>
  <c r="AN203" i="33"/>
  <c r="AO203" i="33" s="1"/>
  <c r="AP203" i="33" s="1"/>
  <c r="AS203" i="33" s="1"/>
  <c r="AN290" i="33"/>
  <c r="AO290" i="33" s="1"/>
  <c r="AP290" i="33" s="1"/>
  <c r="AT290" i="33" s="1"/>
  <c r="AN108" i="33"/>
  <c r="AO108" i="33" s="1"/>
  <c r="AP108" i="33" s="1"/>
  <c r="AT108" i="33" s="1"/>
  <c r="AN316" i="33"/>
  <c r="AO316" i="33" s="1"/>
  <c r="AP316" i="33" s="1"/>
  <c r="AQ316" i="33" s="1"/>
  <c r="AN24" i="33"/>
  <c r="AO24" i="33" s="1"/>
  <c r="AN18" i="33"/>
  <c r="AO18" i="33" s="1"/>
  <c r="AP18" i="33" s="1"/>
  <c r="AN5" i="33"/>
  <c r="AO5" i="33" s="1"/>
  <c r="AN143" i="33"/>
  <c r="AO143" i="33" s="1"/>
  <c r="AN212" i="33"/>
  <c r="AO212" i="33" s="1"/>
  <c r="AP212" i="33" s="1"/>
  <c r="AN199" i="33"/>
  <c r="AO199" i="33" s="1"/>
  <c r="AP199" i="33" s="1"/>
  <c r="AQ199" i="33" s="1"/>
  <c r="AN124" i="33"/>
  <c r="AO124" i="33" s="1"/>
  <c r="AP124" i="33" s="1"/>
  <c r="AQ124" i="33" s="1"/>
  <c r="AN104" i="33"/>
  <c r="AO104" i="33" s="1"/>
  <c r="AP104" i="33" s="1"/>
  <c r="AT104" i="33" s="1"/>
  <c r="AN134" i="33"/>
  <c r="AO134" i="33" s="1"/>
  <c r="AP134" i="33" s="1"/>
  <c r="AN94" i="33"/>
  <c r="AO94" i="33" s="1"/>
  <c r="AP94" i="33" s="1"/>
  <c r="AN111" i="33"/>
  <c r="AO111" i="33" s="1"/>
  <c r="AP111" i="33" s="1"/>
  <c r="AS111" i="33" s="1"/>
  <c r="AN87" i="33"/>
  <c r="AO87" i="33" s="1"/>
  <c r="AP87" i="33" s="1"/>
  <c r="AN90" i="33"/>
  <c r="AO90" i="33" s="1"/>
  <c r="AP90" i="33" s="1"/>
  <c r="AQ90" i="33" s="1"/>
  <c r="AN313" i="33"/>
  <c r="AO313" i="33" s="1"/>
  <c r="AP313" i="33" s="1"/>
  <c r="AR313" i="33" s="1"/>
  <c r="AN99" i="33"/>
  <c r="AO99" i="33" s="1"/>
  <c r="AP99" i="33" s="1"/>
  <c r="AT99" i="33" s="1"/>
  <c r="AN221" i="33"/>
  <c r="AO221" i="33" s="1"/>
  <c r="AP221" i="33" s="1"/>
  <c r="AS221" i="33" s="1"/>
  <c r="AN85" i="33"/>
  <c r="AO85" i="33" s="1"/>
  <c r="AP85" i="33" s="1"/>
  <c r="AN228" i="33"/>
  <c r="AO228" i="33" s="1"/>
  <c r="AP228" i="33" s="1"/>
  <c r="AN126" i="33"/>
  <c r="AO126" i="33" s="1"/>
  <c r="AP126" i="33" s="1"/>
  <c r="AT126" i="33" s="1"/>
  <c r="AN13" i="33"/>
  <c r="AO13" i="33" s="1"/>
  <c r="AP13" i="33" s="1"/>
  <c r="AQ13" i="33" s="1"/>
  <c r="AN89" i="33"/>
  <c r="AO89" i="33" s="1"/>
  <c r="AP89" i="33" s="1"/>
  <c r="AN196" i="33"/>
  <c r="AO196" i="33" s="1"/>
  <c r="AP196" i="33" s="1"/>
  <c r="AS196" i="33" s="1"/>
  <c r="AU196" i="33" s="1"/>
  <c r="AN77" i="33"/>
  <c r="AO77" i="33" s="1"/>
  <c r="AN216" i="33"/>
  <c r="AO216" i="33" s="1"/>
  <c r="AP216" i="33" s="1"/>
  <c r="AR216" i="33" s="1"/>
  <c r="AN121" i="33"/>
  <c r="AO121" i="33" s="1"/>
  <c r="AP121" i="33" s="1"/>
  <c r="AN109" i="33"/>
  <c r="AO109" i="33" s="1"/>
  <c r="AP109" i="33" s="1"/>
  <c r="AS109" i="33" s="1"/>
  <c r="AN141" i="33"/>
  <c r="AO141" i="33" s="1"/>
  <c r="AP141" i="33" s="1"/>
  <c r="AQ141" i="33" s="1"/>
  <c r="AN88" i="33"/>
  <c r="AO88" i="33" s="1"/>
  <c r="AN209" i="33"/>
  <c r="AO209" i="33" s="1"/>
  <c r="AN219" i="33"/>
  <c r="AO219" i="33" s="1"/>
  <c r="AP219" i="33" s="1"/>
  <c r="AR219" i="33" s="1"/>
  <c r="AN8" i="33"/>
  <c r="AO8" i="33" s="1"/>
  <c r="AP8" i="33" s="1"/>
  <c r="AS8" i="33" s="1"/>
  <c r="AN112" i="33"/>
  <c r="AO112" i="33" s="1"/>
  <c r="AP112" i="33" s="1"/>
  <c r="AN105" i="33"/>
  <c r="AO105" i="33" s="1"/>
  <c r="AN93" i="33"/>
  <c r="AO93" i="33" s="1"/>
  <c r="AP93" i="33" s="1"/>
  <c r="AQ93" i="33" s="1"/>
  <c r="AN202" i="33"/>
  <c r="AO202" i="33" s="1"/>
  <c r="AP202" i="33" s="1"/>
  <c r="AQ202" i="33" s="1"/>
  <c r="AN225" i="33"/>
  <c r="AO225" i="33" s="1"/>
  <c r="AP225" i="33" s="1"/>
  <c r="AS225" i="33" s="1"/>
  <c r="AN84" i="33"/>
  <c r="AO84" i="33" s="1"/>
  <c r="AP84" i="33" s="1"/>
  <c r="AT84" i="33" s="1"/>
  <c r="AN293" i="33"/>
  <c r="AO293" i="33" s="1"/>
  <c r="AN107" i="33"/>
  <c r="AO107" i="33" s="1"/>
  <c r="AP107" i="33" s="1"/>
  <c r="AR107" i="33" s="1"/>
  <c r="O8" i="9"/>
  <c r="P239" i="33"/>
  <c r="AA239" i="33" s="1"/>
  <c r="AA240" i="33" s="1"/>
  <c r="P240" i="33"/>
  <c r="P241" i="33"/>
  <c r="AA241" i="33" s="1"/>
  <c r="AA242" i="33" s="1"/>
  <c r="P242" i="33"/>
  <c r="P243" i="33"/>
  <c r="AA243" i="33" s="1"/>
  <c r="AA244" i="33" s="1"/>
  <c r="P244" i="33"/>
  <c r="P245" i="33"/>
  <c r="AA245" i="33" s="1"/>
  <c r="AA246" i="33" s="1"/>
  <c r="P246" i="33"/>
  <c r="P247" i="33"/>
  <c r="AA247" i="33" s="1"/>
  <c r="AA248" i="33" s="1"/>
  <c r="P248" i="33"/>
  <c r="P249" i="33"/>
  <c r="AA249" i="33" s="1"/>
  <c r="AA250" i="33" s="1"/>
  <c r="AA251" i="33" s="1"/>
  <c r="AA252" i="33" s="1"/>
  <c r="P250" i="33"/>
  <c r="P251" i="33"/>
  <c r="P252" i="33"/>
  <c r="R241" i="33"/>
  <c r="AC241" i="33" s="1"/>
  <c r="AC242" i="33" s="1"/>
  <c r="R243" i="33"/>
  <c r="AC243" i="33" s="1"/>
  <c r="AC244" i="33" s="1"/>
  <c r="R245" i="33"/>
  <c r="AC245" i="33" s="1"/>
  <c r="AC246" i="33" s="1"/>
  <c r="R246" i="33"/>
  <c r="R247" i="33"/>
  <c r="AC247" i="33" s="1"/>
  <c r="AC248" i="33" s="1"/>
  <c r="R249" i="33"/>
  <c r="AC249" i="33" s="1"/>
  <c r="AC250" i="33" s="1"/>
  <c r="AC251" i="33" s="1"/>
  <c r="AC252" i="33" s="1"/>
  <c r="R251" i="33"/>
  <c r="S241" i="33"/>
  <c r="AD241" i="33" s="1"/>
  <c r="AD242" i="33" s="1"/>
  <c r="S243" i="33"/>
  <c r="AD243" i="33" s="1"/>
  <c r="AD244" i="33" s="1"/>
  <c r="S245" i="33"/>
  <c r="AD245" i="33" s="1"/>
  <c r="AD246" i="33" s="1"/>
  <c r="S247" i="33"/>
  <c r="AD247" i="33" s="1"/>
  <c r="AD248" i="33" s="1"/>
  <c r="S249" i="33"/>
  <c r="AD249" i="33" s="1"/>
  <c r="AD250" i="33" s="1"/>
  <c r="AD251" i="33" s="1"/>
  <c r="AD252" i="33" s="1"/>
  <c r="S251" i="33"/>
  <c r="Q239" i="33"/>
  <c r="AB239" i="33" s="1"/>
  <c r="AB240" i="33" s="1"/>
  <c r="Q240" i="33"/>
  <c r="Q241" i="33"/>
  <c r="AB241" i="33" s="1"/>
  <c r="AB242" i="33" s="1"/>
  <c r="Q242" i="33"/>
  <c r="Q243" i="33"/>
  <c r="AB243" i="33" s="1"/>
  <c r="AB244" i="33" s="1"/>
  <c r="Q244" i="33"/>
  <c r="Q245" i="33"/>
  <c r="AB245" i="33" s="1"/>
  <c r="AB246" i="33" s="1"/>
  <c r="Q246" i="33"/>
  <c r="Q247" i="33"/>
  <c r="AB247" i="33" s="1"/>
  <c r="AB248" i="33" s="1"/>
  <c r="Q248" i="33"/>
  <c r="Q249" i="33"/>
  <c r="AB249" i="33" s="1"/>
  <c r="AB250" i="33" s="1"/>
  <c r="AB251" i="33" s="1"/>
  <c r="AB252" i="33" s="1"/>
  <c r="Q250" i="33"/>
  <c r="Q251" i="33"/>
  <c r="Q252" i="33"/>
  <c r="R239" i="33"/>
  <c r="AC239" i="33" s="1"/>
  <c r="AC240" i="33" s="1"/>
  <c r="R240" i="33"/>
  <c r="R242" i="33"/>
  <c r="R244" i="33"/>
  <c r="R248" i="33"/>
  <c r="R250" i="33"/>
  <c r="R252" i="33"/>
  <c r="S239" i="33"/>
  <c r="AD239" i="33" s="1"/>
  <c r="AD240" i="33" s="1"/>
  <c r="S240" i="33"/>
  <c r="S242" i="33"/>
  <c r="S244" i="33"/>
  <c r="S246" i="33"/>
  <c r="S248" i="33"/>
  <c r="S250" i="33"/>
  <c r="S252" i="33"/>
  <c r="AN244" i="33"/>
  <c r="AO244" i="33" s="1"/>
  <c r="AN242" i="33"/>
  <c r="AN240" i="33"/>
  <c r="AO240" i="33" s="1"/>
  <c r="AN246" i="33"/>
  <c r="AO246" i="33" s="1"/>
  <c r="AN247" i="33"/>
  <c r="AO247" i="33" s="1"/>
  <c r="AP247" i="33" s="1"/>
  <c r="AN249" i="33"/>
  <c r="AN272" i="33"/>
  <c r="AO272" i="33" s="1"/>
  <c r="AN245" i="33"/>
  <c r="AO245" i="33" s="1"/>
  <c r="AN239" i="33"/>
  <c r="AO239" i="33" s="1"/>
  <c r="AN241" i="33"/>
  <c r="AO241" i="33" s="1"/>
  <c r="AP241" i="33" s="1"/>
  <c r="AN251" i="33"/>
  <c r="AO251" i="33" s="1"/>
  <c r="AN252" i="33"/>
  <c r="AO252" i="33" s="1"/>
  <c r="AN250" i="33"/>
  <c r="AO250" i="33" s="1"/>
  <c r="AN248" i="33"/>
  <c r="AO248" i="33" s="1"/>
  <c r="AP248" i="33" s="1"/>
  <c r="AN243" i="33"/>
  <c r="AO243" i="33" s="1"/>
  <c r="AP243" i="33" s="1"/>
  <c r="R358" i="33"/>
  <c r="R360" i="33"/>
  <c r="R362" i="33"/>
  <c r="R364" i="33"/>
  <c r="R366" i="33"/>
  <c r="R368" i="33"/>
  <c r="R370" i="33"/>
  <c r="Q368" i="33"/>
  <c r="S358" i="33"/>
  <c r="S360" i="33"/>
  <c r="S362" i="33"/>
  <c r="S364" i="33"/>
  <c r="S366" i="33"/>
  <c r="S368" i="33"/>
  <c r="S370" i="33"/>
  <c r="Q362" i="33"/>
  <c r="P359" i="33"/>
  <c r="P361" i="33"/>
  <c r="P363" i="33"/>
  <c r="P365" i="33"/>
  <c r="P367" i="33"/>
  <c r="P369" i="33"/>
  <c r="P371" i="33"/>
  <c r="Q359" i="33"/>
  <c r="Q361" i="33"/>
  <c r="Q363" i="33"/>
  <c r="Q365" i="33"/>
  <c r="Q367" i="33"/>
  <c r="Q369" i="33"/>
  <c r="Q371" i="33"/>
  <c r="Q364" i="33"/>
  <c r="R359" i="33"/>
  <c r="R361" i="33"/>
  <c r="R363" i="33"/>
  <c r="R365" i="33"/>
  <c r="R367" i="33"/>
  <c r="R369" i="33"/>
  <c r="R371" i="33"/>
  <c r="Q366" i="33"/>
  <c r="S359" i="33"/>
  <c r="S361" i="33"/>
  <c r="S363" i="33"/>
  <c r="S365" i="33"/>
  <c r="S367" i="33"/>
  <c r="S369" i="33"/>
  <c r="S371" i="33"/>
  <c r="Q358" i="33"/>
  <c r="Q370" i="33"/>
  <c r="P358" i="33"/>
  <c r="P360" i="33"/>
  <c r="P362" i="33"/>
  <c r="P364" i="33"/>
  <c r="P366" i="33"/>
  <c r="P368" i="33"/>
  <c r="P370" i="33"/>
  <c r="Q360" i="33"/>
  <c r="AN371" i="33"/>
  <c r="AN368" i="33"/>
  <c r="AO368" i="33" s="1"/>
  <c r="AP368" i="33" s="1"/>
  <c r="AN366" i="33"/>
  <c r="AN365" i="33"/>
  <c r="AO365" i="33" s="1"/>
  <c r="AP365" i="33" s="1"/>
  <c r="AN358" i="33"/>
  <c r="AO358" i="33" s="1"/>
  <c r="AN361" i="33"/>
  <c r="AO361" i="33" s="1"/>
  <c r="AN360" i="33"/>
  <c r="AN359" i="33"/>
  <c r="AN367" i="33"/>
  <c r="AO367" i="33" s="1"/>
  <c r="AP367" i="33" s="1"/>
  <c r="AN363" i="33"/>
  <c r="AO363" i="33" s="1"/>
  <c r="AP363" i="33" s="1"/>
  <c r="AN362" i="33"/>
  <c r="AN364" i="33"/>
  <c r="AN369" i="33"/>
  <c r="AN370" i="33"/>
  <c r="AO370" i="33" s="1"/>
  <c r="S344" i="33"/>
  <c r="AD344" i="33" s="1"/>
  <c r="AD345" i="33" s="1"/>
  <c r="S346" i="33"/>
  <c r="AD346" i="33" s="1"/>
  <c r="AD347" i="33" s="1"/>
  <c r="S348" i="33"/>
  <c r="AD348" i="33" s="1"/>
  <c r="AD349" i="33" s="1"/>
  <c r="S350" i="33"/>
  <c r="AD350" i="33" s="1"/>
  <c r="AD351" i="33" s="1"/>
  <c r="S352" i="33"/>
  <c r="AD352" i="33" s="1"/>
  <c r="AD353" i="33" s="1"/>
  <c r="AD354" i="33" s="1"/>
  <c r="AD355" i="33" s="1"/>
  <c r="AD356" i="33" s="1"/>
  <c r="AD357" i="33" s="1"/>
  <c r="S354" i="33"/>
  <c r="S356" i="33"/>
  <c r="Q331" i="33"/>
  <c r="Q333" i="33"/>
  <c r="Q335" i="33"/>
  <c r="Q337" i="33"/>
  <c r="Q339" i="33"/>
  <c r="Q341" i="33"/>
  <c r="Q343" i="33"/>
  <c r="R350" i="33"/>
  <c r="AC350" i="33" s="1"/>
  <c r="AC351" i="33" s="1"/>
  <c r="P335" i="33"/>
  <c r="P345" i="33"/>
  <c r="P347" i="33"/>
  <c r="P349" i="33"/>
  <c r="P351" i="33"/>
  <c r="P353" i="33"/>
  <c r="P355" i="33"/>
  <c r="P357" i="33"/>
  <c r="R331" i="33"/>
  <c r="R333" i="33"/>
  <c r="R335" i="33"/>
  <c r="R337" i="33"/>
  <c r="R339" i="33"/>
  <c r="R341" i="33"/>
  <c r="R343" i="33"/>
  <c r="R354" i="33"/>
  <c r="P339" i="33"/>
  <c r="Q345" i="33"/>
  <c r="Q347" i="33"/>
  <c r="Q349" i="33"/>
  <c r="Q351" i="33"/>
  <c r="Q353" i="33"/>
  <c r="Q355" i="33"/>
  <c r="Q357" i="33"/>
  <c r="S331" i="33"/>
  <c r="S333" i="33"/>
  <c r="S335" i="33"/>
  <c r="S337" i="33"/>
  <c r="S339" i="33"/>
  <c r="S341" i="33"/>
  <c r="S343" i="33"/>
  <c r="R356" i="33"/>
  <c r="P341" i="33"/>
  <c r="R345" i="33"/>
  <c r="R347" i="33"/>
  <c r="R349" i="33"/>
  <c r="R351" i="33"/>
  <c r="R353" i="33"/>
  <c r="R355" i="33"/>
  <c r="R357" i="33"/>
  <c r="P330" i="33"/>
  <c r="AA330" i="33" s="1"/>
  <c r="AA331" i="33" s="1"/>
  <c r="P332" i="33"/>
  <c r="AA332" i="33" s="1"/>
  <c r="AA333" i="33" s="1"/>
  <c r="P334" i="33"/>
  <c r="AA334" i="33" s="1"/>
  <c r="AA335" i="33" s="1"/>
  <c r="P336" i="33"/>
  <c r="AA336" i="33" s="1"/>
  <c r="AA337" i="33" s="1"/>
  <c r="P338" i="33"/>
  <c r="AA338" i="33" s="1"/>
  <c r="AA339" i="33" s="1"/>
  <c r="AA340" i="33" s="1"/>
  <c r="AA341" i="33" s="1"/>
  <c r="AA342" i="33" s="1"/>
  <c r="AA343" i="33" s="1"/>
  <c r="P340" i="33"/>
  <c r="P342" i="33"/>
  <c r="R348" i="33"/>
  <c r="AC348" i="33" s="1"/>
  <c r="AC349" i="33" s="1"/>
  <c r="P337" i="33"/>
  <c r="S345" i="33"/>
  <c r="S347" i="33"/>
  <c r="S349" i="33"/>
  <c r="S351" i="33"/>
  <c r="S353" i="33"/>
  <c r="S355" i="33"/>
  <c r="S357" i="33"/>
  <c r="Q330" i="33"/>
  <c r="AB330" i="33" s="1"/>
  <c r="AB331" i="33" s="1"/>
  <c r="Q332" i="33"/>
  <c r="AB332" i="33" s="1"/>
  <c r="AB333" i="33" s="1"/>
  <c r="Q334" i="33"/>
  <c r="AB334" i="33" s="1"/>
  <c r="AB335" i="33" s="1"/>
  <c r="Q336" i="33"/>
  <c r="AB336" i="33" s="1"/>
  <c r="AB337" i="33" s="1"/>
  <c r="Q338" i="33"/>
  <c r="AB338" i="33" s="1"/>
  <c r="AB339" i="33" s="1"/>
  <c r="AB340" i="33" s="1"/>
  <c r="AB341" i="33" s="1"/>
  <c r="AB342" i="33" s="1"/>
  <c r="AB343" i="33" s="1"/>
  <c r="Q340" i="33"/>
  <c r="Q342" i="33"/>
  <c r="R352" i="33"/>
  <c r="AC352" i="33" s="1"/>
  <c r="AC353" i="33" s="1"/>
  <c r="AC354" i="33" s="1"/>
  <c r="AC355" i="33" s="1"/>
  <c r="AC356" i="33" s="1"/>
  <c r="AC357" i="33" s="1"/>
  <c r="P343" i="33"/>
  <c r="P344" i="33"/>
  <c r="AA344" i="33" s="1"/>
  <c r="AA345" i="33" s="1"/>
  <c r="P346" i="33"/>
  <c r="AA346" i="33" s="1"/>
  <c r="AA347" i="33" s="1"/>
  <c r="P348" i="33"/>
  <c r="AA348" i="33" s="1"/>
  <c r="AA349" i="33" s="1"/>
  <c r="P350" i="33"/>
  <c r="AA350" i="33" s="1"/>
  <c r="AA351" i="33" s="1"/>
  <c r="P352" i="33"/>
  <c r="AA352" i="33" s="1"/>
  <c r="AA353" i="33" s="1"/>
  <c r="AA354" i="33" s="1"/>
  <c r="AA355" i="33" s="1"/>
  <c r="AA356" i="33" s="1"/>
  <c r="AA357" i="33" s="1"/>
  <c r="P354" i="33"/>
  <c r="P356" i="33"/>
  <c r="R330" i="33"/>
  <c r="AC330" i="33" s="1"/>
  <c r="AC331" i="33" s="1"/>
  <c r="R332" i="33"/>
  <c r="AC332" i="33" s="1"/>
  <c r="AC333" i="33" s="1"/>
  <c r="R334" i="33"/>
  <c r="AC334" i="33" s="1"/>
  <c r="AC335" i="33" s="1"/>
  <c r="R336" i="33"/>
  <c r="AC336" i="33" s="1"/>
  <c r="AC337" i="33" s="1"/>
  <c r="R338" i="33"/>
  <c r="AC338" i="33" s="1"/>
  <c r="AC339" i="33" s="1"/>
  <c r="AC340" i="33" s="1"/>
  <c r="AC341" i="33" s="1"/>
  <c r="AC342" i="33" s="1"/>
  <c r="AC343" i="33" s="1"/>
  <c r="R340" i="33"/>
  <c r="R342" i="33"/>
  <c r="R346" i="33"/>
  <c r="AC346" i="33" s="1"/>
  <c r="AC347" i="33" s="1"/>
  <c r="P333" i="33"/>
  <c r="Q344" i="33"/>
  <c r="AB344" i="33" s="1"/>
  <c r="AB345" i="33" s="1"/>
  <c r="Q346" i="33"/>
  <c r="AB346" i="33" s="1"/>
  <c r="AB347" i="33" s="1"/>
  <c r="Q348" i="33"/>
  <c r="AB348" i="33" s="1"/>
  <c r="AB349" i="33" s="1"/>
  <c r="Q350" i="33"/>
  <c r="AB350" i="33" s="1"/>
  <c r="AB351" i="33" s="1"/>
  <c r="Q352" i="33"/>
  <c r="AB352" i="33" s="1"/>
  <c r="AB353" i="33" s="1"/>
  <c r="AB354" i="33" s="1"/>
  <c r="AB355" i="33" s="1"/>
  <c r="AB356" i="33" s="1"/>
  <c r="AB357" i="33" s="1"/>
  <c r="Q354" i="33"/>
  <c r="Q356" i="33"/>
  <c r="S330" i="33"/>
  <c r="AD330" i="33" s="1"/>
  <c r="AD331" i="33" s="1"/>
  <c r="S332" i="33"/>
  <c r="AD332" i="33" s="1"/>
  <c r="AD333" i="33" s="1"/>
  <c r="S334" i="33"/>
  <c r="AD334" i="33" s="1"/>
  <c r="AD335" i="33" s="1"/>
  <c r="S336" i="33"/>
  <c r="AD336" i="33" s="1"/>
  <c r="AD337" i="33" s="1"/>
  <c r="S338" i="33"/>
  <c r="AD338" i="33" s="1"/>
  <c r="AD339" i="33" s="1"/>
  <c r="AD340" i="33" s="1"/>
  <c r="AD341" i="33" s="1"/>
  <c r="AD342" i="33" s="1"/>
  <c r="AD343" i="33" s="1"/>
  <c r="S340" i="33"/>
  <c r="S342" i="33"/>
  <c r="R344" i="33"/>
  <c r="AC344" i="33" s="1"/>
  <c r="AC345" i="33" s="1"/>
  <c r="P331" i="33"/>
  <c r="AN356" i="33"/>
  <c r="AN344" i="33"/>
  <c r="AO344" i="33" s="1"/>
  <c r="AN350" i="33"/>
  <c r="AN352" i="33"/>
  <c r="AO352" i="33" s="1"/>
  <c r="AN354" i="33"/>
  <c r="AO354" i="33" s="1"/>
  <c r="AP354" i="33" s="1"/>
  <c r="AN351" i="33"/>
  <c r="AO351" i="33" s="1"/>
  <c r="AN355" i="33"/>
  <c r="AO355" i="33" s="1"/>
  <c r="AP355" i="33" s="1"/>
  <c r="AN349" i="33"/>
  <c r="AO349" i="33" s="1"/>
  <c r="AN347" i="33"/>
  <c r="AO347" i="33" s="1"/>
  <c r="AP347" i="33" s="1"/>
  <c r="AN346" i="33"/>
  <c r="AO346" i="33" s="1"/>
  <c r="AP346" i="33" s="1"/>
  <c r="AN353" i="33"/>
  <c r="AN345" i="33"/>
  <c r="AO345" i="33" s="1"/>
  <c r="AP345" i="33" s="1"/>
  <c r="AN348" i="33"/>
  <c r="AO348" i="33" s="1"/>
  <c r="AN357" i="33"/>
  <c r="AO357" i="33" s="1"/>
  <c r="AP357" i="33" s="1"/>
  <c r="AN336" i="33"/>
  <c r="AO336" i="33" s="1"/>
  <c r="AN337" i="33"/>
  <c r="AO337" i="33" s="1"/>
  <c r="AN343" i="33"/>
  <c r="AO343" i="33" s="1"/>
  <c r="AN333" i="33"/>
  <c r="AO333" i="33" s="1"/>
  <c r="AP333" i="33" s="1"/>
  <c r="AN342" i="33"/>
  <c r="AO342" i="33" s="1"/>
  <c r="AN330" i="33"/>
  <c r="AO330" i="33" s="1"/>
  <c r="AP330" i="33" s="1"/>
  <c r="AN340" i="33"/>
  <c r="AO340" i="33" s="1"/>
  <c r="AN338" i="33"/>
  <c r="AO338" i="33" s="1"/>
  <c r="AN331" i="33"/>
  <c r="AO331" i="33" s="1"/>
  <c r="AN332" i="33"/>
  <c r="AO332" i="33" s="1"/>
  <c r="AN341" i="33"/>
  <c r="AO341" i="33" s="1"/>
  <c r="AN339" i="33"/>
  <c r="AO339" i="33" s="1"/>
  <c r="AP339" i="33" s="1"/>
  <c r="AN335" i="33"/>
  <c r="AO335" i="33" s="1"/>
  <c r="AN334" i="33"/>
  <c r="S37" i="33"/>
  <c r="S39" i="33"/>
  <c r="S41" i="33"/>
  <c r="S43" i="33"/>
  <c r="S45" i="33"/>
  <c r="AD45" i="33" s="1"/>
  <c r="AD46" i="33" s="1"/>
  <c r="AD47" i="33" s="1"/>
  <c r="AD48" i="33" s="1"/>
  <c r="AD49" i="33" s="1"/>
  <c r="S47" i="33"/>
  <c r="S49" i="33"/>
  <c r="S51" i="33"/>
  <c r="S53" i="33"/>
  <c r="S55" i="33"/>
  <c r="AD55" i="33" s="1"/>
  <c r="AD56" i="33" s="1"/>
  <c r="AD57" i="33" s="1"/>
  <c r="AD58" i="33" s="1"/>
  <c r="AD59" i="33" s="1"/>
  <c r="S57" i="33"/>
  <c r="S59" i="33"/>
  <c r="S61" i="33"/>
  <c r="S63" i="33"/>
  <c r="R35" i="33"/>
  <c r="AC35" i="33" s="1"/>
  <c r="AC36" i="33" s="1"/>
  <c r="AC37" i="33" s="1"/>
  <c r="AC38" i="33" s="1"/>
  <c r="AC39" i="33" s="1"/>
  <c r="R45" i="33"/>
  <c r="AC45" i="33" s="1"/>
  <c r="AC46" i="33" s="1"/>
  <c r="AC47" i="33" s="1"/>
  <c r="AC48" i="33" s="1"/>
  <c r="AC49" i="33" s="1"/>
  <c r="R57" i="33"/>
  <c r="P36" i="33"/>
  <c r="P38" i="33"/>
  <c r="P40" i="33"/>
  <c r="AA40" i="33" s="1"/>
  <c r="AA41" i="33" s="1"/>
  <c r="AA42" i="33" s="1"/>
  <c r="AA43" i="33" s="1"/>
  <c r="AA44" i="33" s="1"/>
  <c r="P42" i="33"/>
  <c r="P44" i="33"/>
  <c r="P46" i="33"/>
  <c r="P48" i="33"/>
  <c r="P50" i="33"/>
  <c r="AA50" i="33" s="1"/>
  <c r="AA51" i="33" s="1"/>
  <c r="AA52" i="33" s="1"/>
  <c r="AA53" i="33" s="1"/>
  <c r="AA54" i="33" s="1"/>
  <c r="P52" i="33"/>
  <c r="P54" i="33"/>
  <c r="P56" i="33"/>
  <c r="P58" i="33"/>
  <c r="P60" i="33"/>
  <c r="AA60" i="33" s="1"/>
  <c r="AA61" i="33" s="1"/>
  <c r="AA62" i="33" s="1"/>
  <c r="AA63" i="33" s="1"/>
  <c r="AA64" i="33" s="1"/>
  <c r="P62" i="33"/>
  <c r="P64" i="33"/>
  <c r="S35" i="33"/>
  <c r="AD35" i="33" s="1"/>
  <c r="AD36" i="33" s="1"/>
  <c r="AD37" i="33" s="1"/>
  <c r="AD38" i="33" s="1"/>
  <c r="AD39" i="33" s="1"/>
  <c r="R51" i="33"/>
  <c r="Q35" i="33"/>
  <c r="AB35" i="33" s="1"/>
  <c r="AB36" i="33" s="1"/>
  <c r="AB37" i="33" s="1"/>
  <c r="AB38" i="33" s="1"/>
  <c r="AB39" i="33" s="1"/>
  <c r="Q36" i="33"/>
  <c r="Q38" i="33"/>
  <c r="Q40" i="33"/>
  <c r="AB40" i="33" s="1"/>
  <c r="AB41" i="33" s="1"/>
  <c r="AB42" i="33" s="1"/>
  <c r="AB43" i="33" s="1"/>
  <c r="AB44" i="33" s="1"/>
  <c r="Q42" i="33"/>
  <c r="Q44" i="33"/>
  <c r="Q46" i="33"/>
  <c r="Q48" i="33"/>
  <c r="Q50" i="33"/>
  <c r="AB50" i="33" s="1"/>
  <c r="AB51" i="33" s="1"/>
  <c r="AB52" i="33" s="1"/>
  <c r="AB53" i="33" s="1"/>
  <c r="AB54" i="33" s="1"/>
  <c r="Q52" i="33"/>
  <c r="Q54" i="33"/>
  <c r="Q56" i="33"/>
  <c r="Q58" i="33"/>
  <c r="Q60" i="33"/>
  <c r="AB60" i="33" s="1"/>
  <c r="AB61" i="33" s="1"/>
  <c r="AB62" i="33" s="1"/>
  <c r="AB63" i="33" s="1"/>
  <c r="AB64" i="33" s="1"/>
  <c r="Q62" i="33"/>
  <c r="Q64" i="33"/>
  <c r="R47" i="33"/>
  <c r="R61" i="33"/>
  <c r="R36" i="33"/>
  <c r="R38" i="33"/>
  <c r="R40" i="33"/>
  <c r="AC40" i="33" s="1"/>
  <c r="AC41" i="33" s="1"/>
  <c r="AC42" i="33" s="1"/>
  <c r="AC43" i="33" s="1"/>
  <c r="AC44" i="33" s="1"/>
  <c r="R42" i="33"/>
  <c r="R44" i="33"/>
  <c r="R46" i="33"/>
  <c r="R48" i="33"/>
  <c r="R50" i="33"/>
  <c r="AC50" i="33" s="1"/>
  <c r="AC51" i="33" s="1"/>
  <c r="AC52" i="33" s="1"/>
  <c r="AC53" i="33" s="1"/>
  <c r="AC54" i="33" s="1"/>
  <c r="R52" i="33"/>
  <c r="R54" i="33"/>
  <c r="R56" i="33"/>
  <c r="R58" i="33"/>
  <c r="R60" i="33"/>
  <c r="AC60" i="33" s="1"/>
  <c r="AC61" i="33" s="1"/>
  <c r="AC62" i="33" s="1"/>
  <c r="AC63" i="33" s="1"/>
  <c r="AC64" i="33" s="1"/>
  <c r="R62" i="33"/>
  <c r="R64" i="33"/>
  <c r="R39" i="33"/>
  <c r="R55" i="33"/>
  <c r="AC55" i="33" s="1"/>
  <c r="AC56" i="33" s="1"/>
  <c r="AC57" i="33" s="1"/>
  <c r="AC58" i="33" s="1"/>
  <c r="AC59" i="33" s="1"/>
  <c r="S36" i="33"/>
  <c r="S38" i="33"/>
  <c r="S40" i="33"/>
  <c r="AD40" i="33" s="1"/>
  <c r="AD41" i="33" s="1"/>
  <c r="AD42" i="33" s="1"/>
  <c r="AD43" i="33" s="1"/>
  <c r="AD44" i="33" s="1"/>
  <c r="S42" i="33"/>
  <c r="S44" i="33"/>
  <c r="S46" i="33"/>
  <c r="S48" i="33"/>
  <c r="S50" i="33"/>
  <c r="AD50" i="33" s="1"/>
  <c r="AD51" i="33" s="1"/>
  <c r="AD52" i="33" s="1"/>
  <c r="AD53" i="33" s="1"/>
  <c r="AD54" i="33" s="1"/>
  <c r="S52" i="33"/>
  <c r="S54" i="33"/>
  <c r="S56" i="33"/>
  <c r="S58" i="33"/>
  <c r="S60" i="33"/>
  <c r="AD60" i="33" s="1"/>
  <c r="AD61" i="33" s="1"/>
  <c r="AD62" i="33" s="1"/>
  <c r="AD63" i="33" s="1"/>
  <c r="AD64" i="33" s="1"/>
  <c r="S62" i="33"/>
  <c r="S64" i="33"/>
  <c r="R41" i="33"/>
  <c r="R59" i="33"/>
  <c r="P37" i="33"/>
  <c r="P39" i="33"/>
  <c r="P41" i="33"/>
  <c r="P43" i="33"/>
  <c r="P45" i="33"/>
  <c r="AA45" i="33" s="1"/>
  <c r="AA46" i="33" s="1"/>
  <c r="AA47" i="33" s="1"/>
  <c r="AA48" i="33" s="1"/>
  <c r="AA49" i="33" s="1"/>
  <c r="P47" i="33"/>
  <c r="P49" i="33"/>
  <c r="P51" i="33"/>
  <c r="P53" i="33"/>
  <c r="P55" i="33"/>
  <c r="AA55" i="33" s="1"/>
  <c r="AA56" i="33" s="1"/>
  <c r="AA57" i="33" s="1"/>
  <c r="AA58" i="33" s="1"/>
  <c r="AA59" i="33" s="1"/>
  <c r="P57" i="33"/>
  <c r="P59" i="33"/>
  <c r="P61" i="33"/>
  <c r="P63" i="33"/>
  <c r="R37" i="33"/>
  <c r="R49" i="33"/>
  <c r="R63" i="33"/>
  <c r="Q37" i="33"/>
  <c r="Q39" i="33"/>
  <c r="Q41" i="33"/>
  <c r="Q43" i="33"/>
  <c r="Q45" i="33"/>
  <c r="AB45" i="33" s="1"/>
  <c r="AB46" i="33" s="1"/>
  <c r="AB47" i="33" s="1"/>
  <c r="AB48" i="33" s="1"/>
  <c r="AB49" i="33" s="1"/>
  <c r="Q47" i="33"/>
  <c r="Q49" i="33"/>
  <c r="Q51" i="33"/>
  <c r="Q53" i="33"/>
  <c r="Q55" i="33"/>
  <c r="AB55" i="33" s="1"/>
  <c r="AB56" i="33" s="1"/>
  <c r="AB57" i="33" s="1"/>
  <c r="AB58" i="33" s="1"/>
  <c r="AB59" i="33" s="1"/>
  <c r="Q57" i="33"/>
  <c r="Q59" i="33"/>
  <c r="Q61" i="33"/>
  <c r="Q63" i="33"/>
  <c r="P35" i="33"/>
  <c r="AA35" i="33" s="1"/>
  <c r="AA36" i="33" s="1"/>
  <c r="AA37" i="33" s="1"/>
  <c r="AA38" i="33" s="1"/>
  <c r="AA39" i="33" s="1"/>
  <c r="R43" i="33"/>
  <c r="R53" i="33"/>
  <c r="AN36" i="33"/>
  <c r="AO36" i="33" s="1"/>
  <c r="AP36" i="33" s="1"/>
  <c r="AN46" i="33"/>
  <c r="AO46" i="33" s="1"/>
  <c r="AN38" i="33"/>
  <c r="AO38" i="33" s="1"/>
  <c r="AP38" i="33" s="1"/>
  <c r="AN52" i="33"/>
  <c r="AO52" i="33" s="1"/>
  <c r="AN40" i="33"/>
  <c r="AO40" i="33" s="1"/>
  <c r="AN39" i="33"/>
  <c r="AO39" i="33" s="1"/>
  <c r="AN37" i="33"/>
  <c r="AO37" i="33" s="1"/>
  <c r="AP37" i="33" s="1"/>
  <c r="AN35" i="33"/>
  <c r="AO35" i="33" s="1"/>
  <c r="AN47" i="33"/>
  <c r="AO47" i="33" s="1"/>
  <c r="AN60" i="33"/>
  <c r="AO60" i="33" s="1"/>
  <c r="AP60" i="33" s="1"/>
  <c r="AN62" i="33"/>
  <c r="AO62" i="33" s="1"/>
  <c r="AN53" i="33"/>
  <c r="AN45" i="33"/>
  <c r="AO45" i="33" s="1"/>
  <c r="AN59" i="33"/>
  <c r="AO59" i="33" s="1"/>
  <c r="AP59" i="33" s="1"/>
  <c r="AN49" i="33"/>
  <c r="AO49" i="33" s="1"/>
  <c r="AN58" i="33"/>
  <c r="AO58" i="33" s="1"/>
  <c r="AN64" i="33"/>
  <c r="AN61" i="33"/>
  <c r="AO61" i="33" s="1"/>
  <c r="AP61" i="33" s="1"/>
  <c r="AN57" i="33"/>
  <c r="AO57" i="33" s="1"/>
  <c r="AP57" i="33" s="1"/>
  <c r="AN63" i="33"/>
  <c r="AN44" i="33"/>
  <c r="AO44" i="33" s="1"/>
  <c r="AP44" i="33" s="1"/>
  <c r="AN55" i="33"/>
  <c r="AN56" i="33"/>
  <c r="AO56" i="33" s="1"/>
  <c r="AP56" i="33" s="1"/>
  <c r="AN43" i="33"/>
  <c r="AO43" i="33" s="1"/>
  <c r="AN42" i="33"/>
  <c r="AO42" i="33" s="1"/>
  <c r="AN51" i="33"/>
  <c r="AO51" i="33" s="1"/>
  <c r="AP51" i="33" s="1"/>
  <c r="AN48" i="33"/>
  <c r="AO48" i="33" s="1"/>
  <c r="AP48" i="33" s="1"/>
  <c r="AN50" i="33"/>
  <c r="AO50" i="33" s="1"/>
  <c r="AN54" i="33"/>
  <c r="AN41" i="33"/>
  <c r="AO41" i="33" s="1"/>
  <c r="AP41" i="33" s="1"/>
  <c r="S179" i="33"/>
  <c r="AD179" i="33" s="1"/>
  <c r="AD180" i="33" s="1"/>
  <c r="AD181" i="33" s="1"/>
  <c r="AD182" i="33" s="1"/>
  <c r="AD183" i="33" s="1"/>
  <c r="S180" i="33"/>
  <c r="S181" i="33"/>
  <c r="S182" i="33"/>
  <c r="S183" i="33"/>
  <c r="S184" i="33"/>
  <c r="AD184" i="33" s="1"/>
  <c r="AD185" i="33" s="1"/>
  <c r="AD186" i="33" s="1"/>
  <c r="AD187" i="33" s="1"/>
  <c r="AD188" i="33" s="1"/>
  <c r="S185" i="33"/>
  <c r="S186" i="33"/>
  <c r="S187" i="33"/>
  <c r="S188" i="33"/>
  <c r="S189" i="33"/>
  <c r="S190" i="33"/>
  <c r="S191" i="33"/>
  <c r="S192" i="33"/>
  <c r="S193" i="33"/>
  <c r="S194" i="33"/>
  <c r="S195" i="33"/>
  <c r="Q179" i="33"/>
  <c r="AB179" i="33" s="1"/>
  <c r="AB180" i="33" s="1"/>
  <c r="AB181" i="33" s="1"/>
  <c r="AB182" i="33" s="1"/>
  <c r="AB183" i="33" s="1"/>
  <c r="Q182" i="33"/>
  <c r="Q184" i="33"/>
  <c r="AB184" i="33" s="1"/>
  <c r="AB185" i="33" s="1"/>
  <c r="AB186" i="33" s="1"/>
  <c r="AB187" i="33" s="1"/>
  <c r="AB188" i="33" s="1"/>
  <c r="Q186" i="33"/>
  <c r="Q188" i="33"/>
  <c r="Q190" i="33"/>
  <c r="Q192" i="33"/>
  <c r="Q194" i="33"/>
  <c r="R179" i="33"/>
  <c r="AC179" i="33" s="1"/>
  <c r="AC180" i="33" s="1"/>
  <c r="AC181" i="33" s="1"/>
  <c r="AC182" i="33" s="1"/>
  <c r="AC183" i="33" s="1"/>
  <c r="R182" i="33"/>
  <c r="R184" i="33"/>
  <c r="AC184" i="33" s="1"/>
  <c r="AC185" i="33" s="1"/>
  <c r="AC186" i="33" s="1"/>
  <c r="AC187" i="33" s="1"/>
  <c r="AC188" i="33" s="1"/>
  <c r="R186" i="33"/>
  <c r="R188" i="33"/>
  <c r="R190" i="33"/>
  <c r="R192" i="33"/>
  <c r="R194" i="33"/>
  <c r="P179" i="33"/>
  <c r="AA179" i="33" s="1"/>
  <c r="AA180" i="33" s="1"/>
  <c r="AA181" i="33" s="1"/>
  <c r="AA182" i="33" s="1"/>
  <c r="AA183" i="33" s="1"/>
  <c r="P180" i="33"/>
  <c r="P181" i="33"/>
  <c r="P182" i="33"/>
  <c r="P183" i="33"/>
  <c r="P184" i="33"/>
  <c r="AA184" i="33" s="1"/>
  <c r="AA185" i="33" s="1"/>
  <c r="AA186" i="33" s="1"/>
  <c r="AA187" i="33" s="1"/>
  <c r="AA188" i="33" s="1"/>
  <c r="P185" i="33"/>
  <c r="P186" i="33"/>
  <c r="P187" i="33"/>
  <c r="P188" i="33"/>
  <c r="P189" i="33"/>
  <c r="P190" i="33"/>
  <c r="P191" i="33"/>
  <c r="P192" i="33"/>
  <c r="P193" i="33"/>
  <c r="P194" i="33"/>
  <c r="P195" i="33"/>
  <c r="Q180" i="33"/>
  <c r="Q181" i="33"/>
  <c r="Q183" i="33"/>
  <c r="Q185" i="33"/>
  <c r="Q187" i="33"/>
  <c r="Q189" i="33"/>
  <c r="Q191" i="33"/>
  <c r="Q193" i="33"/>
  <c r="Q195" i="33"/>
  <c r="R180" i="33"/>
  <c r="R181" i="33"/>
  <c r="R183" i="33"/>
  <c r="R185" i="33"/>
  <c r="R187" i="33"/>
  <c r="R189" i="33"/>
  <c r="R191" i="33"/>
  <c r="R193" i="33"/>
  <c r="R195" i="33"/>
  <c r="AN183" i="33"/>
  <c r="AO183" i="33" s="1"/>
  <c r="AP183" i="33" s="1"/>
  <c r="AN169" i="33"/>
  <c r="AO169" i="33" s="1"/>
  <c r="AP169" i="33" s="1"/>
  <c r="AN180" i="33"/>
  <c r="AO180" i="33" s="1"/>
  <c r="AP180" i="33" s="1"/>
  <c r="AN186" i="33"/>
  <c r="AO186" i="33" s="1"/>
  <c r="AP186" i="33" s="1"/>
  <c r="AN181" i="33"/>
  <c r="AO181" i="33" s="1"/>
  <c r="AP181" i="33" s="1"/>
  <c r="AN168" i="33"/>
  <c r="AO168" i="33" s="1"/>
  <c r="AN175" i="33"/>
  <c r="AO175" i="33" s="1"/>
  <c r="AP175" i="33" s="1"/>
  <c r="AN174" i="33"/>
  <c r="AO174" i="33" s="1"/>
  <c r="AP174" i="33" s="1"/>
  <c r="AN167" i="33"/>
  <c r="AO167" i="33" s="1"/>
  <c r="AP167" i="33" s="1"/>
  <c r="AN176" i="33"/>
  <c r="AN177" i="33"/>
  <c r="AO177" i="33" s="1"/>
  <c r="AP177" i="33" s="1"/>
  <c r="AN179" i="33"/>
  <c r="AO179" i="33" s="1"/>
  <c r="AN171" i="33"/>
  <c r="AO171" i="33" s="1"/>
  <c r="AP171" i="33" s="1"/>
  <c r="AN182" i="33"/>
  <c r="AO182" i="33" s="1"/>
  <c r="AN170" i="33"/>
  <c r="AN184" i="33"/>
  <c r="AN173" i="33"/>
  <c r="AO173" i="33" s="1"/>
  <c r="AP173" i="33" s="1"/>
  <c r="AN187" i="33"/>
  <c r="AO187" i="33" s="1"/>
  <c r="AN172" i="33"/>
  <c r="AO172" i="33" s="1"/>
  <c r="AP172" i="33" s="1"/>
  <c r="AN188" i="33"/>
  <c r="AO188" i="33" s="1"/>
  <c r="AN178" i="33"/>
  <c r="AO178" i="33" s="1"/>
  <c r="AN185" i="33"/>
  <c r="AO185" i="33" s="1"/>
  <c r="R160" i="33"/>
  <c r="R161" i="33"/>
  <c r="AC161" i="33" s="1"/>
  <c r="AC162" i="33" s="1"/>
  <c r="AC163" i="33" s="1"/>
  <c r="AC164" i="33" s="1"/>
  <c r="AC165" i="33" s="1"/>
  <c r="AC166" i="33" s="1"/>
  <c r="R162" i="33"/>
  <c r="R163" i="33"/>
  <c r="R164" i="33"/>
  <c r="R165" i="33"/>
  <c r="R166" i="33"/>
  <c r="R167" i="33"/>
  <c r="AC167" i="33" s="1"/>
  <c r="AC168" i="33" s="1"/>
  <c r="AC169" i="33" s="1"/>
  <c r="AC170" i="33" s="1"/>
  <c r="AC171" i="33" s="1"/>
  <c r="AC172" i="33" s="1"/>
  <c r="R168" i="33"/>
  <c r="R169" i="33"/>
  <c r="R170" i="33"/>
  <c r="R171" i="33"/>
  <c r="R172" i="33"/>
  <c r="R173" i="33"/>
  <c r="AC173" i="33" s="1"/>
  <c r="AC174" i="33" s="1"/>
  <c r="AC175" i="33" s="1"/>
  <c r="AC176" i="33" s="1"/>
  <c r="AC177" i="33" s="1"/>
  <c r="AC178" i="33" s="1"/>
  <c r="R174" i="33"/>
  <c r="R175" i="33"/>
  <c r="R176" i="33"/>
  <c r="R177" i="33"/>
  <c r="R178" i="33"/>
  <c r="P161" i="33"/>
  <c r="AA161" i="33" s="1"/>
  <c r="AA162" i="33" s="1"/>
  <c r="AA163" i="33" s="1"/>
  <c r="AA164" i="33" s="1"/>
  <c r="AA165" i="33" s="1"/>
  <c r="AA166" i="33" s="1"/>
  <c r="P163" i="33"/>
  <c r="P165" i="33"/>
  <c r="P167" i="33"/>
  <c r="AA167" i="33" s="1"/>
  <c r="AA168" i="33" s="1"/>
  <c r="AA169" i="33" s="1"/>
  <c r="AA170" i="33" s="1"/>
  <c r="AA171" i="33" s="1"/>
  <c r="AA172" i="33" s="1"/>
  <c r="P168" i="33"/>
  <c r="P170" i="33"/>
  <c r="P172" i="33"/>
  <c r="P174" i="33"/>
  <c r="P176" i="33"/>
  <c r="P178" i="33"/>
  <c r="Q161" i="33"/>
  <c r="AB161" i="33" s="1"/>
  <c r="AB162" i="33" s="1"/>
  <c r="AB163" i="33" s="1"/>
  <c r="AB164" i="33" s="1"/>
  <c r="AB165" i="33" s="1"/>
  <c r="AB166" i="33" s="1"/>
  <c r="Q163" i="33"/>
  <c r="Q165" i="33"/>
  <c r="Q167" i="33"/>
  <c r="AB167" i="33" s="1"/>
  <c r="AB168" i="33" s="1"/>
  <c r="AB169" i="33" s="1"/>
  <c r="AB170" i="33" s="1"/>
  <c r="AB171" i="33" s="1"/>
  <c r="AB172" i="33" s="1"/>
  <c r="Q168" i="33"/>
  <c r="Q170" i="33"/>
  <c r="Q172" i="33"/>
  <c r="Q174" i="33"/>
  <c r="Q176" i="33"/>
  <c r="Q178" i="33"/>
  <c r="S160" i="33"/>
  <c r="S161" i="33"/>
  <c r="AD161" i="33" s="1"/>
  <c r="AD162" i="33" s="1"/>
  <c r="AD163" i="33" s="1"/>
  <c r="AD164" i="33" s="1"/>
  <c r="AD165" i="33" s="1"/>
  <c r="AD166" i="33" s="1"/>
  <c r="S162" i="33"/>
  <c r="S163" i="33"/>
  <c r="S164" i="33"/>
  <c r="S165" i="33"/>
  <c r="S166" i="33"/>
  <c r="S167" i="33"/>
  <c r="AD167" i="33" s="1"/>
  <c r="AD168" i="33" s="1"/>
  <c r="AD169" i="33" s="1"/>
  <c r="AD170" i="33" s="1"/>
  <c r="AD171" i="33" s="1"/>
  <c r="AD172" i="33" s="1"/>
  <c r="S168" i="33"/>
  <c r="S169" i="33"/>
  <c r="S170" i="33"/>
  <c r="S171" i="33"/>
  <c r="S172" i="33"/>
  <c r="S173" i="33"/>
  <c r="AD173" i="33" s="1"/>
  <c r="AD174" i="33" s="1"/>
  <c r="AD175" i="33" s="1"/>
  <c r="AD176" i="33" s="1"/>
  <c r="AD177" i="33" s="1"/>
  <c r="AD178" i="33" s="1"/>
  <c r="S174" i="33"/>
  <c r="S175" i="33"/>
  <c r="S176" i="33"/>
  <c r="S177" i="33"/>
  <c r="S178" i="33"/>
  <c r="P160" i="33"/>
  <c r="P162" i="33"/>
  <c r="P164" i="33"/>
  <c r="P166" i="33"/>
  <c r="P169" i="33"/>
  <c r="P171" i="33"/>
  <c r="P173" i="33"/>
  <c r="AA173" i="33" s="1"/>
  <c r="AA174" i="33" s="1"/>
  <c r="AA175" i="33" s="1"/>
  <c r="AA176" i="33" s="1"/>
  <c r="AA177" i="33" s="1"/>
  <c r="AA178" i="33" s="1"/>
  <c r="P175" i="33"/>
  <c r="P177" i="33"/>
  <c r="Q160" i="33"/>
  <c r="Q162" i="33"/>
  <c r="Q164" i="33"/>
  <c r="Q166" i="33"/>
  <c r="Q169" i="33"/>
  <c r="Q171" i="33"/>
  <c r="Q173" i="33"/>
  <c r="AB173" i="33" s="1"/>
  <c r="AB174" i="33" s="1"/>
  <c r="AB175" i="33" s="1"/>
  <c r="AB176" i="33" s="1"/>
  <c r="AB177" i="33" s="1"/>
  <c r="AB178" i="33" s="1"/>
  <c r="Q175" i="33"/>
  <c r="Q177" i="33"/>
  <c r="F30" i="10"/>
  <c r="F27" i="10" s="1"/>
  <c r="M30" i="10"/>
  <c r="S30" i="10"/>
  <c r="U30" i="10" s="1"/>
  <c r="AN30" i="33"/>
  <c r="AO30" i="33" s="1"/>
  <c r="AN75" i="33"/>
  <c r="AO75" i="33" s="1"/>
  <c r="AL133" i="33"/>
  <c r="AN133" i="33" s="1"/>
  <c r="K29" i="10"/>
  <c r="R29" i="10"/>
  <c r="Q149" i="33"/>
  <c r="AB149" i="33" s="1"/>
  <c r="AB150" i="33" s="1"/>
  <c r="AB151" i="33" s="1"/>
  <c r="AB152" i="33" s="1"/>
  <c r="AB153" i="33" s="1"/>
  <c r="AB154" i="33" s="1"/>
  <c r="Q150" i="33"/>
  <c r="Q151" i="33"/>
  <c r="Q152" i="33"/>
  <c r="Q153" i="33"/>
  <c r="Q154" i="33"/>
  <c r="Q155" i="33"/>
  <c r="AB155" i="33" s="1"/>
  <c r="AB156" i="33" s="1"/>
  <c r="AB157" i="33" s="1"/>
  <c r="AB158" i="33" s="1"/>
  <c r="AB159" i="33" s="1"/>
  <c r="AB160" i="33" s="1"/>
  <c r="Q156" i="33"/>
  <c r="Q157" i="33"/>
  <c r="Q158" i="33"/>
  <c r="Q159" i="33"/>
  <c r="S149" i="33"/>
  <c r="AD149" i="33" s="1"/>
  <c r="AD150" i="33" s="1"/>
  <c r="AD151" i="33" s="1"/>
  <c r="AD152" i="33" s="1"/>
  <c r="AD153" i="33" s="1"/>
  <c r="AD154" i="33" s="1"/>
  <c r="S152" i="33"/>
  <c r="S154" i="33"/>
  <c r="S156" i="33"/>
  <c r="S158" i="33"/>
  <c r="P149" i="33"/>
  <c r="AA149" i="33" s="1"/>
  <c r="AA150" i="33" s="1"/>
  <c r="AA151" i="33" s="1"/>
  <c r="AA152" i="33" s="1"/>
  <c r="AA153" i="33" s="1"/>
  <c r="AA154" i="33" s="1"/>
  <c r="P151" i="33"/>
  <c r="P153" i="33"/>
  <c r="P155" i="33"/>
  <c r="AA155" i="33" s="1"/>
  <c r="AA156" i="33" s="1"/>
  <c r="AA157" i="33" s="1"/>
  <c r="AA158" i="33" s="1"/>
  <c r="AA159" i="33" s="1"/>
  <c r="AA160" i="33" s="1"/>
  <c r="P157" i="33"/>
  <c r="P159" i="33"/>
  <c r="R149" i="33"/>
  <c r="AC149" i="33" s="1"/>
  <c r="AC150" i="33" s="1"/>
  <c r="AC151" i="33" s="1"/>
  <c r="AC152" i="33" s="1"/>
  <c r="AC153" i="33" s="1"/>
  <c r="AC154" i="33" s="1"/>
  <c r="R150" i="33"/>
  <c r="R151" i="33"/>
  <c r="R152" i="33"/>
  <c r="R153" i="33"/>
  <c r="R154" i="33"/>
  <c r="R155" i="33"/>
  <c r="AC155" i="33" s="1"/>
  <c r="AC156" i="33" s="1"/>
  <c r="AC157" i="33" s="1"/>
  <c r="AC158" i="33" s="1"/>
  <c r="AC159" i="33" s="1"/>
  <c r="AC160" i="33" s="1"/>
  <c r="R156" i="33"/>
  <c r="R157" i="33"/>
  <c r="R158" i="33"/>
  <c r="R159" i="33"/>
  <c r="S150" i="33"/>
  <c r="S151" i="33"/>
  <c r="S153" i="33"/>
  <c r="S155" i="33"/>
  <c r="AD155" i="33" s="1"/>
  <c r="AD156" i="33" s="1"/>
  <c r="AD157" i="33" s="1"/>
  <c r="AD158" i="33" s="1"/>
  <c r="AD159" i="33" s="1"/>
  <c r="AD160" i="33" s="1"/>
  <c r="S157" i="33"/>
  <c r="S159" i="33"/>
  <c r="P150" i="33"/>
  <c r="P152" i="33"/>
  <c r="P154" i="33"/>
  <c r="P156" i="33"/>
  <c r="P158" i="33"/>
  <c r="AN161" i="33"/>
  <c r="AO161" i="33" s="1"/>
  <c r="AN149" i="33"/>
  <c r="AO149" i="33" s="1"/>
  <c r="AP149" i="33" s="1"/>
  <c r="AN164" i="33"/>
  <c r="AO164" i="33" s="1"/>
  <c r="AN163" i="33"/>
  <c r="AO163" i="33" s="1"/>
  <c r="AP163" i="33" s="1"/>
  <c r="AN165" i="33"/>
  <c r="AO165" i="33" s="1"/>
  <c r="AN154" i="33"/>
  <c r="AO154" i="33" s="1"/>
  <c r="AP154" i="33" s="1"/>
  <c r="AN150" i="33"/>
  <c r="AO150" i="33" s="1"/>
  <c r="AP150" i="33" s="1"/>
  <c r="AN162" i="33"/>
  <c r="AO162" i="33" s="1"/>
  <c r="AP162" i="33" s="1"/>
  <c r="AN155" i="33"/>
  <c r="AO155" i="33" s="1"/>
  <c r="AN153" i="33"/>
  <c r="AO153" i="33" s="1"/>
  <c r="AP153" i="33" s="1"/>
  <c r="AN158" i="33"/>
  <c r="AO158" i="33" s="1"/>
  <c r="AN152" i="33"/>
  <c r="AN160" i="33"/>
  <c r="AN159" i="33"/>
  <c r="AO159" i="33" s="1"/>
  <c r="AP159" i="33" s="1"/>
  <c r="AN151" i="33"/>
  <c r="AO151" i="33" s="1"/>
  <c r="AP151" i="33" s="1"/>
  <c r="AN157" i="33"/>
  <c r="AN156" i="33"/>
  <c r="AO156" i="33" s="1"/>
  <c r="AP156" i="33" s="1"/>
  <c r="AX33" i="33"/>
  <c r="AY33" i="33" s="1"/>
  <c r="C4" i="31"/>
  <c r="E4" i="31"/>
  <c r="B4" i="31"/>
  <c r="B2" i="31" s="1"/>
  <c r="D4" i="31"/>
  <c r="D2" i="31" s="1"/>
  <c r="P203" i="33"/>
  <c r="P204" i="33"/>
  <c r="AA204" i="33" s="1"/>
  <c r="AA205" i="33" s="1"/>
  <c r="P205" i="33"/>
  <c r="P206" i="33"/>
  <c r="AA206" i="33" s="1"/>
  <c r="AA207" i="33" s="1"/>
  <c r="P207" i="33"/>
  <c r="P208" i="33"/>
  <c r="AA208" i="33" s="1"/>
  <c r="AA209" i="33" s="1"/>
  <c r="P209" i="33"/>
  <c r="P210" i="33"/>
  <c r="AA210" i="33" s="1"/>
  <c r="AA211" i="33" s="1"/>
  <c r="P211" i="33"/>
  <c r="P212" i="33"/>
  <c r="AA212" i="33" s="1"/>
  <c r="AA213" i="33" s="1"/>
  <c r="AA214" i="33" s="1"/>
  <c r="AA215" i="33" s="1"/>
  <c r="P213" i="33"/>
  <c r="P214" i="33"/>
  <c r="P215" i="33"/>
  <c r="P216" i="33"/>
  <c r="AA216" i="33" s="1"/>
  <c r="AA217" i="33" s="1"/>
  <c r="AA218" i="33" s="1"/>
  <c r="P217" i="33"/>
  <c r="P218" i="33"/>
  <c r="P219" i="33"/>
  <c r="AA219" i="33" s="1"/>
  <c r="AA220" i="33" s="1"/>
  <c r="AA221" i="33" s="1"/>
  <c r="P220" i="33"/>
  <c r="P221" i="33"/>
  <c r="P222" i="33"/>
  <c r="AA222" i="33" s="1"/>
  <c r="AA223" i="33" s="1"/>
  <c r="AA224" i="33" s="1"/>
  <c r="P223" i="33"/>
  <c r="P224" i="33"/>
  <c r="P225" i="33"/>
  <c r="AA225" i="33" s="1"/>
  <c r="AA226" i="33" s="1"/>
  <c r="AA227" i="33" s="1"/>
  <c r="P226" i="33"/>
  <c r="P227" i="33"/>
  <c r="P228" i="33"/>
  <c r="AA228" i="33" s="1"/>
  <c r="AA229" i="33" s="1"/>
  <c r="AA230" i="33" s="1"/>
  <c r="P229" i="33"/>
  <c r="P230" i="33"/>
  <c r="P231" i="33"/>
  <c r="AA231" i="33" s="1"/>
  <c r="AA232" i="33" s="1"/>
  <c r="AA233" i="33" s="1"/>
  <c r="AA234" i="33" s="1"/>
  <c r="AA235" i="33" s="1"/>
  <c r="AA236" i="33" s="1"/>
  <c r="P232" i="33"/>
  <c r="P233" i="33"/>
  <c r="P234" i="33"/>
  <c r="P235" i="33"/>
  <c r="P236" i="33"/>
  <c r="R203" i="33"/>
  <c r="R206" i="33"/>
  <c r="AC206" i="33" s="1"/>
  <c r="AC207" i="33" s="1"/>
  <c r="R208" i="33"/>
  <c r="AC208" i="33" s="1"/>
  <c r="AC209" i="33" s="1"/>
  <c r="R210" i="33"/>
  <c r="AC210" i="33" s="1"/>
  <c r="AC211" i="33" s="1"/>
  <c r="R212" i="33"/>
  <c r="AC212" i="33" s="1"/>
  <c r="AC213" i="33" s="1"/>
  <c r="AC214" i="33" s="1"/>
  <c r="AC215" i="33" s="1"/>
  <c r="R213" i="33"/>
  <c r="R215" i="33"/>
  <c r="R217" i="33"/>
  <c r="R220" i="33"/>
  <c r="R221" i="33"/>
  <c r="R223" i="33"/>
  <c r="R225" i="33"/>
  <c r="AC225" i="33" s="1"/>
  <c r="AC226" i="33" s="1"/>
  <c r="AC227" i="33" s="1"/>
  <c r="R227" i="33"/>
  <c r="R230" i="33"/>
  <c r="R232" i="33"/>
  <c r="R234" i="33"/>
  <c r="R236" i="33"/>
  <c r="S203" i="33"/>
  <c r="S205" i="33"/>
  <c r="S207" i="33"/>
  <c r="S209" i="33"/>
  <c r="S212" i="33"/>
  <c r="AD212" i="33" s="1"/>
  <c r="AD213" i="33" s="1"/>
  <c r="AD214" i="33" s="1"/>
  <c r="AD215" i="33" s="1"/>
  <c r="S214" i="33"/>
  <c r="S215" i="33"/>
  <c r="S217" i="33"/>
  <c r="S219" i="33"/>
  <c r="AD219" i="33" s="1"/>
  <c r="AD220" i="33" s="1"/>
  <c r="AD221" i="33" s="1"/>
  <c r="S221" i="33"/>
  <c r="S223" i="33"/>
  <c r="S225" i="33"/>
  <c r="AD225" i="33" s="1"/>
  <c r="AD226" i="33" s="1"/>
  <c r="AD227" i="33" s="1"/>
  <c r="S227" i="33"/>
  <c r="S229" i="33"/>
  <c r="S231" i="33"/>
  <c r="AD231" i="33" s="1"/>
  <c r="AD232" i="33" s="1"/>
  <c r="AD233" i="33" s="1"/>
  <c r="AD234" i="33" s="1"/>
  <c r="AD235" i="33" s="1"/>
  <c r="AD236" i="33" s="1"/>
  <c r="S233" i="33"/>
  <c r="S235" i="33"/>
  <c r="Q203" i="33"/>
  <c r="Q204" i="33"/>
  <c r="AB204" i="33" s="1"/>
  <c r="AB205" i="33" s="1"/>
  <c r="Q205" i="33"/>
  <c r="Q206" i="33"/>
  <c r="AB206" i="33" s="1"/>
  <c r="AB207" i="33" s="1"/>
  <c r="Q207" i="33"/>
  <c r="Q208" i="33"/>
  <c r="AB208" i="33" s="1"/>
  <c r="AB209" i="33" s="1"/>
  <c r="Q209" i="33"/>
  <c r="Q210" i="33"/>
  <c r="AB210" i="33" s="1"/>
  <c r="AB211" i="33" s="1"/>
  <c r="Q211" i="33"/>
  <c r="Q212" i="33"/>
  <c r="AB212" i="33" s="1"/>
  <c r="AB213" i="33" s="1"/>
  <c r="AB214" i="33" s="1"/>
  <c r="AB215" i="33" s="1"/>
  <c r="Q213" i="33"/>
  <c r="Q214" i="33"/>
  <c r="Q215" i="33"/>
  <c r="Q216" i="33"/>
  <c r="AB216" i="33" s="1"/>
  <c r="AB217" i="33" s="1"/>
  <c r="AB218" i="33" s="1"/>
  <c r="Q217" i="33"/>
  <c r="Q218" i="33"/>
  <c r="Q219" i="33"/>
  <c r="AB219" i="33" s="1"/>
  <c r="AB220" i="33" s="1"/>
  <c r="AB221" i="33" s="1"/>
  <c r="Q220" i="33"/>
  <c r="Q221" i="33"/>
  <c r="Q222" i="33"/>
  <c r="AB222" i="33" s="1"/>
  <c r="AB223" i="33" s="1"/>
  <c r="AB224" i="33" s="1"/>
  <c r="Q223" i="33"/>
  <c r="Q224" i="33"/>
  <c r="Q225" i="33"/>
  <c r="AB225" i="33" s="1"/>
  <c r="AB226" i="33" s="1"/>
  <c r="AB227" i="33" s="1"/>
  <c r="Q226" i="33"/>
  <c r="Q227" i="33"/>
  <c r="Q228" i="33"/>
  <c r="AB228" i="33" s="1"/>
  <c r="AB229" i="33" s="1"/>
  <c r="AB230" i="33" s="1"/>
  <c r="Q229" i="33"/>
  <c r="Q230" i="33"/>
  <c r="Q231" i="33"/>
  <c r="AB231" i="33" s="1"/>
  <c r="AB232" i="33" s="1"/>
  <c r="AB233" i="33" s="1"/>
  <c r="AB234" i="33" s="1"/>
  <c r="AB235" i="33" s="1"/>
  <c r="AB236" i="33" s="1"/>
  <c r="Q232" i="33"/>
  <c r="Q233" i="33"/>
  <c r="Q234" i="33"/>
  <c r="Q235" i="33"/>
  <c r="Q236" i="33"/>
  <c r="R204" i="33"/>
  <c r="AC204" i="33" s="1"/>
  <c r="AC205" i="33" s="1"/>
  <c r="R205" i="33"/>
  <c r="R207" i="33"/>
  <c r="R209" i="33"/>
  <c r="R211" i="33"/>
  <c r="R214" i="33"/>
  <c r="R216" i="33"/>
  <c r="AC216" i="33" s="1"/>
  <c r="AC217" i="33" s="1"/>
  <c r="AC218" i="33" s="1"/>
  <c r="R218" i="33"/>
  <c r="R219" i="33"/>
  <c r="AC219" i="33" s="1"/>
  <c r="AC220" i="33" s="1"/>
  <c r="AC221" i="33" s="1"/>
  <c r="R222" i="33"/>
  <c r="AC222" i="33" s="1"/>
  <c r="AC223" i="33" s="1"/>
  <c r="AC224" i="33" s="1"/>
  <c r="R224" i="33"/>
  <c r="R226" i="33"/>
  <c r="R228" i="33"/>
  <c r="AC228" i="33" s="1"/>
  <c r="AC229" i="33" s="1"/>
  <c r="AC230" i="33" s="1"/>
  <c r="R229" i="33"/>
  <c r="R231" i="33"/>
  <c r="AC231" i="33" s="1"/>
  <c r="AC232" i="33" s="1"/>
  <c r="AC233" i="33" s="1"/>
  <c r="AC234" i="33" s="1"/>
  <c r="AC235" i="33" s="1"/>
  <c r="AC236" i="33" s="1"/>
  <c r="R233" i="33"/>
  <c r="R235" i="33"/>
  <c r="S204" i="33"/>
  <c r="AD204" i="33" s="1"/>
  <c r="AD205" i="33" s="1"/>
  <c r="S206" i="33"/>
  <c r="AD206" i="33" s="1"/>
  <c r="AD207" i="33" s="1"/>
  <c r="S208" i="33"/>
  <c r="AD208" i="33" s="1"/>
  <c r="AD209" i="33" s="1"/>
  <c r="S210" i="33"/>
  <c r="AD210" i="33" s="1"/>
  <c r="AD211" i="33" s="1"/>
  <c r="S211" i="33"/>
  <c r="S213" i="33"/>
  <c r="S216" i="33"/>
  <c r="AD216" i="33" s="1"/>
  <c r="AD217" i="33" s="1"/>
  <c r="AD218" i="33" s="1"/>
  <c r="S218" i="33"/>
  <c r="S220" i="33"/>
  <c r="S222" i="33"/>
  <c r="AD222" i="33" s="1"/>
  <c r="AD223" i="33" s="1"/>
  <c r="AD224" i="33" s="1"/>
  <c r="S224" i="33"/>
  <c r="S226" i="33"/>
  <c r="S228" i="33"/>
  <c r="AD228" i="33" s="1"/>
  <c r="AD229" i="33" s="1"/>
  <c r="AD230" i="33" s="1"/>
  <c r="S230" i="33"/>
  <c r="S232" i="33"/>
  <c r="S234" i="33"/>
  <c r="S236" i="33"/>
  <c r="C2" i="31"/>
  <c r="E2" i="31"/>
  <c r="AT205" i="33"/>
  <c r="AQ205" i="33"/>
  <c r="AQ379" i="33" s="1"/>
  <c r="AT66" i="33"/>
  <c r="AS115" i="33"/>
  <c r="AQ115" i="33"/>
  <c r="AO299" i="33"/>
  <c r="AP299" i="33" s="1"/>
  <c r="D17" i="9"/>
  <c r="D18" i="9"/>
  <c r="AY17" i="33"/>
  <c r="AX34" i="33"/>
  <c r="R292" i="33"/>
  <c r="R294" i="33"/>
  <c r="Q323" i="33"/>
  <c r="AB323" i="33" s="1"/>
  <c r="AB324" i="33" s="1"/>
  <c r="AB325" i="33" s="1"/>
  <c r="AB326" i="33" s="1"/>
  <c r="AB327" i="33" s="1"/>
  <c r="AB328" i="33" s="1"/>
  <c r="Q325" i="33"/>
  <c r="Q327" i="33"/>
  <c r="S292" i="33"/>
  <c r="S294" i="33"/>
  <c r="R323" i="33"/>
  <c r="AC323" i="33" s="1"/>
  <c r="AC324" i="33" s="1"/>
  <c r="AC325" i="33" s="1"/>
  <c r="AC326" i="33" s="1"/>
  <c r="AC327" i="33" s="1"/>
  <c r="AC328" i="33" s="1"/>
  <c r="R325" i="33"/>
  <c r="R327" i="33"/>
  <c r="S322" i="33"/>
  <c r="P293" i="33"/>
  <c r="AA293" i="33" s="1"/>
  <c r="AA294" i="33" s="1"/>
  <c r="AA295" i="33" s="1"/>
  <c r="P295" i="33"/>
  <c r="S323" i="33"/>
  <c r="AD323" i="33" s="1"/>
  <c r="AD324" i="33" s="1"/>
  <c r="AD325" i="33" s="1"/>
  <c r="AD326" i="33" s="1"/>
  <c r="AD327" i="33" s="1"/>
  <c r="AD328" i="33" s="1"/>
  <c r="S325" i="33"/>
  <c r="S327" i="33"/>
  <c r="R322" i="33"/>
  <c r="Q293" i="33"/>
  <c r="AB293" i="33" s="1"/>
  <c r="AB294" i="33" s="1"/>
  <c r="AB295" i="33" s="1"/>
  <c r="Q295" i="33"/>
  <c r="P324" i="33"/>
  <c r="P326" i="33"/>
  <c r="P328" i="33"/>
  <c r="Q322" i="33"/>
  <c r="R293" i="33"/>
  <c r="AC293" i="33" s="1"/>
  <c r="AC294" i="33" s="1"/>
  <c r="AC295" i="33" s="1"/>
  <c r="R295" i="33"/>
  <c r="Q324" i="33"/>
  <c r="Q326" i="33"/>
  <c r="Q328" i="33"/>
  <c r="P322" i="33"/>
  <c r="S293" i="33"/>
  <c r="AD293" i="33" s="1"/>
  <c r="AD294" i="33" s="1"/>
  <c r="AD295" i="33" s="1"/>
  <c r="S295" i="33"/>
  <c r="R324" i="33"/>
  <c r="R326" i="33"/>
  <c r="R328" i="33"/>
  <c r="P292" i="33"/>
  <c r="P294" i="33"/>
  <c r="S324" i="33"/>
  <c r="S326" i="33"/>
  <c r="S328" i="33"/>
  <c r="Q292" i="33"/>
  <c r="Q294" i="33"/>
  <c r="P323" i="33"/>
  <c r="AA323" i="33" s="1"/>
  <c r="AA324" i="33" s="1"/>
  <c r="AA325" i="33" s="1"/>
  <c r="AA326" i="33" s="1"/>
  <c r="AA327" i="33" s="1"/>
  <c r="AA328" i="33" s="1"/>
  <c r="P325" i="33"/>
  <c r="P327" i="33"/>
  <c r="Q319" i="33"/>
  <c r="R321" i="33"/>
  <c r="P320" i="33"/>
  <c r="AA320" i="33" s="1"/>
  <c r="AA321" i="33" s="1"/>
  <c r="AA322" i="33" s="1"/>
  <c r="R320" i="33"/>
  <c r="AC320" i="33" s="1"/>
  <c r="AC321" i="33" s="1"/>
  <c r="AC322" i="33" s="1"/>
  <c r="S321" i="33"/>
  <c r="P329" i="33"/>
  <c r="AA329" i="33" s="1"/>
  <c r="Q320" i="33"/>
  <c r="AB320" i="33" s="1"/>
  <c r="AB321" i="33" s="1"/>
  <c r="AB322" i="33" s="1"/>
  <c r="S320" i="33"/>
  <c r="AD320" i="33" s="1"/>
  <c r="AD321" i="33" s="1"/>
  <c r="AD322" i="33" s="1"/>
  <c r="S319" i="33"/>
  <c r="Q321" i="33"/>
  <c r="R319" i="33"/>
  <c r="P319" i="33"/>
  <c r="P321" i="33"/>
  <c r="R329" i="33"/>
  <c r="AC329" i="33" s="1"/>
  <c r="S329" i="33"/>
  <c r="AD329" i="33" s="1"/>
  <c r="Q329" i="33"/>
  <c r="AB329" i="33" s="1"/>
  <c r="Q291" i="33"/>
  <c r="P291" i="33"/>
  <c r="Q290" i="33"/>
  <c r="AB290" i="33" s="1"/>
  <c r="AB291" i="33" s="1"/>
  <c r="R290" i="33"/>
  <c r="AC290" i="33" s="1"/>
  <c r="AC291" i="33" s="1"/>
  <c r="S290" i="33"/>
  <c r="AD290" i="33" s="1"/>
  <c r="AD291" i="33" s="1"/>
  <c r="S291" i="33"/>
  <c r="R291" i="33"/>
  <c r="P290" i="33"/>
  <c r="AA290" i="33" s="1"/>
  <c r="AA291" i="33" s="1"/>
  <c r="P127" i="33"/>
  <c r="Q126" i="33"/>
  <c r="R125" i="33"/>
  <c r="S124" i="33"/>
  <c r="P126" i="33"/>
  <c r="Q125" i="33"/>
  <c r="R124" i="33"/>
  <c r="R122" i="33"/>
  <c r="P125" i="33"/>
  <c r="Q124" i="33"/>
  <c r="Q122" i="33"/>
  <c r="P124" i="33"/>
  <c r="S123" i="33"/>
  <c r="P122" i="33"/>
  <c r="S122" i="33"/>
  <c r="R123" i="33"/>
  <c r="P123" i="33"/>
  <c r="S125" i="33"/>
  <c r="S127" i="33"/>
  <c r="Q123" i="33"/>
  <c r="R126" i="33"/>
  <c r="R127" i="33"/>
  <c r="S126" i="33"/>
  <c r="Q127" i="33"/>
  <c r="P129" i="33"/>
  <c r="P131" i="33"/>
  <c r="AA131" i="33" s="1"/>
  <c r="AA132" i="33" s="1"/>
  <c r="AA133" i="33" s="1"/>
  <c r="P133" i="33"/>
  <c r="P135" i="33"/>
  <c r="P137" i="33"/>
  <c r="AA137" i="33" s="1"/>
  <c r="AA138" i="33" s="1"/>
  <c r="AA139" i="33" s="1"/>
  <c r="P139" i="33"/>
  <c r="P141" i="33"/>
  <c r="P143" i="33"/>
  <c r="AA143" i="33" s="1"/>
  <c r="AA144" i="33" s="1"/>
  <c r="AA145" i="33" s="1"/>
  <c r="P145" i="33"/>
  <c r="R137" i="33"/>
  <c r="AC137" i="33" s="1"/>
  <c r="AC138" i="33" s="1"/>
  <c r="AC139" i="33" s="1"/>
  <c r="R141" i="33"/>
  <c r="R145" i="33"/>
  <c r="Q129" i="33"/>
  <c r="Q131" i="33"/>
  <c r="AB131" i="33" s="1"/>
  <c r="AB132" i="33" s="1"/>
  <c r="AB133" i="33" s="1"/>
  <c r="Q133" i="33"/>
  <c r="Q135" i="33"/>
  <c r="Q137" i="33"/>
  <c r="AB137" i="33" s="1"/>
  <c r="AB138" i="33" s="1"/>
  <c r="AB139" i="33" s="1"/>
  <c r="Q139" i="33"/>
  <c r="Q141" i="33"/>
  <c r="Q143" i="33"/>
  <c r="AB143" i="33" s="1"/>
  <c r="AB144" i="33" s="1"/>
  <c r="AB145" i="33" s="1"/>
  <c r="Q145" i="33"/>
  <c r="R133" i="33"/>
  <c r="R143" i="33"/>
  <c r="AC143" i="33" s="1"/>
  <c r="AC144" i="33" s="1"/>
  <c r="AC145" i="33" s="1"/>
  <c r="R129" i="33"/>
  <c r="R131" i="33"/>
  <c r="AC131" i="33" s="1"/>
  <c r="AC132" i="33" s="1"/>
  <c r="AC133" i="33" s="1"/>
  <c r="S129" i="33"/>
  <c r="S131" i="33"/>
  <c r="AD131" i="33" s="1"/>
  <c r="AD132" i="33" s="1"/>
  <c r="AD133" i="33" s="1"/>
  <c r="S133" i="33"/>
  <c r="S135" i="33"/>
  <c r="S137" i="33"/>
  <c r="AD137" i="33" s="1"/>
  <c r="AD138" i="33" s="1"/>
  <c r="AD139" i="33" s="1"/>
  <c r="S139" i="33"/>
  <c r="S141" i="33"/>
  <c r="S143" i="33"/>
  <c r="AD143" i="33" s="1"/>
  <c r="AD144" i="33" s="1"/>
  <c r="AD145" i="33" s="1"/>
  <c r="S145" i="33"/>
  <c r="R134" i="33"/>
  <c r="AC134" i="33" s="1"/>
  <c r="AC135" i="33" s="1"/>
  <c r="AC136" i="33" s="1"/>
  <c r="R138" i="33"/>
  <c r="R144" i="33"/>
  <c r="P128" i="33"/>
  <c r="AA128" i="33" s="1"/>
  <c r="AA129" i="33" s="1"/>
  <c r="AA130" i="33" s="1"/>
  <c r="P130" i="33"/>
  <c r="P132" i="33"/>
  <c r="P134" i="33"/>
  <c r="AA134" i="33" s="1"/>
  <c r="AA135" i="33" s="1"/>
  <c r="AA136" i="33" s="1"/>
  <c r="P136" i="33"/>
  <c r="P138" i="33"/>
  <c r="P140" i="33"/>
  <c r="AA140" i="33" s="1"/>
  <c r="AA141" i="33" s="1"/>
  <c r="AA142" i="33" s="1"/>
  <c r="P142" i="33"/>
  <c r="P144" i="33"/>
  <c r="R132" i="33"/>
  <c r="R140" i="33"/>
  <c r="AC140" i="33" s="1"/>
  <c r="AC141" i="33" s="1"/>
  <c r="AC142" i="33" s="1"/>
  <c r="Q128" i="33"/>
  <c r="AB128" i="33" s="1"/>
  <c r="AB129" i="33" s="1"/>
  <c r="AB130" i="33" s="1"/>
  <c r="Q130" i="33"/>
  <c r="Q132" i="33"/>
  <c r="Q134" i="33"/>
  <c r="AB134" i="33" s="1"/>
  <c r="AB135" i="33" s="1"/>
  <c r="AB136" i="33" s="1"/>
  <c r="Q136" i="33"/>
  <c r="Q138" i="33"/>
  <c r="Q140" i="33"/>
  <c r="AB140" i="33" s="1"/>
  <c r="AB141" i="33" s="1"/>
  <c r="AB142" i="33" s="1"/>
  <c r="Q142" i="33"/>
  <c r="Q144" i="33"/>
  <c r="R130" i="33"/>
  <c r="R136" i="33"/>
  <c r="R142" i="33"/>
  <c r="R128" i="33"/>
  <c r="AC128" i="33" s="1"/>
  <c r="AC129" i="33" s="1"/>
  <c r="AC130" i="33" s="1"/>
  <c r="S128" i="33"/>
  <c r="AD128" i="33" s="1"/>
  <c r="AD129" i="33" s="1"/>
  <c r="AD130" i="33" s="1"/>
  <c r="S130" i="33"/>
  <c r="S132" i="33"/>
  <c r="S134" i="33"/>
  <c r="AD134" i="33" s="1"/>
  <c r="AD135" i="33" s="1"/>
  <c r="AD136" i="33" s="1"/>
  <c r="S136" i="33"/>
  <c r="S138" i="33"/>
  <c r="S140" i="33"/>
  <c r="AD140" i="33" s="1"/>
  <c r="AD141" i="33" s="1"/>
  <c r="AD142" i="33" s="1"/>
  <c r="S142" i="33"/>
  <c r="S144" i="33"/>
  <c r="R135" i="33"/>
  <c r="R139" i="33"/>
  <c r="P107" i="33"/>
  <c r="AA107" i="33" s="1"/>
  <c r="AA108" i="33" s="1"/>
  <c r="AA109" i="33" s="1"/>
  <c r="P109" i="33"/>
  <c r="P111" i="33"/>
  <c r="P113" i="33"/>
  <c r="AA113" i="33" s="1"/>
  <c r="AA114" i="33" s="1"/>
  <c r="AA115" i="33" s="1"/>
  <c r="P115" i="33"/>
  <c r="P117" i="33"/>
  <c r="P119" i="33"/>
  <c r="AA119" i="33" s="1"/>
  <c r="AA120" i="33" s="1"/>
  <c r="AA121" i="33" s="1"/>
  <c r="AA122" i="33" s="1"/>
  <c r="AA123" i="33" s="1"/>
  <c r="AA124" i="33" s="1"/>
  <c r="AA125" i="33" s="1"/>
  <c r="AA126" i="33" s="1"/>
  <c r="AA127" i="33" s="1"/>
  <c r="P121" i="33"/>
  <c r="Q107" i="33"/>
  <c r="AB107" i="33" s="1"/>
  <c r="AB108" i="33" s="1"/>
  <c r="AB109" i="33" s="1"/>
  <c r="Q109" i="33"/>
  <c r="Q111" i="33"/>
  <c r="Q113" i="33"/>
  <c r="AB113" i="33" s="1"/>
  <c r="AB114" i="33" s="1"/>
  <c r="AB115" i="33" s="1"/>
  <c r="Q115" i="33"/>
  <c r="Q117" i="33"/>
  <c r="Q119" i="33"/>
  <c r="AB119" i="33" s="1"/>
  <c r="AB120" i="33" s="1"/>
  <c r="AB121" i="33" s="1"/>
  <c r="AB122" i="33" s="1"/>
  <c r="AB123" i="33" s="1"/>
  <c r="AB124" i="33" s="1"/>
  <c r="AB125" i="33" s="1"/>
  <c r="AB126" i="33" s="1"/>
  <c r="AB127" i="33" s="1"/>
  <c r="Q121" i="33"/>
  <c r="R107" i="33"/>
  <c r="AC107" i="33" s="1"/>
  <c r="AC108" i="33" s="1"/>
  <c r="AC109" i="33" s="1"/>
  <c r="R109" i="33"/>
  <c r="R111" i="33"/>
  <c r="R113" i="33"/>
  <c r="AC113" i="33" s="1"/>
  <c r="AC114" i="33" s="1"/>
  <c r="AC115" i="33" s="1"/>
  <c r="R115" i="33"/>
  <c r="R117" i="33"/>
  <c r="R119" i="33"/>
  <c r="AC119" i="33" s="1"/>
  <c r="AC120" i="33" s="1"/>
  <c r="AC121" i="33" s="1"/>
  <c r="AC122" i="33" s="1"/>
  <c r="AC123" i="33" s="1"/>
  <c r="AC124" i="33" s="1"/>
  <c r="AC125" i="33" s="1"/>
  <c r="AC126" i="33" s="1"/>
  <c r="AC127" i="33" s="1"/>
  <c r="R121" i="33"/>
  <c r="S107" i="33"/>
  <c r="AD107" i="33" s="1"/>
  <c r="AD108" i="33" s="1"/>
  <c r="AD109" i="33" s="1"/>
  <c r="S109" i="33"/>
  <c r="S111" i="33"/>
  <c r="S113" i="33"/>
  <c r="AD113" i="33" s="1"/>
  <c r="AD114" i="33" s="1"/>
  <c r="AD115" i="33" s="1"/>
  <c r="S115" i="33"/>
  <c r="S117" i="33"/>
  <c r="S119" i="33"/>
  <c r="AD119" i="33" s="1"/>
  <c r="AD120" i="33" s="1"/>
  <c r="AD121" i="33" s="1"/>
  <c r="AD122" i="33" s="1"/>
  <c r="AD123" i="33" s="1"/>
  <c r="AD124" i="33" s="1"/>
  <c r="AD125" i="33" s="1"/>
  <c r="AD126" i="33" s="1"/>
  <c r="AD127" i="33" s="1"/>
  <c r="S121" i="33"/>
  <c r="P116" i="33"/>
  <c r="AA116" i="33" s="1"/>
  <c r="AA117" i="33" s="1"/>
  <c r="AA118" i="33" s="1"/>
  <c r="Q120" i="33"/>
  <c r="S118" i="33"/>
  <c r="P108" i="33"/>
  <c r="P110" i="33"/>
  <c r="AA110" i="33" s="1"/>
  <c r="AA111" i="33" s="1"/>
  <c r="AA112" i="33" s="1"/>
  <c r="P112" i="33"/>
  <c r="P114" i="33"/>
  <c r="P118" i="33"/>
  <c r="P120" i="33"/>
  <c r="S114" i="33"/>
  <c r="Q108" i="33"/>
  <c r="Q110" i="33"/>
  <c r="AB110" i="33" s="1"/>
  <c r="AB111" i="33" s="1"/>
  <c r="AB112" i="33" s="1"/>
  <c r="Q112" i="33"/>
  <c r="Q114" i="33"/>
  <c r="Q116" i="33"/>
  <c r="AB116" i="33" s="1"/>
  <c r="AB117" i="33" s="1"/>
  <c r="AB118" i="33" s="1"/>
  <c r="Q118" i="33"/>
  <c r="S116" i="33"/>
  <c r="AD116" i="33" s="1"/>
  <c r="AD117" i="33" s="1"/>
  <c r="AD118" i="33" s="1"/>
  <c r="R108" i="33"/>
  <c r="R110" i="33"/>
  <c r="AC110" i="33" s="1"/>
  <c r="AC111" i="33" s="1"/>
  <c r="AC112" i="33" s="1"/>
  <c r="R112" i="33"/>
  <c r="R114" i="33"/>
  <c r="R116" i="33"/>
  <c r="AC116" i="33" s="1"/>
  <c r="AC117" i="33" s="1"/>
  <c r="AC118" i="33" s="1"/>
  <c r="R118" i="33"/>
  <c r="R120" i="33"/>
  <c r="S108" i="33"/>
  <c r="S110" i="33"/>
  <c r="AD110" i="33" s="1"/>
  <c r="AD111" i="33" s="1"/>
  <c r="AD112" i="33" s="1"/>
  <c r="S112" i="33"/>
  <c r="S120" i="33"/>
  <c r="F19" i="31"/>
  <c r="S33" i="33"/>
  <c r="S29" i="33"/>
  <c r="AD29" i="33" s="1"/>
  <c r="AD30" i="33" s="1"/>
  <c r="AD31" i="33" s="1"/>
  <c r="S31" i="33"/>
  <c r="S30" i="33"/>
  <c r="P31" i="33"/>
  <c r="Q31" i="33"/>
  <c r="R33" i="33"/>
  <c r="P32" i="33"/>
  <c r="AA32" i="33" s="1"/>
  <c r="AA33" i="33" s="1"/>
  <c r="AA34" i="33" s="1"/>
  <c r="P34" i="33"/>
  <c r="P30" i="33"/>
  <c r="Q32" i="33"/>
  <c r="AB32" i="33" s="1"/>
  <c r="AB33" i="33" s="1"/>
  <c r="AB34" i="33" s="1"/>
  <c r="Q34" i="33"/>
  <c r="Q30" i="33"/>
  <c r="Q33" i="33"/>
  <c r="R32" i="33"/>
  <c r="AC32" i="33" s="1"/>
  <c r="AC33" i="33" s="1"/>
  <c r="AC34" i="33" s="1"/>
  <c r="R34" i="33"/>
  <c r="R30" i="33"/>
  <c r="P33" i="33"/>
  <c r="R31" i="33"/>
  <c r="S32" i="33"/>
  <c r="AD32" i="33" s="1"/>
  <c r="AD33" i="33" s="1"/>
  <c r="AD34" i="33" s="1"/>
  <c r="S34" i="33"/>
  <c r="P29" i="33"/>
  <c r="AA29" i="33" s="1"/>
  <c r="AA30" i="33" s="1"/>
  <c r="AA31" i="33" s="1"/>
  <c r="Q29" i="33"/>
  <c r="AB29" i="33" s="1"/>
  <c r="AB30" i="33" s="1"/>
  <c r="AB31" i="33" s="1"/>
  <c r="R29" i="33"/>
  <c r="AC29" i="33" s="1"/>
  <c r="AC30" i="33" s="1"/>
  <c r="AC31" i="33" s="1"/>
  <c r="F503" i="31"/>
  <c r="Q27" i="33"/>
  <c r="R28" i="33"/>
  <c r="S28" i="33"/>
  <c r="R27" i="33"/>
  <c r="S27" i="33"/>
  <c r="Q28" i="33"/>
  <c r="P27" i="33"/>
  <c r="P26" i="33"/>
  <c r="AA26" i="33" s="1"/>
  <c r="AA27" i="33" s="1"/>
  <c r="AA28" i="33" s="1"/>
  <c r="P28" i="33"/>
  <c r="R26" i="33"/>
  <c r="AC26" i="33" s="1"/>
  <c r="AC27" i="33" s="1"/>
  <c r="AC28" i="33" s="1"/>
  <c r="S26" i="33"/>
  <c r="AD26" i="33" s="1"/>
  <c r="AD27" i="33" s="1"/>
  <c r="AD28" i="33" s="1"/>
  <c r="Q26" i="33"/>
  <c r="AB26" i="33" s="1"/>
  <c r="AB27" i="33" s="1"/>
  <c r="AB28" i="33" s="1"/>
  <c r="R25" i="33"/>
  <c r="S24" i="33"/>
  <c r="R23" i="33"/>
  <c r="AC23" i="33" s="1"/>
  <c r="AC24" i="33" s="1"/>
  <c r="AC25" i="33" s="1"/>
  <c r="Q25" i="33"/>
  <c r="P24" i="33"/>
  <c r="S25" i="33"/>
  <c r="Q23" i="33"/>
  <c r="AB23" i="33" s="1"/>
  <c r="AB24" i="33" s="1"/>
  <c r="AB25" i="33" s="1"/>
  <c r="Q24" i="33"/>
  <c r="P23" i="33"/>
  <c r="AA23" i="33" s="1"/>
  <c r="AA24" i="33" s="1"/>
  <c r="AA25" i="33" s="1"/>
  <c r="P25" i="33"/>
  <c r="R24" i="33"/>
  <c r="S23" i="33"/>
  <c r="AD23" i="33" s="1"/>
  <c r="AD24" i="33" s="1"/>
  <c r="AD25" i="33" s="1"/>
  <c r="F535" i="31"/>
  <c r="F146" i="31"/>
  <c r="F158" i="31"/>
  <c r="D16" i="9"/>
  <c r="R21" i="33"/>
  <c r="P22" i="33"/>
  <c r="Q22" i="33"/>
  <c r="R22" i="33"/>
  <c r="S21" i="33"/>
  <c r="P21" i="33"/>
  <c r="P20" i="33"/>
  <c r="AA20" i="33" s="1"/>
  <c r="AA21" i="33" s="1"/>
  <c r="AA22" i="33" s="1"/>
  <c r="S22" i="33"/>
  <c r="Q20" i="33"/>
  <c r="AB20" i="33" s="1"/>
  <c r="AB21" i="33" s="1"/>
  <c r="AB22" i="33" s="1"/>
  <c r="Q21" i="33"/>
  <c r="R20" i="33"/>
  <c r="AC20" i="33" s="1"/>
  <c r="AC21" i="33" s="1"/>
  <c r="AC22" i="33" s="1"/>
  <c r="S20" i="33"/>
  <c r="AD20" i="33" s="1"/>
  <c r="AD21" i="33" s="1"/>
  <c r="AD22" i="33" s="1"/>
  <c r="Q18" i="33"/>
  <c r="Q17" i="33"/>
  <c r="AB17" i="33" s="1"/>
  <c r="AB18" i="33" s="1"/>
  <c r="AB19" i="33" s="1"/>
  <c r="Q19" i="33"/>
  <c r="S17" i="33"/>
  <c r="AD17" i="33" s="1"/>
  <c r="AD18" i="33" s="1"/>
  <c r="AD19" i="33" s="1"/>
  <c r="R18" i="33"/>
  <c r="P19" i="33"/>
  <c r="R17" i="33"/>
  <c r="AC17" i="33" s="1"/>
  <c r="AC18" i="33" s="1"/>
  <c r="AC19" i="33" s="1"/>
  <c r="P18" i="33"/>
  <c r="S18" i="33"/>
  <c r="P17" i="33"/>
  <c r="AA17" i="33" s="1"/>
  <c r="AA18" i="33" s="1"/>
  <c r="AA19" i="33" s="1"/>
  <c r="R19" i="33"/>
  <c r="S19" i="33"/>
  <c r="F432" i="31"/>
  <c r="F269" i="31"/>
  <c r="F616" i="31"/>
  <c r="D11" i="9"/>
  <c r="D9" i="9"/>
  <c r="D13" i="9"/>
  <c r="D10" i="9"/>
  <c r="D6" i="9"/>
  <c r="D4" i="9"/>
  <c r="D5" i="9"/>
  <c r="D12" i="9"/>
  <c r="D8" i="9"/>
  <c r="D7" i="9"/>
  <c r="D15" i="9"/>
  <c r="D14" i="9"/>
  <c r="F511" i="31"/>
  <c r="F369" i="31"/>
  <c r="R102" i="33"/>
  <c r="R104" i="33"/>
  <c r="R106" i="33"/>
  <c r="P105" i="33"/>
  <c r="AA105" i="33" s="1"/>
  <c r="AA106" i="33" s="1"/>
  <c r="P106" i="33"/>
  <c r="S102" i="33"/>
  <c r="S104" i="33"/>
  <c r="S106" i="33"/>
  <c r="P103" i="33"/>
  <c r="AA103" i="33" s="1"/>
  <c r="AA104" i="33" s="1"/>
  <c r="P101" i="33"/>
  <c r="AA101" i="33" s="1"/>
  <c r="AA102" i="33" s="1"/>
  <c r="Q101" i="33"/>
  <c r="AB101" i="33" s="1"/>
  <c r="AB102" i="33" s="1"/>
  <c r="Q103" i="33"/>
  <c r="AB103" i="33" s="1"/>
  <c r="AB104" i="33" s="1"/>
  <c r="Q105" i="33"/>
  <c r="AB105" i="33" s="1"/>
  <c r="AB106" i="33" s="1"/>
  <c r="Q106" i="33"/>
  <c r="R101" i="33"/>
  <c r="AC101" i="33" s="1"/>
  <c r="AC102" i="33" s="1"/>
  <c r="R103" i="33"/>
  <c r="AC103" i="33" s="1"/>
  <c r="AC104" i="33" s="1"/>
  <c r="R105" i="33"/>
  <c r="AC105" i="33" s="1"/>
  <c r="AC106" i="33" s="1"/>
  <c r="P104" i="33"/>
  <c r="S101" i="33"/>
  <c r="AD101" i="33" s="1"/>
  <c r="AD102" i="33" s="1"/>
  <c r="S103" i="33"/>
  <c r="AD103" i="33" s="1"/>
  <c r="AD104" i="33" s="1"/>
  <c r="S105" i="33"/>
  <c r="AD105" i="33" s="1"/>
  <c r="AD106" i="33" s="1"/>
  <c r="Q104" i="33"/>
  <c r="P102" i="33"/>
  <c r="Q102" i="33"/>
  <c r="Q98" i="33"/>
  <c r="Q100" i="33"/>
  <c r="S96" i="33"/>
  <c r="P95" i="33"/>
  <c r="AA95" i="33" s="1"/>
  <c r="AA96" i="33" s="1"/>
  <c r="R100" i="33"/>
  <c r="R98" i="33"/>
  <c r="S98" i="33"/>
  <c r="P97" i="33"/>
  <c r="AA97" i="33" s="1"/>
  <c r="AA98" i="33" s="1"/>
  <c r="P99" i="33"/>
  <c r="AA99" i="33" s="1"/>
  <c r="AA100" i="33" s="1"/>
  <c r="P96" i="33"/>
  <c r="P100" i="33"/>
  <c r="Q97" i="33"/>
  <c r="AB97" i="33" s="1"/>
  <c r="AB98" i="33" s="1"/>
  <c r="Q99" i="33"/>
  <c r="AB99" i="33" s="1"/>
  <c r="AB100" i="33" s="1"/>
  <c r="R95" i="33"/>
  <c r="AC95" i="33" s="1"/>
  <c r="AC96" i="33" s="1"/>
  <c r="S100" i="33"/>
  <c r="R97" i="33"/>
  <c r="AC97" i="33" s="1"/>
  <c r="AC98" i="33" s="1"/>
  <c r="R99" i="33"/>
  <c r="AC99" i="33" s="1"/>
  <c r="AC100" i="33" s="1"/>
  <c r="S95" i="33"/>
  <c r="AD95" i="33" s="1"/>
  <c r="AD96" i="33" s="1"/>
  <c r="S99" i="33"/>
  <c r="AD99" i="33" s="1"/>
  <c r="AD100" i="33" s="1"/>
  <c r="R96" i="33"/>
  <c r="S97" i="33"/>
  <c r="AD97" i="33" s="1"/>
  <c r="AD98" i="33" s="1"/>
  <c r="Q95" i="33"/>
  <c r="AB95" i="33" s="1"/>
  <c r="AB96" i="33" s="1"/>
  <c r="P98" i="33"/>
  <c r="Q96" i="33"/>
  <c r="F572" i="31"/>
  <c r="F654" i="31"/>
  <c r="F21" i="31"/>
  <c r="F171" i="31"/>
  <c r="F326" i="31"/>
  <c r="F401" i="31"/>
  <c r="F139" i="31"/>
  <c r="F204" i="31"/>
  <c r="F72" i="31"/>
  <c r="F150" i="31"/>
  <c r="F173" i="31"/>
  <c r="F203" i="31"/>
  <c r="F83" i="31"/>
  <c r="F133" i="31"/>
  <c r="F517" i="31"/>
  <c r="F610" i="31"/>
  <c r="F553" i="31"/>
  <c r="F444" i="31"/>
  <c r="F311" i="31"/>
  <c r="Q93" i="33"/>
  <c r="AB93" i="33" s="1"/>
  <c r="AB94" i="33" s="1"/>
  <c r="R93" i="33"/>
  <c r="AC93" i="33" s="1"/>
  <c r="AC94" i="33" s="1"/>
  <c r="P93" i="33"/>
  <c r="AA93" i="33" s="1"/>
  <c r="AA94" i="33" s="1"/>
  <c r="S93" i="33"/>
  <c r="AD93" i="33" s="1"/>
  <c r="AD94" i="33" s="1"/>
  <c r="P94" i="33"/>
  <c r="Q94" i="33"/>
  <c r="R94" i="33"/>
  <c r="S94" i="33"/>
  <c r="F705" i="31"/>
  <c r="F455" i="31"/>
  <c r="F499" i="31"/>
  <c r="F632" i="31"/>
  <c r="F363" i="31"/>
  <c r="Q92" i="33"/>
  <c r="R91" i="33"/>
  <c r="AC91" i="33" s="1"/>
  <c r="AC92" i="33" s="1"/>
  <c r="S91" i="33"/>
  <c r="AD91" i="33" s="1"/>
  <c r="AD92" i="33" s="1"/>
  <c r="R92" i="33"/>
  <c r="S92" i="33"/>
  <c r="P91" i="33"/>
  <c r="AA91" i="33" s="1"/>
  <c r="AA92" i="33" s="1"/>
  <c r="Q91" i="33"/>
  <c r="AB91" i="33" s="1"/>
  <c r="AB92" i="33" s="1"/>
  <c r="P92" i="33"/>
  <c r="F254" i="31"/>
  <c r="F543" i="31"/>
  <c r="F584" i="31"/>
  <c r="F662" i="31"/>
  <c r="F453" i="31"/>
  <c r="F607" i="31"/>
  <c r="F675" i="31"/>
  <c r="F167" i="31"/>
  <c r="F395" i="31"/>
  <c r="F600" i="31"/>
  <c r="F725" i="31"/>
  <c r="F485" i="31"/>
  <c r="F451" i="31"/>
  <c r="F389" i="31"/>
  <c r="F289" i="31"/>
  <c r="F145" i="31"/>
  <c r="F234" i="31"/>
  <c r="F196" i="31"/>
  <c r="F178" i="31"/>
  <c r="F601" i="31"/>
  <c r="F660" i="31"/>
  <c r="F97" i="31"/>
  <c r="F93" i="31"/>
  <c r="F163" i="31"/>
  <c r="F217" i="31"/>
  <c r="F79" i="31"/>
  <c r="F698" i="31"/>
  <c r="F470" i="31"/>
  <c r="F344" i="31"/>
  <c r="F284" i="31"/>
  <c r="F360" i="31"/>
  <c r="F130" i="31"/>
  <c r="P85" i="33"/>
  <c r="AA85" i="33" s="1"/>
  <c r="AA86" i="33" s="1"/>
  <c r="P87" i="33"/>
  <c r="AA87" i="33" s="1"/>
  <c r="AA88" i="33" s="1"/>
  <c r="P89" i="33"/>
  <c r="AA89" i="33" s="1"/>
  <c r="AA90" i="33" s="1"/>
  <c r="Q85" i="33"/>
  <c r="AB85" i="33" s="1"/>
  <c r="AB86" i="33" s="1"/>
  <c r="Q87" i="33"/>
  <c r="AB87" i="33" s="1"/>
  <c r="AB88" i="33" s="1"/>
  <c r="Q89" i="33"/>
  <c r="AB89" i="33" s="1"/>
  <c r="AB90" i="33" s="1"/>
  <c r="R85" i="33"/>
  <c r="AC85" i="33" s="1"/>
  <c r="AC86" i="33" s="1"/>
  <c r="R87" i="33"/>
  <c r="AC87" i="33" s="1"/>
  <c r="AC88" i="33" s="1"/>
  <c r="R89" i="33"/>
  <c r="AC89" i="33" s="1"/>
  <c r="AC90" i="33" s="1"/>
  <c r="S85" i="33"/>
  <c r="AD85" i="33" s="1"/>
  <c r="AD86" i="33" s="1"/>
  <c r="S87" i="33"/>
  <c r="AD87" i="33" s="1"/>
  <c r="AD88" i="33" s="1"/>
  <c r="S89" i="33"/>
  <c r="AD89" i="33" s="1"/>
  <c r="AD90" i="33" s="1"/>
  <c r="P86" i="33"/>
  <c r="P88" i="33"/>
  <c r="P90" i="33"/>
  <c r="S88" i="33"/>
  <c r="Q86" i="33"/>
  <c r="Q88" i="33"/>
  <c r="Q90" i="33"/>
  <c r="S90" i="33"/>
  <c r="R86" i="33"/>
  <c r="R88" i="33"/>
  <c r="R90" i="33"/>
  <c r="S86" i="33"/>
  <c r="F34" i="31"/>
  <c r="F102" i="31"/>
  <c r="F646" i="31"/>
  <c r="F492" i="31"/>
  <c r="F592" i="31"/>
  <c r="F267" i="31"/>
  <c r="F710" i="31"/>
  <c r="F457" i="31"/>
  <c r="Q310" i="33"/>
  <c r="Q312" i="33"/>
  <c r="Q314" i="33"/>
  <c r="AB314" i="33" s="1"/>
  <c r="AB315" i="33" s="1"/>
  <c r="AB316" i="33" s="1"/>
  <c r="Q316" i="33"/>
  <c r="Q318" i="33"/>
  <c r="R310" i="33"/>
  <c r="R312" i="33"/>
  <c r="R314" i="33"/>
  <c r="AC314" i="33" s="1"/>
  <c r="AC315" i="33" s="1"/>
  <c r="AC316" i="33" s="1"/>
  <c r="R316" i="33"/>
  <c r="R318" i="33"/>
  <c r="S310" i="33"/>
  <c r="S312" i="33"/>
  <c r="S314" i="33"/>
  <c r="AD314" i="33" s="1"/>
  <c r="AD315" i="33" s="1"/>
  <c r="AD316" i="33" s="1"/>
  <c r="S316" i="33"/>
  <c r="S318" i="33"/>
  <c r="P309" i="33"/>
  <c r="P311" i="33"/>
  <c r="AA311" i="33" s="1"/>
  <c r="AA312" i="33" s="1"/>
  <c r="AA313" i="33" s="1"/>
  <c r="P313" i="33"/>
  <c r="P315" i="33"/>
  <c r="P317" i="33"/>
  <c r="AA317" i="33" s="1"/>
  <c r="AA318" i="33" s="1"/>
  <c r="AA319" i="33" s="1"/>
  <c r="Q309" i="33"/>
  <c r="Q311" i="33"/>
  <c r="AB311" i="33" s="1"/>
  <c r="AB312" i="33" s="1"/>
  <c r="AB313" i="33" s="1"/>
  <c r="Q313" i="33"/>
  <c r="Q315" i="33"/>
  <c r="Q317" i="33"/>
  <c r="AB317" i="33" s="1"/>
  <c r="AB318" i="33" s="1"/>
  <c r="AB319" i="33" s="1"/>
  <c r="R309" i="33"/>
  <c r="R311" i="33"/>
  <c r="AC311" i="33" s="1"/>
  <c r="AC312" i="33" s="1"/>
  <c r="AC313" i="33" s="1"/>
  <c r="R313" i="33"/>
  <c r="R315" i="33"/>
  <c r="R317" i="33"/>
  <c r="AC317" i="33" s="1"/>
  <c r="AC318" i="33" s="1"/>
  <c r="AC319" i="33" s="1"/>
  <c r="S309" i="33"/>
  <c r="S311" i="33"/>
  <c r="AD311" i="33" s="1"/>
  <c r="AD312" i="33" s="1"/>
  <c r="AD313" i="33" s="1"/>
  <c r="S313" i="33"/>
  <c r="S315" i="33"/>
  <c r="S317" i="33"/>
  <c r="AD317" i="33" s="1"/>
  <c r="AD318" i="33" s="1"/>
  <c r="AD319" i="33" s="1"/>
  <c r="P310" i="33"/>
  <c r="P312" i="33"/>
  <c r="P314" i="33"/>
  <c r="AA314" i="33" s="1"/>
  <c r="AA315" i="33" s="1"/>
  <c r="AA316" i="33" s="1"/>
  <c r="P316" i="33"/>
  <c r="P318" i="33"/>
  <c r="F663" i="31"/>
  <c r="F244" i="31"/>
  <c r="P305" i="33"/>
  <c r="P307" i="33"/>
  <c r="P299" i="33"/>
  <c r="AA299" i="33" s="1"/>
  <c r="AA300" i="33" s="1"/>
  <c r="AA301" i="33" s="1"/>
  <c r="AA302" i="33" s="1"/>
  <c r="AA303" i="33" s="1"/>
  <c r="P301" i="33"/>
  <c r="P303" i="33"/>
  <c r="R302" i="33"/>
  <c r="Q305" i="33"/>
  <c r="Q307" i="33"/>
  <c r="Q299" i="33"/>
  <c r="AB299" i="33" s="1"/>
  <c r="AB300" i="33" s="1"/>
  <c r="AB301" i="33" s="1"/>
  <c r="AB302" i="33" s="1"/>
  <c r="AB303" i="33" s="1"/>
  <c r="Q301" i="33"/>
  <c r="Q303" i="33"/>
  <c r="R308" i="33"/>
  <c r="AC308" i="33" s="1"/>
  <c r="AC309" i="33" s="1"/>
  <c r="AC310" i="33" s="1"/>
  <c r="R305" i="33"/>
  <c r="R307" i="33"/>
  <c r="R299" i="33"/>
  <c r="AC299" i="33" s="1"/>
  <c r="AC300" i="33" s="1"/>
  <c r="AC301" i="33" s="1"/>
  <c r="AC302" i="33" s="1"/>
  <c r="AC303" i="33" s="1"/>
  <c r="R301" i="33"/>
  <c r="R303" i="33"/>
  <c r="R300" i="33"/>
  <c r="S305" i="33"/>
  <c r="S307" i="33"/>
  <c r="S299" i="33"/>
  <c r="AD299" i="33" s="1"/>
  <c r="AD300" i="33" s="1"/>
  <c r="AD301" i="33" s="1"/>
  <c r="AD302" i="33" s="1"/>
  <c r="AD303" i="33" s="1"/>
  <c r="S301" i="33"/>
  <c r="S303" i="33"/>
  <c r="R306" i="33"/>
  <c r="P304" i="33"/>
  <c r="P306" i="33"/>
  <c r="P308" i="33"/>
  <c r="AA308" i="33" s="1"/>
  <c r="AA309" i="33" s="1"/>
  <c r="AA310" i="33" s="1"/>
  <c r="P300" i="33"/>
  <c r="P302" i="33"/>
  <c r="R304" i="33"/>
  <c r="Q304" i="33"/>
  <c r="Q306" i="33"/>
  <c r="Q308" i="33"/>
  <c r="AB308" i="33" s="1"/>
  <c r="AB309" i="33" s="1"/>
  <c r="AB310" i="33" s="1"/>
  <c r="Q300" i="33"/>
  <c r="Q302" i="33"/>
  <c r="S304" i="33"/>
  <c r="S306" i="33"/>
  <c r="S308" i="33"/>
  <c r="AD308" i="33" s="1"/>
  <c r="AD309" i="33" s="1"/>
  <c r="AD310" i="33" s="1"/>
  <c r="S300" i="33"/>
  <c r="S302" i="33"/>
  <c r="F377" i="31"/>
  <c r="F197" i="31"/>
  <c r="F484" i="31"/>
  <c r="F644" i="31"/>
  <c r="F301" i="31"/>
  <c r="F482" i="31"/>
  <c r="F613" i="31"/>
  <c r="F430" i="31"/>
  <c r="F513" i="31"/>
  <c r="F589" i="31"/>
  <c r="F15" i="31"/>
  <c r="F110" i="31"/>
  <c r="F236" i="31"/>
  <c r="F322" i="31"/>
  <c r="F357" i="31"/>
  <c r="F609" i="31"/>
  <c r="F688" i="31"/>
  <c r="F12" i="31"/>
  <c r="F88" i="31"/>
  <c r="F567" i="31"/>
  <c r="F694" i="31"/>
  <c r="F325" i="31"/>
  <c r="F615" i="31"/>
  <c r="F273" i="31"/>
  <c r="F641" i="31"/>
  <c r="F439" i="31"/>
  <c r="F382" i="31"/>
  <c r="F661" i="31"/>
  <c r="F53" i="31"/>
  <c r="F40" i="31"/>
  <c r="F55" i="31"/>
  <c r="F550" i="31"/>
  <c r="F732" i="31"/>
  <c r="F414" i="31"/>
  <c r="F131" i="31"/>
  <c r="F157" i="31"/>
  <c r="F604" i="31"/>
  <c r="F305" i="31"/>
  <c r="F608" i="31"/>
  <c r="F422" i="31"/>
  <c r="F520" i="31"/>
  <c r="F519" i="31"/>
  <c r="F250" i="31"/>
  <c r="F270" i="31"/>
  <c r="F529" i="31"/>
  <c r="F379" i="31"/>
  <c r="F693" i="31"/>
  <c r="F588" i="31"/>
  <c r="F299" i="31"/>
  <c r="F642" i="31"/>
  <c r="F533" i="31"/>
  <c r="F498" i="31"/>
  <c r="F509" i="31"/>
  <c r="F223" i="31"/>
  <c r="F433" i="31"/>
  <c r="F300" i="31"/>
  <c r="F208" i="31"/>
  <c r="F64" i="31"/>
  <c r="F375" i="31"/>
  <c r="F347" i="31"/>
  <c r="F346" i="31"/>
  <c r="F556" i="31"/>
  <c r="F367" i="31"/>
  <c r="F552" i="31"/>
  <c r="F193" i="31"/>
  <c r="F575" i="31"/>
  <c r="F428" i="31"/>
  <c r="F331" i="31"/>
  <c r="F634" i="31"/>
  <c r="F669" i="31"/>
  <c r="F321" i="31"/>
  <c r="F720" i="31"/>
  <c r="F672" i="31"/>
  <c r="F469" i="31"/>
  <c r="F481" i="31"/>
  <c r="F279" i="31"/>
  <c r="F183" i="31"/>
  <c r="F194" i="31"/>
  <c r="F402" i="31"/>
  <c r="F599" i="31"/>
  <c r="F679" i="31"/>
  <c r="F701" i="31"/>
  <c r="F612" i="31"/>
  <c r="F141" i="31"/>
  <c r="F450" i="31"/>
  <c r="F690" i="31"/>
  <c r="F479" i="31"/>
  <c r="F659" i="31"/>
  <c r="F673" i="31"/>
  <c r="F259" i="31"/>
  <c r="F557" i="31"/>
  <c r="F403" i="31"/>
  <c r="F424" i="31"/>
  <c r="F39" i="31"/>
  <c r="F121" i="31"/>
  <c r="F51" i="31"/>
  <c r="F6" i="31"/>
  <c r="F68" i="31"/>
  <c r="F109" i="31"/>
  <c r="F246" i="31"/>
  <c r="F176" i="31"/>
  <c r="F160" i="31"/>
  <c r="F652" i="31"/>
  <c r="F568" i="31"/>
  <c r="F385" i="31"/>
  <c r="F370" i="31"/>
  <c r="F353" i="31"/>
  <c r="F333" i="31"/>
  <c r="F611" i="31"/>
  <c r="F681" i="31"/>
  <c r="F558" i="31"/>
  <c r="F541" i="31"/>
  <c r="F436" i="31"/>
  <c r="F330" i="31"/>
  <c r="F689" i="31"/>
  <c r="F454" i="31"/>
  <c r="F691" i="31"/>
  <c r="F627" i="31"/>
  <c r="F650" i="31"/>
  <c r="F682" i="31"/>
  <c r="F283" i="31"/>
  <c r="F687" i="31"/>
  <c r="F578" i="31"/>
  <c r="F342" i="31"/>
  <c r="F696" i="31"/>
  <c r="F676" i="31"/>
  <c r="F521" i="31"/>
  <c r="F459" i="31"/>
  <c r="F518" i="31"/>
  <c r="F736" i="31"/>
  <c r="F625" i="31"/>
  <c r="F664" i="31"/>
  <c r="F332" i="31"/>
  <c r="F117" i="31"/>
  <c r="F181" i="31"/>
  <c r="F214" i="31"/>
  <c r="F65" i="31"/>
  <c r="F41" i="31"/>
  <c r="F95" i="31"/>
  <c r="F192" i="31"/>
  <c r="F101" i="31"/>
  <c r="F42" i="31"/>
  <c r="F185" i="31"/>
  <c r="F17" i="31"/>
  <c r="F140" i="31"/>
  <c r="F70" i="31"/>
  <c r="F666" i="31"/>
  <c r="F586" i="31"/>
  <c r="F426" i="31"/>
  <c r="F421" i="31"/>
  <c r="F365" i="31"/>
  <c r="F628" i="31"/>
  <c r="F544" i="31"/>
  <c r="F614" i="31"/>
  <c r="F461" i="31"/>
  <c r="F648" i="31"/>
  <c r="F620" i="31"/>
  <c r="F161" i="31"/>
  <c r="F449" i="31"/>
  <c r="F555" i="31"/>
  <c r="F708" i="31"/>
  <c r="F486" i="31"/>
  <c r="F737" i="31"/>
  <c r="F685" i="31"/>
  <c r="F538" i="31"/>
  <c r="F290" i="31"/>
  <c r="F729" i="31"/>
  <c r="F319" i="31"/>
  <c r="F724" i="31"/>
  <c r="F542" i="31"/>
  <c r="F623" i="31"/>
  <c r="F716" i="31"/>
  <c r="F564" i="31"/>
  <c r="F420" i="31"/>
  <c r="F415" i="31"/>
  <c r="F473" i="31"/>
  <c r="F274" i="31"/>
  <c r="F392" i="31"/>
  <c r="F318" i="31"/>
  <c r="F388" i="31"/>
  <c r="F258" i="31"/>
  <c r="F649" i="31"/>
  <c r="F199" i="31"/>
  <c r="F207" i="31"/>
  <c r="F275" i="31"/>
  <c r="F645" i="31"/>
  <c r="F376" i="31"/>
  <c r="F718" i="31"/>
  <c r="F313" i="31"/>
  <c r="F169" i="31"/>
  <c r="F256" i="31"/>
  <c r="F504" i="31"/>
  <c r="F122" i="31"/>
  <c r="F383" i="31"/>
  <c r="F488" i="31"/>
  <c r="F198" i="31"/>
  <c r="F30" i="31"/>
  <c r="F32" i="31"/>
  <c r="F24" i="31"/>
  <c r="F220" i="31"/>
  <c r="F460" i="31"/>
  <c r="F7" i="31"/>
  <c r="F229" i="31"/>
  <c r="F417" i="31"/>
  <c r="F22" i="31"/>
  <c r="F285" i="31"/>
  <c r="F245" i="31"/>
  <c r="F80" i="31"/>
  <c r="F90" i="31"/>
  <c r="F98" i="31"/>
  <c r="F78" i="31"/>
  <c r="F248" i="31"/>
  <c r="F33" i="31"/>
  <c r="F177" i="31"/>
  <c r="F62" i="31"/>
  <c r="F123" i="31"/>
  <c r="F189" i="31"/>
  <c r="F111" i="31"/>
  <c r="F105" i="31"/>
  <c r="F119" i="31"/>
  <c r="F50" i="31"/>
  <c r="F71" i="31"/>
  <c r="F18" i="31"/>
  <c r="F338" i="31"/>
  <c r="F547" i="31"/>
  <c r="F362" i="31"/>
  <c r="F640" i="31"/>
  <c r="F670" i="31"/>
  <c r="F546" i="31"/>
  <c r="F531" i="31"/>
  <c r="F507" i="31"/>
  <c r="F476" i="31"/>
  <c r="F576" i="31"/>
  <c r="F406" i="31"/>
  <c r="F495" i="31"/>
  <c r="F253" i="31"/>
  <c r="F354" i="31"/>
  <c r="F603" i="31"/>
  <c r="F411" i="31"/>
  <c r="F717" i="31"/>
  <c r="F655" i="31"/>
  <c r="F727" i="31"/>
  <c r="F728" i="31"/>
  <c r="F583" i="31"/>
  <c r="F478" i="31"/>
  <c r="F506" i="31"/>
  <c r="F633" i="31"/>
  <c r="F490" i="31"/>
  <c r="F665" i="31"/>
  <c r="F709" i="31"/>
  <c r="F345" i="31"/>
  <c r="F260" i="31"/>
  <c r="F252" i="31"/>
  <c r="F537" i="31"/>
  <c r="F597" i="31"/>
  <c r="F700" i="31"/>
  <c r="F386" i="31"/>
  <c r="F410" i="31"/>
  <c r="F302" i="31"/>
  <c r="F368" i="31"/>
  <c r="F149" i="31"/>
  <c r="F297" i="31"/>
  <c r="F446" i="31"/>
  <c r="F308" i="31"/>
  <c r="F165" i="31"/>
  <c r="F179" i="31"/>
  <c r="F573" i="31"/>
  <c r="F231" i="31"/>
  <c r="F341" i="31"/>
  <c r="F134" i="31"/>
  <c r="F624" i="31"/>
  <c r="F249" i="31"/>
  <c r="F91" i="31"/>
  <c r="F56" i="31"/>
  <c r="F216" i="31"/>
  <c r="F232" i="31"/>
  <c r="F242" i="31"/>
  <c r="F182" i="31"/>
  <c r="F582" i="31"/>
  <c r="F281" i="31"/>
  <c r="F118" i="31"/>
  <c r="F120" i="31"/>
  <c r="F143" i="31"/>
  <c r="F566" i="31"/>
  <c r="F734" i="31"/>
  <c r="F261" i="31"/>
  <c r="F723" i="31"/>
  <c r="F715" i="31"/>
  <c r="F721" i="31"/>
  <c r="F472" i="31"/>
  <c r="F268" i="31"/>
  <c r="F560" i="31"/>
  <c r="F651" i="31"/>
  <c r="F692" i="31"/>
  <c r="F605" i="31"/>
  <c r="F528" i="31"/>
  <c r="F668" i="31"/>
  <c r="F494" i="31"/>
  <c r="F286" i="31"/>
  <c r="F637" i="31"/>
  <c r="F316" i="31"/>
  <c r="F113" i="31"/>
  <c r="F205" i="31"/>
  <c r="F227" i="31"/>
  <c r="F352" i="31"/>
  <c r="F381" i="31"/>
  <c r="F356" i="31"/>
  <c r="F463" i="31"/>
  <c r="F335" i="31"/>
  <c r="F265" i="31"/>
  <c r="F358" i="31"/>
  <c r="F315" i="31"/>
  <c r="F126" i="31"/>
  <c r="F172" i="31"/>
  <c r="F579" i="31"/>
  <c r="F226" i="31"/>
  <c r="F132" i="31"/>
  <c r="F310" i="31"/>
  <c r="F594" i="31"/>
  <c r="F722" i="31"/>
  <c r="F378" i="31"/>
  <c r="F373" i="31"/>
  <c r="F180" i="31"/>
  <c r="F206" i="31"/>
  <c r="F374" i="31"/>
  <c r="F35" i="31"/>
  <c r="F46" i="31"/>
  <c r="F144" i="31"/>
  <c r="F166" i="31"/>
  <c r="F49" i="31"/>
  <c r="F186" i="31"/>
  <c r="F96" i="31"/>
  <c r="F74" i="31"/>
  <c r="F66" i="31"/>
  <c r="F443" i="31"/>
  <c r="F636" i="31"/>
  <c r="F445" i="31"/>
  <c r="F678" i="31"/>
  <c r="F295" i="31"/>
  <c r="F702" i="31"/>
  <c r="F671" i="31"/>
  <c r="F323" i="31"/>
  <c r="F735" i="31"/>
  <c r="F674" i="31"/>
  <c r="F467" i="31"/>
  <c r="F404" i="31"/>
  <c r="F522" i="31"/>
  <c r="F549" i="31"/>
  <c r="F719" i="31"/>
  <c r="F351" i="31"/>
  <c r="F703" i="31"/>
  <c r="F539" i="31"/>
  <c r="F491" i="31"/>
  <c r="F667" i="31"/>
  <c r="F312" i="31"/>
  <c r="F711" i="31"/>
  <c r="F559" i="31"/>
  <c r="F348" i="31"/>
  <c r="F524" i="31"/>
  <c r="F545" i="31"/>
  <c r="F336" i="31"/>
  <c r="F581" i="31"/>
  <c r="F221" i="31"/>
  <c r="F396" i="31"/>
  <c r="F569" i="31"/>
  <c r="F677" i="31"/>
  <c r="F574" i="31"/>
  <c r="F235" i="31"/>
  <c r="F282" i="31"/>
  <c r="F523" i="31"/>
  <c r="F635" i="31"/>
  <c r="F288" i="31"/>
  <c r="F364" i="31"/>
  <c r="F695" i="31"/>
  <c r="F175" i="31"/>
  <c r="F43" i="31"/>
  <c r="F52" i="31"/>
  <c r="F63" i="31"/>
  <c r="F190" i="31"/>
  <c r="F714" i="31"/>
  <c r="F210" i="31"/>
  <c r="F61" i="31"/>
  <c r="F138" i="31"/>
  <c r="F656" i="31"/>
  <c r="F595" i="31"/>
  <c r="F16" i="31"/>
  <c r="F464" i="31"/>
  <c r="F92" i="31"/>
  <c r="F238" i="31"/>
  <c r="F212" i="31"/>
  <c r="F9" i="31"/>
  <c r="F170" i="31"/>
  <c r="F195" i="31"/>
  <c r="F85" i="31"/>
  <c r="F67" i="31"/>
  <c r="F168" i="31"/>
  <c r="F475" i="31"/>
  <c r="F726" i="31"/>
  <c r="F327" i="31"/>
  <c r="F630" i="31"/>
  <c r="F409" i="31"/>
  <c r="F526" i="31"/>
  <c r="F462" i="31"/>
  <c r="F534" i="31"/>
  <c r="F738" i="31"/>
  <c r="F697" i="31"/>
  <c r="F706" i="31"/>
  <c r="F496" i="31"/>
  <c r="F452" i="31"/>
  <c r="F292" i="31"/>
  <c r="F266" i="31"/>
  <c r="F349" i="31"/>
  <c r="F137" i="31"/>
  <c r="F466" i="31"/>
  <c r="F591" i="31"/>
  <c r="F320" i="31"/>
  <c r="F324" i="31"/>
  <c r="F125" i="31"/>
  <c r="F69" i="31"/>
  <c r="F14" i="31"/>
  <c r="F399" i="31"/>
  <c r="F434" i="31"/>
  <c r="F429" i="31"/>
  <c r="F20" i="31"/>
  <c r="F154" i="31"/>
  <c r="F164" i="31"/>
  <c r="F262" i="31"/>
  <c r="F413" i="31"/>
  <c r="F38" i="31"/>
  <c r="F136" i="31"/>
  <c r="F224" i="31"/>
  <c r="F222" i="31"/>
  <c r="F103" i="31"/>
  <c r="F28" i="31"/>
  <c r="F57" i="31"/>
  <c r="F77" i="31"/>
  <c r="F225" i="31"/>
  <c r="F11" i="31"/>
  <c r="F73" i="31"/>
  <c r="F75" i="31"/>
  <c r="F89" i="31"/>
  <c r="F128" i="31"/>
  <c r="F112" i="31"/>
  <c r="F10" i="31"/>
  <c r="F209" i="31"/>
  <c r="F317" i="31"/>
  <c r="F540" i="31"/>
  <c r="F431" i="31"/>
  <c r="F514" i="31"/>
  <c r="F686" i="31"/>
  <c r="F314" i="31"/>
  <c r="F684" i="31"/>
  <c r="F587" i="31"/>
  <c r="F340" i="31"/>
  <c r="F343" i="31"/>
  <c r="F525" i="31"/>
  <c r="F606" i="31"/>
  <c r="F458" i="31"/>
  <c r="F512" i="31"/>
  <c r="F502" i="31"/>
  <c r="F456" i="31"/>
  <c r="F419" i="31"/>
  <c r="F465" i="31"/>
  <c r="F530" i="31"/>
  <c r="F571" i="31"/>
  <c r="F477" i="31"/>
  <c r="F638" i="31"/>
  <c r="F590" i="31"/>
  <c r="F416" i="31"/>
  <c r="F493" i="31"/>
  <c r="F510" i="31"/>
  <c r="F393" i="31"/>
  <c r="F366" i="31"/>
  <c r="F272" i="31"/>
  <c r="F303" i="31"/>
  <c r="F239" i="31"/>
  <c r="F213" i="31"/>
  <c r="F427" i="31"/>
  <c r="F298" i="31"/>
  <c r="F287" i="31"/>
  <c r="F580" i="31"/>
  <c r="F372" i="31"/>
  <c r="F271" i="31"/>
  <c r="F412" i="31"/>
  <c r="F264" i="31"/>
  <c r="F653" i="31"/>
  <c r="F390" i="31"/>
  <c r="F307" i="31"/>
  <c r="F626" i="31"/>
  <c r="F309" i="31"/>
  <c r="F153" i="31"/>
  <c r="F44" i="31"/>
  <c r="F257" i="31"/>
  <c r="F59" i="31"/>
  <c r="F82" i="31"/>
  <c r="F156" i="31"/>
  <c r="F84" i="31"/>
  <c r="F29" i="31"/>
  <c r="F13" i="31"/>
  <c r="F100" i="31"/>
  <c r="F99" i="31"/>
  <c r="F124" i="31"/>
  <c r="F86" i="31"/>
  <c r="F230" i="31"/>
  <c r="F60" i="31"/>
  <c r="F104" i="31"/>
  <c r="F174" i="31"/>
  <c r="F200" i="31"/>
  <c r="F135" i="31"/>
  <c r="F58" i="31"/>
  <c r="F191" i="31"/>
  <c r="F87" i="31"/>
  <c r="F151" i="31"/>
  <c r="F162" i="31"/>
  <c r="F47" i="31"/>
  <c r="F211" i="31"/>
  <c r="F107" i="31"/>
  <c r="F201" i="31"/>
  <c r="F437" i="31"/>
  <c r="F508" i="31"/>
  <c r="F291" i="31"/>
  <c r="F532" i="31"/>
  <c r="F631" i="31"/>
  <c r="F622" i="31"/>
  <c r="F337" i="31"/>
  <c r="F570" i="31"/>
  <c r="F355" i="31"/>
  <c r="F515" i="31"/>
  <c r="F447" i="31"/>
  <c r="F713" i="31"/>
  <c r="F408" i="31"/>
  <c r="F471" i="31"/>
  <c r="F391" i="31"/>
  <c r="F639" i="31"/>
  <c r="F441" i="31"/>
  <c r="F554" i="31"/>
  <c r="F617" i="31"/>
  <c r="F501" i="31"/>
  <c r="F585" i="31"/>
  <c r="F387" i="31"/>
  <c r="F384" i="31"/>
  <c r="F276" i="31"/>
  <c r="F619" i="31"/>
  <c r="F561" i="31"/>
  <c r="F219" i="31"/>
  <c r="F474" i="31"/>
  <c r="F565" i="31"/>
  <c r="F448" i="31"/>
  <c r="F593" i="31"/>
  <c r="F334" i="31"/>
  <c r="F361" i="31"/>
  <c r="F621" i="31"/>
  <c r="F350" i="31"/>
  <c r="F129" i="31"/>
  <c r="F438" i="31"/>
  <c r="F247" i="31"/>
  <c r="F400" i="31"/>
  <c r="F147" i="31"/>
  <c r="F423" i="31"/>
  <c r="F359" i="31"/>
  <c r="F187" i="31"/>
  <c r="F255" i="31"/>
  <c r="F680" i="31"/>
  <c r="F159" i="31"/>
  <c r="F237" i="31"/>
  <c r="F278" i="31"/>
  <c r="F294" i="31"/>
  <c r="F240" i="31"/>
  <c r="F37" i="31"/>
  <c r="F148" i="31"/>
  <c r="F5" i="31"/>
  <c r="F23" i="31"/>
  <c r="F202" i="31"/>
  <c r="F536" i="31"/>
  <c r="F562" i="31"/>
  <c r="F658" i="31"/>
  <c r="F516" i="31"/>
  <c r="F184" i="31"/>
  <c r="F293" i="31"/>
  <c r="F563" i="31"/>
  <c r="F116" i="31"/>
  <c r="F228" i="31"/>
  <c r="F215" i="31"/>
  <c r="F155" i="31"/>
  <c r="F115" i="31"/>
  <c r="F94" i="31"/>
  <c r="F25" i="31"/>
  <c r="F76" i="31"/>
  <c r="F152" i="31"/>
  <c r="F26" i="31"/>
  <c r="F218" i="31"/>
  <c r="F8" i="31"/>
  <c r="F127" i="31"/>
  <c r="F81" i="31"/>
  <c r="F54" i="31"/>
  <c r="F551" i="31"/>
  <c r="F407" i="31"/>
  <c r="F425" i="31"/>
  <c r="F435" i="31"/>
  <c r="F500" i="31"/>
  <c r="F442" i="31"/>
  <c r="F306" i="31"/>
  <c r="F487" i="31"/>
  <c r="F468" i="31"/>
  <c r="F480" i="31"/>
  <c r="F339" i="31"/>
  <c r="F618" i="31"/>
  <c r="F483" i="31"/>
  <c r="F704" i="31"/>
  <c r="F527" i="31"/>
  <c r="F733" i="31"/>
  <c r="F405" i="31"/>
  <c r="F602" i="31"/>
  <c r="F699" i="31"/>
  <c r="F505" i="31"/>
  <c r="F577" i="31"/>
  <c r="F497" i="31"/>
  <c r="F657" i="31"/>
  <c r="F596" i="31"/>
  <c r="F647" i="31"/>
  <c r="F398" i="31"/>
  <c r="F712" i="31"/>
  <c r="F731" i="31"/>
  <c r="F548" i="31"/>
  <c r="F629" i="31"/>
  <c r="F707" i="31"/>
  <c r="F489" i="31"/>
  <c r="F643" i="31"/>
  <c r="F683" i="31"/>
  <c r="F329" i="31"/>
  <c r="F280" i="31"/>
  <c r="F598" i="31"/>
  <c r="F328" i="31"/>
  <c r="F296" i="31"/>
  <c r="F277" i="31"/>
  <c r="F397" i="31"/>
  <c r="F243" i="31"/>
  <c r="F371" i="31"/>
  <c r="F418" i="31"/>
  <c r="F440" i="31"/>
  <c r="F380" i="31"/>
  <c r="F304" i="31"/>
  <c r="F263" i="31"/>
  <c r="F251" i="31"/>
  <c r="F114" i="31"/>
  <c r="F36" i="31"/>
  <c r="F27" i="31"/>
  <c r="F142" i="31"/>
  <c r="F106" i="31"/>
  <c r="F31" i="31"/>
  <c r="F108" i="31"/>
  <c r="F45" i="31"/>
  <c r="F394" i="31"/>
  <c r="F233" i="31"/>
  <c r="F241" i="31"/>
  <c r="F48" i="31"/>
  <c r="F730" i="31"/>
  <c r="F188" i="31"/>
  <c r="P82" i="33"/>
  <c r="AA82" i="33" s="1"/>
  <c r="AA83" i="33" s="1"/>
  <c r="AA84" i="33" s="1"/>
  <c r="S83" i="33"/>
  <c r="Q82" i="33"/>
  <c r="AB82" i="33" s="1"/>
  <c r="AB83" i="33" s="1"/>
  <c r="AB84" i="33" s="1"/>
  <c r="R82" i="33"/>
  <c r="AC82" i="33" s="1"/>
  <c r="AC83" i="33" s="1"/>
  <c r="AC84" i="33" s="1"/>
  <c r="P84" i="33"/>
  <c r="S82" i="33"/>
  <c r="AD82" i="33" s="1"/>
  <c r="AD83" i="33" s="1"/>
  <c r="AD84" i="33" s="1"/>
  <c r="Q84" i="33"/>
  <c r="R84" i="33"/>
  <c r="Q83" i="33"/>
  <c r="R83" i="33"/>
  <c r="P83" i="33"/>
  <c r="S84" i="33"/>
  <c r="R81" i="33"/>
  <c r="Q79" i="33"/>
  <c r="R79" i="33"/>
  <c r="Q80" i="33"/>
  <c r="R80" i="33"/>
  <c r="S79" i="33"/>
  <c r="S80" i="33"/>
  <c r="Q81" i="33"/>
  <c r="P80" i="33"/>
  <c r="P81" i="33"/>
  <c r="P79" i="33"/>
  <c r="S81" i="33"/>
  <c r="Q77" i="33"/>
  <c r="AB77" i="33" s="1"/>
  <c r="AB78" i="33" s="1"/>
  <c r="AB79" i="33" s="1"/>
  <c r="AB80" i="33" s="1"/>
  <c r="AB81" i="33" s="1"/>
  <c r="S78" i="33"/>
  <c r="P77" i="33"/>
  <c r="AA77" i="33" s="1"/>
  <c r="AA78" i="33" s="1"/>
  <c r="AA79" i="33" s="1"/>
  <c r="AA80" i="33" s="1"/>
  <c r="AA81" i="33" s="1"/>
  <c r="R78" i="33"/>
  <c r="Q78" i="33"/>
  <c r="P78" i="33"/>
  <c r="S77" i="33"/>
  <c r="AD77" i="33" s="1"/>
  <c r="AD78" i="33" s="1"/>
  <c r="AD79" i="33" s="1"/>
  <c r="AD80" i="33" s="1"/>
  <c r="AD81" i="33" s="1"/>
  <c r="R77" i="33"/>
  <c r="AC77" i="33" s="1"/>
  <c r="AC78" i="33" s="1"/>
  <c r="AC79" i="33" s="1"/>
  <c r="AC80" i="33" s="1"/>
  <c r="AC81" i="33" s="1"/>
  <c r="Q75" i="33"/>
  <c r="AB75" i="33" s="1"/>
  <c r="AB76" i="33" s="1"/>
  <c r="S76" i="33"/>
  <c r="P75" i="33"/>
  <c r="AA75" i="33" s="1"/>
  <c r="AA76" i="33" s="1"/>
  <c r="R76" i="33"/>
  <c r="Q76" i="33"/>
  <c r="P76" i="33"/>
  <c r="S75" i="33"/>
  <c r="AD75" i="33" s="1"/>
  <c r="AD76" i="33" s="1"/>
  <c r="R75" i="33"/>
  <c r="AC75" i="33" s="1"/>
  <c r="AC76" i="33" s="1"/>
  <c r="Q73" i="33"/>
  <c r="P73" i="33"/>
  <c r="S74" i="33"/>
  <c r="R74" i="33"/>
  <c r="Q74" i="33"/>
  <c r="S72" i="33"/>
  <c r="AD72" i="33" s="1"/>
  <c r="AD73" i="33" s="1"/>
  <c r="AD74" i="33" s="1"/>
  <c r="P74" i="33"/>
  <c r="R72" i="33"/>
  <c r="AC72" i="33" s="1"/>
  <c r="AC73" i="33" s="1"/>
  <c r="AC74" i="33" s="1"/>
  <c r="Q72" i="33"/>
  <c r="AB72" i="33" s="1"/>
  <c r="AB73" i="33" s="1"/>
  <c r="AB74" i="33" s="1"/>
  <c r="S73" i="33"/>
  <c r="P72" i="33"/>
  <c r="AA72" i="33" s="1"/>
  <c r="AA73" i="33" s="1"/>
  <c r="AA74" i="33" s="1"/>
  <c r="R73" i="33"/>
  <c r="P71" i="33"/>
  <c r="P70" i="33"/>
  <c r="P69" i="33"/>
  <c r="Q70" i="33"/>
  <c r="S70" i="33"/>
  <c r="Q71" i="33"/>
  <c r="S71" i="33"/>
  <c r="R70" i="33"/>
  <c r="Q69" i="33"/>
  <c r="R71" i="33"/>
  <c r="S69" i="33"/>
  <c r="R69" i="33"/>
  <c r="P68" i="33"/>
  <c r="AA68" i="33" s="1"/>
  <c r="AA69" i="33" s="1"/>
  <c r="AA70" i="33" s="1"/>
  <c r="AA71" i="33" s="1"/>
  <c r="S68" i="33"/>
  <c r="AD68" i="33" s="1"/>
  <c r="AD69" i="33" s="1"/>
  <c r="AD70" i="33" s="1"/>
  <c r="AD71" i="33" s="1"/>
  <c r="R68" i="33"/>
  <c r="AC68" i="33" s="1"/>
  <c r="AC69" i="33" s="1"/>
  <c r="AC70" i="33" s="1"/>
  <c r="AC71" i="33" s="1"/>
  <c r="Q68" i="33"/>
  <c r="AB68" i="33" s="1"/>
  <c r="AB69" i="33" s="1"/>
  <c r="AB70" i="33" s="1"/>
  <c r="AB71" i="33" s="1"/>
  <c r="P148" i="33"/>
  <c r="P147" i="33"/>
  <c r="Q66" i="33"/>
  <c r="S15" i="33"/>
  <c r="Q15" i="33"/>
  <c r="P15" i="33"/>
  <c r="S67" i="33"/>
  <c r="P66" i="33"/>
  <c r="S16" i="33"/>
  <c r="Q147" i="33"/>
  <c r="R67" i="33"/>
  <c r="R15" i="33"/>
  <c r="P67" i="33"/>
  <c r="Q148" i="33"/>
  <c r="Q67" i="33"/>
  <c r="P16" i="33"/>
  <c r="S148" i="33"/>
  <c r="S147" i="33"/>
  <c r="R16" i="33"/>
  <c r="R66" i="33"/>
  <c r="R148" i="33"/>
  <c r="R147" i="33"/>
  <c r="Q16" i="33"/>
  <c r="S66" i="33"/>
  <c r="R238" i="33"/>
  <c r="P238" i="33"/>
  <c r="S238" i="33"/>
  <c r="Q238" i="33"/>
  <c r="P6" i="33"/>
  <c r="P9" i="33"/>
  <c r="P11" i="33"/>
  <c r="AA11" i="33" s="1"/>
  <c r="AA12" i="33" s="1"/>
  <c r="AA13" i="33" s="1"/>
  <c r="P13" i="33"/>
  <c r="P65" i="33"/>
  <c r="AA65" i="33" s="1"/>
  <c r="AA66" i="33" s="1"/>
  <c r="AA67" i="33" s="1"/>
  <c r="P146" i="33"/>
  <c r="AA146" i="33" s="1"/>
  <c r="AA147" i="33" s="1"/>
  <c r="AA148" i="33" s="1"/>
  <c r="P197" i="33"/>
  <c r="P199" i="33"/>
  <c r="AA199" i="33" s="1"/>
  <c r="AA200" i="33" s="1"/>
  <c r="AA201" i="33" s="1"/>
  <c r="P201" i="33"/>
  <c r="P237" i="33"/>
  <c r="P273" i="33"/>
  <c r="P288" i="33"/>
  <c r="AA288" i="33" s="1"/>
  <c r="Q5" i="33"/>
  <c r="AB5" i="33" s="1"/>
  <c r="AB6" i="33" s="1"/>
  <c r="AB7" i="33" s="1"/>
  <c r="S14" i="33"/>
  <c r="AD14" i="33" s="1"/>
  <c r="AD15" i="33" s="1"/>
  <c r="AD16" i="33" s="1"/>
  <c r="S272" i="33"/>
  <c r="Q6" i="33"/>
  <c r="Q9" i="33"/>
  <c r="Q11" i="33"/>
  <c r="AB11" i="33" s="1"/>
  <c r="AB12" i="33" s="1"/>
  <c r="AB13" i="33" s="1"/>
  <c r="Q13" i="33"/>
  <c r="Q65" i="33"/>
  <c r="AB65" i="33" s="1"/>
  <c r="AB66" i="33" s="1"/>
  <c r="AB67" i="33" s="1"/>
  <c r="Q146" i="33"/>
  <c r="AB146" i="33" s="1"/>
  <c r="AB147" i="33" s="1"/>
  <c r="AB148" i="33" s="1"/>
  <c r="Q197" i="33"/>
  <c r="Q199" i="33"/>
  <c r="AB199" i="33" s="1"/>
  <c r="AB200" i="33" s="1"/>
  <c r="AB201" i="33" s="1"/>
  <c r="Q201" i="33"/>
  <c r="Q237" i="33"/>
  <c r="Q273" i="33"/>
  <c r="Q288" i="33"/>
  <c r="AB288" i="33" s="1"/>
  <c r="R5" i="33"/>
  <c r="AC5" i="33" s="1"/>
  <c r="AC6" i="33" s="1"/>
  <c r="AC7" i="33" s="1"/>
  <c r="S8" i="33"/>
  <c r="AD8" i="33" s="1"/>
  <c r="AD9" i="33" s="1"/>
  <c r="AD10" i="33" s="1"/>
  <c r="S202" i="33"/>
  <c r="AD202" i="33" s="1"/>
  <c r="AD203" i="33" s="1"/>
  <c r="R6" i="33"/>
  <c r="R9" i="33"/>
  <c r="R11" i="33"/>
  <c r="AC11" i="33" s="1"/>
  <c r="AC12" i="33" s="1"/>
  <c r="AC13" i="33" s="1"/>
  <c r="R13" i="33"/>
  <c r="R65" i="33"/>
  <c r="AC65" i="33" s="1"/>
  <c r="AC66" i="33" s="1"/>
  <c r="AC67" i="33" s="1"/>
  <c r="R146" i="33"/>
  <c r="AC146" i="33" s="1"/>
  <c r="AC147" i="33" s="1"/>
  <c r="AC148" i="33" s="1"/>
  <c r="R197" i="33"/>
  <c r="R199" i="33"/>
  <c r="AC199" i="33" s="1"/>
  <c r="AC200" i="33" s="1"/>
  <c r="AC201" i="33" s="1"/>
  <c r="R201" i="33"/>
  <c r="R237" i="33"/>
  <c r="R273" i="33"/>
  <c r="R288" i="33"/>
  <c r="AC288" i="33" s="1"/>
  <c r="S5" i="33"/>
  <c r="AD5" i="33" s="1"/>
  <c r="AD6" i="33" s="1"/>
  <c r="AD7" i="33" s="1"/>
  <c r="S12" i="33"/>
  <c r="S274" i="33"/>
  <c r="S6" i="33"/>
  <c r="S9" i="33"/>
  <c r="S11" i="33"/>
  <c r="AD11" i="33" s="1"/>
  <c r="AD12" i="33" s="1"/>
  <c r="AD13" i="33" s="1"/>
  <c r="S13" i="33"/>
  <c r="S65" i="33"/>
  <c r="AD65" i="33" s="1"/>
  <c r="AD66" i="33" s="1"/>
  <c r="AD67" i="33" s="1"/>
  <c r="S146" i="33"/>
  <c r="AD146" i="33" s="1"/>
  <c r="AD147" i="33" s="1"/>
  <c r="AD148" i="33" s="1"/>
  <c r="S197" i="33"/>
  <c r="S199" i="33"/>
  <c r="AD199" i="33" s="1"/>
  <c r="AD200" i="33" s="1"/>
  <c r="AD201" i="33" s="1"/>
  <c r="S201" i="33"/>
  <c r="S237" i="33"/>
  <c r="S273" i="33"/>
  <c r="S288" i="33"/>
  <c r="AD288" i="33" s="1"/>
  <c r="P5" i="33"/>
  <c r="AA5" i="33" s="1"/>
  <c r="AA6" i="33" s="1"/>
  <c r="AA7" i="33" s="1"/>
  <c r="S10" i="33"/>
  <c r="S200" i="33"/>
  <c r="P7" i="33"/>
  <c r="P8" i="33"/>
  <c r="AA8" i="33" s="1"/>
  <c r="AA9" i="33" s="1"/>
  <c r="AA10" i="33" s="1"/>
  <c r="P10" i="33"/>
  <c r="P12" i="33"/>
  <c r="P14" i="33"/>
  <c r="AA14" i="33" s="1"/>
  <c r="AA15" i="33" s="1"/>
  <c r="AA16" i="33" s="1"/>
  <c r="P196" i="33"/>
  <c r="P198" i="33"/>
  <c r="P200" i="33"/>
  <c r="P202" i="33"/>
  <c r="AA202" i="33" s="1"/>
  <c r="AA203" i="33" s="1"/>
  <c r="P272" i="33"/>
  <c r="P274" i="33"/>
  <c r="P287" i="33"/>
  <c r="AA287" i="33" s="1"/>
  <c r="P289" i="33"/>
  <c r="AA289" i="33" s="1"/>
  <c r="S198" i="33"/>
  <c r="S289" i="33"/>
  <c r="AD289" i="33" s="1"/>
  <c r="Q7" i="33"/>
  <c r="Q8" i="33"/>
  <c r="AB8" i="33" s="1"/>
  <c r="AB9" i="33" s="1"/>
  <c r="AB10" i="33" s="1"/>
  <c r="Q10" i="33"/>
  <c r="Q12" i="33"/>
  <c r="Q14" i="33"/>
  <c r="AB14" i="33" s="1"/>
  <c r="AB15" i="33" s="1"/>
  <c r="AB16" i="33" s="1"/>
  <c r="Q196" i="33"/>
  <c r="Q198" i="33"/>
  <c r="Q200" i="33"/>
  <c r="Q202" i="33"/>
  <c r="AB202" i="33" s="1"/>
  <c r="AB203" i="33" s="1"/>
  <c r="Q272" i="33"/>
  <c r="Q274" i="33"/>
  <c r="Q287" i="33"/>
  <c r="AB287" i="33" s="1"/>
  <c r="Q289" i="33"/>
  <c r="AB289" i="33" s="1"/>
  <c r="S196" i="33"/>
  <c r="R7" i="33"/>
  <c r="R8" i="33"/>
  <c r="AC8" i="33" s="1"/>
  <c r="AC9" i="33" s="1"/>
  <c r="AC10" i="33" s="1"/>
  <c r="R10" i="33"/>
  <c r="R12" i="33"/>
  <c r="R14" i="33"/>
  <c r="AC14" i="33" s="1"/>
  <c r="AC15" i="33" s="1"/>
  <c r="AC16" i="33" s="1"/>
  <c r="R196" i="33"/>
  <c r="R198" i="33"/>
  <c r="R200" i="33"/>
  <c r="R202" i="33"/>
  <c r="AC202" i="33" s="1"/>
  <c r="AC203" i="33" s="1"/>
  <c r="R272" i="33"/>
  <c r="R274" i="33"/>
  <c r="R287" i="33"/>
  <c r="AC287" i="33" s="1"/>
  <c r="R289" i="33"/>
  <c r="AC289" i="33" s="1"/>
  <c r="S7" i="33"/>
  <c r="S287" i="33"/>
  <c r="AD287" i="33" s="1"/>
  <c r="N11" i="9"/>
  <c r="N12" i="9" s="1"/>
  <c r="N13" i="9" s="1"/>
  <c r="N14" i="9" s="1"/>
  <c r="N15" i="9" s="1"/>
  <c r="N16" i="9" s="1"/>
  <c r="N17" i="9" s="1"/>
  <c r="N18" i="9" s="1"/>
  <c r="O5" i="9"/>
  <c r="O6" i="9"/>
  <c r="O4" i="9"/>
  <c r="O7" i="9"/>
  <c r="O10" i="9"/>
  <c r="O9" i="9"/>
  <c r="AH3" i="20"/>
  <c r="Z3" i="20"/>
  <c r="AA5" i="30"/>
  <c r="Z5" i="30"/>
  <c r="AA3" i="20"/>
  <c r="AG3" i="20" s="1"/>
  <c r="M8" i="10"/>
  <c r="M9" i="10" s="1"/>
  <c r="M10" i="10" s="1"/>
  <c r="M11" i="10" s="1"/>
  <c r="M12" i="10" s="1"/>
  <c r="M13" i="10" s="1"/>
  <c r="M14" i="10" s="1"/>
  <c r="AR234" i="33" l="1"/>
  <c r="AQ68" i="33"/>
  <c r="AR125" i="33"/>
  <c r="AS234" i="33"/>
  <c r="AQ72" i="33"/>
  <c r="AT208" i="33"/>
  <c r="AS6" i="33"/>
  <c r="AR72" i="33"/>
  <c r="AS294" i="33"/>
  <c r="AT222" i="33"/>
  <c r="AR115" i="33"/>
  <c r="AR119" i="33"/>
  <c r="AS137" i="33"/>
  <c r="AT110" i="33"/>
  <c r="AS208" i="33"/>
  <c r="AT28" i="33"/>
  <c r="AQ106" i="33"/>
  <c r="AT106" i="33"/>
  <c r="AT148" i="33"/>
  <c r="AS287" i="33"/>
  <c r="AP273" i="33"/>
  <c r="AR70" i="33"/>
  <c r="AQ137" i="33"/>
  <c r="AT137" i="33"/>
  <c r="AQ139" i="33"/>
  <c r="AS148" i="33"/>
  <c r="AQ148" i="33"/>
  <c r="AS120" i="33"/>
  <c r="AQ70" i="33"/>
  <c r="AT129" i="33"/>
  <c r="AQ111" i="33"/>
  <c r="AS21" i="33"/>
  <c r="AQ114" i="33"/>
  <c r="AR226" i="33"/>
  <c r="AT21" i="33"/>
  <c r="AR114" i="33"/>
  <c r="AT70" i="33"/>
  <c r="AP16" i="33"/>
  <c r="AR106" i="33"/>
  <c r="AT119" i="33"/>
  <c r="AQ110" i="33"/>
  <c r="AS83" i="33"/>
  <c r="AS226" i="33"/>
  <c r="AS114" i="33"/>
  <c r="AS119" i="33"/>
  <c r="AS139" i="33"/>
  <c r="AR21" i="33"/>
  <c r="AR110" i="33"/>
  <c r="AQ287" i="33"/>
  <c r="AQ315" i="33"/>
  <c r="AR111" i="33"/>
  <c r="AR139" i="33"/>
  <c r="AQ129" i="33"/>
  <c r="AT91" i="33"/>
  <c r="AT82" i="33"/>
  <c r="AT197" i="33"/>
  <c r="AS315" i="33"/>
  <c r="AQ91" i="33"/>
  <c r="AQ229" i="33"/>
  <c r="AQ235" i="33"/>
  <c r="AQ302" i="33"/>
  <c r="AT315" i="33"/>
  <c r="AR302" i="33"/>
  <c r="AR303" i="33"/>
  <c r="AT234" i="33"/>
  <c r="AQ294" i="33"/>
  <c r="AS125" i="33"/>
  <c r="AS69" i="33"/>
  <c r="AS235" i="33"/>
  <c r="AR235" i="33"/>
  <c r="AT204" i="33"/>
  <c r="AQ208" i="33"/>
  <c r="AQ28" i="33"/>
  <c r="AT13" i="33"/>
  <c r="AR314" i="33"/>
  <c r="AS13" i="33"/>
  <c r="AP318" i="33"/>
  <c r="AT23" i="33"/>
  <c r="AR204" i="33"/>
  <c r="AT203" i="33"/>
  <c r="AS28" i="33"/>
  <c r="AS204" i="33"/>
  <c r="AT314" i="33"/>
  <c r="AT303" i="33"/>
  <c r="AR13" i="33"/>
  <c r="AT141" i="33"/>
  <c r="AQ314" i="33"/>
  <c r="AS73" i="33"/>
  <c r="AR202" i="33"/>
  <c r="AT111" i="33"/>
  <c r="AQ147" i="33"/>
  <c r="AS141" i="33"/>
  <c r="AS237" i="33"/>
  <c r="AU237" i="33" s="1"/>
  <c r="AQ303" i="33"/>
  <c r="AT73" i="33"/>
  <c r="AS91" i="33"/>
  <c r="AQ214" i="33"/>
  <c r="AR9" i="33"/>
  <c r="AR203" i="33"/>
  <c r="AR73" i="33"/>
  <c r="AT131" i="33"/>
  <c r="AS98" i="33"/>
  <c r="AT68" i="33"/>
  <c r="AQ226" i="33"/>
  <c r="AT326" i="33"/>
  <c r="AS82" i="33"/>
  <c r="AT302" i="33"/>
  <c r="AR82" i="33"/>
  <c r="AT229" i="33"/>
  <c r="AP209" i="33"/>
  <c r="AR23" i="33"/>
  <c r="AT294" i="33"/>
  <c r="AR201" i="33"/>
  <c r="AS326" i="33"/>
  <c r="AR141" i="33"/>
  <c r="AS202" i="33"/>
  <c r="AR147" i="33"/>
  <c r="AQ233" i="33"/>
  <c r="AS201" i="33"/>
  <c r="AS72" i="33"/>
  <c r="AQ222" i="33"/>
  <c r="AS197" i="33"/>
  <c r="AR6" i="33"/>
  <c r="AS78" i="33"/>
  <c r="AS313" i="33"/>
  <c r="AS233" i="33"/>
  <c r="AT322" i="33"/>
  <c r="AS229" i="33"/>
  <c r="AS96" i="33"/>
  <c r="AT142" i="33"/>
  <c r="AT219" i="33"/>
  <c r="AS312" i="33"/>
  <c r="AS206" i="33"/>
  <c r="AQ219" i="33"/>
  <c r="AS219" i="33"/>
  <c r="AT147" i="33"/>
  <c r="AR68" i="33"/>
  <c r="AR305" i="33"/>
  <c r="AR233" i="33"/>
  <c r="AQ23" i="33"/>
  <c r="AQ201" i="33"/>
  <c r="AR222" i="33"/>
  <c r="AT312" i="33"/>
  <c r="AT125" i="33"/>
  <c r="AR295" i="33"/>
  <c r="AT95" i="33"/>
  <c r="AS12" i="33"/>
  <c r="AR312" i="33"/>
  <c r="AQ321" i="33"/>
  <c r="AT29" i="33"/>
  <c r="AS289" i="33"/>
  <c r="AQ211" i="33"/>
  <c r="AR206" i="33"/>
  <c r="AQ96" i="33"/>
  <c r="AQ289" i="33"/>
  <c r="AQ313" i="33"/>
  <c r="AT313" i="33"/>
  <c r="AT206" i="33"/>
  <c r="AT316" i="33"/>
  <c r="AT211" i="33"/>
  <c r="AR289" i="33"/>
  <c r="AQ295" i="33"/>
  <c r="AT321" i="33"/>
  <c r="AT81" i="33"/>
  <c r="AR322" i="33"/>
  <c r="AS29" i="33"/>
  <c r="AS316" i="33"/>
  <c r="AS126" i="33"/>
  <c r="AQ97" i="33"/>
  <c r="AS305" i="33"/>
  <c r="AR96" i="33"/>
  <c r="AR316" i="33"/>
  <c r="AS99" i="33"/>
  <c r="AT12" i="33"/>
  <c r="AR15" i="33"/>
  <c r="AS306" i="33"/>
  <c r="AT144" i="33"/>
  <c r="AT138" i="33"/>
  <c r="AQ306" i="33"/>
  <c r="AR217" i="33"/>
  <c r="AP30" i="33"/>
  <c r="AR109" i="33"/>
  <c r="AQ109" i="33"/>
  <c r="AR211" i="33"/>
  <c r="AQ197" i="33"/>
  <c r="AS295" i="33"/>
  <c r="AT306" i="33"/>
  <c r="AQ12" i="33"/>
  <c r="AQ15" i="33"/>
  <c r="AR321" i="33"/>
  <c r="AQ6" i="33"/>
  <c r="AQ81" i="33"/>
  <c r="AT78" i="33"/>
  <c r="AT15" i="33"/>
  <c r="AS144" i="33"/>
  <c r="AP319" i="33"/>
  <c r="AQ144" i="33"/>
  <c r="AS81" i="33"/>
  <c r="AR95" i="33"/>
  <c r="AQ322" i="33"/>
  <c r="AQ78" i="33"/>
  <c r="AS95" i="33"/>
  <c r="AT328" i="33"/>
  <c r="AQ288" i="33"/>
  <c r="AQ99" i="33"/>
  <c r="AR301" i="33"/>
  <c r="AT86" i="33"/>
  <c r="AR126" i="33"/>
  <c r="AS97" i="33"/>
  <c r="AQ126" i="33"/>
  <c r="AT97" i="33"/>
  <c r="AR99" i="33"/>
  <c r="AR326" i="33"/>
  <c r="AR130" i="33"/>
  <c r="AS71" i="33"/>
  <c r="AT130" i="33"/>
  <c r="AR124" i="33"/>
  <c r="AT202" i="33"/>
  <c r="AQ130" i="33"/>
  <c r="AR129" i="33"/>
  <c r="AS124" i="33"/>
  <c r="AQ232" i="33"/>
  <c r="AQ120" i="33"/>
  <c r="AR136" i="33"/>
  <c r="AS214" i="33"/>
  <c r="AT305" i="33"/>
  <c r="AR237" i="33"/>
  <c r="AT19" i="33"/>
  <c r="AS146" i="33"/>
  <c r="AT304" i="33"/>
  <c r="AS80" i="33"/>
  <c r="AR84" i="33"/>
  <c r="AT223" i="33"/>
  <c r="AT118" i="33"/>
  <c r="AR146" i="33"/>
  <c r="AQ304" i="33"/>
  <c r="AT288" i="33"/>
  <c r="AQ122" i="33"/>
  <c r="AQ203" i="33"/>
  <c r="AT237" i="33"/>
  <c r="AR90" i="33"/>
  <c r="AQ8" i="33"/>
  <c r="AT113" i="33"/>
  <c r="AQ11" i="33"/>
  <c r="AT90" i="33"/>
  <c r="AS232" i="33"/>
  <c r="AT80" i="33"/>
  <c r="AQ113" i="33"/>
  <c r="AS122" i="33"/>
  <c r="AT8" i="33"/>
  <c r="AS66" i="33"/>
  <c r="AU66" i="33" s="1"/>
  <c r="AT324" i="33"/>
  <c r="AT215" i="33"/>
  <c r="AT135" i="33"/>
  <c r="AT146" i="33"/>
  <c r="AS288" i="33"/>
  <c r="AQ118" i="33"/>
  <c r="AS90" i="33"/>
  <c r="AR8" i="33"/>
  <c r="AQ325" i="33"/>
  <c r="AR304" i="33"/>
  <c r="AR232" i="33"/>
  <c r="AR80" i="33"/>
  <c r="AS113" i="33"/>
  <c r="AR11" i="33"/>
  <c r="AT214" i="33"/>
  <c r="AQ66" i="33"/>
  <c r="AQ324" i="33"/>
  <c r="AQ19" i="33"/>
  <c r="AS215" i="33"/>
  <c r="AS9" i="33"/>
  <c r="AS236" i="33"/>
  <c r="AR118" i="33"/>
  <c r="AT122" i="33"/>
  <c r="AT11" i="33"/>
  <c r="AR324" i="33"/>
  <c r="AS19" i="33"/>
  <c r="AR215" i="33"/>
  <c r="AT207" i="33"/>
  <c r="AS86" i="33"/>
  <c r="AS14" i="33"/>
  <c r="AQ10" i="33"/>
  <c r="AS140" i="33"/>
  <c r="AS207" i="33"/>
  <c r="AR31" i="33"/>
  <c r="AT325" i="33"/>
  <c r="AT124" i="33"/>
  <c r="AT107" i="33"/>
  <c r="AS10" i="33"/>
  <c r="AQ207" i="33"/>
  <c r="AS325" i="33"/>
  <c r="AT33" i="33"/>
  <c r="AS33" i="33"/>
  <c r="AS199" i="33"/>
  <c r="AT120" i="33"/>
  <c r="AQ71" i="33"/>
  <c r="AS7" i="33"/>
  <c r="AQ225" i="33"/>
  <c r="AR71" i="33"/>
  <c r="AS136" i="33"/>
  <c r="AS142" i="33"/>
  <c r="AS198" i="33"/>
  <c r="AT210" i="33"/>
  <c r="AS107" i="33"/>
  <c r="AR225" i="33"/>
  <c r="AT10" i="33"/>
  <c r="AQ290" i="33"/>
  <c r="AT140" i="33"/>
  <c r="AP88" i="33"/>
  <c r="AS123" i="33"/>
  <c r="AQ31" i="33"/>
  <c r="AR198" i="33"/>
  <c r="AS290" i="33"/>
  <c r="AR210" i="33"/>
  <c r="AT65" i="33"/>
  <c r="AT307" i="33"/>
  <c r="AQ107" i="33"/>
  <c r="AT225" i="33"/>
  <c r="AR33" i="33"/>
  <c r="AQ140" i="33"/>
  <c r="AS31" i="33"/>
  <c r="AQ198" i="33"/>
  <c r="AS135" i="33"/>
  <c r="AQ65" i="33"/>
  <c r="AS307" i="33"/>
  <c r="AT199" i="33"/>
  <c r="AR135" i="33"/>
  <c r="AS65" i="33"/>
  <c r="AU65" i="33" s="1"/>
  <c r="AQ307" i="33"/>
  <c r="AS108" i="33"/>
  <c r="AQ136" i="33"/>
  <c r="AR199" i="33"/>
  <c r="AS216" i="33"/>
  <c r="AP213" i="33"/>
  <c r="AS213" i="33" s="1"/>
  <c r="AT9" i="33"/>
  <c r="AP310" i="33"/>
  <c r="AT310" i="33" s="1"/>
  <c r="AS84" i="33"/>
  <c r="AP5" i="33"/>
  <c r="AS5" i="33" s="1"/>
  <c r="AQ76" i="33"/>
  <c r="AQ69" i="33"/>
  <c r="AR69" i="33"/>
  <c r="AR290" i="33"/>
  <c r="AS210" i="33"/>
  <c r="AQ216" i="33"/>
  <c r="AS328" i="33"/>
  <c r="AR123" i="33"/>
  <c r="AR29" i="33"/>
  <c r="AQ34" i="33"/>
  <c r="AS34" i="33"/>
  <c r="AT34" i="33"/>
  <c r="AR34" i="33"/>
  <c r="AS224" i="33"/>
  <c r="AQ132" i="33"/>
  <c r="AQ224" i="33"/>
  <c r="AQ86" i="33"/>
  <c r="AT216" i="33"/>
  <c r="AR224" i="33"/>
  <c r="AT123" i="33"/>
  <c r="AR132" i="33"/>
  <c r="AQ311" i="33"/>
  <c r="AS311" i="33"/>
  <c r="AR311" i="33"/>
  <c r="AQ301" i="33"/>
  <c r="AT301" i="33"/>
  <c r="AS132" i="33"/>
  <c r="AP101" i="33"/>
  <c r="AS101" i="33" s="1"/>
  <c r="AP77" i="33"/>
  <c r="AQ77" i="33" s="1"/>
  <c r="AS238" i="33"/>
  <c r="AQ328" i="33"/>
  <c r="AS131" i="33"/>
  <c r="AR138" i="33"/>
  <c r="AT287" i="33"/>
  <c r="AQ7" i="33"/>
  <c r="AR142" i="33"/>
  <c r="AR205" i="33"/>
  <c r="AP32" i="33"/>
  <c r="AR200" i="33"/>
  <c r="AR196" i="33"/>
  <c r="AS200" i="33"/>
  <c r="AU200" i="33" s="1"/>
  <c r="AP166" i="33"/>
  <c r="AP75" i="33"/>
  <c r="AT98" i="33"/>
  <c r="AQ138" i="33"/>
  <c r="AP309" i="33"/>
  <c r="AT200" i="33"/>
  <c r="AT83" i="33"/>
  <c r="AQ84" i="33"/>
  <c r="AT7" i="33"/>
  <c r="AR108" i="33"/>
  <c r="AR238" i="33"/>
  <c r="AQ223" i="33"/>
  <c r="AR83" i="33"/>
  <c r="AR236" i="33"/>
  <c r="AR274" i="33"/>
  <c r="AP105" i="33"/>
  <c r="AT217" i="33"/>
  <c r="AP143" i="33"/>
  <c r="AQ108" i="33"/>
  <c r="AQ291" i="33"/>
  <c r="AQ196" i="33"/>
  <c r="AT196" i="33"/>
  <c r="AP67" i="33"/>
  <c r="AQ274" i="33"/>
  <c r="AR14" i="33"/>
  <c r="AR104" i="33"/>
  <c r="AQ98" i="33"/>
  <c r="AS227" i="33"/>
  <c r="AQ327" i="33"/>
  <c r="AT14" i="33"/>
  <c r="AQ131" i="33"/>
  <c r="AT291" i="33"/>
  <c r="AS300" i="33"/>
  <c r="AR327" i="33"/>
  <c r="AS291" i="33"/>
  <c r="AP24" i="33"/>
  <c r="AT238" i="33"/>
  <c r="AT236" i="33"/>
  <c r="AS274" i="33"/>
  <c r="AQ227" i="33"/>
  <c r="AR227" i="33"/>
  <c r="AT327" i="33"/>
  <c r="AR213" i="33"/>
  <c r="AR76" i="33"/>
  <c r="AT109" i="33"/>
  <c r="AT221" i="33"/>
  <c r="AT76" i="33"/>
  <c r="AR221" i="33"/>
  <c r="AP320" i="33"/>
  <c r="AT320" i="33" s="1"/>
  <c r="AS217" i="33"/>
  <c r="AR300" i="33"/>
  <c r="AQ300" i="33"/>
  <c r="AT93" i="33"/>
  <c r="AQ221" i="33"/>
  <c r="AS104" i="33"/>
  <c r="AS223" i="33"/>
  <c r="AR93" i="33"/>
  <c r="AQ104" i="33"/>
  <c r="AT25" i="33"/>
  <c r="AQ25" i="33"/>
  <c r="AS25" i="33"/>
  <c r="AR25" i="33"/>
  <c r="AS93" i="33"/>
  <c r="AP293" i="33"/>
  <c r="AP250" i="33"/>
  <c r="AT250" i="33" s="1"/>
  <c r="AP245" i="33"/>
  <c r="AR245" i="33" s="1"/>
  <c r="AP246" i="33"/>
  <c r="AQ246" i="33" s="1"/>
  <c r="AQ248" i="33"/>
  <c r="AR248" i="33"/>
  <c r="AS248" i="33"/>
  <c r="AT248" i="33"/>
  <c r="AS241" i="33"/>
  <c r="AQ241" i="33"/>
  <c r="AR241" i="33"/>
  <c r="AT241" i="33"/>
  <c r="AS243" i="33"/>
  <c r="AQ243" i="33"/>
  <c r="AR243" i="33"/>
  <c r="AT243" i="33"/>
  <c r="AS247" i="33"/>
  <c r="AT247" i="33"/>
  <c r="AQ247" i="33"/>
  <c r="AR247" i="33"/>
  <c r="AP252" i="33"/>
  <c r="AP251" i="33"/>
  <c r="AP272" i="33"/>
  <c r="AO249" i="33"/>
  <c r="AP249" i="33" s="1"/>
  <c r="AP240" i="33"/>
  <c r="AO242" i="33"/>
  <c r="AP242" i="33" s="1"/>
  <c r="AP239" i="33"/>
  <c r="AP244" i="33"/>
  <c r="AO369" i="33"/>
  <c r="AP369" i="33" s="1"/>
  <c r="AO359" i="33"/>
  <c r="AP359" i="33" s="1"/>
  <c r="AT363" i="33"/>
  <c r="AS363" i="33"/>
  <c r="AR363" i="33"/>
  <c r="AQ363" i="33"/>
  <c r="AT367" i="33"/>
  <c r="AS367" i="33"/>
  <c r="AR367" i="33"/>
  <c r="AQ367" i="33"/>
  <c r="AT365" i="33"/>
  <c r="AS365" i="33"/>
  <c r="AQ365" i="33"/>
  <c r="AR365" i="33"/>
  <c r="AT368" i="33"/>
  <c r="AS368" i="33"/>
  <c r="AR368" i="33"/>
  <c r="AQ368" i="33"/>
  <c r="AP370" i="33"/>
  <c r="AO362" i="33"/>
  <c r="AP362" i="33" s="1"/>
  <c r="AP361" i="33"/>
  <c r="AO366" i="33"/>
  <c r="AP366" i="33" s="1"/>
  <c r="AP358" i="33"/>
  <c r="AO360" i="33"/>
  <c r="AP360" i="33" s="1"/>
  <c r="AO364" i="33"/>
  <c r="AP364" i="33" s="1"/>
  <c r="AO371" i="33"/>
  <c r="AP371" i="33" s="1"/>
  <c r="AQ345" i="33"/>
  <c r="AR345" i="33"/>
  <c r="AS345" i="33"/>
  <c r="AT345" i="33"/>
  <c r="AS346" i="33"/>
  <c r="AT346" i="33"/>
  <c r="AQ346" i="33"/>
  <c r="AR346" i="33"/>
  <c r="AS347" i="33"/>
  <c r="AQ347" i="33"/>
  <c r="AR347" i="33"/>
  <c r="AT347" i="33"/>
  <c r="AQ357" i="33"/>
  <c r="AR357" i="33"/>
  <c r="AS357" i="33"/>
  <c r="AT357" i="33"/>
  <c r="AS355" i="33"/>
  <c r="AQ355" i="33"/>
  <c r="AR355" i="33"/>
  <c r="AT355" i="33"/>
  <c r="AO353" i="33"/>
  <c r="AP353" i="33" s="1"/>
  <c r="AP349" i="33"/>
  <c r="AO350" i="33"/>
  <c r="AP350" i="33" s="1"/>
  <c r="AS354" i="33"/>
  <c r="AT354" i="33"/>
  <c r="AQ354" i="33"/>
  <c r="AR354" i="33"/>
  <c r="AP348" i="33"/>
  <c r="AP344" i="33"/>
  <c r="AP352" i="33"/>
  <c r="AO356" i="33"/>
  <c r="AP356" i="33" s="1"/>
  <c r="AP351" i="33"/>
  <c r="AP341" i="33"/>
  <c r="AQ341" i="33" s="1"/>
  <c r="AO334" i="33"/>
  <c r="AP334" i="33" s="1"/>
  <c r="AP331" i="33"/>
  <c r="AQ331" i="33" s="1"/>
  <c r="AP335" i="33"/>
  <c r="AQ335" i="33" s="1"/>
  <c r="AP340" i="33"/>
  <c r="AT340" i="33" s="1"/>
  <c r="AQ330" i="33"/>
  <c r="AR330" i="33"/>
  <c r="AS330" i="33"/>
  <c r="AT330" i="33"/>
  <c r="AQ339" i="33"/>
  <c r="AR339" i="33"/>
  <c r="AS339" i="33"/>
  <c r="AT339" i="33"/>
  <c r="AP338" i="33"/>
  <c r="AP343" i="33"/>
  <c r="AP332" i="33"/>
  <c r="AP342" i="33"/>
  <c r="AP337" i="33"/>
  <c r="AT333" i="33"/>
  <c r="AQ333" i="33"/>
  <c r="AR333" i="33"/>
  <c r="AS333" i="33"/>
  <c r="AP336" i="33"/>
  <c r="AT101" i="33"/>
  <c r="AP50" i="33"/>
  <c r="AR50" i="33" s="1"/>
  <c r="AP40" i="33"/>
  <c r="AQ40" i="33" s="1"/>
  <c r="AP47" i="33"/>
  <c r="AT47" i="33" s="1"/>
  <c r="AP35" i="33"/>
  <c r="AR35" i="33" s="1"/>
  <c r="AO55" i="33"/>
  <c r="AP55" i="33" s="1"/>
  <c r="AP46" i="33"/>
  <c r="AT46" i="33" s="1"/>
  <c r="AP58" i="33"/>
  <c r="AT58" i="33" s="1"/>
  <c r="AP49" i="33"/>
  <c r="AR49" i="33" s="1"/>
  <c r="AS50" i="33"/>
  <c r="AS40" i="33"/>
  <c r="AQ56" i="33"/>
  <c r="AR56" i="33"/>
  <c r="AS56" i="33"/>
  <c r="AT56" i="33"/>
  <c r="AS57" i="33"/>
  <c r="AT57" i="33"/>
  <c r="AQ57" i="33"/>
  <c r="AR57" i="33"/>
  <c r="AQ59" i="33"/>
  <c r="AR59" i="33"/>
  <c r="AS59" i="33"/>
  <c r="AT59" i="33"/>
  <c r="AS48" i="33"/>
  <c r="AQ48" i="33"/>
  <c r="AR48" i="33"/>
  <c r="AT48" i="33"/>
  <c r="AS61" i="33"/>
  <c r="AQ61" i="33"/>
  <c r="AR61" i="33"/>
  <c r="AT61" i="33"/>
  <c r="AS38" i="33"/>
  <c r="AQ38" i="33"/>
  <c r="AR38" i="33"/>
  <c r="AT38" i="33"/>
  <c r="AS41" i="33"/>
  <c r="AQ41" i="33"/>
  <c r="AR41" i="33"/>
  <c r="AT41" i="33"/>
  <c r="AS51" i="33"/>
  <c r="AQ51" i="33"/>
  <c r="AR51" i="33"/>
  <c r="AT51" i="33"/>
  <c r="AS37" i="33"/>
  <c r="AQ37" i="33"/>
  <c r="AT37" i="33"/>
  <c r="AR37" i="33"/>
  <c r="AS44" i="33"/>
  <c r="AT44" i="33"/>
  <c r="AQ44" i="33"/>
  <c r="AR44" i="33"/>
  <c r="AS60" i="33"/>
  <c r="AQ60" i="33"/>
  <c r="AT60" i="33"/>
  <c r="AR60" i="33"/>
  <c r="AQ58" i="33"/>
  <c r="AQ36" i="33"/>
  <c r="AR36" i="33"/>
  <c r="AS36" i="33"/>
  <c r="AT36" i="33"/>
  <c r="AO54" i="33"/>
  <c r="AP54" i="33" s="1"/>
  <c r="AO63" i="33"/>
  <c r="AP63" i="33" s="1"/>
  <c r="AO64" i="33"/>
  <c r="AP64" i="33" s="1"/>
  <c r="AO53" i="33"/>
  <c r="AP53" i="33" s="1"/>
  <c r="AP42" i="33"/>
  <c r="AP62" i="33"/>
  <c r="AP52" i="33"/>
  <c r="AP43" i="33"/>
  <c r="AP45" i="33"/>
  <c r="AP39" i="33"/>
  <c r="AP168" i="33"/>
  <c r="AQ168" i="33" s="1"/>
  <c r="AP185" i="33"/>
  <c r="AT185" i="33" s="1"/>
  <c r="AP188" i="33"/>
  <c r="AQ188" i="33" s="1"/>
  <c r="AP187" i="33"/>
  <c r="AT187" i="33" s="1"/>
  <c r="AO184" i="33"/>
  <c r="AP184" i="33" s="1"/>
  <c r="AS171" i="33"/>
  <c r="AT171" i="33"/>
  <c r="AQ171" i="33"/>
  <c r="AR171" i="33"/>
  <c r="AQ186" i="33"/>
  <c r="AR186" i="33"/>
  <c r="AT186" i="33"/>
  <c r="AS186" i="33"/>
  <c r="AS167" i="33"/>
  <c r="AT167" i="33"/>
  <c r="AQ167" i="33"/>
  <c r="AR167" i="33"/>
  <c r="AS169" i="33"/>
  <c r="AT169" i="33"/>
  <c r="AQ169" i="33"/>
  <c r="AR169" i="33"/>
  <c r="AS173" i="33"/>
  <c r="AT173" i="33"/>
  <c r="AR173" i="33"/>
  <c r="AQ173" i="33"/>
  <c r="AS177" i="33"/>
  <c r="AT177" i="33"/>
  <c r="AR177" i="33"/>
  <c r="AQ177" i="33"/>
  <c r="AQ174" i="33"/>
  <c r="AR174" i="33"/>
  <c r="AT174" i="33"/>
  <c r="AS174" i="33"/>
  <c r="AS185" i="33"/>
  <c r="AS175" i="33"/>
  <c r="AT175" i="33"/>
  <c r="AR175" i="33"/>
  <c r="AQ175" i="33"/>
  <c r="AS181" i="33"/>
  <c r="AT181" i="33"/>
  <c r="AR181" i="33"/>
  <c r="AQ181" i="33"/>
  <c r="AS183" i="33"/>
  <c r="AT183" i="33"/>
  <c r="AR183" i="33"/>
  <c r="AQ183" i="33"/>
  <c r="AQ172" i="33"/>
  <c r="AR172" i="33"/>
  <c r="AS172" i="33"/>
  <c r="AT172" i="33"/>
  <c r="AQ180" i="33"/>
  <c r="AR180" i="33"/>
  <c r="AS180" i="33"/>
  <c r="AT180" i="33"/>
  <c r="AP178" i="33"/>
  <c r="AO170" i="33"/>
  <c r="AP170" i="33" s="1"/>
  <c r="AP179" i="33"/>
  <c r="AP182" i="33"/>
  <c r="AO176" i="33"/>
  <c r="AP176" i="33" s="1"/>
  <c r="AS166" i="33"/>
  <c r="AQ166" i="33"/>
  <c r="AR166" i="33"/>
  <c r="AT166" i="33"/>
  <c r="M31" i="10"/>
  <c r="S31" i="10"/>
  <c r="U31" i="10" s="1"/>
  <c r="AO133" i="33"/>
  <c r="AP133" i="33" s="1"/>
  <c r="R30" i="10"/>
  <c r="K30" i="10"/>
  <c r="AP158" i="33"/>
  <c r="AT158" i="33" s="1"/>
  <c r="AP164" i="33"/>
  <c r="AT164" i="33" s="1"/>
  <c r="AO157" i="33"/>
  <c r="AP157" i="33" s="1"/>
  <c r="AS151" i="33"/>
  <c r="AR151" i="33"/>
  <c r="AT151" i="33"/>
  <c r="AQ151" i="33"/>
  <c r="AQ162" i="33"/>
  <c r="AT162" i="33"/>
  <c r="AR162" i="33"/>
  <c r="AS162" i="33"/>
  <c r="AQ156" i="33"/>
  <c r="AR156" i="33"/>
  <c r="AT156" i="33"/>
  <c r="AS156" i="33"/>
  <c r="AS159" i="33"/>
  <c r="AR159" i="33"/>
  <c r="AT159" i="33"/>
  <c r="AQ159" i="33"/>
  <c r="AQ150" i="33"/>
  <c r="AR150" i="33"/>
  <c r="AT150" i="33"/>
  <c r="AS150" i="33"/>
  <c r="AS153" i="33"/>
  <c r="AR153" i="33"/>
  <c r="AT153" i="33"/>
  <c r="AQ153" i="33"/>
  <c r="AS149" i="33"/>
  <c r="AR149" i="33"/>
  <c r="AT149" i="33"/>
  <c r="AQ149" i="33"/>
  <c r="AQ154" i="33"/>
  <c r="AR154" i="33"/>
  <c r="AT154" i="33"/>
  <c r="AS154" i="33"/>
  <c r="AS163" i="33"/>
  <c r="AR163" i="33"/>
  <c r="AQ163" i="33"/>
  <c r="AT163" i="33"/>
  <c r="AO152" i="33"/>
  <c r="AP152" i="33" s="1"/>
  <c r="AO160" i="33"/>
  <c r="AP160" i="33" s="1"/>
  <c r="AP155" i="33"/>
  <c r="AP165" i="33"/>
  <c r="AP161" i="33"/>
  <c r="AY34" i="33"/>
  <c r="AQ116" i="33"/>
  <c r="AS116" i="33"/>
  <c r="AR116" i="33"/>
  <c r="AT116" i="33"/>
  <c r="AS310" i="33"/>
  <c r="AQ310" i="33"/>
  <c r="AR310" i="33"/>
  <c r="AS320" i="33"/>
  <c r="AS145" i="33"/>
  <c r="AT145" i="33"/>
  <c r="AR145" i="33"/>
  <c r="AQ145" i="33"/>
  <c r="AS273" i="33"/>
  <c r="AT273" i="33"/>
  <c r="AQ273" i="33"/>
  <c r="AR273" i="33"/>
  <c r="AS26" i="33"/>
  <c r="AR26" i="33"/>
  <c r="AQ26" i="33"/>
  <c r="AT26" i="33"/>
  <c r="AS94" i="33"/>
  <c r="AQ94" i="33"/>
  <c r="AT94" i="33"/>
  <c r="AR94" i="33"/>
  <c r="AS317" i="33"/>
  <c r="AQ317" i="33"/>
  <c r="AT317" i="33"/>
  <c r="AR317" i="33"/>
  <c r="AS16" i="33"/>
  <c r="AT16" i="33"/>
  <c r="AR16" i="33"/>
  <c r="AQ16" i="33"/>
  <c r="AS102" i="33"/>
  <c r="AQ102" i="33"/>
  <c r="AT102" i="33"/>
  <c r="AR102" i="33"/>
  <c r="AQ209" i="33"/>
  <c r="AS209" i="33"/>
  <c r="AR209" i="33"/>
  <c r="AT209" i="33"/>
  <c r="AS318" i="33"/>
  <c r="AQ318" i="33"/>
  <c r="AR318" i="33"/>
  <c r="AT318" i="33"/>
  <c r="AS30" i="33"/>
  <c r="AT30" i="33"/>
  <c r="AR30" i="33"/>
  <c r="AQ30" i="33"/>
  <c r="AS20" i="33"/>
  <c r="AQ20" i="33"/>
  <c r="AT20" i="33"/>
  <c r="AR20" i="33"/>
  <c r="AR228" i="33"/>
  <c r="AS228" i="33"/>
  <c r="AQ228" i="33"/>
  <c r="AT228" i="33"/>
  <c r="AQ218" i="33"/>
  <c r="AS218" i="33"/>
  <c r="AT218" i="33"/>
  <c r="AR218" i="33"/>
  <c r="AS87" i="33"/>
  <c r="AR87" i="33"/>
  <c r="AQ87" i="33"/>
  <c r="AT87" i="33"/>
  <c r="AS299" i="33"/>
  <c r="AQ299" i="33"/>
  <c r="AR299" i="33"/>
  <c r="AT299" i="33"/>
  <c r="AS18" i="33"/>
  <c r="AT18" i="33"/>
  <c r="AR18" i="33"/>
  <c r="AQ18" i="33"/>
  <c r="AS22" i="33"/>
  <c r="AQ22" i="33"/>
  <c r="AR22" i="33"/>
  <c r="AT22" i="33"/>
  <c r="AS17" i="33"/>
  <c r="AQ17" i="33"/>
  <c r="AT17" i="33"/>
  <c r="AR17" i="33"/>
  <c r="AS134" i="33"/>
  <c r="AT134" i="33"/>
  <c r="AQ134" i="33"/>
  <c r="AR134" i="33"/>
  <c r="AS117" i="33"/>
  <c r="AT117" i="33"/>
  <c r="AR117" i="33"/>
  <c r="AQ117" i="33"/>
  <c r="AS319" i="33"/>
  <c r="AT319" i="33"/>
  <c r="AQ319" i="33"/>
  <c r="AR319" i="33"/>
  <c r="AS128" i="33"/>
  <c r="AT128" i="33"/>
  <c r="AQ128" i="33"/>
  <c r="AR128" i="33"/>
  <c r="AR127" i="33"/>
  <c r="AQ127" i="33"/>
  <c r="AT127" i="33"/>
  <c r="AS127" i="33"/>
  <c r="AS85" i="33"/>
  <c r="AR85" i="33"/>
  <c r="AQ85" i="33"/>
  <c r="AT85" i="33"/>
  <c r="AT323" i="33"/>
  <c r="AS323" i="33"/>
  <c r="AQ323" i="33"/>
  <c r="AR323" i="33"/>
  <c r="AR230" i="33"/>
  <c r="AS230" i="33"/>
  <c r="AT230" i="33"/>
  <c r="AQ230" i="33"/>
  <c r="AS103" i="33"/>
  <c r="AT103" i="33"/>
  <c r="AR103" i="33"/>
  <c r="AQ103" i="33"/>
  <c r="AS112" i="33"/>
  <c r="AR112" i="33"/>
  <c r="AT112" i="33"/>
  <c r="AQ112" i="33"/>
  <c r="AS121" i="33"/>
  <c r="AR121" i="33"/>
  <c r="AT121" i="33"/>
  <c r="AQ121" i="33"/>
  <c r="AS212" i="33"/>
  <c r="AQ212" i="33"/>
  <c r="AR212" i="33"/>
  <c r="AT212" i="33"/>
  <c r="AS308" i="33"/>
  <c r="AR308" i="33"/>
  <c r="AT308" i="33"/>
  <c r="AQ308" i="33"/>
  <c r="AS100" i="33"/>
  <c r="AR100" i="33"/>
  <c r="AQ100" i="33"/>
  <c r="AT100" i="33"/>
  <c r="AS92" i="33"/>
  <c r="AR92" i="33"/>
  <c r="AQ92" i="33"/>
  <c r="AT92" i="33"/>
  <c r="AS74" i="33"/>
  <c r="AR74" i="33"/>
  <c r="AQ74" i="33"/>
  <c r="AT74" i="33"/>
  <c r="AS89" i="33"/>
  <c r="AR89" i="33"/>
  <c r="AQ89" i="33"/>
  <c r="AT89" i="33"/>
  <c r="AQ231" i="33"/>
  <c r="AT231" i="33"/>
  <c r="AR231" i="33"/>
  <c r="AS231" i="33"/>
  <c r="AS329" i="33"/>
  <c r="AT329" i="33"/>
  <c r="AQ329" i="33"/>
  <c r="AR329" i="33"/>
  <c r="AS27" i="33"/>
  <c r="AT27" i="33"/>
  <c r="AQ27" i="33"/>
  <c r="AR27" i="33"/>
  <c r="AS79" i="33"/>
  <c r="AR79" i="33"/>
  <c r="AQ79" i="33"/>
  <c r="AT79" i="33"/>
  <c r="AR220" i="33"/>
  <c r="AT220" i="33"/>
  <c r="AS220" i="33"/>
  <c r="AQ220" i="33"/>
  <c r="K4" i="9"/>
  <c r="F4" i="31"/>
  <c r="AC272" i="33"/>
  <c r="AC273" i="33" s="1"/>
  <c r="AC274" i="33" s="1"/>
  <c r="AA196" i="33"/>
  <c r="AA197" i="33" s="1"/>
  <c r="AA198" i="33" s="1"/>
  <c r="AC237" i="33"/>
  <c r="AC238" i="33" s="1"/>
  <c r="AC196" i="33"/>
  <c r="AC197" i="33" s="1"/>
  <c r="AC198" i="33" s="1"/>
  <c r="AD196" i="33"/>
  <c r="AD197" i="33" s="1"/>
  <c r="AD198" i="33" s="1"/>
  <c r="AA272" i="33"/>
  <c r="AA273" i="33" s="1"/>
  <c r="AA274" i="33" s="1"/>
  <c r="AB237" i="33"/>
  <c r="AB238" i="33" s="1"/>
  <c r="AB196" i="33"/>
  <c r="AB197" i="33" s="1"/>
  <c r="AB198" i="33" s="1"/>
  <c r="AD272" i="33"/>
  <c r="AD273" i="33" s="1"/>
  <c r="AD274" i="33" s="1"/>
  <c r="AA237" i="33"/>
  <c r="AA238" i="33" s="1"/>
  <c r="AB272" i="33"/>
  <c r="AB273" i="33" s="1"/>
  <c r="AB274" i="33" s="1"/>
  <c r="AD237" i="33"/>
  <c r="AD238" i="33" s="1"/>
  <c r="F2" i="31"/>
  <c r="E2" i="9"/>
  <c r="AQ320" i="33" l="1"/>
  <c r="AR320" i="33"/>
  <c r="AQ213" i="33"/>
  <c r="AT213" i="33"/>
  <c r="AQ101" i="33"/>
  <c r="AR101" i="33"/>
  <c r="AQ88" i="33"/>
  <c r="AT88" i="33"/>
  <c r="AS88" i="33"/>
  <c r="AR88" i="33"/>
  <c r="AR5" i="33"/>
  <c r="AQ5" i="33"/>
  <c r="AT5" i="33"/>
  <c r="AR77" i="33"/>
  <c r="AS77" i="33"/>
  <c r="AT77" i="33"/>
  <c r="AR32" i="33"/>
  <c r="AQ32" i="33"/>
  <c r="AT32" i="33"/>
  <c r="AS32" i="33"/>
  <c r="AT309" i="33"/>
  <c r="AQ309" i="33"/>
  <c r="AR309" i="33"/>
  <c r="AS309" i="33"/>
  <c r="AS75" i="33"/>
  <c r="AT75" i="33"/>
  <c r="AR75" i="33"/>
  <c r="AQ75" i="33"/>
  <c r="AS143" i="33"/>
  <c r="AR143" i="33"/>
  <c r="AQ143" i="33"/>
  <c r="AT143" i="33"/>
  <c r="AT105" i="33"/>
  <c r="AQ105" i="33"/>
  <c r="AS105" i="33"/>
  <c r="AU105" i="33" s="1"/>
  <c r="AR105" i="33"/>
  <c r="AR67" i="33"/>
  <c r="AS67" i="33"/>
  <c r="AQ67" i="33"/>
  <c r="AT67" i="33"/>
  <c r="AT245" i="33"/>
  <c r="AQ24" i="33"/>
  <c r="AS24" i="33"/>
  <c r="AR24" i="33"/>
  <c r="AT24" i="33"/>
  <c r="AS250" i="33"/>
  <c r="AQ250" i="33"/>
  <c r="AS293" i="33"/>
  <c r="AR293" i="33"/>
  <c r="AQ293" i="33"/>
  <c r="AT293" i="33"/>
  <c r="AT246" i="33"/>
  <c r="AQ245" i="33"/>
  <c r="AS245" i="33"/>
  <c r="AR250" i="33"/>
  <c r="AT335" i="33"/>
  <c r="AS246" i="33"/>
  <c r="AR246" i="33"/>
  <c r="AS249" i="33"/>
  <c r="AQ249" i="33"/>
  <c r="AT249" i="33"/>
  <c r="AR249" i="33"/>
  <c r="AS335" i="33"/>
  <c r="AS251" i="33"/>
  <c r="AT251" i="33"/>
  <c r="AQ251" i="33"/>
  <c r="AR251" i="33"/>
  <c r="AQ240" i="33"/>
  <c r="AT240" i="33"/>
  <c r="AR240" i="33"/>
  <c r="AS240" i="33"/>
  <c r="AQ252" i="33"/>
  <c r="AS252" i="33"/>
  <c r="AR252" i="33"/>
  <c r="AT252" i="33"/>
  <c r="AQ244" i="33"/>
  <c r="AR244" i="33"/>
  <c r="AS244" i="33"/>
  <c r="AT244" i="33"/>
  <c r="AQ242" i="33"/>
  <c r="AS242" i="33"/>
  <c r="AT242" i="33"/>
  <c r="AR242" i="33"/>
  <c r="AS239" i="33"/>
  <c r="AQ239" i="33"/>
  <c r="AR239" i="33"/>
  <c r="AT239" i="33"/>
  <c r="AS272" i="33"/>
  <c r="AT272" i="33"/>
  <c r="AQ272" i="33"/>
  <c r="AR272" i="33"/>
  <c r="AS340" i="33"/>
  <c r="AS58" i="33"/>
  <c r="AR58" i="33"/>
  <c r="AQ340" i="33"/>
  <c r="AS359" i="33"/>
  <c r="AR359" i="33"/>
  <c r="AQ359" i="33"/>
  <c r="AT359" i="33"/>
  <c r="AT369" i="33"/>
  <c r="AS369" i="33"/>
  <c r="AR369" i="33"/>
  <c r="AQ369" i="33"/>
  <c r="AT360" i="33"/>
  <c r="AS360" i="33"/>
  <c r="AR360" i="33"/>
  <c r="AQ360" i="33"/>
  <c r="AT371" i="33"/>
  <c r="AS371" i="33"/>
  <c r="AR371" i="33"/>
  <c r="AQ371" i="33"/>
  <c r="AR366" i="33"/>
  <c r="AQ366" i="33"/>
  <c r="AT366" i="33"/>
  <c r="AS366" i="33"/>
  <c r="AR362" i="33"/>
  <c r="AQ362" i="33"/>
  <c r="AT362" i="33"/>
  <c r="AS362" i="33"/>
  <c r="AR358" i="33"/>
  <c r="AQ358" i="33"/>
  <c r="AT358" i="33"/>
  <c r="AS358" i="33"/>
  <c r="AT364" i="33"/>
  <c r="AS364" i="33"/>
  <c r="AR364" i="33"/>
  <c r="AQ364" i="33"/>
  <c r="AR361" i="33"/>
  <c r="AT361" i="33"/>
  <c r="AS361" i="33"/>
  <c r="AQ361" i="33"/>
  <c r="AR370" i="33"/>
  <c r="AQ370" i="33"/>
  <c r="AT370" i="33"/>
  <c r="AS370" i="33"/>
  <c r="AQ46" i="33"/>
  <c r="AS46" i="33"/>
  <c r="AS341" i="33"/>
  <c r="AR341" i="33"/>
  <c r="AT341" i="33"/>
  <c r="AS331" i="33"/>
  <c r="AS350" i="33"/>
  <c r="AT350" i="33"/>
  <c r="AQ350" i="33"/>
  <c r="AR350" i="33"/>
  <c r="AQ353" i="33"/>
  <c r="AR353" i="33"/>
  <c r="AS353" i="33"/>
  <c r="AT353" i="33"/>
  <c r="AQ356" i="33"/>
  <c r="AR356" i="33"/>
  <c r="AS356" i="33"/>
  <c r="AT356" i="33"/>
  <c r="AQ344" i="33"/>
  <c r="AR344" i="33"/>
  <c r="AS344" i="33"/>
  <c r="AT344" i="33"/>
  <c r="AQ348" i="33"/>
  <c r="AR348" i="33"/>
  <c r="AS348" i="33"/>
  <c r="AT348" i="33"/>
  <c r="AQ351" i="33"/>
  <c r="AS351" i="33"/>
  <c r="AR351" i="33"/>
  <c r="AT351" i="33"/>
  <c r="AT331" i="33"/>
  <c r="AQ352" i="33"/>
  <c r="AR352" i="33"/>
  <c r="AS352" i="33"/>
  <c r="AT352" i="33"/>
  <c r="AQ349" i="33"/>
  <c r="AR349" i="33"/>
  <c r="AS349" i="33"/>
  <c r="AT349" i="33"/>
  <c r="AR340" i="33"/>
  <c r="AQ35" i="33"/>
  <c r="AR331" i="33"/>
  <c r="AT35" i="33"/>
  <c r="AT49" i="33"/>
  <c r="AR335" i="33"/>
  <c r="AS49" i="33"/>
  <c r="AQ49" i="33"/>
  <c r="AS47" i="33"/>
  <c r="AS334" i="33"/>
  <c r="AT334" i="33"/>
  <c r="AQ334" i="33"/>
  <c r="AR334" i="33"/>
  <c r="AQ47" i="33"/>
  <c r="AQ342" i="33"/>
  <c r="AR342" i="33"/>
  <c r="AS342" i="33"/>
  <c r="AT342" i="33"/>
  <c r="AS332" i="33"/>
  <c r="AT332" i="33"/>
  <c r="AR332" i="33"/>
  <c r="AQ332" i="33"/>
  <c r="AS336" i="33"/>
  <c r="AT336" i="33"/>
  <c r="AR336" i="33"/>
  <c r="AQ336" i="33"/>
  <c r="AS343" i="33"/>
  <c r="AT343" i="33"/>
  <c r="AQ343" i="33"/>
  <c r="AR343" i="33"/>
  <c r="AQ338" i="33"/>
  <c r="AR338" i="33"/>
  <c r="AS338" i="33"/>
  <c r="AT338" i="33"/>
  <c r="AQ337" i="33"/>
  <c r="AR337" i="33"/>
  <c r="AT337" i="33"/>
  <c r="AS337" i="33"/>
  <c r="AQ50" i="33"/>
  <c r="AR46" i="33"/>
  <c r="AR47" i="33"/>
  <c r="AT50" i="33"/>
  <c r="AS35" i="33"/>
  <c r="AT40" i="33"/>
  <c r="AR40" i="33"/>
  <c r="AQ187" i="33"/>
  <c r="AR187" i="33"/>
  <c r="AS187" i="33"/>
  <c r="AQ185" i="33"/>
  <c r="AR185" i="33"/>
  <c r="AT55" i="33"/>
  <c r="AQ55" i="33"/>
  <c r="AR55" i="33"/>
  <c r="AS55" i="33"/>
  <c r="AS188" i="33"/>
  <c r="AR188" i="33"/>
  <c r="AQ53" i="33"/>
  <c r="AR53" i="33"/>
  <c r="AS53" i="33"/>
  <c r="AT53" i="33"/>
  <c r="AS64" i="33"/>
  <c r="AT64" i="33"/>
  <c r="AQ64" i="33"/>
  <c r="AR64" i="33"/>
  <c r="AQ63" i="33"/>
  <c r="AR63" i="33"/>
  <c r="AS63" i="33"/>
  <c r="AT63" i="33"/>
  <c r="AQ45" i="33"/>
  <c r="AR45" i="33"/>
  <c r="AS45" i="33"/>
  <c r="AT45" i="33"/>
  <c r="AQ43" i="33"/>
  <c r="AR43" i="33"/>
  <c r="AS43" i="33"/>
  <c r="AT43" i="33"/>
  <c r="AQ52" i="33"/>
  <c r="AR52" i="33"/>
  <c r="AS52" i="33"/>
  <c r="AT52" i="33"/>
  <c r="AT188" i="33"/>
  <c r="AT168" i="33"/>
  <c r="AQ62" i="33"/>
  <c r="AR62" i="33"/>
  <c r="AS62" i="33"/>
  <c r="AT62" i="33"/>
  <c r="AQ42" i="33"/>
  <c r="AR42" i="33"/>
  <c r="AS42" i="33"/>
  <c r="AT42" i="33"/>
  <c r="AQ39" i="33"/>
  <c r="AR39" i="33"/>
  <c r="AS39" i="33"/>
  <c r="AT39" i="33"/>
  <c r="AS54" i="33"/>
  <c r="AT54" i="33"/>
  <c r="AR54" i="33"/>
  <c r="AQ54" i="33"/>
  <c r="AR168" i="33"/>
  <c r="AS164" i="33"/>
  <c r="AS168" i="33"/>
  <c r="AS184" i="33"/>
  <c r="AT184" i="33"/>
  <c r="AQ184" i="33"/>
  <c r="AR184" i="33"/>
  <c r="AQ170" i="33"/>
  <c r="AS170" i="33"/>
  <c r="AR170" i="33"/>
  <c r="AT170" i="33"/>
  <c r="AQ178" i="33"/>
  <c r="AR178" i="33"/>
  <c r="AT178" i="33"/>
  <c r="AS178" i="33"/>
  <c r="AQ182" i="33"/>
  <c r="AR182" i="33"/>
  <c r="AT182" i="33"/>
  <c r="AS182" i="33"/>
  <c r="AQ176" i="33"/>
  <c r="AR176" i="33"/>
  <c r="AS176" i="33"/>
  <c r="AT176" i="33"/>
  <c r="AS179" i="33"/>
  <c r="AT179" i="33"/>
  <c r="AR179" i="33"/>
  <c r="AQ179" i="33"/>
  <c r="AR164" i="33"/>
  <c r="AQ164" i="33"/>
  <c r="M32" i="10"/>
  <c r="S32" i="10"/>
  <c r="U32" i="10" s="1"/>
  <c r="AR158" i="33"/>
  <c r="AQ158" i="33"/>
  <c r="AS158" i="33"/>
  <c r="AR133" i="33"/>
  <c r="AT133" i="33"/>
  <c r="AS133" i="33"/>
  <c r="AQ133" i="33"/>
  <c r="K31" i="10"/>
  <c r="R31" i="10"/>
  <c r="AS157" i="33"/>
  <c r="AR157" i="33"/>
  <c r="AT157" i="33"/>
  <c r="AQ157" i="33"/>
  <c r="AQ160" i="33"/>
  <c r="AT160" i="33"/>
  <c r="AS160" i="33"/>
  <c r="AR160" i="33"/>
  <c r="AS161" i="33"/>
  <c r="AR161" i="33"/>
  <c r="AQ161" i="33"/>
  <c r="AT161" i="33"/>
  <c r="AS165" i="33"/>
  <c r="AR165" i="33"/>
  <c r="AQ165" i="33"/>
  <c r="AT165" i="33"/>
  <c r="AQ152" i="33"/>
  <c r="AR152" i="33"/>
  <c r="AT152" i="33"/>
  <c r="AS152" i="33"/>
  <c r="AS155" i="33"/>
  <c r="AR155" i="33"/>
  <c r="AT155" i="33"/>
  <c r="AQ155" i="33"/>
  <c r="E13" i="9"/>
  <c r="E18" i="9"/>
  <c r="B24" i="10"/>
  <c r="B27" i="10" s="1"/>
  <c r="A27" i="10" s="1"/>
  <c r="E12" i="9"/>
  <c r="E6" i="9"/>
  <c r="E15" i="9"/>
  <c r="E14" i="9"/>
  <c r="E17" i="9"/>
  <c r="E11" i="9"/>
  <c r="E10" i="9"/>
  <c r="E5" i="9"/>
  <c r="E8" i="9"/>
  <c r="E16" i="9"/>
  <c r="E9" i="9"/>
  <c r="E7" i="9"/>
  <c r="E4" i="9"/>
  <c r="M33" i="10" l="1"/>
  <c r="S33" i="10"/>
  <c r="U33" i="10" s="1"/>
  <c r="R32" i="10"/>
  <c r="K32" i="10"/>
  <c r="K5" i="9"/>
  <c r="B30" i="10" s="1"/>
  <c r="A30" i="10" s="1"/>
  <c r="S34" i="10" l="1"/>
  <c r="U34" i="10" s="1"/>
  <c r="K33" i="10"/>
  <c r="R33" i="10"/>
  <c r="R34" i="10" l="1"/>
  <c r="M34" i="10" s="1"/>
  <c r="K34" i="10"/>
  <c r="R49" i="10" s="1"/>
  <c r="N34" i="10" l="1"/>
  <c r="N35" i="10" s="1"/>
  <c r="N36" i="10" s="1"/>
  <c r="N37" i="10" s="1"/>
  <c r="N38" i="10" s="1"/>
  <c r="N39" i="10" s="1"/>
  <c r="N40" i="10" s="1"/>
  <c r="M35" i="10"/>
  <c r="O34" i="10"/>
  <c r="O35" i="10" s="1"/>
  <c r="O36" i="10" s="1"/>
  <c r="O37" i="10" s="1"/>
  <c r="O38" i="10" s="1"/>
  <c r="O39" i="10" s="1"/>
  <c r="O40" i="10" s="1"/>
  <c r="K35" i="10"/>
  <c r="M36" i="10" l="1"/>
  <c r="T5" i="9"/>
  <c r="T4" i="9"/>
  <c r="R36" i="10"/>
  <c r="K36" i="10"/>
  <c r="M37" i="10" l="1"/>
  <c r="T6" i="9"/>
  <c r="R37" i="10"/>
  <c r="K37" i="10"/>
  <c r="M38" i="10" l="1"/>
  <c r="T7" i="9"/>
  <c r="R38" i="10"/>
  <c r="K38" i="10"/>
  <c r="M39" i="10" l="1"/>
  <c r="T8" i="9"/>
  <c r="K39" i="10"/>
  <c r="R39" i="10"/>
  <c r="M40" i="10" l="1"/>
  <c r="T9" i="9"/>
  <c r="R40" i="10"/>
  <c r="K40" i="10"/>
  <c r="T10" i="9" l="1"/>
  <c r="H2" i="9" s="1"/>
  <c r="K41" i="10"/>
  <c r="R41" i="10"/>
  <c r="M41" i="10" s="1"/>
  <c r="X376" i="33"/>
  <c r="AC292" i="33"/>
  <c r="V376" i="33"/>
  <c r="AB292" i="33"/>
  <c r="W376" i="33"/>
  <c r="AD292" i="33"/>
  <c r="Y376" i="33"/>
  <c r="U292" i="33"/>
  <c r="U376" i="33" s="1"/>
  <c r="AA292" i="33"/>
  <c r="AK292" i="33"/>
  <c r="AK376" i="33" s="1"/>
  <c r="N41" i="10" l="1"/>
  <c r="N42" i="10" s="1"/>
  <c r="N43" i="10" s="1"/>
  <c r="N44" i="10" s="1"/>
  <c r="N45" i="10" s="1"/>
  <c r="N46" i="10" s="1"/>
  <c r="N47" i="10" s="1"/>
  <c r="O41" i="10"/>
  <c r="O42" i="10" s="1"/>
  <c r="O43" i="10" s="1"/>
  <c r="O44" i="10" s="1"/>
  <c r="O45" i="10" s="1"/>
  <c r="O46" i="10" s="1"/>
  <c r="O47" i="10" s="1"/>
  <c r="M42" i="10"/>
  <c r="K42" i="10"/>
  <c r="K43" i="10" s="1"/>
  <c r="K44" i="10" s="1"/>
  <c r="K45" i="10" s="1"/>
  <c r="K46" i="10" s="1"/>
  <c r="K47" i="10" s="1"/>
  <c r="K48" i="10" s="1"/>
  <c r="K49" i="10" s="1"/>
  <c r="R56" i="10"/>
  <c r="AM292" i="33"/>
  <c r="AM376" i="33" s="1"/>
  <c r="M43" i="10" l="1"/>
  <c r="U5" i="9" s="1"/>
  <c r="H10" i="9"/>
  <c r="U4" i="9"/>
  <c r="R43" i="10"/>
  <c r="R44" i="10" s="1"/>
  <c r="R45" i="10" s="1"/>
  <c r="R46" i="10" s="1"/>
  <c r="R47" i="10" s="1"/>
  <c r="R48" i="10" s="1"/>
  <c r="K50" i="10"/>
  <c r="K51" i="10" s="1"/>
  <c r="K52" i="10" s="1"/>
  <c r="K53" i="10" s="1"/>
  <c r="K54" i="10" s="1"/>
  <c r="K55" i="10" s="1"/>
  <c r="K56" i="10" s="1"/>
  <c r="R50" i="10"/>
  <c r="AL292" i="33"/>
  <c r="M44" i="10" l="1"/>
  <c r="U6" i="9" s="1"/>
  <c r="H12" i="9"/>
  <c r="H14" i="9"/>
  <c r="H6" i="9"/>
  <c r="H9" i="9"/>
  <c r="H13" i="9"/>
  <c r="H11" i="9"/>
  <c r="H5" i="9"/>
  <c r="H8" i="9"/>
  <c r="H4" i="9"/>
  <c r="H16" i="9"/>
  <c r="H17" i="9"/>
  <c r="H7" i="9"/>
  <c r="H18" i="9"/>
  <c r="H15" i="9"/>
  <c r="R51" i="10"/>
  <c r="R52" i="10" s="1"/>
  <c r="R53" i="10" s="1"/>
  <c r="R54" i="10" s="1"/>
  <c r="R55" i="10" s="1"/>
  <c r="K57" i="10"/>
  <c r="R57" i="10"/>
  <c r="AL376" i="33"/>
  <c r="AN292" i="33"/>
  <c r="M45" i="10" l="1"/>
  <c r="W27" i="10"/>
  <c r="X27" i="10" s="1"/>
  <c r="K10" i="9"/>
  <c r="AN376" i="33"/>
  <c r="AO292" i="33"/>
  <c r="AO376" i="33" s="1"/>
  <c r="U7" i="9" l="1"/>
  <c r="M46" i="10"/>
  <c r="U8" i="9" s="1"/>
  <c r="L39" i="10"/>
  <c r="S39" i="10" s="1"/>
  <c r="U39" i="10" s="1"/>
  <c r="L35" i="10"/>
  <c r="L38" i="10"/>
  <c r="S38" i="10" s="1"/>
  <c r="U38" i="10" s="1"/>
  <c r="L37" i="10"/>
  <c r="S37" i="10" s="1"/>
  <c r="U37" i="10" s="1"/>
  <c r="L40" i="10"/>
  <c r="S40" i="10" s="1"/>
  <c r="U40" i="10" s="1"/>
  <c r="L36" i="10"/>
  <c r="S36" i="10" s="1"/>
  <c r="U36" i="10" s="1"/>
  <c r="L34" i="10"/>
  <c r="S35" i="10" s="1"/>
  <c r="U35" i="10" s="1"/>
  <c r="AP292" i="33"/>
  <c r="AS292" i="33" s="1"/>
  <c r="M47" i="10" l="1"/>
  <c r="AP376" i="33"/>
  <c r="AS376" i="33"/>
  <c r="AQ292" i="33"/>
  <c r="AT292" i="33"/>
  <c r="AT376" i="33" s="1"/>
  <c r="AR292" i="33"/>
  <c r="AR376" i="33" s="1"/>
  <c r="U9" i="9" l="1"/>
  <c r="M48" i="10"/>
  <c r="AQ376" i="33"/>
  <c r="O48" i="10" l="1"/>
  <c r="M49" i="10"/>
  <c r="M50" i="10" s="1"/>
  <c r="N48" i="10"/>
  <c r="N49" i="10" s="1"/>
  <c r="N50" i="10" s="1"/>
  <c r="N51" i="10" s="1"/>
  <c r="N52" i="10" s="1"/>
  <c r="N53" i="10" s="1"/>
  <c r="N54" i="10" s="1"/>
  <c r="M51" i="10" l="1"/>
  <c r="O49" i="10"/>
  <c r="O50" i="10" s="1"/>
  <c r="O51" i="10" s="1"/>
  <c r="O52" i="10" s="1"/>
  <c r="O53" i="10" s="1"/>
  <c r="O54" i="10" s="1"/>
  <c r="U10" i="9"/>
  <c r="I2" i="9" s="1"/>
  <c r="V4" i="9" l="1"/>
  <c r="V5" i="9"/>
  <c r="I11" i="9"/>
  <c r="I8" i="9"/>
  <c r="I10" i="9"/>
  <c r="I18" i="9"/>
  <c r="I12" i="9"/>
  <c r="I16" i="9"/>
  <c r="I7" i="9"/>
  <c r="I14" i="9"/>
  <c r="I13" i="9"/>
  <c r="I6" i="9"/>
  <c r="I9" i="9"/>
  <c r="I5" i="9"/>
  <c r="I15" i="9"/>
  <c r="I17" i="9"/>
  <c r="I4" i="9"/>
  <c r="M52" i="10"/>
  <c r="M53" i="10" l="1"/>
  <c r="K11" i="9"/>
  <c r="V6" i="9"/>
  <c r="V7" i="9" l="1"/>
  <c r="L45" i="10"/>
  <c r="S45" i="10" s="1"/>
  <c r="U45" i="10" s="1"/>
  <c r="L46" i="10"/>
  <c r="S46" i="10" s="1"/>
  <c r="U46" i="10" s="1"/>
  <c r="L42" i="10"/>
  <c r="S42" i="10" s="1"/>
  <c r="U42" i="10" s="1"/>
  <c r="L41" i="10"/>
  <c r="S41" i="10" s="1"/>
  <c r="U41" i="10" s="1"/>
  <c r="L44" i="10"/>
  <c r="S44" i="10" s="1"/>
  <c r="U44" i="10" s="1"/>
  <c r="L47" i="10"/>
  <c r="S47" i="10" s="1"/>
  <c r="U47" i="10" s="1"/>
  <c r="L43" i="10"/>
  <c r="S43" i="10" s="1"/>
  <c r="U43" i="10" s="1"/>
  <c r="M54" i="10"/>
  <c r="V8" i="9" l="1"/>
  <c r="M55" i="10"/>
  <c r="M56" i="10" l="1"/>
  <c r="N55" i="10"/>
  <c r="N56" i="10" s="1"/>
  <c r="N57" i="10" s="1"/>
  <c r="O55" i="10"/>
  <c r="O56" i="10" l="1"/>
  <c r="V9" i="9"/>
  <c r="M57" i="10"/>
  <c r="O57" i="10" l="1"/>
  <c r="V10" i="9"/>
  <c r="J2" i="9" s="1"/>
  <c r="J18" i="9" l="1"/>
  <c r="J6" i="9"/>
  <c r="J14" i="9"/>
  <c r="J4" i="9"/>
  <c r="J17" i="9"/>
  <c r="J8" i="9"/>
  <c r="J11" i="9"/>
  <c r="J9" i="9"/>
  <c r="J16" i="9"/>
  <c r="J13" i="9"/>
  <c r="J7" i="9"/>
  <c r="J15" i="9"/>
  <c r="J10" i="9"/>
  <c r="J5" i="9"/>
  <c r="J12" i="9"/>
  <c r="K12" i="9" l="1"/>
  <c r="L56" i="10" s="1"/>
  <c r="S56" i="10" s="1"/>
  <c r="U56" i="10" s="1"/>
  <c r="L57" i="10" l="1"/>
  <c r="S57" i="10" s="1"/>
  <c r="U57" i="10" s="1"/>
  <c r="L51" i="10"/>
  <c r="S51" i="10" s="1"/>
  <c r="U51" i="10" s="1"/>
  <c r="L50" i="10"/>
  <c r="S50" i="10" s="1"/>
  <c r="U50" i="10" s="1"/>
  <c r="L54" i="10"/>
  <c r="S54" i="10" s="1"/>
  <c r="U54" i="10" s="1"/>
  <c r="L49" i="10"/>
  <c r="S49" i="10" s="1"/>
  <c r="U49" i="10" s="1"/>
  <c r="L48" i="10"/>
  <c r="S48" i="10" s="1"/>
  <c r="U48" i="10" s="1"/>
  <c r="L52" i="10"/>
  <c r="S52" i="10" s="1"/>
  <c r="U52" i="10" s="1"/>
  <c r="L55" i="10"/>
  <c r="S55" i="10" s="1"/>
  <c r="U55" i="10" s="1"/>
  <c r="L53" i="10"/>
  <c r="S53" i="10" s="1"/>
  <c r="U53" i="1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4" background="1" saveData="1">
    <webPr consecutive="1" textDates="1" xl2000="1" url="http://www.airlines-manager.com/marketing/pricing"/>
  </connection>
  <connection id="2" xr16:uid="{00000000-0015-0000-FFFF-FFFF01000000}" name="Connexion1" type="4" refreshedVersion="4" background="1" saveData="1">
    <webPr sourceData="1" consecutive="1" xl2000="1" url="http://www.airlines-manager.com/marketing/internalAudit/lineList"/>
  </connection>
  <connection id="3" xr16:uid="{00000000-0015-0000-FFFF-FFFF06000000}" name="Connexion14" type="4" refreshedVersion="4" background="1" saveData="1">
    <webPr sourceData="1" parsePre="1" consecutive="1" xl2000="1" url="http://www.airlines-manager.com/finances/accounting/line?date=2016-08-24"/>
  </connection>
  <connection id="4" xr16:uid="{00000000-0015-0000-FFFF-FFFF07000000}" name="Connexion15" type="4" refreshedVersion="4" background="1" saveData="1">
    <webPr sourceData="1" parsePre="1" consecutive="1" xl2000="1" url="http://www.airlines-manager.com/finances/accounting/line?date=2016-08-24"/>
  </connection>
  <connection id="5" xr16:uid="{00000000-0015-0000-FFFF-FFFF08000000}" name="Connexion16" type="4" refreshedVersion="4" background="1" saveData="1">
    <webPr sourceData="1" parsePre="1" consecutive="1" xl2000="1" url="http://www.airlines-manager.com/finances/accounting/line?date=2016-08-24"/>
  </connection>
  <connection id="6" xr16:uid="{00000000-0015-0000-FFFF-FFFF09000000}" name="Connexion17" type="4" refreshedVersion="4" background="1" saveData="1">
    <webPr sourceData="1" parsePre="1" consecutive="1" xl2000="1" url="http://www.airlines-manager.com/finances/accounting/line?date=2016-08-24"/>
  </connection>
  <connection id="7" xr16:uid="{00000000-0015-0000-FFFF-FFFF0A000000}" name="Connexion18" type="4" refreshedVersion="4" background="1" saveData="1">
    <webPr sourceData="1" parsePre="1" consecutive="1" xl2000="1" url="http://www.airlines-manager.com/finances/accounting/line?date=2016-08-24"/>
  </connection>
  <connection id="8" xr16:uid="{00000000-0015-0000-FFFF-FFFF0B000000}" name="Connexion19" type="4" refreshedVersion="4" background="1" saveData="1">
    <webPr sourceData="1" parsePre="1" consecutive="1" xl2000="1" url="http://www.airlines-manager.com/marketing/internalAudit/lineList"/>
  </connection>
  <connection id="9" xr16:uid="{00000000-0015-0000-FFFF-FFFF0C000000}" name="Connexion2" type="4" refreshedVersion="4" background="1" saveData="1">
    <webPr sourceData="1" consecutive="1" xl2000="1" url="http://www.airlines-manager.com/finances/accounting/line?date=2016-08-23"/>
  </connection>
  <connection id="10" xr16:uid="{00000000-0015-0000-FFFF-FFFF0D000000}" name="Connexion20" type="4" refreshedVersion="4" background="1" saveData="1">
    <webPr sourceData="1" parsePre="1" consecutive="1" xl2000="1" url="http://www.airlines-manager.com/finances/accounting/line?date=2016-08-24"/>
  </connection>
  <connection id="11" xr16:uid="{00000000-0015-0000-FFFF-FFFF0E000000}" name="Connexion21" type="4" refreshedVersion="6" background="1" saveData="1">
    <webPr sourceData="1" parsePre="1" consecutive="1" xl2000="1" url="http://www.airlines-manager.com/staff/repartition"/>
  </connection>
  <connection id="12" xr16:uid="{00000000-0015-0000-FFFF-FFFF0F000000}" name="Connexion22" type="4" refreshedVersion="4" background="1" saveData="1">
    <webPr sourceData="1" parsePre="1" consecutive="1" xl2000="1" url="http://www.airlines-manager.com/marketing/pricing"/>
  </connection>
  <connection id="13" xr16:uid="{00000000-0015-0000-FFFF-FFFF10000000}" name="Connexion23" type="4" refreshedVersion="4" background="1" saveData="1">
    <webPr sourceData="1" parsePre="1" consecutive="1" xl2000="1" url="http://www.airlines-manager.com/finances/accounting/line?date=2016-08-24"/>
  </connection>
  <connection id="14" xr16:uid="{00000000-0015-0000-FFFF-FFFF11000000}" name="Connexion24" type="4" refreshedVersion="4" background="1" saveData="1">
    <webPr sourceData="1" parsePre="1" consecutive="1" xl2000="1" url="http://www.airlines-manager.com/marketing/internalAudit/lineList"/>
  </connection>
  <connection id="15" xr16:uid="{00000000-0015-0000-FFFF-FFFF12000000}" name="Connexion25" type="4" refreshedVersion="4" background="1" saveData="1">
    <webPr sourceData="1" parsePre="1" consecutive="1" xl2000="1" url="http://www.airlines-manager.com/marketing/pricing"/>
  </connection>
  <connection id="16" xr16:uid="{00000000-0015-0000-FFFF-FFFF13000000}" name="Connexion26" type="4" refreshedVersion="4" background="1" saveData="1">
    <webPr sourceData="1" parsePre="1" consecutive="1" xl2000="1" url="http://www.airlines-manager.com/finances/accounting/line?date=2016-08-24"/>
  </connection>
  <connection id="17" xr16:uid="{00000000-0015-0000-FFFF-FFFF14000000}" name="Connexion27" type="4" refreshedVersion="4" background="1" saveData="1">
    <webPr sourceData="1" parsePre="1" consecutive="1" xl2000="1" url="http://www.airlines-manager.com/marketing/internalAudit/lineList"/>
  </connection>
  <connection id="18" xr16:uid="{00000000-0015-0000-FFFF-FFFF15000000}" name="Connexion28" type="4" refreshedVersion="4" background="1" saveData="1">
    <webPr sourceData="1" parsePre="1" consecutive="1" xl2000="1" url="http://www.airlines-manager.com/marketing/pricing"/>
  </connection>
  <connection id="19" xr16:uid="{00000000-0015-0000-FFFF-FFFF16000000}" name="Connexion29" type="4" refreshedVersion="4" background="1" saveData="1">
    <webPr sourceData="1" parsePre="1" consecutive="1" xl2000="1" url="http://www.airlines-manager.com/finances/accounting/line?date=2016-08-24"/>
  </connection>
  <connection id="20" xr16:uid="{00000000-0015-0000-FFFF-FFFF17000000}" name="Connexion3" type="4" refreshedVersion="4" background="1" saveData="1">
    <webPr sourceData="1" consecutive="1" xl2000="1" url="http://www.airlines-manager.com/network"/>
  </connection>
  <connection id="21" xr16:uid="{00000000-0015-0000-FFFF-FFFF18000000}" name="Connexion30" type="4" refreshedVersion="4" background="1" saveData="1">
    <webPr sourceData="1" parsePre="1" consecutive="1" xl2000="1" url="http://www.airlines-manager.com/marketing/internalAudit/lineList"/>
  </connection>
  <connection id="22" xr16:uid="{00000000-0015-0000-FFFF-FFFF19000000}" name="Connexion31" type="4" refreshedVersion="4" background="1" saveData="1">
    <webPr sourceData="1" parsePre="1" consecutive="1" xl2000="1" url="http://www.airlines-manager.com/marketing/pricing"/>
  </connection>
  <connection id="23" xr16:uid="{00000000-0015-0000-FFFF-FFFF1B000000}" name="Connexion32" type="4" refreshedVersion="4" background="1" saveData="1">
    <webPr sourceData="1" parsePre="1" consecutive="1" xl2000="1" url="http://www.airlines-manager.com/finances/accounting/line?date=2016-08-25"/>
  </connection>
  <connection id="24" xr16:uid="{00000000-0015-0000-FFFF-FFFF1C000000}" name="Connexion33" type="4" refreshedVersion="4" background="1" saveData="1">
    <webPr sourceData="1" parsePre="1" consecutive="1" xl2000="1" url="http://www.airlines-manager.com/marketing/internalAudit/lineList"/>
  </connection>
  <connection id="25" xr16:uid="{00000000-0015-0000-FFFF-FFFF1D000000}" name="Connexion34" type="4" refreshedVersion="4" background="1" saveData="1">
    <webPr sourceData="1" parsePre="1" consecutive="1" xl2000="1" url="http://www.airlines-manager.com/marketing/pricing"/>
  </connection>
  <connection id="26" xr16:uid="{00000000-0015-0000-FFFF-FFFF1E000000}" name="Connexion35" type="4" refreshedVersion="4" background="1" saveData="1">
    <webPr sourceData="1" parsePre="1" consecutive="1" xl2000="1" url="http://www.airlines-manager.com/finances/accounting/line?date=2016-08-25"/>
  </connection>
  <connection id="27" xr16:uid="{00000000-0015-0000-FFFF-FFFF1F000000}" name="Connexion36" type="4" refreshedVersion="4" background="1" saveData="1">
    <webPr sourceData="1" parsePre="1" consecutive="1" xl2000="1" url="http://www.airlines-manager.com/marketing/internalAudit/lineList"/>
  </connection>
  <connection id="28" xr16:uid="{00000000-0015-0000-FFFF-FFFF20000000}" name="Connexion37" type="4" refreshedVersion="4" background="1" saveData="1">
    <webPr sourceData="1" parsePre="1" consecutive="1" xl2000="1" url="http://www.airlines-manager.com/marketing/pricing"/>
  </connection>
  <connection id="29" xr16:uid="{00000000-0015-0000-FFFF-FFFF21000000}" name="Connexion38" type="4" refreshedVersion="4" background="1" saveData="1">
    <webPr sourceData="1" parsePre="1" consecutive="1" xl2000="1" url="http://www.airlines-manager.com/finances/accounting/line?date=2016-08-25"/>
  </connection>
  <connection id="30" xr16:uid="{00000000-0015-0000-FFFF-FFFF22000000}" name="Connexion39" type="4" refreshedVersion="4" background="1" saveData="1">
    <webPr sourceData="1" parsePre="1" consecutive="1" xl2000="1" url="http://www.airlines-manager.com/marketing/internalAudit/lineList"/>
  </connection>
  <connection id="31" xr16:uid="{00000000-0015-0000-FFFF-FFFF23000000}" name="Connexion4" type="4" refreshedVersion="5" background="1" saveData="1">
    <webPr sourceData="1" parsePre="1" consecutive="1" xl2000="1" url="http://www.airlines-manager.com/finances/accounting/line?date=2015-10-26&amp;page=2"/>
  </connection>
  <connection id="32" xr16:uid="{00000000-0015-0000-FFFF-FFFF24000000}" name="Connexion40" type="4" refreshedVersion="4" background="1" saveData="1">
    <webPr sourceData="1" parsePre="1" consecutive="1" xl2000="1" url="http://www.airlines-manager.com/marketing/pricing"/>
  </connection>
  <connection id="33" xr16:uid="{00000000-0015-0000-FFFF-FFFF25000000}" name="Connexion41" type="4" refreshedVersion="4" background="1" saveData="1">
    <webPr sourceData="1" parsePre="1" consecutive="1" xl2000="1" url="http://www.airlines-manager.com/finances/accounting/line?date=2016-08-25"/>
  </connection>
  <connection id="34" xr16:uid="{00000000-0015-0000-FFFF-FFFF27000000}" name="Connexion42" type="4" refreshedVersion="4" background="1" saveData="1">
    <webPr sourceData="1" parsePre="1" consecutive="1" xl2000="1" url="http://www.airlines-manager.com/marketing/internalAudit/lineList"/>
  </connection>
  <connection id="35" xr16:uid="{00000000-0015-0000-FFFF-FFFF28000000}" name="Connexion43" type="4" refreshedVersion="4" background="1" saveData="1">
    <webPr sourceData="1" parsePre="1" consecutive="1" xl2000="1" url="http://www.airlines-manager.com/marketing/pricing"/>
  </connection>
  <connection id="36" xr16:uid="{00000000-0015-0000-FFFF-FFFF29000000}" name="Connexion44" type="4" refreshedVersion="4" background="1" saveData="1">
    <webPr sourceData="1" parsePre="1" consecutive="1" xl2000="1" url="http://www.airlines-manager.com/finances/accounting/line?date=2016-08-25"/>
  </connection>
  <connection id="37" xr16:uid="{00000000-0015-0000-FFFF-FFFF2A000000}" name="Connexion45" type="4" refreshedVersion="4" background="1" saveData="1">
    <webPr sourceData="1" parsePre="1" consecutive="1" xl2000="1" url="http://www.airlines-manager.com/marketing/internalAudit/lineList"/>
  </connection>
  <connection id="38" xr16:uid="{00000000-0015-0000-FFFF-FFFF2B000000}" name="Connexion46" type="4" refreshedVersion="4" background="1" saveData="1">
    <webPr sourceData="1" parsePre="1" consecutive="1" xl2000="1" url="http://www.airlines-manager.com/marketing/pricing"/>
  </connection>
  <connection id="39" xr16:uid="{00000000-0015-0000-FFFF-FFFF2C000000}" name="Connexion47" type="4" refreshedVersion="4" background="1" saveData="1">
    <webPr sourceData="1" parsePre="1" consecutive="1" xl2000="1" url="http://www.airlines-manager.com/finances/accounting/line?date=2016-08-25"/>
  </connection>
  <connection id="40" xr16:uid="{00000000-0015-0000-FFFF-FFFF2D000000}" name="Connexion48" type="4" refreshedVersion="4" background="1" saveData="1">
    <webPr sourceData="1" parsePre="1" consecutive="1" xl2000="1" url="http://www.airlines-manager.com/marketing/internalAudit/lineList"/>
  </connection>
  <connection id="41" xr16:uid="{00000000-0015-0000-FFFF-FFFF2E000000}" name="Connexion49" type="4" refreshedVersion="4" background="1" saveData="1">
    <webPr sourceData="1" parsePre="1" consecutive="1" xl2000="1" url="http://www.airlines-manager.com/marketing/pricing"/>
  </connection>
  <connection id="42" xr16:uid="{00000000-0015-0000-FFFF-FFFF2F000000}" name="Connexion5" type="4" refreshedVersion="4" background="1" saveData="1">
    <webPr sourceData="1" parsePre="1" consecutive="1" xl2000="1" url="http://www.airlines-manager.com/finances/accounting/line?date=2016-03-16&amp;page=2"/>
  </connection>
  <connection id="43" xr16:uid="{00000000-0015-0000-FFFF-FFFF30000000}" name="Connexion50" type="4" refreshedVersion="4" background="1" saveData="1">
    <webPr sourceData="1" parsePre="1" consecutive="1" xl2000="1" url="http://www.airlines-manager.com/finances/accounting/line?date=2016-08-25"/>
  </connection>
  <connection id="44" xr16:uid="{00000000-0015-0000-FFFF-FFFF31000000}" name="Connexion51" type="4" refreshedVersion="4" background="1" saveData="1">
    <webPr sourceData="1" parsePre="1" consecutive="1" xl2000="1" url="http://www.airlines-manager.com/marketing/internalAudit/lineList"/>
  </connection>
  <connection id="45" xr16:uid="{00000000-0015-0000-FFFF-FFFF32000000}" name="Connexion52" type="4" refreshedVersion="4" background="1" saveData="1">
    <webPr sourceData="1" parsePre="1" consecutive="1" xl2000="1" url="http://www.airlines-manager.com/marketing/pricing"/>
  </connection>
  <connection id="46" xr16:uid="{00000000-0015-0000-FFFF-FFFF33000000}" name="Connexion53" type="4" refreshedVersion="4" background="1" saveData="1">
    <webPr sourceData="1" parsePre="1" consecutive="1" xl2000="1" url="http://www.airlines-manager.com/finances/accounting/line?date=2016-08-25"/>
  </connection>
  <connection id="47" xr16:uid="{00000000-0015-0000-FFFF-FFFF34000000}" name="Connexion54" type="4" refreshedVersion="4" background="1" saveData="1">
    <webPr sourceData="1" parsePre="1" consecutive="1" xl2000="1" url="http://www.airlines-manager.com/marketing/internalAudit/lineList"/>
  </connection>
  <connection id="48" xr16:uid="{00000000-0015-0000-FFFF-FFFF35000000}" name="Connexion55" type="4" refreshedVersion="4" background="1" saveData="1">
    <webPr sourceData="1" parsePre="1" consecutive="1" xl2000="1" url="http://www.airlines-manager.com/marketing/pricing"/>
  </connection>
  <connection id="49" xr16:uid="{00000000-0015-0000-FFFF-FFFF36000000}" name="Connexion56" type="4" refreshedVersion="4" background="1" saveData="1">
    <webPr sourceData="1" parsePre="1" consecutive="1" xl2000="1" url="http://www.airlines-manager.com/finances/accounting/line?date=2016-08-25"/>
  </connection>
  <connection id="50" xr16:uid="{00000000-0015-0000-FFFF-FFFF37000000}" name="Connexion57" type="4" refreshedVersion="4" background="1" saveData="1">
    <webPr sourceData="1" parsePre="1" consecutive="1" xl2000="1" url="http://www.airlines-manager.com/marketing/internalAudit/lineList"/>
  </connection>
  <connection id="51" xr16:uid="{00000000-0015-0000-FFFF-FFFF38000000}" name="Connexion58" type="4" refreshedVersion="4" background="1" saveData="1">
    <webPr sourceData="1" parsePre="1" consecutive="1" xl2000="1" url="http://www.airlines-manager.com/marketing/pricing"/>
  </connection>
  <connection id="52" xr16:uid="{00000000-0015-0000-FFFF-FFFF39000000}" name="Connexion59" type="4" refreshedVersion="4" background="1" saveData="1">
    <webPr sourceData="1" parsePre="1" consecutive="1" xl2000="1" url="http://www.airlines-manager.com/finances/accounting/line?date=2016-08-25"/>
  </connection>
  <connection id="53" xr16:uid="{00000000-0015-0000-FFFF-FFFF3B000000}" name="Connexion60" type="4" refreshedVersion="4" background="1" saveData="1">
    <webPr sourceData="1" parsePre="1" consecutive="1" xl2000="1" url="http://www.airlines-manager.com/marketing/internalAudit/lineList"/>
  </connection>
  <connection id="54" xr16:uid="{00000000-0015-0000-FFFF-FFFF3C000000}" name="Connexion61" type="4" refreshedVersion="4" background="1" saveData="1">
    <webPr sourceData="1" parsePre="1" consecutive="1" xl2000="1" url="http://www.airlines-manager.com/marketing/pricing"/>
  </connection>
  <connection id="55" xr16:uid="{00000000-0015-0000-FFFF-FFFF3D000000}" name="Connexion62" type="4" refreshedVersion="4" background="1" saveData="1">
    <webPr sourceData="1" parsePre="1" consecutive="1" xl2000="1" url="http://www.airlines-manager.com/finances/accounting/line?date=2016-08-29"/>
  </connection>
  <connection id="56" xr16:uid="{00000000-0015-0000-FFFF-FFFF3E000000}" name="Connexion63" type="4" refreshedVersion="4" background="1" saveData="1">
    <webPr sourceData="1" parsePre="1" consecutive="1" xl2000="1" url="http://www.airlines-manager.com/marketing/internalAudit/lineList"/>
  </connection>
  <connection id="57" xr16:uid="{00000000-0015-0000-FFFF-FFFF3F000000}" name="Connexion64" type="4" refreshedVersion="4" background="1" saveData="1">
    <webPr sourceData="1" parsePre="1" consecutive="1" xl2000="1" url="http://www.airlines-manager.com/marketing/pricing"/>
  </connection>
  <connection id="58" xr16:uid="{00000000-0015-0000-FFFF-FFFF40000000}" name="Connexion65" type="4" refreshedVersion="4" background="1" saveData="1">
    <webPr sourceData="1" parsePre="1" consecutive="1" xl2000="1" url="http://www.airlines-manager.com/finances/accounting/line?date=2016-09-1"/>
  </connection>
  <connection id="59" xr16:uid="{00000000-0015-0000-FFFF-FFFF41000000}" name="Connexion66" type="4" refreshedVersion="4" background="1" saveData="1">
    <webPr sourceData="1" parsePre="1" consecutive="1" xl2000="1" url="http://www.airlines-manager.com/marketing/internalAudit/lineList"/>
  </connection>
  <connection id="60" xr16:uid="{00000000-0015-0000-FFFF-FFFF42000000}" name="Connexion67" type="4" refreshedVersion="4" background="1" saveData="1">
    <webPr sourceData="1" parsePre="1" consecutive="1" xl2000="1" url="http://www.airlines-manager.com/marketing/pricing"/>
  </connection>
  <connection id="61" xr16:uid="{00000000-0015-0000-FFFF-FFFF43000000}" name="Connexion68" type="4" refreshedVersion="4" background="1" saveData="1">
    <webPr sourceData="1" parsePre="1" consecutive="1" xl2000="1" url="http://www.airlines-manager.com/finances/accounting/line?date=2016-09-1"/>
  </connection>
  <connection id="62" xr16:uid="{00000000-0015-0000-FFFF-FFFF44000000}" name="Connexion69" type="4" refreshedVersion="4" background="1" saveData="1">
    <webPr sourceData="1" parsePre="1" consecutive="1" xl2000="1" url="http://www.airlines-manager.com/marketing/internalAudit/lineList"/>
  </connection>
  <connection id="63" xr16:uid="{00000000-0015-0000-FFFF-FFFF46000000}" name="Connexion70" type="4" refreshedVersion="4" background="1" saveData="1">
    <webPr sourceData="1" parsePre="1" consecutive="1" xl2000="1" url="http://www.airlines-manager.com/marketing/pricing"/>
  </connection>
</connections>
</file>

<file path=xl/sharedStrings.xml><?xml version="1.0" encoding="utf-8"?>
<sst xmlns="http://schemas.openxmlformats.org/spreadsheetml/2006/main" count="4319" uniqueCount="1619">
  <si>
    <t>Nombre d'appareils</t>
  </si>
  <si>
    <t>Date</t>
  </si>
  <si>
    <t>Classement</t>
  </si>
  <si>
    <t>Chiffre d'affaires</t>
  </si>
  <si>
    <t>Coût</t>
  </si>
  <si>
    <t>Impôts</t>
  </si>
  <si>
    <t>Taxe alliance</t>
  </si>
  <si>
    <t>Salaire employé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</si>
  <si>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</si>
  <si>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</si>
  <si>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</si>
  <si>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</si>
  <si>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</si>
  <si>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</si>
  <si>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</si>
  <si>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</si>
  <si>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</si>
  <si>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</si>
  <si>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</si>
  <si>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</si>
  <si>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</si>
  <si>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Date 14 jours</t>
  </si>
  <si>
    <t>TS</t>
  </si>
  <si>
    <t>Informations ligne</t>
  </si>
  <si>
    <t>Place</t>
  </si>
  <si>
    <t>Prix</t>
  </si>
  <si>
    <t>CA Catégorie</t>
  </si>
  <si>
    <t>CA</t>
  </si>
  <si>
    <t>Bénéfices</t>
  </si>
  <si>
    <t>Taux</t>
  </si>
  <si>
    <t>Ligne</t>
  </si>
  <si>
    <t>Distance</t>
  </si>
  <si>
    <t>Eco</t>
  </si>
  <si>
    <t>Affaire</t>
  </si>
  <si>
    <t>Première</t>
  </si>
  <si>
    <t>Cargo</t>
  </si>
  <si>
    <t>CA Eco</t>
  </si>
  <si>
    <t>CA
Affaire</t>
  </si>
  <si>
    <t>CA 
Première</t>
  </si>
  <si>
    <t>CA
Cargo</t>
  </si>
  <si>
    <t>CA Billeterie</t>
  </si>
  <si>
    <t>Revenus 
auxiliaires</t>
  </si>
  <si>
    <t>CA 
TOTAL</t>
  </si>
  <si>
    <t>CA Mensuel</t>
  </si>
  <si>
    <t>CA 
Annuel</t>
  </si>
  <si>
    <t>Bénéfices
Journalier</t>
  </si>
  <si>
    <t>Bénéfices
Mensuel</t>
  </si>
  <si>
    <t>Bénéfices
Annuel</t>
  </si>
  <si>
    <t>Taux Bénéf
/ CA</t>
  </si>
  <si>
    <t>Taux Revenus Aux
/ CA</t>
  </si>
  <si>
    <t>Taux Coût
/ CA</t>
  </si>
  <si>
    <t>Compagnie</t>
  </si>
  <si>
    <t>Pseudo</t>
  </si>
  <si>
    <t>TS journalier</t>
  </si>
  <si>
    <t>TS Hebdomadaire</t>
  </si>
  <si>
    <t>Fric Airlines</t>
  </si>
  <si>
    <t>Quentin</t>
  </si>
  <si>
    <t>Groupe 1</t>
  </si>
  <si>
    <t>Groupe 2</t>
  </si>
  <si>
    <t>BryanBlairlines</t>
  </si>
  <si>
    <t>Bryan Blair</t>
  </si>
  <si>
    <t>Phoenix Alliance evo</t>
  </si>
  <si>
    <t>Aeschbacher</t>
  </si>
  <si>
    <t>Belgium airways</t>
  </si>
  <si>
    <t>Charly</t>
  </si>
  <si>
    <t>United Swiss</t>
  </si>
  <si>
    <t>Asties900</t>
  </si>
  <si>
    <t>Cloud of Sky</t>
  </si>
  <si>
    <t>Clouders</t>
  </si>
  <si>
    <t>AIR KARAKOL</t>
  </si>
  <si>
    <t>Johan</t>
  </si>
  <si>
    <t>Zenith</t>
  </si>
  <si>
    <t>Palleas</t>
  </si>
  <si>
    <t>Light Air</t>
  </si>
  <si>
    <t>Brago</t>
  </si>
  <si>
    <t>Tupolef airline</t>
  </si>
  <si>
    <t>Harlock</t>
  </si>
  <si>
    <t>Fly Air</t>
  </si>
  <si>
    <t>Nic0o</t>
  </si>
  <si>
    <t>TAP AIRLINES 7</t>
  </si>
  <si>
    <t>Bruno</t>
  </si>
  <si>
    <t>Airnationfust</t>
  </si>
  <si>
    <t>Davidangh</t>
  </si>
  <si>
    <t>Journalier</t>
  </si>
  <si>
    <t>SwissairsLines</t>
  </si>
  <si>
    <t>Nooka10</t>
  </si>
  <si>
    <t>Hebdomadaire</t>
  </si>
  <si>
    <t>airHelvetia</t>
  </si>
  <si>
    <t>Flys</t>
  </si>
  <si>
    <t>WTO Airlines</t>
  </si>
  <si>
    <t>Watine</t>
  </si>
  <si>
    <t>Heidi Volante</t>
  </si>
  <si>
    <t>HuguesAZ</t>
  </si>
  <si>
    <t>Sean Airlines</t>
  </si>
  <si>
    <t>Seanb</t>
  </si>
  <si>
    <t>Viet Sky</t>
  </si>
  <si>
    <t>Sparte</t>
  </si>
  <si>
    <t>Total</t>
  </si>
  <si>
    <t>SWISSFLY</t>
  </si>
  <si>
    <t>Dorian</t>
  </si>
  <si>
    <t>Hors classement</t>
  </si>
  <si>
    <t>ToroPicana</t>
  </si>
  <si>
    <t>West Airlines</t>
  </si>
  <si>
    <t>Crumby</t>
  </si>
  <si>
    <t>Air egly</t>
  </si>
  <si>
    <t>Cocorico Fly</t>
  </si>
  <si>
    <t>Garrigues</t>
  </si>
  <si>
    <t>Air 2013</t>
  </si>
  <si>
    <t>Charly01</t>
  </si>
  <si>
    <t>Gravity Air</t>
  </si>
  <si>
    <t>Harrison</t>
  </si>
  <si>
    <t>World Airlines</t>
  </si>
  <si>
    <t>Luca</t>
  </si>
  <si>
    <t>High Fly World</t>
  </si>
  <si>
    <t>Ben06</t>
  </si>
  <si>
    <t xml:space="preserve">Liste des avions </t>
  </si>
  <si>
    <t>Prix carburant</t>
  </si>
  <si>
    <t>Prix d'un billet</t>
  </si>
  <si>
    <t>Prix cargo</t>
  </si>
  <si>
    <t>Statut</t>
  </si>
  <si>
    <t>Marque</t>
  </si>
  <si>
    <t>Type</t>
  </si>
  <si>
    <t>Rang</t>
  </si>
  <si>
    <t>Nom</t>
  </si>
  <si>
    <t>Rayon d'actions</t>
  </si>
  <si>
    <t>Consommation</t>
  </si>
  <si>
    <t>Vitesse</t>
  </si>
  <si>
    <t>Sièges</t>
  </si>
  <si>
    <t>Tonnage</t>
  </si>
  <si>
    <t>Fiabilité</t>
  </si>
  <si>
    <t>Coût d'entretien</t>
  </si>
  <si>
    <t>Prix total</t>
  </si>
  <si>
    <t>Prix 10%</t>
  </si>
  <si>
    <t>Disponible</t>
  </si>
  <si>
    <t>Boeing</t>
  </si>
  <si>
    <t>CC</t>
  </si>
  <si>
    <t>Commercial</t>
  </si>
  <si>
    <t>DC-3</t>
  </si>
  <si>
    <t>ATR</t>
  </si>
  <si>
    <t>42-500F</t>
  </si>
  <si>
    <t>Bae Systems</t>
  </si>
  <si>
    <t>Jetstream-41</t>
  </si>
  <si>
    <t>Embraer</t>
  </si>
  <si>
    <t>EMB-120</t>
  </si>
  <si>
    <t>Saab</t>
  </si>
  <si>
    <t>S-340B</t>
  </si>
  <si>
    <t>72-500F</t>
  </si>
  <si>
    <t>Bombardier</t>
  </si>
  <si>
    <t>Q-200</t>
  </si>
  <si>
    <t>S-340BF</t>
  </si>
  <si>
    <t>72-600</t>
  </si>
  <si>
    <t>42-500</t>
  </si>
  <si>
    <t>42-600</t>
  </si>
  <si>
    <t>Q400-PF</t>
  </si>
  <si>
    <t>RJ-100QT</t>
  </si>
  <si>
    <t>Q-300</t>
  </si>
  <si>
    <t>ERJ-135</t>
  </si>
  <si>
    <t>72-500</t>
  </si>
  <si>
    <t>ERJ-140</t>
  </si>
  <si>
    <t>CRJ-200</t>
  </si>
  <si>
    <t>EMB-120-FC</t>
  </si>
  <si>
    <t>ERJ-145</t>
  </si>
  <si>
    <t>MC</t>
  </si>
  <si>
    <t>ERJ-145XR</t>
  </si>
  <si>
    <t>737-300SF</t>
  </si>
  <si>
    <t>Q-400</t>
  </si>
  <si>
    <t>CRJ-700</t>
  </si>
  <si>
    <t>ERJ-170</t>
  </si>
  <si>
    <t>CRJ-200PF</t>
  </si>
  <si>
    <t>ERJ-175</t>
  </si>
  <si>
    <t>CRJ-900</t>
  </si>
  <si>
    <t>Sukhoi</t>
  </si>
  <si>
    <t>SSJ-100-95</t>
  </si>
  <si>
    <t>Fokker</t>
  </si>
  <si>
    <t>F-100</t>
  </si>
  <si>
    <t>CRJ-1000</t>
  </si>
  <si>
    <t>ERJ-190</t>
  </si>
  <si>
    <t>ERJ-195</t>
  </si>
  <si>
    <t>717-200</t>
  </si>
  <si>
    <t>Bae Systems</t>
  </si>
  <si>
    <t>RJ-85</t>
  </si>
  <si>
    <t>Aérospatiale</t>
  </si>
  <si>
    <t>Caravelle 12</t>
  </si>
  <si>
    <t>737-600</t>
  </si>
  <si>
    <t>737-500</t>
  </si>
  <si>
    <t>B727-100</t>
  </si>
  <si>
    <t>Airbus</t>
  </si>
  <si>
    <t>A318-100</t>
  </si>
  <si>
    <t>737-300</t>
  </si>
  <si>
    <t>737-700</t>
  </si>
  <si>
    <t>A300-600RF</t>
  </si>
  <si>
    <t>B737-700C</t>
  </si>
  <si>
    <t>757-200PF</t>
  </si>
  <si>
    <t>Tupolev</t>
  </si>
  <si>
    <t>T-214-220</t>
  </si>
  <si>
    <t>737-400</t>
  </si>
  <si>
    <t>LC</t>
  </si>
  <si>
    <t>737-700ER</t>
  </si>
  <si>
    <t>A319-100</t>
  </si>
  <si>
    <t>MD-90-30</t>
  </si>
  <si>
    <t>767-300F</t>
  </si>
  <si>
    <t>MD-83</t>
  </si>
  <si>
    <t>A319-100LR</t>
  </si>
  <si>
    <t>737-800</t>
  </si>
  <si>
    <t>A320-200</t>
  </si>
  <si>
    <t>767-200F</t>
  </si>
  <si>
    <t>737-900ER</t>
  </si>
  <si>
    <t>A330-200F</t>
  </si>
  <si>
    <t>A321-200</t>
  </si>
  <si>
    <t>A310-300F</t>
  </si>
  <si>
    <t>757-200</t>
  </si>
  <si>
    <t>747-8F</t>
  </si>
  <si>
    <t>MD-11CF</t>
  </si>
  <si>
    <t>777-200F</t>
  </si>
  <si>
    <t>707-320C</t>
  </si>
  <si>
    <t>A310-300</t>
  </si>
  <si>
    <t>767-200ER</t>
  </si>
  <si>
    <t>767-300ER</t>
  </si>
  <si>
    <t>A300-600R</t>
  </si>
  <si>
    <t>767-400ER</t>
  </si>
  <si>
    <t>787-8</t>
  </si>
  <si>
    <t>A330-200</t>
  </si>
  <si>
    <t>MD-11</t>
  </si>
  <si>
    <t>777-200</t>
  </si>
  <si>
    <t>A330-300</t>
  </si>
  <si>
    <t>Concorde</t>
  </si>
  <si>
    <t>A340-300</t>
  </si>
  <si>
    <t>777-200ER</t>
  </si>
  <si>
    <t>A340-500</t>
  </si>
  <si>
    <t>777-300</t>
  </si>
  <si>
    <t>777-200LR</t>
  </si>
  <si>
    <t>A340-600</t>
  </si>
  <si>
    <t>747-400</t>
  </si>
  <si>
    <t>777-300ER</t>
  </si>
  <si>
    <t>747-8I</t>
  </si>
  <si>
    <t>A380-800</t>
  </si>
  <si>
    <t>A350-900</t>
  </si>
  <si>
    <t>Location</t>
  </si>
  <si>
    <t>Evolution
Valeur
J-1</t>
  </si>
  <si>
    <t>Evolution 
%</t>
  </si>
  <si>
    <t>Chiffre 
d'affaires</t>
  </si>
  <si>
    <t>Simu 1</t>
  </si>
  <si>
    <t>Simu 2</t>
  </si>
  <si>
    <t>Simu 3</t>
  </si>
  <si>
    <t>Bénéf sur 7 derniers jours</t>
  </si>
  <si>
    <t>Tranches</t>
  </si>
  <si>
    <t>%</t>
  </si>
  <si>
    <t>Impôts par tranche</t>
  </si>
  <si>
    <t>Impôts évalués</t>
  </si>
  <si>
    <t>Jour dla semaine</t>
  </si>
  <si>
    <t>Date sur 7 jours</t>
  </si>
  <si>
    <t>Simu impôt 1</t>
  </si>
  <si>
    <t>Simu impôt 2</t>
  </si>
  <si>
    <t xml:space="preserve"> +8j</t>
  </si>
  <si>
    <t>Impôts passés</t>
  </si>
  <si>
    <t>Emprunts</t>
  </si>
  <si>
    <t>MINIBANK</t>
  </si>
  <si>
    <t>CAISSE DES PAGNES</t>
  </si>
  <si>
    <t>Nombre d'emprunts</t>
  </si>
  <si>
    <t>SKY CREDIT</t>
  </si>
  <si>
    <t>Banque</t>
  </si>
  <si>
    <t>Num Emprunt</t>
  </si>
  <si>
    <t>Date début</t>
  </si>
  <si>
    <t>Date fin</t>
  </si>
  <si>
    <t>Nombre 
de jour</t>
  </si>
  <si>
    <t>Nombre de 
semaine</t>
  </si>
  <si>
    <t>Nombre de 
semaine 
restante</t>
  </si>
  <si>
    <t>Montant 
empruntée</t>
  </si>
  <si>
    <t>Montant total</t>
  </si>
  <si>
    <t>Montant par 
semaine</t>
  </si>
  <si>
    <t>Montant 
remboursée</t>
  </si>
  <si>
    <t>Montant restant</t>
  </si>
  <si>
    <t>CHAISE</t>
  </si>
  <si>
    <t>CBIB</t>
  </si>
  <si>
    <t>Lignes</t>
  </si>
  <si>
    <t>Informations sur la ligne</t>
  </si>
  <si>
    <t>CA &amp; Bénef total sur la vie de la compagnie</t>
  </si>
  <si>
    <t xml:space="preserve">Bénéfice </t>
  </si>
  <si>
    <t>Chiffre d'affaires billeterie</t>
  </si>
  <si>
    <t>Revenus auxiliaires</t>
  </si>
  <si>
    <t>Nombre de passagers transportés / Semaine</t>
  </si>
  <si>
    <t>Nombre de passagers transportés /J/Vol</t>
  </si>
  <si>
    <t>Nombre de passagers transportés /an/Lignes</t>
  </si>
  <si>
    <t>HUB départ</t>
  </si>
  <si>
    <t>HUB arrivé</t>
  </si>
  <si>
    <t>Date achat</t>
  </si>
  <si>
    <t>Date actuel</t>
  </si>
  <si>
    <t>Diff Date
 achat/actuel</t>
  </si>
  <si>
    <t>Taxe HUB 
départ</t>
  </si>
  <si>
    <t>Taxe HUB arrivé</t>
  </si>
  <si>
    <t>Avions 
affectés</t>
  </si>
  <si>
    <t>Vols 
hebdo</t>
  </si>
  <si>
    <t>Catégorie</t>
  </si>
  <si>
    <t>CA total  
début &lt;&gt; maintenant</t>
  </si>
  <si>
    <t>Bénéf total
début &lt;&gt; maintenant</t>
  </si>
  <si>
    <t>Taux total 
Bénéf / CA</t>
  </si>
  <si>
    <t>Bénéfice total</t>
  </si>
  <si>
    <t>Bénéfice /J</t>
  </si>
  <si>
    <t>Bénéfice /J
Moyenne par appareils</t>
  </si>
  <si>
    <t>CA /J 
/ Bénéf</t>
  </si>
  <si>
    <t>Chiffre d'affaires 
total</t>
  </si>
  <si>
    <t>Chiffres d'affaires 
/J</t>
  </si>
  <si>
    <t>CA /J
Moyenne par appareils</t>
  </si>
  <si>
    <t>Chiffre d'affaires 
billeterie total</t>
  </si>
  <si>
    <t>Chiffre d'affaires 
billeterie /J</t>
  </si>
  <si>
    <t>Taux CA billeterie / CA</t>
  </si>
  <si>
    <t>Revenus Aux 
total</t>
  </si>
  <si>
    <t>Revenus Aux
 /J</t>
  </si>
  <si>
    <t>Taux Revenus Aux / CA</t>
  </si>
  <si>
    <t>Coût total</t>
  </si>
  <si>
    <t>Coût /J</t>
  </si>
  <si>
    <t>Taux 
Coût / CA</t>
  </si>
  <si>
    <t>Classe 
économique</t>
  </si>
  <si>
    <t>Classe 
affaire</t>
  </si>
  <si>
    <t>Première 
classe</t>
  </si>
  <si>
    <t>SFO</t>
  </si>
  <si>
    <t>YHU</t>
  </si>
  <si>
    <t>BIO</t>
  </si>
  <si>
    <t>RTM</t>
  </si>
  <si>
    <t>NGS</t>
  </si>
  <si>
    <t>LGW</t>
  </si>
  <si>
    <t>KOJ</t>
  </si>
  <si>
    <t>AMS</t>
  </si>
  <si>
    <t>FUK</t>
  </si>
  <si>
    <t>MAD</t>
  </si>
  <si>
    <t>ITM</t>
  </si>
  <si>
    <t>ORY</t>
  </si>
  <si>
    <t>NRT</t>
  </si>
  <si>
    <t>DUB</t>
  </si>
  <si>
    <t>BRU</t>
  </si>
  <si>
    <t>LIS</t>
  </si>
  <si>
    <t>CRL</t>
  </si>
  <si>
    <t>CDG</t>
  </si>
  <si>
    <t>KIX</t>
  </si>
  <si>
    <t>OSL</t>
  </si>
  <si>
    <t>LHR</t>
  </si>
  <si>
    <t>KMI</t>
  </si>
  <si>
    <t>HND</t>
  </si>
  <si>
    <t>LUX</t>
  </si>
  <si>
    <t>SLZ</t>
  </si>
  <si>
    <t>Taxe</t>
  </si>
  <si>
    <t>JFK</t>
  </si>
  <si>
    <t>DME</t>
  </si>
  <si>
    <t>SVO</t>
  </si>
  <si>
    <t>VKO</t>
  </si>
  <si>
    <t>LED</t>
  </si>
  <si>
    <t>Investissement</t>
  </si>
  <si>
    <t>Date actuelle</t>
  </si>
  <si>
    <t>Date investissement</t>
  </si>
  <si>
    <t>Argent dispo</t>
  </si>
  <si>
    <t>Argent emprunt</t>
  </si>
  <si>
    <t>Argent date invest</t>
  </si>
  <si>
    <t>Recherche un type d'appareil</t>
  </si>
  <si>
    <t xml:space="preserve">Avions </t>
  </si>
  <si>
    <t>CA potentiel / avion</t>
  </si>
  <si>
    <t>CA total</t>
  </si>
  <si>
    <t>Nbr avions</t>
  </si>
  <si>
    <t>Réduc perso</t>
  </si>
  <si>
    <t>Prix Réduc perso</t>
  </si>
  <si>
    <t>Après réduc perso</t>
  </si>
  <si>
    <t>Réduc alliance</t>
  </si>
  <si>
    <t>Montant Reduc</t>
  </si>
  <si>
    <t>Montant a payer</t>
  </si>
  <si>
    <t>Argent restant</t>
  </si>
  <si>
    <t>Suite à l'achat calcul de la TS ect…</t>
  </si>
  <si>
    <t>TS actuelle</t>
  </si>
  <si>
    <t>Impôt actuel</t>
  </si>
  <si>
    <t>Salariés actuel</t>
  </si>
  <si>
    <t>Bénéfices bruts actuel</t>
  </si>
  <si>
    <t>Emprunt actuel</t>
  </si>
  <si>
    <t>TS future</t>
  </si>
  <si>
    <t>Impôt futur</t>
  </si>
  <si>
    <t>Salariés futur</t>
  </si>
  <si>
    <t>Bénéfices bruts futur</t>
  </si>
  <si>
    <t>Taxe alliance futur</t>
  </si>
  <si>
    <t>Emprunt futur</t>
  </si>
  <si>
    <t>Nouvel emprunt</t>
  </si>
  <si>
    <t>Gestion du compte</t>
  </si>
  <si>
    <t xml:space="preserve">Forum Parrainage x déconnexion </t>
  </si>
  <si>
    <t xml:space="preserve">                 </t>
  </si>
  <si>
    <t>Achat d'un avion Avions</t>
  </si>
  <si>
    <t>Marché mondial de l'emploi Candidatures Personnel</t>
  </si>
  <si>
    <t>Partenariat Gestion interne Infrastructure Support commercial Services à bord Aéroportuaire Services</t>
  </si>
  <si>
    <t>Banques Comptabilité générale Finances</t>
  </si>
  <si>
    <t xml:space="preserve">           </t>
  </si>
  <si>
    <t>Comptabilité d'une ligne</t>
  </si>
  <si>
    <t>Choix du hub</t>
  </si>
  <si>
    <t>Recherche</t>
  </si>
  <si>
    <t>J-6</t>
  </si>
  <si>
    <t>J-5</t>
  </si>
  <si>
    <t>J-4</t>
  </si>
  <si>
    <t>J-3</t>
  </si>
  <si>
    <t>J-2</t>
  </si>
  <si>
    <t>J-1</t>
  </si>
  <si>
    <t>Aujourd'hui</t>
  </si>
  <si>
    <t>Economique</t>
  </si>
  <si>
    <t>Revenus Aux.</t>
  </si>
  <si>
    <t>Résultat</t>
  </si>
  <si>
    <t>Départ</t>
  </si>
  <si>
    <t>Arrivée</t>
  </si>
  <si>
    <t>Revenus Aux</t>
  </si>
  <si>
    <t>Étiquettes de lignes</t>
  </si>
  <si>
    <t>Somme de Revenus Aux</t>
  </si>
  <si>
    <t>Somme de Coût</t>
  </si>
  <si>
    <t>0 $</t>
  </si>
  <si>
    <t>Playrion</t>
  </si>
  <si>
    <t>LIENS</t>
  </si>
  <si>
    <t>Actualité</t>
  </si>
  <si>
    <t>Boutique</t>
  </si>
  <si>
    <t>Forum</t>
  </si>
  <si>
    <t>CGU</t>
  </si>
  <si>
    <t>CONTACT</t>
  </si>
  <si>
    <t>Support</t>
  </si>
  <si>
    <t>FBFacebook</t>
  </si>
  <si>
    <t>TTwitter</t>
  </si>
  <si>
    <t>Prévision de flux de trésorerie</t>
  </si>
  <si>
    <t>Coût des vols</t>
  </si>
  <si>
    <t>Marketing</t>
  </si>
  <si>
    <t>Emprunt</t>
  </si>
  <si>
    <t>Achats / ventes</t>
  </si>
  <si>
    <t>Autre</t>
  </si>
  <si>
    <t>Hier</t>
  </si>
  <si>
    <t>999 900 000 $</t>
  </si>
  <si>
    <t>Demain</t>
  </si>
  <si>
    <t>?</t>
  </si>
  <si>
    <t>Loading</t>
  </si>
  <si>
    <t>HUB</t>
  </si>
  <si>
    <t>LOS</t>
  </si>
  <si>
    <t>FIH</t>
  </si>
  <si>
    <t>Classer les lignes par:</t>
  </si>
  <si>
    <t>Recherche:</t>
  </si>
  <si>
    <t>Pays</t>
  </si>
  <si>
    <t>Somme de Eco</t>
  </si>
  <si>
    <t>Somme de Affaire</t>
  </si>
  <si>
    <t>Somme de Première</t>
  </si>
  <si>
    <t>Somme de Cargo</t>
  </si>
  <si>
    <t>Distance +</t>
  </si>
  <si>
    <t>Code IATA</t>
  </si>
  <si>
    <t>Distance -</t>
  </si>
  <si>
    <t>Mode AM Plus</t>
  </si>
  <si>
    <t>Tarif des lignes sélectionnées : 0 $</t>
  </si>
  <si>
    <t>Voulez vous vraiment acheter cet audit pour ?</t>
  </si>
  <si>
    <t>Ok Annuler</t>
  </si>
  <si>
    <t>Gestion des tarifs</t>
  </si>
  <si>
    <t xml:space="preserve">AFFICHER TOUTES LES LIGNES </t>
  </si>
  <si>
    <t>Distance_</t>
  </si>
  <si>
    <t>Somme de Distance_</t>
  </si>
  <si>
    <t>Demande restante</t>
  </si>
  <si>
    <t>Sélection de ligne</t>
  </si>
  <si>
    <t>Demande Eco</t>
  </si>
  <si>
    <t>Demande Affaire</t>
  </si>
  <si>
    <t>Demande 1ère</t>
  </si>
  <si>
    <t>Demande Cargo</t>
  </si>
  <si>
    <t>9 516 Km</t>
  </si>
  <si>
    <t>Détail des tarifs</t>
  </si>
  <si>
    <t>Mode AM+Demande restante</t>
  </si>
  <si>
    <t>Appareils</t>
  </si>
  <si>
    <t>Jour</t>
  </si>
  <si>
    <t>Infos lignes</t>
  </si>
  <si>
    <t>Infos avions</t>
  </si>
  <si>
    <t>Rentabilité en jour</t>
  </si>
  <si>
    <t>Données âge avions</t>
  </si>
  <si>
    <t>Bénéf</t>
  </si>
  <si>
    <t>HUB 
départ</t>
  </si>
  <si>
    <t>HUB 
arrivé</t>
  </si>
  <si>
    <t>Rayon 
action</t>
  </si>
  <si>
    <t>Utilisation</t>
  </si>
  <si>
    <t>Etat</t>
  </si>
  <si>
    <t>Capacité</t>
  </si>
  <si>
    <t>Affaires</t>
  </si>
  <si>
    <t>Premium</t>
  </si>
  <si>
    <t>Prix d'achat</t>
  </si>
  <si>
    <t>Résultat cumulé</t>
  </si>
  <si>
    <t>$ avant 
rentabilité</t>
  </si>
  <si>
    <t>$ après 
rentabilité</t>
  </si>
  <si>
    <t>Jour pour 
rentabilisé</t>
  </si>
  <si>
    <t>Nombre 
de vols</t>
  </si>
  <si>
    <t>Jour de 
rentabilité</t>
  </si>
  <si>
    <t>Heure de vol  total par jours</t>
  </si>
  <si>
    <t>Heures 
de vol</t>
  </si>
  <si>
    <t>Age en
 J</t>
  </si>
  <si>
    <t>Age en 
M</t>
  </si>
  <si>
    <t>Age en
 A</t>
  </si>
  <si>
    <t>CA /J</t>
  </si>
  <si>
    <t>Bénéf total</t>
  </si>
  <si>
    <t>Bénéf /J</t>
  </si>
  <si>
    <t>A310-300-001</t>
  </si>
  <si>
    <t>A310-300-002</t>
  </si>
  <si>
    <t>A310-300-003</t>
  </si>
  <si>
    <t>A310-300-004</t>
  </si>
  <si>
    <t>A310-300-005</t>
  </si>
  <si>
    <t>A310-300-006</t>
  </si>
  <si>
    <t>A310-300-007</t>
  </si>
  <si>
    <t>A310-300-008</t>
  </si>
  <si>
    <t>A310-300-009</t>
  </si>
  <si>
    <t>A310-300-010</t>
  </si>
  <si>
    <t>A310-300-011</t>
  </si>
  <si>
    <t>A310-300-012</t>
  </si>
  <si>
    <t>A310-300-013</t>
  </si>
  <si>
    <t>A310-300-014</t>
  </si>
  <si>
    <t>A310-300-015</t>
  </si>
  <si>
    <t>A310-300-016</t>
  </si>
  <si>
    <t>A310-300-017</t>
  </si>
  <si>
    <t>A310-300-018</t>
  </si>
  <si>
    <t>A310-300-019</t>
  </si>
  <si>
    <t>A310-300-020</t>
  </si>
  <si>
    <t>A310-300-021</t>
  </si>
  <si>
    <t>A310-300-022</t>
  </si>
  <si>
    <t>A310-300-023</t>
  </si>
  <si>
    <t>A310-300-024</t>
  </si>
  <si>
    <t>A310-300-025</t>
  </si>
  <si>
    <t>A310-300-026</t>
  </si>
  <si>
    <t>A310-300-027</t>
  </si>
  <si>
    <t>A310-300-028</t>
  </si>
  <si>
    <t>A310-300-029</t>
  </si>
  <si>
    <t>A310-300-030</t>
  </si>
  <si>
    <t>A310-300-031</t>
  </si>
  <si>
    <t>A310-300-032</t>
  </si>
  <si>
    <t>A310-300-033</t>
  </si>
  <si>
    <t>A310-300-034</t>
  </si>
  <si>
    <t>A310-300-035</t>
  </si>
  <si>
    <t>A310-300-036</t>
  </si>
  <si>
    <t>A310-300-037</t>
  </si>
  <si>
    <t>A310-300-038</t>
  </si>
  <si>
    <t>A310-300-039</t>
  </si>
  <si>
    <t>A310-300-040</t>
  </si>
  <si>
    <t>A310-300-041</t>
  </si>
  <si>
    <t>A310-300-042</t>
  </si>
  <si>
    <t>A310-300-043</t>
  </si>
  <si>
    <t>A310-300-044</t>
  </si>
  <si>
    <t>A310-300-045</t>
  </si>
  <si>
    <t>A310-300-046</t>
  </si>
  <si>
    <t>A310-300-047</t>
  </si>
  <si>
    <t>A310-300-048</t>
  </si>
  <si>
    <t>A310-300-049</t>
  </si>
  <si>
    <t>A310-300-050</t>
  </si>
  <si>
    <t>A310-300-051</t>
  </si>
  <si>
    <t>A310-300-052</t>
  </si>
  <si>
    <t>A310-300-053</t>
  </si>
  <si>
    <t>A310-300-054</t>
  </si>
  <si>
    <t>A310-300-055</t>
  </si>
  <si>
    <t>A310-300-056</t>
  </si>
  <si>
    <t>A310-300-057</t>
  </si>
  <si>
    <t>A310-300-058</t>
  </si>
  <si>
    <t>A310-300-059</t>
  </si>
  <si>
    <t>A310-300-060</t>
  </si>
  <si>
    <t>A310-300-061</t>
  </si>
  <si>
    <t>A310-300-062</t>
  </si>
  <si>
    <t>A310-300-063</t>
  </si>
  <si>
    <t>A310-300-064</t>
  </si>
  <si>
    <t>A310-300-065</t>
  </si>
  <si>
    <t>A310-300-066</t>
  </si>
  <si>
    <t>A310-300-067</t>
  </si>
  <si>
    <t>A310-300-068</t>
  </si>
  <si>
    <t>A310-300-069</t>
  </si>
  <si>
    <t>A310-300-070</t>
  </si>
  <si>
    <t>JKF</t>
  </si>
  <si>
    <t>A310-300-071</t>
  </si>
  <si>
    <t>A310-300-072</t>
  </si>
  <si>
    <t>A310-300-073</t>
  </si>
  <si>
    <t>A310-300-074</t>
  </si>
  <si>
    <t>A310-300-075</t>
  </si>
  <si>
    <t>A310-300-076</t>
  </si>
  <si>
    <t>A310-300-077</t>
  </si>
  <si>
    <t>A310-300-078</t>
  </si>
  <si>
    <t>A310-300-079</t>
  </si>
  <si>
    <t>A310-300-080</t>
  </si>
  <si>
    <t>A310-300-081</t>
  </si>
  <si>
    <t>A310-300-082</t>
  </si>
  <si>
    <t>A310-300-083</t>
  </si>
  <si>
    <t>A310-300-084</t>
  </si>
  <si>
    <t>A310-300-085</t>
  </si>
  <si>
    <t>A310-300-086</t>
  </si>
  <si>
    <t>A310-300-087</t>
  </si>
  <si>
    <t>A310-300-088</t>
  </si>
  <si>
    <t>A310-300-089</t>
  </si>
  <si>
    <t>A310-300-090</t>
  </si>
  <si>
    <t>A310-300-091</t>
  </si>
  <si>
    <t>A310-300-092</t>
  </si>
  <si>
    <t>A310-300-093</t>
  </si>
  <si>
    <t>A310-300-094</t>
  </si>
  <si>
    <t>A310-300-095</t>
  </si>
  <si>
    <t>A310-300-096</t>
  </si>
  <si>
    <t>A310-300-097</t>
  </si>
  <si>
    <t>A310-300-098</t>
  </si>
  <si>
    <t>Type de recettes</t>
  </si>
  <si>
    <t>Montant achat</t>
  </si>
  <si>
    <t>% pertes</t>
  </si>
  <si>
    <t>Pertes valeurs</t>
  </si>
  <si>
    <t>Montant solde des ventes</t>
  </si>
  <si>
    <t>Ventes hubs</t>
  </si>
  <si>
    <t>Ventes lignes</t>
  </si>
  <si>
    <t>Ventes avions JFK</t>
  </si>
  <si>
    <t>A330-200-22-3</t>
  </si>
  <si>
    <t>015-15</t>
  </si>
  <si>
    <t>A320-200-002</t>
  </si>
  <si>
    <t>A320-200-005</t>
  </si>
  <si>
    <t>A320-200-006</t>
  </si>
  <si>
    <t>A330-200-22-2</t>
  </si>
  <si>
    <t>015-18</t>
  </si>
  <si>
    <t>A330-200-22-5</t>
  </si>
  <si>
    <t>A330-200-22-7</t>
  </si>
  <si>
    <t>A330-200-22-1</t>
  </si>
  <si>
    <t>A320-200-003</t>
  </si>
  <si>
    <t>015-6</t>
  </si>
  <si>
    <t>A320-200-004</t>
  </si>
  <si>
    <t>A330-200-22-6</t>
  </si>
  <si>
    <t>015-19</t>
  </si>
  <si>
    <t>015-3</t>
  </si>
  <si>
    <t>107-2</t>
  </si>
  <si>
    <t>015-10</t>
  </si>
  <si>
    <t>015-12</t>
  </si>
  <si>
    <t>015-14</t>
  </si>
  <si>
    <t>107-1</t>
  </si>
  <si>
    <t>107-4</t>
  </si>
  <si>
    <t>015-5</t>
  </si>
  <si>
    <t>015-20</t>
  </si>
  <si>
    <t>A330-200-22-4</t>
  </si>
  <si>
    <t>107-6</t>
  </si>
  <si>
    <t>015-21</t>
  </si>
  <si>
    <t>015-1</t>
  </si>
  <si>
    <t>015-16</t>
  </si>
  <si>
    <t>015-17</t>
  </si>
  <si>
    <t>A320-200-001</t>
  </si>
  <si>
    <t>015-2</t>
  </si>
  <si>
    <t>015-4</t>
  </si>
  <si>
    <t>107-3</t>
  </si>
  <si>
    <t>015-8</t>
  </si>
  <si>
    <t>015-9</t>
  </si>
  <si>
    <t>015-11</t>
  </si>
  <si>
    <t>015-13</t>
  </si>
  <si>
    <t>107-5</t>
  </si>
  <si>
    <t>A330-200-007</t>
  </si>
  <si>
    <t>015-7</t>
  </si>
  <si>
    <t>Ventes avions SFO</t>
  </si>
  <si>
    <t>A310-13</t>
  </si>
  <si>
    <t>A310-300-10</t>
  </si>
  <si>
    <t>A310-300-19</t>
  </si>
  <si>
    <t>A310-300-12</t>
  </si>
  <si>
    <t>A310-300-16</t>
  </si>
  <si>
    <t>A310-300-082-10</t>
  </si>
  <si>
    <t>b30d5</t>
  </si>
  <si>
    <t>A310-300-082-2</t>
  </si>
  <si>
    <t>A310-300-36</t>
  </si>
  <si>
    <t>A310-300-14</t>
  </si>
  <si>
    <t>A310-300-082-15</t>
  </si>
  <si>
    <t>A310-300-23</t>
  </si>
  <si>
    <t>A310-300-38</t>
  </si>
  <si>
    <t>A310-300-082-9</t>
  </si>
  <si>
    <t>A310-300-26</t>
  </si>
  <si>
    <t>A310-7</t>
  </si>
  <si>
    <t>A310-2</t>
  </si>
  <si>
    <t>a7388-1</t>
  </si>
  <si>
    <t>A310-300-082-4</t>
  </si>
  <si>
    <t>A310-300-082-7</t>
  </si>
  <si>
    <t>A310-300-096-1</t>
  </si>
  <si>
    <t>93cf2-6</t>
  </si>
  <si>
    <t>A310-15</t>
  </si>
  <si>
    <t>A310-300-25</t>
  </si>
  <si>
    <t>A310-300-082-13</t>
  </si>
  <si>
    <t>9f369-5</t>
  </si>
  <si>
    <t>A310-300-082-6</t>
  </si>
  <si>
    <t>A310-300-28</t>
  </si>
  <si>
    <t>925d9-3</t>
  </si>
  <si>
    <t>A310-300-39</t>
  </si>
  <si>
    <t>A310-10</t>
  </si>
  <si>
    <t>A310-8</t>
  </si>
  <si>
    <t>A310-3</t>
  </si>
  <si>
    <t>A310-300-30</t>
  </si>
  <si>
    <t>A310-300-32</t>
  </si>
  <si>
    <t>A310</t>
  </si>
  <si>
    <t>A310-12</t>
  </si>
  <si>
    <t>A310-300-082-8</t>
  </si>
  <si>
    <t>A310-300-35</t>
  </si>
  <si>
    <t>A310-14</t>
  </si>
  <si>
    <t>A310-9</t>
  </si>
  <si>
    <t>A310-300-082-3</t>
  </si>
  <si>
    <t>A310-300-17</t>
  </si>
  <si>
    <t>A310-300-20</t>
  </si>
  <si>
    <t>A310-300-082-12</t>
  </si>
  <si>
    <t>A310-300-096-2</t>
  </si>
  <si>
    <t>A310-300-082-1</t>
  </si>
  <si>
    <t>A310-300-082-11</t>
  </si>
  <si>
    <t>A310-300-082-14</t>
  </si>
  <si>
    <t>A310-300-082-5</t>
  </si>
  <si>
    <t>A310-300-22</t>
  </si>
  <si>
    <t>A310-300-24</t>
  </si>
  <si>
    <t>A310-300-27</t>
  </si>
  <si>
    <t>A310-300-31</t>
  </si>
  <si>
    <t>A310-300-37</t>
  </si>
  <si>
    <t>A310-300-33</t>
  </si>
  <si>
    <t>A310-300-40</t>
  </si>
  <si>
    <t>A310-300-34</t>
  </si>
  <si>
    <t>A310-6</t>
  </si>
  <si>
    <t>A310-1</t>
  </si>
  <si>
    <t>A310-5</t>
  </si>
  <si>
    <t>A310-300-9</t>
  </si>
  <si>
    <t>A310-300-11</t>
  </si>
  <si>
    <t>A310-300-13</t>
  </si>
  <si>
    <t>A310-300-15</t>
  </si>
  <si>
    <t>A310-300-18</t>
  </si>
  <si>
    <t>A310-300-21</t>
  </si>
  <si>
    <t>A310-4</t>
  </si>
  <si>
    <t>9ea7d-2</t>
  </si>
  <si>
    <t>A310-11</t>
  </si>
  <si>
    <t>A310-16</t>
  </si>
  <si>
    <t>A310-300-29</t>
  </si>
  <si>
    <t>e229d-4</t>
  </si>
  <si>
    <t>Prix semaine</t>
  </si>
  <si>
    <t>Caution</t>
  </si>
  <si>
    <t>Business</t>
  </si>
  <si>
    <t>First</t>
  </si>
  <si>
    <t>Billet Eco</t>
  </si>
  <si>
    <t>Billet Business</t>
  </si>
  <si>
    <t>Billet First</t>
  </si>
  <si>
    <t>CA Moyen A / R / 7J</t>
  </si>
  <si>
    <t>Bénéf brut</t>
  </si>
  <si>
    <t>Coût Perso</t>
  </si>
  <si>
    <t>Après Impôt</t>
  </si>
  <si>
    <t>ROI %</t>
  </si>
  <si>
    <t>ROI Jours</t>
  </si>
  <si>
    <t>TS hebdo</t>
  </si>
  <si>
    <t>Infra HUB</t>
  </si>
  <si>
    <t>Infra Lignes</t>
  </si>
  <si>
    <t>DLA</t>
  </si>
  <si>
    <t>SDD</t>
  </si>
  <si>
    <t>LAD</t>
  </si>
  <si>
    <t>NDJ</t>
  </si>
  <si>
    <t>NSI</t>
  </si>
  <si>
    <t>FNA</t>
  </si>
  <si>
    <t>WDH</t>
  </si>
  <si>
    <t>DKR</t>
  </si>
  <si>
    <t>DEL</t>
  </si>
  <si>
    <t>BOM</t>
  </si>
  <si>
    <t>BOM / DKR - in</t>
  </si>
  <si>
    <t>Airlines Manager Version 1.11 (FR)</t>
  </si>
  <si>
    <t>BOM/DKR</t>
  </si>
  <si>
    <t>Tarif à refaire (écart)</t>
  </si>
  <si>
    <t>Demande à revoir (écart)</t>
  </si>
  <si>
    <t>Demande à reprendre</t>
  </si>
  <si>
    <t>SOMME</t>
  </si>
  <si>
    <t>747-8l</t>
  </si>
  <si>
    <t>Avions / Ligne</t>
  </si>
  <si>
    <t>Demande totale</t>
  </si>
  <si>
    <t>Avions</t>
  </si>
  <si>
    <t>Config</t>
  </si>
  <si>
    <t>Prix Achat</t>
  </si>
  <si>
    <t>Bénéfice des vols</t>
  </si>
  <si>
    <t>Coût du perso</t>
  </si>
  <si>
    <t>Prix HUB</t>
  </si>
  <si>
    <t>Prix Ligne</t>
  </si>
  <si>
    <t>HUB Départ</t>
  </si>
  <si>
    <t>HUB Arrivée</t>
  </si>
  <si>
    <t>Total siège</t>
  </si>
  <si>
    <t>Demande</t>
  </si>
  <si>
    <t>Temps</t>
  </si>
  <si>
    <t>A380</t>
  </si>
  <si>
    <t>22h00</t>
  </si>
  <si>
    <t>21h15</t>
  </si>
  <si>
    <t>STN</t>
  </si>
  <si>
    <t>MAN</t>
  </si>
  <si>
    <t>20h45</t>
  </si>
  <si>
    <t>France</t>
  </si>
  <si>
    <t>UK</t>
  </si>
  <si>
    <t>FCO</t>
  </si>
  <si>
    <t>Italie</t>
  </si>
  <si>
    <t>24h30</t>
  </si>
  <si>
    <t>Total en ECO</t>
  </si>
  <si>
    <t>Répartition</t>
  </si>
  <si>
    <t>Espagne</t>
  </si>
  <si>
    <t>22h45</t>
  </si>
  <si>
    <t>BCN</t>
  </si>
  <si>
    <t>23h15</t>
  </si>
  <si>
    <t>FRA</t>
  </si>
  <si>
    <t>Allemagne</t>
  </si>
  <si>
    <t>22h30</t>
  </si>
  <si>
    <t>MUC</t>
  </si>
  <si>
    <t>23h30</t>
  </si>
  <si>
    <t>Pays-Bas</t>
  </si>
  <si>
    <t>17h15</t>
  </si>
  <si>
    <t>Belgique</t>
  </si>
  <si>
    <t>22h15</t>
  </si>
  <si>
    <t>LGG</t>
  </si>
  <si>
    <t>OST</t>
  </si>
  <si>
    <t>21h30</t>
  </si>
  <si>
    <t>21h45</t>
  </si>
  <si>
    <t>14h00</t>
  </si>
  <si>
    <t>13h30</t>
  </si>
  <si>
    <t>12h15</t>
  </si>
  <si>
    <t>14h15</t>
  </si>
  <si>
    <t>18h45</t>
  </si>
  <si>
    <t>16h15</t>
  </si>
  <si>
    <t>Loyer</t>
  </si>
  <si>
    <t>% Réduc</t>
  </si>
  <si>
    <t>Ecart Demande</t>
  </si>
  <si>
    <t>Prix billet</t>
  </si>
  <si>
    <t>Nombre Semaine</t>
  </si>
  <si>
    <t>A380-WDH-AMS-1</t>
  </si>
  <si>
    <t>Revenu Mensuel</t>
  </si>
  <si>
    <t>ROI en jour</t>
  </si>
  <si>
    <t>X Freq</t>
  </si>
  <si>
    <t>A380-SFO-A-CDG-1</t>
  </si>
  <si>
    <t>A380-SFO-A-CDG-2</t>
  </si>
  <si>
    <t>A380-SFO-A-CDG-3</t>
  </si>
  <si>
    <t>Sem / mois</t>
  </si>
  <si>
    <t>Liste des HUBS</t>
  </si>
  <si>
    <t>Hub départ</t>
  </si>
  <si>
    <t>Nbr lignes</t>
  </si>
  <si>
    <t>Nbr Avions</t>
  </si>
  <si>
    <t>Hub Arrivé</t>
  </si>
  <si>
    <t>TS Journa</t>
  </si>
  <si>
    <t>A380-NDJ-AMS-1</t>
  </si>
  <si>
    <t>A380-NDJ-AMS-2</t>
  </si>
  <si>
    <t>11h30</t>
  </si>
  <si>
    <t>A380-NDJ-FRA-1</t>
  </si>
  <si>
    <t>A380-NDJ-FRA-2</t>
  </si>
  <si>
    <t>A380-SFO-A-FRA-1</t>
  </si>
  <si>
    <t>A380-SFO-A-FRA-2</t>
  </si>
  <si>
    <t>A380-SFO-A-FRA-3</t>
  </si>
  <si>
    <t>A380-SFO-A-ORY-1</t>
  </si>
  <si>
    <t>A380-SFO-A-ORY-2</t>
  </si>
  <si>
    <t>A380-SFO-A-ORY-3</t>
  </si>
  <si>
    <t>DXB</t>
  </si>
  <si>
    <t>Emirates Arabes Unis</t>
  </si>
  <si>
    <t>6h30</t>
  </si>
  <si>
    <t>B788-BOM-A-AMS-1</t>
  </si>
  <si>
    <t>B788-BOM-A-AMS-2</t>
  </si>
  <si>
    <t>B788-BOM-A-AMS-3</t>
  </si>
  <si>
    <t>A380-A-SDD-AMS-1</t>
  </si>
  <si>
    <t>A380-A-SDD-AMS-2</t>
  </si>
  <si>
    <t>A380-L-SFO-LHR-2</t>
  </si>
  <si>
    <t>A380-L-SFO-LHR-3</t>
  </si>
  <si>
    <t>A380-A-DLA-AMS-1</t>
  </si>
  <si>
    <t>A380-A-DLA-AMS-2</t>
  </si>
  <si>
    <t>A333-A-DLA-AMS-3</t>
  </si>
  <si>
    <t>B789-NDJ-AMS-3</t>
  </si>
  <si>
    <t>B789-NDJ-FRA-3</t>
  </si>
  <si>
    <t>11 865 082 $</t>
  </si>
  <si>
    <t>6 219 282 $</t>
  </si>
  <si>
    <t>6 942 668 $</t>
  </si>
  <si>
    <t>3 836 836 $</t>
  </si>
  <si>
    <t>9 700 600 $</t>
  </si>
  <si>
    <t>12 455 997 $</t>
  </si>
  <si>
    <t>2 209 838 $</t>
  </si>
  <si>
    <t>7 349 723 $</t>
  </si>
  <si>
    <t>8 902 060 $</t>
  </si>
  <si>
    <t>7 534 360 $</t>
  </si>
  <si>
    <t>6 127 431 $</t>
  </si>
  <si>
    <t>A330</t>
  </si>
  <si>
    <t>787-9</t>
  </si>
  <si>
    <t>A380-A-SFO-LHR-1</t>
  </si>
  <si>
    <t>URC</t>
  </si>
  <si>
    <t>A333-A-DLA-URC-3</t>
  </si>
  <si>
    <t>A333-A-DLA-URC-1</t>
  </si>
  <si>
    <t>A333-A-DLA-URC-2</t>
  </si>
  <si>
    <t>A333-A-DLA-URC-4</t>
  </si>
  <si>
    <t>BUF</t>
  </si>
  <si>
    <t>A333-A-DLA-BUF-1</t>
  </si>
  <si>
    <t>A333-A-DLA-BUF-2</t>
  </si>
  <si>
    <t>A333-A-DLA-BUF-3</t>
  </si>
  <si>
    <t>HKT</t>
  </si>
  <si>
    <t>A380-A-DLA-HKT-1</t>
  </si>
  <si>
    <t>A380-A-DLA-HKT-2</t>
  </si>
  <si>
    <t>MES</t>
  </si>
  <si>
    <t>A380-A-DLA-MES-1</t>
  </si>
  <si>
    <t>A380-A-DLA-MES-2</t>
  </si>
  <si>
    <t>CNX</t>
  </si>
  <si>
    <t>B747-A-DLA-CNX-2</t>
  </si>
  <si>
    <t>B747-A-DLA-CNX-1</t>
  </si>
  <si>
    <t>B787-A-DLA-CNX-3</t>
  </si>
  <si>
    <t>B748-A-LAD-AMS-1</t>
  </si>
  <si>
    <t>B748-A-LAD-AMS-2</t>
  </si>
  <si>
    <t>B748-A-LAD-AMS-3</t>
  </si>
  <si>
    <t>B747-A-DLA-JFK-1</t>
  </si>
  <si>
    <t>B747-A-DLA-JFK-2</t>
  </si>
  <si>
    <t>B747-A-DLA-JFK-3</t>
  </si>
  <si>
    <t>A380-A-LOS-HND-1</t>
  </si>
  <si>
    <t>A380-A-LOS-HND-2</t>
  </si>
  <si>
    <t>CBR</t>
  </si>
  <si>
    <t>DRW</t>
  </si>
  <si>
    <t>LGB</t>
  </si>
  <si>
    <t>ADL</t>
  </si>
  <si>
    <t>B789-A-LOS-HND-3</t>
  </si>
  <si>
    <t>B789-A-LOS-CBR-3</t>
  </si>
  <si>
    <t>B789-A-LOS-DRW-3</t>
  </si>
  <si>
    <t>B789-A-LOS-LGB-3</t>
  </si>
  <si>
    <t>B789-A-LOS-ADL-3</t>
  </si>
  <si>
    <t>B789-A-LOS-HND-4</t>
  </si>
  <si>
    <t>B789-A-LOS-HND-5</t>
  </si>
  <si>
    <t>B789-A-LOS-HND-6</t>
  </si>
  <si>
    <t>B789-A-LOS-HND-7</t>
  </si>
  <si>
    <t>B789-A-LOS-HND-8</t>
  </si>
  <si>
    <t>B789-A-LOS-HND-9</t>
  </si>
  <si>
    <t>B789-A-LOS-CBR-1</t>
  </si>
  <si>
    <t>B789-A-LOS-DRW-1</t>
  </si>
  <si>
    <t>B789-A-LOS-LGB-1</t>
  </si>
  <si>
    <t>B789-A-LOS-ADL-1</t>
  </si>
  <si>
    <t>B789-A-LOS-CBR-2</t>
  </si>
  <si>
    <t>B789-A-LOS-DRW-2</t>
  </si>
  <si>
    <t>B789-A-LOS-LGB-2</t>
  </si>
  <si>
    <t>B789-A-LOS-ADL-2</t>
  </si>
  <si>
    <t>Bénef brut</t>
  </si>
  <si>
    <t>Somme de Bénef brut</t>
  </si>
  <si>
    <t>Ratio</t>
  </si>
  <si>
    <t>Réseau aérien</t>
  </si>
  <si>
    <t>filtres</t>
  </si>
  <si>
    <t>Mes Hubs Hubs de l'alliance Mes lignes Lignes de l'alliance</t>
  </si>
  <si>
    <t>Hub</t>
  </si>
  <si>
    <t>Afficher tous</t>
  </si>
  <si>
    <t>Classer les lignes par :</t>
  </si>
  <si>
    <t>Masquer les hubs</t>
  </si>
  <si>
    <t>IATA Pays CA + CA - Bénéfices + Bénéfices - Offres + Offres -</t>
  </si>
  <si>
    <t>Recherche :</t>
  </si>
  <si>
    <t>Mode simple</t>
  </si>
  <si>
    <t>Leadership</t>
  </si>
  <si>
    <t>Alliance leader</t>
  </si>
  <si>
    <t>Performance</t>
  </si>
  <si>
    <t>SDD / ao</t>
  </si>
  <si>
    <t>-</t>
  </si>
  <si>
    <t>DLA / cm</t>
  </si>
  <si>
    <t>DKR / sn</t>
  </si>
  <si>
    <t>WDH / na</t>
  </si>
  <si>
    <t>LOS / ng</t>
  </si>
  <si>
    <t>FNA / sl</t>
  </si>
  <si>
    <t>BOM / in</t>
  </si>
  <si>
    <t>NDJ / td</t>
  </si>
  <si>
    <t>NSI / cm</t>
  </si>
  <si>
    <t>SFO / us</t>
  </si>
  <si>
    <t>FIH / cd</t>
  </si>
  <si>
    <t>LAD / ao</t>
  </si>
  <si>
    <t>DEL / in</t>
  </si>
  <si>
    <t>Offre restante</t>
  </si>
  <si>
    <t>7 141 216 $</t>
  </si>
  <si>
    <t>7 595 926 $</t>
  </si>
  <si>
    <t>11 548 511 $</t>
  </si>
  <si>
    <t>Total général</t>
  </si>
  <si>
    <t>Libellé appareils</t>
  </si>
  <si>
    <t>Nombres</t>
  </si>
  <si>
    <t>A acheter</t>
  </si>
  <si>
    <t>KBV</t>
  </si>
  <si>
    <t>URT</t>
  </si>
  <si>
    <t>CEI</t>
  </si>
  <si>
    <t>A380-A-DLA-KBV-1</t>
  </si>
  <si>
    <t>A380-A-DLA-URT-1</t>
  </si>
  <si>
    <t>A380-A-DLA-CEI-1</t>
  </si>
  <si>
    <t>B789-A-DLA-CEI-2</t>
  </si>
  <si>
    <t>B789-A-DLA-URT-2</t>
  </si>
  <si>
    <t>B789-A-DLA-KBV-2</t>
  </si>
  <si>
    <t>PTY</t>
  </si>
  <si>
    <t>A380-A-DLA-PTY-1</t>
  </si>
  <si>
    <t>A380-A-DLA-PTY-2</t>
  </si>
  <si>
    <t>En commande</t>
  </si>
  <si>
    <t>MCO</t>
  </si>
  <si>
    <t>A380-A-DLA-MCO-1</t>
  </si>
  <si>
    <t>A380-A-DLA-MCO-2</t>
  </si>
  <si>
    <t>A380-A-DLA-MIA-1</t>
  </si>
  <si>
    <t>A380-A-DLA-MIA-2</t>
  </si>
  <si>
    <t>CLT</t>
  </si>
  <si>
    <t>IAD</t>
  </si>
  <si>
    <t>A380-A-DLA-CLT-1</t>
  </si>
  <si>
    <t>A380-A-DLA-IAD-1</t>
  </si>
  <si>
    <t>A380-A-DLA-CLT-2</t>
  </si>
  <si>
    <t>A380-A-DLA-IAD-2</t>
  </si>
  <si>
    <t>PHL</t>
  </si>
  <si>
    <t>EWR</t>
  </si>
  <si>
    <t>BOS</t>
  </si>
  <si>
    <t>A380-A-DLA-PHL-1</t>
  </si>
  <si>
    <t>A380-A-DLA-EWR-1</t>
  </si>
  <si>
    <t>A380-A-DLA-BOS-1</t>
  </si>
  <si>
    <t>A380-A-DLA-PHL-2</t>
  </si>
  <si>
    <t>A380-A-DLA-EWR-2</t>
  </si>
  <si>
    <t>A380-A-DLA-BOS-2</t>
  </si>
  <si>
    <t>9 029 260 $</t>
  </si>
  <si>
    <t>2 590 157 $</t>
  </si>
  <si>
    <t>7 388 635 $</t>
  </si>
  <si>
    <t>13 409 318 $</t>
  </si>
  <si>
    <t>13 404 341 $</t>
  </si>
  <si>
    <t>10 252 514 $</t>
  </si>
  <si>
    <t>10 859 167 $</t>
  </si>
  <si>
    <t>11 097 751 $</t>
  </si>
  <si>
    <t>BSB</t>
  </si>
  <si>
    <t>A380-L-SFO-BSB-1</t>
  </si>
  <si>
    <t>A380-A-SFO-BSB-2</t>
  </si>
  <si>
    <t>A380-A-SFO-BSB-3</t>
  </si>
  <si>
    <t>SHA</t>
  </si>
  <si>
    <t>A380-L-SFO-SHA-1</t>
  </si>
  <si>
    <t>A380-A-SFO-SHA-2</t>
  </si>
  <si>
    <t>A380-A-SFO-SHA-3</t>
  </si>
  <si>
    <t>PVG</t>
  </si>
  <si>
    <t>A380-L-SFO-PVG-1</t>
  </si>
  <si>
    <t>A380-A-SFO-PVG-2</t>
  </si>
  <si>
    <t>A380-A-SFO-PVG-3</t>
  </si>
  <si>
    <t>A380-L-SFO-PEK-1</t>
  </si>
  <si>
    <t>A380-A-SFO-PEK-2</t>
  </si>
  <si>
    <t>A380-A-SFO-PEK-3</t>
  </si>
  <si>
    <t>PEK</t>
  </si>
  <si>
    <t>TAO</t>
  </si>
  <si>
    <t>B748-L-SFO-TAO-1</t>
  </si>
  <si>
    <t>B748-L-SFO-DLC-1</t>
  </si>
  <si>
    <t>DLC</t>
  </si>
  <si>
    <t>B748-A-SFO-TAO-2</t>
  </si>
  <si>
    <t>B748-A-SFO-TAO-3</t>
  </si>
  <si>
    <t>B748-A-SFO-DLC-2</t>
  </si>
  <si>
    <t>B748-A-SFO-DLC-3</t>
  </si>
  <si>
    <t>En attente</t>
  </si>
  <si>
    <t>HKG</t>
  </si>
  <si>
    <t>CAN</t>
  </si>
  <si>
    <t>CGK</t>
  </si>
  <si>
    <t>SZX</t>
  </si>
  <si>
    <t>CTU</t>
  </si>
  <si>
    <t>KMG</t>
  </si>
  <si>
    <t>XIY</t>
  </si>
  <si>
    <t>Colonne1</t>
  </si>
  <si>
    <t>IXZ</t>
  </si>
  <si>
    <t>DAC</t>
  </si>
  <si>
    <t>SDQ</t>
  </si>
  <si>
    <t>PDG</t>
  </si>
  <si>
    <t>PUJ</t>
  </si>
  <si>
    <t>Demande de dispo</t>
  </si>
  <si>
    <t>LOC A placer</t>
  </si>
  <si>
    <t>A333</t>
  </si>
  <si>
    <t>B788</t>
  </si>
  <si>
    <t>Type d'avions</t>
  </si>
  <si>
    <t>B747</t>
  </si>
  <si>
    <t>B748</t>
  </si>
  <si>
    <t>Nombre</t>
  </si>
  <si>
    <t>Coût semaine</t>
  </si>
  <si>
    <t>% Remise</t>
  </si>
  <si>
    <t>Remise caution</t>
  </si>
  <si>
    <t>Remise loyer</t>
  </si>
  <si>
    <t>Récup fin contrat</t>
  </si>
  <si>
    <t>(Tous)</t>
  </si>
  <si>
    <t>0 Pax / 0 T</t>
  </si>
  <si>
    <t>TS A380</t>
  </si>
  <si>
    <t xml:space="preserve">Diff </t>
  </si>
  <si>
    <t>Après remboursement</t>
  </si>
  <si>
    <t>TS futurs hors investissement actuelle</t>
  </si>
  <si>
    <t>OMS</t>
  </si>
  <si>
    <t>PUS</t>
  </si>
  <si>
    <t>DVO</t>
  </si>
  <si>
    <t>MEL</t>
  </si>
  <si>
    <t>SYD</t>
  </si>
  <si>
    <t>Total Moyenne</t>
  </si>
  <si>
    <t>Total Somme</t>
  </si>
  <si>
    <t>Evaluation de la TS à 1 mois</t>
  </si>
  <si>
    <t>Solde avec TS linéaire</t>
  </si>
  <si>
    <t>TS Investissement</t>
  </si>
  <si>
    <t>à J +</t>
  </si>
  <si>
    <t>Hub Départ</t>
  </si>
  <si>
    <t>Prix hub</t>
  </si>
  <si>
    <t>Type d'avion</t>
  </si>
  <si>
    <t>Prix Avion</t>
  </si>
  <si>
    <t>Immat</t>
  </si>
  <si>
    <t>Nombre semaine</t>
  </si>
  <si>
    <t>Date J1</t>
  </si>
  <si>
    <t>% Freq</t>
  </si>
  <si>
    <t>Billet Cargo</t>
  </si>
  <si>
    <t>Demande Business</t>
  </si>
  <si>
    <t>Demande First</t>
  </si>
  <si>
    <t>Place Eco</t>
  </si>
  <si>
    <t>Place Business</t>
  </si>
  <si>
    <t>Place First</t>
  </si>
  <si>
    <t>Place Cargo</t>
  </si>
  <si>
    <t>Ecart Eco</t>
  </si>
  <si>
    <t>Ecart Business</t>
  </si>
  <si>
    <t>Ecart First</t>
  </si>
  <si>
    <t>Ecart Cargo</t>
  </si>
  <si>
    <t>Prix final</t>
  </si>
  <si>
    <t>Carac maxi 20</t>
  </si>
  <si>
    <t>Circuit</t>
  </si>
  <si>
    <t>A3808-L</t>
  </si>
  <si>
    <t>B7474-L</t>
  </si>
  <si>
    <t>B7878-L</t>
  </si>
  <si>
    <t>A3303-L</t>
  </si>
  <si>
    <t>B748I-L</t>
  </si>
  <si>
    <t>B7377-A</t>
  </si>
  <si>
    <t>B7878-A</t>
  </si>
  <si>
    <t>A3302-A</t>
  </si>
  <si>
    <t>BMD11-A</t>
  </si>
  <si>
    <t>A3303-A</t>
  </si>
  <si>
    <t>A3509-A</t>
  </si>
  <si>
    <t>B7474-A</t>
  </si>
  <si>
    <t>B748I-A</t>
  </si>
  <si>
    <t>Achat</t>
  </si>
  <si>
    <t>A3808-A</t>
  </si>
  <si>
    <t>Pts Remise Alliance</t>
  </si>
  <si>
    <t>Pts Remise Gazette</t>
  </si>
  <si>
    <t>Md-11</t>
  </si>
  <si>
    <t>Charges journalières</t>
  </si>
  <si>
    <t>Recettes journalières</t>
  </si>
  <si>
    <t>Salaires</t>
  </si>
  <si>
    <t>Objectif</t>
  </si>
  <si>
    <t>Solde Mensuel investissable</t>
  </si>
  <si>
    <t>% ROI moyenne</t>
  </si>
  <si>
    <t>Evolution TS après impôts</t>
  </si>
  <si>
    <t>% Objectif</t>
  </si>
  <si>
    <t>Semaine 2</t>
  </si>
  <si>
    <t>Semaine 3</t>
  </si>
  <si>
    <t>Semaine 4</t>
  </si>
  <si>
    <t>Personnalisation Profil Classement général Cockpit à sous Compagnie</t>
  </si>
  <si>
    <t>CCU</t>
  </si>
  <si>
    <t>BLR</t>
  </si>
  <si>
    <t>AMD</t>
  </si>
  <si>
    <t>HYD</t>
  </si>
  <si>
    <t>MAA</t>
  </si>
  <si>
    <t>ATQ</t>
  </si>
  <si>
    <t>GAU</t>
  </si>
  <si>
    <t>SXR</t>
  </si>
  <si>
    <t>HAN</t>
  </si>
  <si>
    <t>CGO</t>
  </si>
  <si>
    <t>HGH</t>
  </si>
  <si>
    <t>DME / ru</t>
  </si>
  <si>
    <t>IGR</t>
  </si>
  <si>
    <t>SLA</t>
  </si>
  <si>
    <t>TUC</t>
  </si>
  <si>
    <t>COR</t>
  </si>
  <si>
    <t>MDZ</t>
  </si>
  <si>
    <t>LUQ</t>
  </si>
  <si>
    <t>IRJ</t>
  </si>
  <si>
    <t>ROS</t>
  </si>
  <si>
    <t>CTC</t>
  </si>
  <si>
    <t>JUJ</t>
  </si>
  <si>
    <t>NAN</t>
  </si>
  <si>
    <t>NOU</t>
  </si>
  <si>
    <t>APW</t>
  </si>
  <si>
    <t>PPG</t>
  </si>
  <si>
    <t>ATL</t>
  </si>
  <si>
    <t>ORD</t>
  </si>
  <si>
    <t>DFW</t>
  </si>
  <si>
    <t>DEN</t>
  </si>
  <si>
    <t>CEK</t>
  </si>
  <si>
    <t>same</t>
  </si>
  <si>
    <t>Nombre de Lignes</t>
  </si>
  <si>
    <t>Add</t>
  </si>
  <si>
    <t>Coût Lignes</t>
  </si>
  <si>
    <t>Heure</t>
  </si>
  <si>
    <t>MEX</t>
  </si>
  <si>
    <t>CUN</t>
  </si>
  <si>
    <t>BOG</t>
  </si>
  <si>
    <t>BOG / co</t>
  </si>
  <si>
    <t>MEX / mx</t>
  </si>
  <si>
    <t>CUN / mx</t>
  </si>
  <si>
    <t>{"1":{"id":1,"playerId":7,"nom":"pack_starter","url":"http:\/\/pc.airlines-manager.com\/images\/specialOffers\/7.png","openMode":true,"importance":10,"redirectUrl":"http:\/\/cockpit.airlines-manager.com\/shop?origin=pub_starter","startDate":1366581600,"endDate":1366927200},"2":{"id":2,"playerId":11,"nom":"AM+ Vacances","url":"http:\/\/pc.airlines-manager.com\/images\/specialOffers\/11.png","openMode":false,"importance":10,"redirectUrl":"http:\/\/www.airlines-manager.com\/amplus\/?origin=pub_vacances","startDate":1375308000,"endDate":1375567200},"3":{"id":3,"playerId":12,"nom":"Nouvelles Livr\u00e9es 2","url":"http:\/\/pc.airlines-manager.com\/","openMode":false,"importance":10,"redirectUrl":"http:\/\/bit.ly\/187ZFSR","startDate":1381701600,"endDate":1381960800},"4":{"id":4,"playerId":13,"nom":"Nouvelles Livr\u00e9es 2","url":"http:\/\/pc.airlines-manager.com\/","openMode":false,"importance":10,"redirectUrl":"http:\/\/bit.ly\/187ZFSR","startDate":1381701600,"endDate":1381874400},"5":{"id":5,"playerId":14,"nom":"Nouvelles Livr\u00e9es 2","url":"http:\/\/pc.airlines-manager.com\/","openMode":false,"importance":10,"redirectUrl":"http:\/\/bit.ly\/187ZFSR","startDate":1381701600,"endDate":1381874400},"6":{"id":6,"playerId":15,"nom":"Nouvelles Livr\u00e9es 3","url":"http:\/\/pc.airlines-manager.com\/","openMode":false,"importance":10,"redirectUrl":"http:\/\/bit.ly\/187ZFSR","startDate":1381701600,"endDate":1381874400},"7":{"id":7,"playerId":10,"nom":"Nouveaux classics","url":"http:\/\/pc.airlines-manager.com\/images\/specialOffers\/10.png","openMode":false,"importance":10,"redirectUrl":"http:\/\/bit.ly\/10QBl2h","startDate":1384210800,"endDate":1384470000},"8":{"id":8,"playerId":16,"nom":"AM+ Carte des vols","url":"http:\/\/pc.airlines-manager.com\/images\/specialOffers\/16.png","openMode":false,"importance":1,"redirectUrl":"http:\/\/bit.ly\/presentation_AMPlus","startDate":1389826800,"endDate":1389999600},"9":{"id":9,"playerId":9,"nom":"Nouvelles Livr\u00e9es","url":"http:\/\/blog2.airlines-manager.com\/wp-content\/uploads\/2014\/06\/new-paints.png","openMode":false,"importance":10,"redirectUrl":"http:\/\/bit.ly\/187ZFSR","startDate":1405961880,"endDate":1406239140},"10":{"id":10,"playerId":9,"nom":"AM2 Mobile 1.2","url":"http:\/\/central.airlines-manager.com\/images\/pub_v12mobile.png","openMode":true,"importance":10,"redirectUrl":"http:\/\/smarturl.it\/AM2Mobile","startDate":1430323200,"endDate":1430604000},"11":{"id":11,"playerId":9,"nom":"AM2 Mobile 1.4","url":"http:\/\/central.airlines-manager.com\/images\/pub_v12mobile.png","openMode":true,"importance":10,"redirectUrl":"http:\/\/smarturl.it\/AM2Mobile","startDate":1437674400,"endDate":1437947940},"13":{"id":13,"playerId":9,"nom":"Black Friday","url":"http:\/\/central.airlines-manager.com\/images\/pub_blackfriday2.png","openMode":true,"importance":10,"redirectUrl":"http:\/\/bit.ly\/1YxJnJd","startDate":1448578800,"endDate":1448665200},"14":{"id":14,"playerId":9,"nom":"Black Friday","url":"http:\/\/central.airlines-manager.com\/images\/BLACK_FRIDAY_prolonge.png","openMode":true,"importance":10,"redirectUrl":"http:\/\/bit.ly\/1YxJnJd","startDate":1448665200,"endDate":1448838000},"12":{"id":12,"playerId":9,"nom":"AM2 Mobile 1.8","url":"http:\/\/central.airlines-manager.com\/images\/pub_v12mobile.png","openMode":true,"importance":10,"redirectUrl":"http:\/\/smarturl.it\/AM2Mobile","startDate":1449702000,"endDate":1442091540},"15":{"id":15,"playerId":9,"nom":"AM2 Mobile 1.9","url":"http:\/\/central.airlines-manager.com\/images\/pub_v12mobile.png","openMode":true,"importance":10,"redirectUrl":"http:\/\/smarturl.it\/AM2Mobile","startDate":1453933800,"endDate":1454281199},"16":{"id":16,"playerId":9,"nom":"AM2 Mobile 1.11","url":"http:\/\/central.airlines-manager.com\/images\/pub_droite_v11_mobile.png","openMode":true,"importance":10,"redirectUrl":"http:\/\/smarturl.it\/AM2Mobile","startDate":1459510200,"endDate":1459769400}}</t>
  </si>
  <si>
    <t>Résultats</t>
  </si>
  <si>
    <t>Hubs</t>
  </si>
  <si>
    <t>Ratios</t>
  </si>
  <si>
    <t>Moyenne de Ratios</t>
  </si>
  <si>
    <t>Valorisation</t>
  </si>
  <si>
    <t>Solde</t>
  </si>
  <si>
    <t>Classer par :</t>
  </si>
  <si>
    <t>CKG</t>
  </si>
  <si>
    <t xml:space="preserve">Heure </t>
  </si>
  <si>
    <t>Valeur</t>
  </si>
  <si>
    <t>Calcul</t>
  </si>
  <si>
    <t>CHC</t>
  </si>
  <si>
    <t>Tarif audit</t>
  </si>
  <si>
    <t>Potentiel</t>
  </si>
  <si>
    <t>HUB D</t>
  </si>
  <si>
    <t>LINES</t>
  </si>
  <si>
    <t>AIRPLANE</t>
  </si>
  <si>
    <t>Planifier les vols Planning général Acheter un hub Ouvrir une ligne Réseau</t>
  </si>
  <si>
    <t>Audit interne Gestion des tarifs Marketing</t>
  </si>
  <si>
    <t>Serveur : vp7-1</t>
  </si>
  <si>
    <t>46 489 434 061 $ 27</t>
  </si>
  <si>
    <t>{"airports":[{"name":"L\u00e9opold S\u00e9dar Senghor A\u00e9roport International","iata":"DKR","longitude":-17.49,"latitude":14.739444},{"name":"Chhatrapati Shivaji International Airport","iata":"BOM","longitude":72.868056,"latitude":19.088611}],"lines":[{"id":956030,"airportStartLng":72.868056,"airportStartLat":19.088611,"airportEndLng":-17.49,"airportEndLat":14.739444}],"aircrafts":[]}</t>
  </si>
  <si>
    <t>BOM / DKR sn</t>
  </si>
  <si>
    <t>Total BOM</t>
  </si>
  <si>
    <t xml:space="preserve">  AIRPLANE PRICE</t>
  </si>
  <si>
    <t xml:space="preserve"> ECO4</t>
  </si>
  <si>
    <t xml:space="preserve"> BUSINESS4</t>
  </si>
  <si>
    <t xml:space="preserve"> FIRST4</t>
  </si>
  <si>
    <t xml:space="preserve"> FREIGHT4</t>
  </si>
  <si>
    <t>Account management</t>
  </si>
  <si>
    <t xml:space="preserve">Forum Sponsorship x logout </t>
  </si>
  <si>
    <t>Flight planing General planning Buy a hub Open a new line Network</t>
  </si>
  <si>
    <t>Buy an aircraft Aircraft</t>
  </si>
  <si>
    <t>Personalization Profile General ranking Cockpit à sous Company</t>
  </si>
  <si>
    <t>World job market Application Staff</t>
  </si>
  <si>
    <t>Partners Internal organization Facilities Commercial support On Board catering Airport Services</t>
  </si>
  <si>
    <t>Bank General accounting Cash flow</t>
  </si>
  <si>
    <t>Internal audit Managing the price Marketing</t>
  </si>
  <si>
    <t>48,765,000 $ 201,350</t>
  </si>
  <si>
    <t>Air network</t>
  </si>
  <si>
    <t>My Hubs Alliance hubs My lines Alliance lines</t>
  </si>
  <si>
    <t>Show all</t>
  </si>
  <si>
    <t>Order line by :</t>
  </si>
  <si>
    <t>Hide hubs</t>
  </si>
  <si>
    <t>IATA Country Turnover + Turnover - Benefits + Benefits - Offer + Offer -</t>
  </si>
  <si>
    <t>Research :</t>
  </si>
  <si>
    <t>Line selection</t>
  </si>
  <si>
    <t>Simple Mod</t>
  </si>
  <si>
    <t>Turnover</t>
  </si>
  <si>
    <t>Result</t>
  </si>
  <si>
    <t>line</t>
  </si>
  <si>
    <t>Remaining offers</t>
  </si>
  <si>
    <t>Airlines Manager Version 1.11 (EN)</t>
  </si>
  <si>
    <t>Server : vp8-1</t>
  </si>
  <si>
    <t>LINKS</t>
  </si>
  <si>
    <t>News</t>
  </si>
  <si>
    <t>Shop</t>
  </si>
  <si>
    <t>Contact</t>
  </si>
  <si>
    <t>Financial forecast</t>
  </si>
  <si>
    <t>Flight cost</t>
  </si>
  <si>
    <t>Loan</t>
  </si>
  <si>
    <t>Purchase / Sell</t>
  </si>
  <si>
    <t>Other</t>
  </si>
  <si>
    <t>Yesterday</t>
  </si>
  <si>
    <t>Today</t>
  </si>
  <si>
    <t>Tomorrow</t>
  </si>
  <si>
    <t>The selected period is out of bound</t>
  </si>
  <si>
    <t>Server hour : 08/17/2016 15:58:41</t>
  </si>
  <si>
    <t>B747-400</t>
  </si>
  <si>
    <t>6 Pax</t>
  </si>
  <si>
    <t>62 Tonnes</t>
  </si>
  <si>
    <t>0 Pax</t>
  </si>
  <si>
    <t>0 Tonne</t>
  </si>
  <si>
    <t xml:space="preserve">BOM / DKR (4 Liste des vols) </t>
  </si>
  <si>
    <t>16 524 660 $</t>
  </si>
  <si>
    <t>47 808 $</t>
  </si>
  <si>
    <t>401 140 $</t>
  </si>
  <si>
    <t>15 939 841 $</t>
  </si>
  <si>
    <t>19 244 017 $</t>
  </si>
  <si>
    <t>good</t>
  </si>
  <si>
    <t>BOM / OXB gw</t>
  </si>
  <si>
    <t>9 427 Km</t>
  </si>
  <si>
    <t>BOM / OXB - in</t>
  </si>
  <si>
    <t>102 Pax</t>
  </si>
  <si>
    <t>44 Tonnes</t>
  </si>
  <si>
    <t xml:space="preserve">BOM / OXB (3 Liste des vols) </t>
  </si>
  <si>
    <t>14 531 088 $</t>
  </si>
  <si>
    <t>356 286 $</t>
  </si>
  <si>
    <t>24 732 $</t>
  </si>
  <si>
    <t>291 588 $</t>
  </si>
  <si>
    <t>1 249 758 $</t>
  </si>
  <si>
    <t>13 938 289 $</t>
  </si>
  <si>
    <t>16 453 452 $</t>
  </si>
  <si>
    <t>BOM / BJL - in</t>
  </si>
  <si>
    <t>9 479 Km</t>
  </si>
  <si>
    <t>7 Pax</t>
  </si>
  <si>
    <t>115 Pax</t>
  </si>
  <si>
    <t>17 Tonnes</t>
  </si>
  <si>
    <t>-1 Tonnes</t>
  </si>
  <si>
    <t>BOM / FNA - in</t>
  </si>
  <si>
    <t>9 287 Km</t>
  </si>
  <si>
    <t>3 Pax</t>
  </si>
  <si>
    <t>90 Pax</t>
  </si>
  <si>
    <t>18 Tonnes</t>
  </si>
  <si>
    <t>BOM/OXB</t>
  </si>
  <si>
    <t>BOM/BJL</t>
  </si>
  <si>
    <t>BOM/FNA</t>
  </si>
  <si>
    <t>BOM / CKY - in</t>
  </si>
  <si>
    <t>9 297 Km</t>
  </si>
  <si>
    <t>5 117 Pax</t>
  </si>
  <si>
    <t>113 Pax</t>
  </si>
  <si>
    <t>-1 Pax</t>
  </si>
  <si>
    <t>BOM/CKY</t>
  </si>
  <si>
    <t xml:space="preserve"> TOTAL TO</t>
  </si>
  <si>
    <t xml:space="preserve"> % ADD INCOME / TOTAL TO</t>
  </si>
  <si>
    <t>BOM / NKC - in</t>
  </si>
  <si>
    <t>9 242 Km</t>
  </si>
  <si>
    <t>12 Pax</t>
  </si>
  <si>
    <t>162 Pax</t>
  </si>
  <si>
    <t>11 Tonnes</t>
  </si>
  <si>
    <t>-7 Tonnes</t>
  </si>
  <si>
    <t>BOM / ROB - in</t>
  </si>
  <si>
    <t>9 075 Km</t>
  </si>
  <si>
    <t>117 Pax</t>
  </si>
  <si>
    <t>16 Tonnes</t>
  </si>
  <si>
    <t>-2 Tonnes</t>
  </si>
  <si>
    <t>BOM/NKC</t>
  </si>
  <si>
    <t>BOM/ROB</t>
  </si>
  <si>
    <t>DEL / OXB - in</t>
  </si>
  <si>
    <t>9 645 Km</t>
  </si>
  <si>
    <t>97 Pax</t>
  </si>
  <si>
    <t>5 Pax</t>
  </si>
  <si>
    <t>DEL / BJL - in</t>
  </si>
  <si>
    <t>9 663 Km</t>
  </si>
  <si>
    <t>116 Pax</t>
  </si>
  <si>
    <t>32 Tonnes</t>
  </si>
  <si>
    <t>14 Tonnes</t>
  </si>
  <si>
    <t>DEL/OXB</t>
  </si>
  <si>
    <t>DEL/BJL</t>
  </si>
  <si>
    <t>Total DEL</t>
  </si>
  <si>
    <t>DEL / DKR - in</t>
  </si>
  <si>
    <t>9 668 Km</t>
  </si>
  <si>
    <t>143 Pax</t>
  </si>
  <si>
    <t>9 Pax</t>
  </si>
  <si>
    <t>DEL / CKY - in</t>
  </si>
  <si>
    <t>9 571 Km</t>
  </si>
  <si>
    <t>5 118 Pax</t>
  </si>
  <si>
    <t>114 Pax</t>
  </si>
  <si>
    <t>5 Tonnes</t>
  </si>
  <si>
    <t>DEL/DKR</t>
  </si>
  <si>
    <t>DEL/CKY</t>
  </si>
  <si>
    <t xml:space="preserve"> ADDITIONAL INCOME</t>
  </si>
  <si>
    <t xml:space="preserve">BOM / ROB (3 Liste des vols) </t>
  </si>
  <si>
    <t>121 600 $</t>
  </si>
  <si>
    <t>13 978 468 $</t>
  </si>
  <si>
    <t xml:space="preserve">DEL / CKY (3 Liste des vols) </t>
  </si>
  <si>
    <t>16 362 246 $</t>
  </si>
  <si>
    <t>96 000 $</t>
  </si>
  <si>
    <t>1 317 408 $</t>
  </si>
  <si>
    <t>15 054 771 $</t>
  </si>
  <si>
    <t xml:space="preserve">DEL / OXB (3 Liste des vols) </t>
  </si>
  <si>
    <t>136 000 $</t>
  </si>
  <si>
    <t>14 613 130 $</t>
  </si>
  <si>
    <t xml:space="preserve">DEL / DKR (3 Liste des vols) </t>
  </si>
  <si>
    <t>145 800 $</t>
  </si>
  <si>
    <t>15 759 619 $</t>
  </si>
  <si>
    <t xml:space="preserve">DEL / BJL (3 Liste des vols) </t>
  </si>
  <si>
    <t>135 000 $</t>
  </si>
  <si>
    <t>15 305 606 $</t>
  </si>
  <si>
    <t xml:space="preserve">BOM / FNA (3 Liste des vols) </t>
  </si>
  <si>
    <t>16 039 812 $</t>
  </si>
  <si>
    <t>138 600 $</t>
  </si>
  <si>
    <t>1 403 121 $</t>
  </si>
  <si>
    <t>14 954 448 $</t>
  </si>
  <si>
    <t xml:space="preserve">BOM / NKC (3 Liste des vols) </t>
  </si>
  <si>
    <t>88 000 $</t>
  </si>
  <si>
    <t>15 021 760 $</t>
  </si>
  <si>
    <t xml:space="preserve">BOM / BJL (3 Liste des vols) </t>
  </si>
  <si>
    <t>134 300 $</t>
  </si>
  <si>
    <t>15 038 186 $</t>
  </si>
  <si>
    <t xml:space="preserve">BOM / CKY (3 Liste des vols) </t>
  </si>
  <si>
    <t>14 779 953 $</t>
  </si>
  <si>
    <t>DEL / FNA - in</t>
  </si>
  <si>
    <t>9 582 Km</t>
  </si>
  <si>
    <t>91 Pax</t>
  </si>
  <si>
    <t>% ADD INCOME</t>
  </si>
  <si>
    <t>DEL / ROB - in</t>
  </si>
  <si>
    <t>9 432 Km</t>
  </si>
  <si>
    <t>118 Pax</t>
  </si>
  <si>
    <t>13 Tonnes</t>
  </si>
  <si>
    <t>-5 Tonnes</t>
  </si>
  <si>
    <t xml:space="preserve">DEL / ROB (3 Liste des vols) </t>
  </si>
  <si>
    <t>104 000 $</t>
  </si>
  <si>
    <t>14 442 647 $</t>
  </si>
  <si>
    <t xml:space="preserve">DEL / FNA (3 Liste des vols) </t>
  </si>
  <si>
    <t>128 000 $</t>
  </si>
  <si>
    <t>15 379 586 $</t>
  </si>
  <si>
    <t>122 480 327 $</t>
  </si>
  <si>
    <t>103 650 945 $</t>
  </si>
  <si>
    <t>BOM / FNA sl</t>
  </si>
  <si>
    <t>94 Pax / 0 T</t>
  </si>
  <si>
    <t>17 581 533 $</t>
  </si>
  <si>
    <t>BOM / BJL gm</t>
  </si>
  <si>
    <t>122 Pax / 0 T</t>
  </si>
  <si>
    <t>17 709 874 $</t>
  </si>
  <si>
    <t>DEL / OXB gw</t>
  </si>
  <si>
    <t>102 Pax / 0 T</t>
  </si>
  <si>
    <t>17 244 779 $</t>
  </si>
  <si>
    <t>BOM / ROB lr</t>
  </si>
  <si>
    <t>124 Pax / 0 T</t>
  </si>
  <si>
    <t>16 461 185 $</t>
  </si>
  <si>
    <t>BOM / NKC mr</t>
  </si>
  <si>
    <t>174 Pax / 0 T</t>
  </si>
  <si>
    <t>17 610 262 $</t>
  </si>
  <si>
    <t>DEL / BJL gm</t>
  </si>
  <si>
    <t>123 Pax / 14 T</t>
  </si>
  <si>
    <t>18 054 203 $</t>
  </si>
  <si>
    <t>DEL / NKC mr</t>
  </si>
  <si>
    <t>9 345 Km</t>
  </si>
  <si>
    <t>DEL / FNA sl</t>
  </si>
  <si>
    <t>18 103 219 $</t>
  </si>
  <si>
    <t>DEL / CKY gn</t>
  </si>
  <si>
    <t>120 Pax / 5 T</t>
  </si>
  <si>
    <t>17 775 654 $</t>
  </si>
  <si>
    <t>BOM / CKY gn</t>
  </si>
  <si>
    <t>119 Pax / 0 T</t>
  </si>
  <si>
    <t>17 420 004 $</t>
  </si>
  <si>
    <t>DEL / DKR sn</t>
  </si>
  <si>
    <t>152 Pax / 0 T</t>
  </si>
  <si>
    <t>18 511 832 $</t>
  </si>
  <si>
    <t>DEL / ROB lr</t>
  </si>
  <si>
    <t>125 Pax / 0 T</t>
  </si>
  <si>
    <t>17 047 397 $</t>
  </si>
  <si>
    <t>DEL / CPT za</t>
  </si>
  <si>
    <t>9 286 Km</t>
  </si>
  <si>
    <t>DEL / CPT - in</t>
  </si>
  <si>
    <t>247 Pax</t>
  </si>
  <si>
    <t>36 Pax</t>
  </si>
  <si>
    <t>-4 Tonnes</t>
  </si>
  <si>
    <t>DEL / NKC - in</t>
  </si>
  <si>
    <t>WDH / BKK - na</t>
  </si>
  <si>
    <t>9 917 Km</t>
  </si>
  <si>
    <t>WDH / DMK - na</t>
  </si>
  <si>
    <t>9 914 Km</t>
  </si>
  <si>
    <t>49 365 000 $ 229 850</t>
  </si>
  <si>
    <t>46 910 945 504 $ 12</t>
  </si>
  <si>
    <t xml:space="preserve">DEL / CPT (3 Liste des vols) </t>
  </si>
  <si>
    <t>112 000 $</t>
  </si>
  <si>
    <t>14 871 969 $</t>
  </si>
  <si>
    <t xml:space="preserve">DEL / NKC (3 Liste des vols) </t>
  </si>
  <si>
    <t>15 264 529 $</t>
  </si>
  <si>
    <t>{"airports":[{"name":"Conakry Gbessia a\u00e9roport International","iata":"CKY","longitude":-13.611961,"latitude":9.576889},{"name":"Roberts International Airport","iata":"ROB","longitude":-10.362311,"latitude":6.233789},{"name":"Nouakchott International Airport ","iata":"NKC","longitude":-15.947956,"latitude":18.097856},{"name":"Chhatrapati Shivaji International Airport","iata":"BOM","longitude":72.868056,"latitude":19.088611},{"name":"Banjul International Airport","iata":"BJL","longitude":-16.652206,"latitude":13.337961},{"name":"Don Mueang International Airport","iata":"DMK","longitude":100.606667,"latitude":13.9125},{"name":"Cape Town International Airport","iata":"CPT","longitude":18.597222,"latitude":-33.969444},{"name":"Freetown Lungi International Airport","iata":"FNA","longitude":-13.195489,"latitude":8.616444},{"name":"L\u00e9opold S\u00e9dar Senghor A\u00e9roport International","iata":"DKR","longitude":-17.49,"latitude":14.739444},{"name":"Osvaldo Vieira Aeroporto Internacional","iata":"OXB","longitude":-15.653611,"latitude":11.895},{"name":"Indira Gandhi International Airport","iata":"DEL","longitude":77.103056,"latitude":28.566389},{"name":"Suvarnabhumi International Airport","iata":"BKK","longitude":100.747222,"latitude":13.681111},{"name":"Hosea Kutako International Airport","iata":"WDH","longitude":17.46358,"latitude":-22.48722}],"lines":[{"id":976326,"airportStartLng":72.868056,"airportStartLat":19.088611,"airportEndLng":-15.947956,"airportEndLat":18.097856},{"id":995481,"airportStartLng":72.868056,"airportStartLat":19.088611,"airportEndLng":-13.195489,"airportEndLat":8.616444},{"id":960864,"airportStartLng":72.868056,"airportStartLat":19.088611,"airportEndLng":-13.611961,"airportEndLat":9.576889},{"id":997761,"airportStartLng":77.103056,"airportStartLat":28.566389,"airportEndLng":-13.611961,"airportEndLat":9.576889},{"id":997675,"airportStartLng":77.103056,"airportStartLat":28.566389,"airportEndLng":-17.49,"airportEndLat":14.739444},{"id":997656,"airportStartLng":77.103056,"airportStartLat":28.566389,"airportEndLng":-16.652206,"airportEndLat":13.337961},{"id":997748,"airportStartLng":77.103056,"airportStartLat":28.566389,"airportEndLng":-15.653611,"airportEndLat":11.895},{"id":2917576,"airportStartLng":72.868056,"airportStartLat":19.088611,"airportEndLng":-10.362311,"airportEndLat":6.233789},{"id":956030,"airportStartLng":72.868056,"airportStartLat":19.088611,"airportEndLng":-17.49,"airportEndLat":14.739444},{"id":997755,"airportStartLng":77.103056,"airportStartLat":28.566389,"airportEndLng":-13.195489,"airportEndLat":8.616444},{"id":960853,"airportStartLng":72.868056,"airportStartLat":19.088611,"airportEndLng":-15.653611,"airportEndLat":11.895},{"id":997781,"airportStartLng":77.103056,"airportStartLat":28.566389,"airportEndLng":-10.362311,"airportEndLat":6.233789},{"id":997823,"airportStartLng":77.103056,"airportStartLat":28.566389,"airportEndLng":18.597222,"airportEndLat":-33.969444},{"id":997801,"airportStartLng":77.103056,"airportStartLat":28.566389,"airportEndLng":-15.947956,"airportEndLat":18.097856},{"id":960872,"airportStartLng":72.868056,"airportStartLat":19.088611,"airportEndLng":-16.652206,"airportEndLat":13.337961},{"id":1177546,"airportStartLng":17.46358,"airportStartLat":-22.48722,"airportEndLng":100.606667,"airportEndLat":13.9125},{"id":1177535,"airportStartLng":17.46358,"airportStartLat":-22.48722,"airportEndLng":100.747222,"airportEndLat":13.681111}],"aircrafts":[{"takeofftime":"2016-08-24 12:00:00","name":"BOM-A380","modelname":"A380-800","totalpax":1706,"carriedpax":1706,"carriedpayload":3,"thumb":"a380-800.png","flightid":432897590,"airportStartLng":72.868056,"airportStartLat":19.088611,"airportEndLng":-13.195489,"airportEndLat":8.616444,"paxClass":"greenBonus","pctSecs":2.677447856703e-5,"distancePct":0.36646228814694,"direction":0,"directionMsg":"BOM\/FNA","countryCode":"sl","timeMsg":"Arriv\u00e9e pr\u00e9vue sur FNA \u00e0 22h42"},{"takeofftime":"2016-08-24 12:00:00","name":"BOM-A380","modelname":"A380-800","totalpax":1706,"carriedpax":1706,"carriedpayload":3,"thumb":"a380-800.png","flightid":432897589,"airportStartLng":72.868056,"airportStartLat":19.088611,"airportEndLng":-13.195489,"airportEndLat":8.616444,"paxClass":"greenBonus","pctSecs":2.677447856703e-5,"distancePct":0.36646228814694,"direction":0,"directionMsg":"BOM\/FNA","countryCode":"sl","timeMsg":"Arriv\u00e9e pr\u00e9vue sur FNA \u00e0 22h42"},{"takeofftime":"2016-08-24 12:00:00","name":"BOM-A380","modelname":"A380-800","totalpax":1706,"carriedpax":1706,"carriedpayload":3,"thumb":"a380-800.png","flightid":432897588,"airportStartLng":72.868056,"airportStartLat":19.088611,"airportEndLng":-13.195489,"airportEndLat":8.616444,"paxClass":"greenBonus","pctSecs":2.677447856703e-5,"distancePct":0.36646228814694,"direction":0,"directionMsg":"BOM\/FNA","countryCode":"sl","timeMsg":"Arriv\u00e9e pr\u00e9vue sur FNA \u00e0 22h42"},{"takeofftime":"2016-08-24 12:00:00","name":"BOM-A380","modelname":"A380-800","totalpax":1706,"carriedpax":1705,"carriedpayload":3,"thumb":"a380-800.png","flightid":432897593,"airportStartLng":72.868056,"airportStartLat":19.088611,"airportEndLng":-13.611961,"airportEndLat":9.576889,"paxClass":"greenBonus","pctSecs":2.677447856703e-5,"distancePct":0.36646228814694,"direction":0,"directionMsg":"BOM\/CKY","countryCode":"gn","timeMsg":"Arriv\u00e9e pr\u00e9vue sur CKY \u00e0 22h42"},{"takeofftime":"2016-08-24 12:00:00","name":"BOM-A380","modelname":"A380-800","totalpax":1706,"carriedpax":1706,"carriedpayload":3,"thumb":"a380-800.png","flightid":432897592,"airportStartLng":72.868056,"airportStartLat":19.088611,"airportEndLng":-13.611961,"airportEndLat":9.576889,"paxClass":"greenBonus","pctSecs":2.677447856703e-5,"distancePct":0.36646228814694,"direction":0,"directionMsg":"BOM\/CKY","countryCode":"gn","timeMsg":"Arriv\u00e9e pr\u00e9vue sur CKY \u00e0 22h42"},{"takeofftime":"2016-08-24 12:00:00","name":"BOM-A380","modelname":"A380-800","totalpax":1706,"carriedpax":1706,"carriedpayload":3,"thumb":"a380-800.png","flightid":432897591,"airportStartLng":72.868056,"airportStartLat":19.088611,"airportEndLng":-13.611961,"airportEndLat":9.576889,"paxClass":"greenBonus","pctSecs":2.677447856703e-5,"distancePct":0.36646228814694,"direction":0,"directionMsg":"BOM\/CKY","countryCode":"gn","timeMsg":"Arriv\u00e9e pr\u00e9vue sur CKY \u00e0 22h42"},{"takeofftime":"2016-08-23 18:00:00","name":"BOM-B747-400","modelname":"747-400","totalpax":1320,"carriedpax":1320,"carriedpayload":1,"thumb":"b747-400.png","flightid":431024507,"airportStartLng":72.868056,"airportStartLat":19.088611,"airportEndLng":-17.49,"airportEndLat":14.739444,"paxClass":"greenBonus","pctSecs":2.6144474365343e-5,"distancePct":0.92650788255902,"direction":1,"directionMsg":"DKR\/BOM","countryCode":"in","timeMsg":"Arriv\u00e9e pr\u00e9vue sur BOM \u00e0 16h54"},{"takeofftime":"2016-08-23 18:00:00","name":"BOM-A380","modelname":"A380-800","totalpax":1564,"carriedpax":1497,"carriedpayload":10,"thumb":"a380-800.png","flightid":431024506,"airportStartLng":72.868056,"airportStartLat":19.088611,"airportEndLng":-17.49,"airportEndLat":14.739444,"paxClass":"greenBonus","pctSecs":2.6144474365343e-5,"distancePct":0.92650788255902,"direction":1,"directionMsg":"DKR\/BOM","countryCode":"in","timeMsg":"Arriv\u00e9e pr\u00e9vue sur BOM \u00e0 16h54"},{"takeofftime":"2016-08-23 18:00:00","name":"BOM-A380","modelname":"A380-800","totalpax":1564,"carriedpax":1564,"carriedpayload":10,"thumb":"a380-800.png","flightid":431024505,"airportStartLng":72.868056,"airportStartLat":19.088611,"airportEndLng":-17.49,"airportEndLat":14.739444,"paxClass":"greenBonus","pctSecs":2.6144474365343e-5,"distancePct":0.92650788255902,"direction":1,"directionMsg":"DKR\/BOM","countryCode":"in","timeMsg":"Arriv\u00e9e pr\u00e9vue sur BOM \u00e0 16h54"},{"takeofftime":"2016-08-23 18:00:00","name":"BOM-A380","modelname":"A380-800","totalpax":1564,"carriedpax":1564,"carriedpayload":10,"thumb":"a380-800.png","flightid":431024504,"airportStartLng":72.868056,"airportStartLat":19.088611,"airportEndLng":-17.49,"airportEndLat":14.739444,"paxClass":"greenBonus","pctSecs":2.6144474365343e-5,"distancePct":0.92650788255902,"direction":1,"directionMsg":"DKR\/BOM","countryCode":"in","timeMsg":"Arriv\u00e9e pr\u00e9vue sur BOM \u00e0 16h54"},{"takeofftime":"2016-08-23 18:00:00","name":"DEL-A380","modelname":"A380-800","totalpax":1706,"carriedpax":1704,"carriedpayload":3,"thumb":"a380-800.png","flightid":431024513,"airportStartLng":77.103056,"airportStartLat":28.566389,"airportEndLng":-13.195489,"airportEndLat":8.616444,"paxClass":"greenBonus","pctSecs":2.6144474365343e-5,"distancePct":0.92650788255902,"direction":1,"directionMsg":"FNA\/DEL","countryCode":"in","timeMsg":"Arriv\u00e9e pr\u00e9vue sur DEL \u00e0 16h54"},{"takeofftime":"2016-08-23 18:00:00","name":"DEL-A380","modelname":"A380-800","totalpax":1706,"carriedpax":1706,"carriedpayload":3,"thumb":"a380-800.png","flightid":431024512,"airportStartLng":77.103056,"airportStartLat":28.566389,"airportEndLng":-13.195489,"airportEndLat":8.616444,"paxClass":"greenBonus","pctSecs":2.6144474365343e-5,"distancePct":0.92650788255902,"direction":1,"directionMsg":"FNA\/DEL","countryCode":"in","timeMsg":"Arriv\u00e9e pr\u00e9vue sur DEL \u00e0 16h54"},{"takeofftime":"2016-08-23 18:00:00","name":"DEL-A380","modelname":"A380-800","totalpax":1706,"carriedpax":1706,"carriedpayload":3,"thumb":"a380-800.png","flightid":431024511,"airportStartLng":77.103056,"airportStartLat":28.566389,"airportEndLng":-13.195489,"airportEndLat":8.616444,"paxClass":"greenBonus","pctSecs":2.6144474365343e-5,"distancePct":0.92650788255902,"direction":1,"directionMsg":"FNA\/DEL","countryCode":"in","timeMsg":"Arriv\u00e9e pr\u00e9vue sur DEL \u00e0 16h54"},{"takeofftime":"2016-08-23 18:00:00","name":"BOM-A380","modelname":"A380-800","totalpax":1672,"carriedpax":1672,"carriedpayload":0,"thumb":"a380-800.png","flightid":431024510,"airportStartLng":72.868056,"airportStartLat":19.088611,"airportEndLng":-15.653611,"airportEndLat":11.895,"paxClass":"greenBonus","pctSecs":2.6455726341967e-5,"distancePct":0.9494431069605,"direction":1,"directionMsg":"OXB\/BOM","countryCode":"in","timeMsg":"Arriv\u00e9e pr\u00e9vue sur BOM \u00e0 16h39"},{"takeofftime":"2016-08-23 18:00:00","name":"BOM-A380","modelname":"A380-800","totalpax":1406,"carriedpax":1406,"carriedpayload":11,"thumb":"a380-800.png","flightid":431024509,"airportStartLng":72.868056,"airportStartLat":19.088611,"airportEndLng":-15.653611,"airportEndLat":11.895,"paxClass":"greenBonus","pctSecs":2.6455726341967e-5,"distancePct":0.9494431069605,"direction":1,"directionMsg":"OXB\/BOM","countryCode":"in","timeMsg":"Arriv\u00e9e pr\u00e9vue sur BOM \u00e0 16h39"},{"takeofftime":"2016-08-23 18:00:00","name":"BOM-A380","modelname":"A380-800","totalpax":1554,"carriedpax":1554,"carriedpayload":11,"thumb":"a380-800.png","flightid":431024508,"airportStartLng":72.868056,"airportStartLat":19.088611,"airportEndLng":-15.653611,"airportEndLat":11.895,"paxClass":"greenBonus","pctSecs":2.6455726341967e-5,"distancePct":0.9494431069605,"direction":1,"directionMsg":"OXB\/BOM","countryCode":"in","timeMsg":"Arriv\u00e9e pr\u00e9vue sur BOM \u00e0 16h39"},{"takeofftime":"2016-08-23 18:00:00","name":"DEL-A380","modelname":"A380-800","totalpax":1706,"carriedpax":1571,"carriedpayload":3,"thumb":"a380-800.png","flightid":431024516,"airportStartLng":77.103056,"airportStartLat":28.566389,"airportEndLng":-10.362311,"airportEndLat":6.233789,"paxClass":"greenBonus","pctSecs":2.6455726341967e-5,"distancePct":0.9494431069605,"direction":1,"directionMsg":"ROB\/DEL","countryCode":"in","timeMsg":"Arriv\u00e9e pr\u00e9vue sur DEL \u00e0 16h39"},{"takeofftime":"2016-08-23 18:00:00","name":"DEL-A380","modelname":"A380-800","totalpax":1706,"carriedpax":1706,"carriedpayload":3,"thumb":"a380-800.png","flightid":431024515,"airportStartLng":77.103056,"airportStartLat":28.566389,"airportEndLng":-10.362311,"airportEndLat":6.233789,"paxClass":"greenBonus","pctSecs":2.6455726341967e-5,"distancePct":0.9494431069605,"direction":1,"directionMsg":"ROB\/DEL","countryCode":"in","timeMsg":"Arriv\u00e9e pr\u00e9vue sur DEL \u00e0 16h39"},{"takeofftime":"2016-08-23 18:00:00","name":"DEL-A380","modelname":"A380-800","totalpax":1706,"carriedpax":1706,"carriedpayload":3,"thumb":"a380-800.png","flightid":431024514,"airportStartLng":77.103056,"airportStartLat":28.566389,"airportEndLng":-10.362311,"airportEndLat":6.233789,"paxClass":"greenBonus","pctSecs":2.6455726341967e-5,"distancePct":0.9494431069605,"direction":1,"directionMsg":"ROB\/DEL","countryCode":"in","timeMsg":"Arriv\u00e9e pr\u00e9vue sur DEL \u00e0 16h39"},{"takeofftime":"2016-08-24 12:00:00","name":"BOM-A380","modelname":"A380-800","totalpax":1706,"carriedpax":1702,"carriedpayload":3,"thumb":"a380-800.png","flightid":432897587,"airportStartLng":72.868056,"airportStartLat":19.088611,"airportEndLng":-16.652206,"airportEndLat":13.337961,"paxClass":"greenBonus","pctSecs":2.6455726341967e-5,"distancePct":0.3620995264425,"direction":0,"directionMsg":"BOM\/BJL","countryCode":"gm","timeMsg":"Arriv\u00e9e pr\u00e9vue sur BJL \u00e0 22h49"},{"takeofftime":"2016-08-24 12:00:00","name":"BOM-A380","modelname":"A380-800","totalpax":1706,"carriedpax":1706,"carriedpayload":3,"thumb":"a380-800.png","flightid":432897586,"airportStartLng":72.868056,"airportStartLat":19.088611,"airportEndLng":-16.652206,"airportEndLat":13.337961,"paxClass":"greenBonus","pctSecs":2.6455726341967e-5,"distancePct":0.3620995264425,"direction":0,"directionMsg":"BOM\/BJL","countryCode":"gm","timeMsg":"Arriv\u00e9e pr\u00e9vue sur BJL \u00e0 22h49"},{"takeofftime":"2016-08-24 12:00:00","name":"BOM-A380","modelname":"A380-800","totalpax":1706,"carriedpax":1706,"carriedpayload":3,"thumb":"a380-800.png","flightid":432897585,"airportStartLng":72.868056,"airportStartLat":19.088611,"airportEndLng":-16.652206,"airportEndLat":13.337961,"paxClass":"greenBonus","pctSecs":2.6455726341967e-5,"distancePct":0.3620995264425,"direction":0,"directionMsg":"BOM\/BJL","countryCode":"gm","timeMsg":"Arriv\u00e9e pr\u00e9vue sur BJL \u00e0 22h49"}]}</t>
  </si>
  <si>
    <t>142 169 866 $</t>
  </si>
  <si>
    <t>120 691 857 $</t>
  </si>
  <si>
    <t>17 913 659 $</t>
  </si>
  <si>
    <t>WDH / DMK th</t>
  </si>
  <si>
    <t>WDH / BKK th</t>
  </si>
  <si>
    <t>283 Pax / 0 T</t>
  </si>
  <si>
    <t>17 519 123 $</t>
  </si>
  <si>
    <t>Heure du serveur : 08/24/2016 16:08:07</t>
  </si>
  <si>
    <t>223 Pax</t>
  </si>
  <si>
    <t>26 Tonnes</t>
  </si>
  <si>
    <t>23 Pax</t>
  </si>
  <si>
    <t>227 Pax</t>
  </si>
  <si>
    <t>37 Pax</t>
  </si>
  <si>
    <t>53 Pax</t>
  </si>
  <si>
    <t xml:space="preserve">WDH / DMK (3 Liste des vols) </t>
  </si>
  <si>
    <t>876 200 $</t>
  </si>
  <si>
    <t>208 000 $</t>
  </si>
  <si>
    <t xml:space="preserve">WDH / BKK (3 Liste des vols) </t>
  </si>
  <si>
    <t>762 468 $</t>
  </si>
  <si>
    <t>149 400 $</t>
  </si>
  <si>
    <t>DEL/CPT</t>
  </si>
  <si>
    <t>DEL/FNA</t>
  </si>
  <si>
    <t>DEL/NKC</t>
  </si>
  <si>
    <t>DEL/ROB</t>
  </si>
  <si>
    <t>WDH/BKK</t>
  </si>
  <si>
    <t>WDH/DMK</t>
  </si>
  <si>
    <t>LOS / CCU - ng</t>
  </si>
  <si>
    <t>9 230 Km</t>
  </si>
  <si>
    <t xml:space="preserve">LOS / CCU (3 Liste des vols) </t>
  </si>
  <si>
    <t>15 824 856 $</t>
  </si>
  <si>
    <t>131 750 $</t>
  </si>
  <si>
    <t>1 400 598 $</t>
  </si>
  <si>
    <t>14 779 850 $</t>
  </si>
  <si>
    <t>BOG / LAD - co</t>
  </si>
  <si>
    <t>9 803 Km</t>
  </si>
  <si>
    <t>34 Pax</t>
  </si>
  <si>
    <t>63 Tonnes</t>
  </si>
  <si>
    <t>B787-9</t>
  </si>
  <si>
    <t>216 Pax</t>
  </si>
  <si>
    <t>51 Tonnes</t>
  </si>
  <si>
    <t>Total WDH</t>
  </si>
  <si>
    <t>LOS/CCU</t>
  </si>
  <si>
    <t>Total LOS</t>
  </si>
  <si>
    <t>BOG/LAD</t>
  </si>
  <si>
    <t>Total BOG</t>
  </si>
  <si>
    <t>BOG / NDJ - co</t>
  </si>
  <si>
    <t>9 811 Km</t>
  </si>
  <si>
    <t>129 Pax</t>
  </si>
  <si>
    <t>12 Tonnes</t>
  </si>
  <si>
    <t>BOG/NDJ</t>
  </si>
  <si>
    <t>BOG / LOS - co</t>
  </si>
  <si>
    <t>8 569 Km</t>
  </si>
  <si>
    <t>BOG / PHC - co</t>
  </si>
  <si>
    <t>8 980 Km</t>
  </si>
  <si>
    <t>28 Pax</t>
  </si>
  <si>
    <t>BOG / ABV - co</t>
  </si>
  <si>
    <t>8 987 Km</t>
  </si>
  <si>
    <t>BOG / KAN - co</t>
  </si>
  <si>
    <t>9 105 Km</t>
  </si>
  <si>
    <t>226 Pax</t>
  </si>
  <si>
    <t>195 Pax</t>
  </si>
  <si>
    <t>27 Pax</t>
  </si>
  <si>
    <t>29 Pax</t>
  </si>
  <si>
    <t>-131 Pax</t>
  </si>
  <si>
    <t>FNA / HYD - sl</t>
  </si>
  <si>
    <t>9 897 Km</t>
  </si>
  <si>
    <t>2 Pax</t>
  </si>
  <si>
    <t>FNA / BLR - sl</t>
  </si>
  <si>
    <t>9 888 Km</t>
  </si>
  <si>
    <t>69 Pax</t>
  </si>
  <si>
    <t>75 Pax</t>
  </si>
  <si>
    <t xml:space="preserve">FNA / BLR (3 Liste des vols) </t>
  </si>
  <si>
    <t>13 967 820 $</t>
  </si>
  <si>
    <t>99 600 $</t>
  </si>
  <si>
    <t>1 167 478 $</t>
  </si>
  <si>
    <t>12 941 080 $</t>
  </si>
  <si>
    <t xml:space="preserve">FNA / HYD (3 Liste des vols) </t>
  </si>
  <si>
    <t xml:space="preserve">BOG / KAN (3 Liste des vols) </t>
  </si>
  <si>
    <t>109 200 $</t>
  </si>
  <si>
    <t xml:space="preserve">BOG / ABV (3 Liste des vols) </t>
  </si>
  <si>
    <t>107 800 $</t>
  </si>
  <si>
    <t xml:space="preserve">BOG / PHC (3 Liste des vols) </t>
  </si>
  <si>
    <t>90 000 $</t>
  </si>
  <si>
    <t xml:space="preserve">BOG / LOS (3 Liste des vols) </t>
  </si>
  <si>
    <t>102 900 $</t>
  </si>
  <si>
    <t xml:space="preserve">BOG / NDJ (3 Liste des vols) </t>
  </si>
  <si>
    <t>99 900 $</t>
  </si>
  <si>
    <t xml:space="preserve">BOG / LAD (3 Liste des vols) </t>
  </si>
  <si>
    <t>70 224 $</t>
  </si>
  <si>
    <t>52 765 000 $ 254 350</t>
  </si>
  <si>
    <t>13 549 848 $</t>
  </si>
  <si>
    <t>1 143 524 $</t>
  </si>
  <si>
    <t>12 588 046 $</t>
  </si>
  <si>
    <t>13 963 932 $</t>
  </si>
  <si>
    <t>1 279 882 $</t>
  </si>
  <si>
    <t>13 027 735 $</t>
  </si>
  <si>
    <t>13 136 070 $</t>
  </si>
  <si>
    <t>1 234 733 $</t>
  </si>
  <si>
    <t>12 289 363 $</t>
  </si>
  <si>
    <t>11 753 511 $</t>
  </si>
  <si>
    <t>1 077 649 $</t>
  </si>
  <si>
    <t>10 987 857 $</t>
  </si>
  <si>
    <t>13 135 980 $</t>
  </si>
  <si>
    <t>1 256 042 $</t>
  </si>
  <si>
    <t>12 298 822 $</t>
  </si>
  <si>
    <t>12 825 513 $</t>
  </si>
  <si>
    <t>1 105 917 $</t>
  </si>
  <si>
    <t>11 916 353 $</t>
  </si>
  <si>
    <t>13 308 930 $</t>
  </si>
  <si>
    <t>1 133 789 $</t>
  </si>
  <si>
    <t>12 319 540 $</t>
  </si>
  <si>
    <t>14 985 011 $</t>
  </si>
  <si>
    <t>1 364 198 $</t>
  </si>
  <si>
    <t>13 986 695 $</t>
  </si>
  <si>
    <t>13 762 332 $</t>
  </si>
  <si>
    <t>1 330 462 $</t>
  </si>
  <si>
    <t>13 636 498 $</t>
  </si>
  <si>
    <t>14 007 045 $</t>
  </si>
  <si>
    <t>1 233 553 $</t>
  </si>
  <si>
    <t>13 593 968 $</t>
  </si>
  <si>
    <t>16 034 694 $</t>
  </si>
  <si>
    <t>1 382 384 $</t>
  </si>
  <si>
    <t>14 880 495 $</t>
  </si>
  <si>
    <t>16 423 662 $</t>
  </si>
  <si>
    <t>1 384 785 $</t>
  </si>
  <si>
    <t>15 270 358 $</t>
  </si>
  <si>
    <t>15 646 068 $</t>
  </si>
  <si>
    <t>1 307 298 $</t>
  </si>
  <si>
    <t>14 451 165 $</t>
  </si>
  <si>
    <t>16 566 966 $</t>
  </si>
  <si>
    <t>1 415 097 $</t>
  </si>
  <si>
    <t>15 385 447 $</t>
  </si>
  <si>
    <t>15 739 956 $</t>
  </si>
  <si>
    <t>1 378 999 $</t>
  </si>
  <si>
    <t>14 621 822 $</t>
  </si>
  <si>
    <t>16 961 052 $</t>
  </si>
  <si>
    <t>1 418 976 $</t>
  </si>
  <si>
    <t>15 771 633 $</t>
  </si>
  <si>
    <t>16 510 668 $</t>
  </si>
  <si>
    <t>1 418 769 $</t>
  </si>
  <si>
    <t>15 314 355 $</t>
  </si>
  <si>
    <t>16 226 007 $</t>
  </si>
  <si>
    <t>1 306 323 $</t>
  </si>
  <si>
    <t>15 030 405 $</t>
  </si>
  <si>
    <t>16 174 837 $</t>
  </si>
  <si>
    <t>1 410 775 $</t>
  </si>
  <si>
    <t>15 046 765 $</t>
  </si>
  <si>
    <t>15 881 154 $</t>
  </si>
  <si>
    <t>1 403 538 $</t>
  </si>
  <si>
    <t>14 782 764 $</t>
  </si>
  <si>
    <t>536 850 $</t>
  </si>
  <si>
    <t>1 737 509 $</t>
  </si>
  <si>
    <t>15 943 166 $</t>
  </si>
  <si>
    <t>Serveur : vp8-1</t>
  </si>
  <si>
    <t>Heure du serveur : 09/02/2016 14:57:10</t>
  </si>
  <si>
    <t>{"airports":[{"name":"San Francisco International Airport","iata":"SFO","latitude":37.618889,"longitude":-122.375},{"name":"Ndjili International Airport","iata":"FIH","latitude":-4.38575,"longitude":15.444569},{"name":"Murtala Muhammed International Airport","iata":"LOS","latitude":6.577222,"longitude":3.321111},{"name":"Chhatrapati Shivaji International Airport","iata":"BOM","latitude":19.088611,"longitude":72.868056},{"name":"Indira Gandhi International Airport","iata":"DEL","latitude":28.566389,"longitude":77.103056},{"name":"L\u00e9opold S\u00e9dar Senghor A\u00e9roport International","iata":"DKR","latitude":14.739444,"longitude":-17.49},{"name":"Hosea Kutako International Airport","iata":"WDH","latitude":-22.48722,"longitude":17.46358},{"name":"Freetown Lungi International Airport","iata":"FNA","latitude":8.616444,"longitude":-13.195489},{"name":"Yaound\u00e9 Nsimalen a\u00e9roport international","iata":"NSI","latitude":3.72637,"longitude":11.55427},{"name":"N'Djamena a\u00e9roport International","iata":"NDJ","latitude":12.133611,"longitude":15.033889},{"name":"Quatro de Fevereiro Aeroporto Internacional","iata":"LAD","latitude":-8.858333,"longitude":13.231111},{"name":"Lubango Aeroporto","iata":"SDD","latitude":-14.924733,"longitude":13.575022},{"name":"Douala a\u00e9roport international","iata":"DLA","latitude":4.005833,"longitude":9.719444},{"name":"Domodedovo International Airport","iata":"DME","latitude":55.408611,"longitude":37.906111},{"name":"El Dorado Aeropuerto Internacional","iata":"BOG","latitude":4.701389,"longitude":-74.146944},{"name":"Cancun Aeropuerto Internacional","iata":"CUN","latitude":21.036528,"longitude":-86.877083},{"name":"Benito Ju\u00e1rez Aeropuerto Internacional","iata":"MEX","latitude":19.436111,"longitude":-99.071944}],"lines":[{"id":997781,"airportStartLng":77.103056,"airportStartLat":28.566389,"airportEndLng":-10.362311,"airportEndLat":6.233789},{"id":997755,"airportStartLng":77.103056,"airportStartLat":28.566389,"airportEndLng":-13.195489,"airportEndLat":8.616444},{"id":2988931,"airportStartLng":-13.195489,"airportStartLat":8.616444,"airportEndLng":78.428056,"airportEndLat":17.24},{"id":862295,"airportStartLng":3.321111,"airportStartLat":6.577222,"airportEndLng":88.446667,"airportEndLat":22.654722},{"id":1177535,"airportStartLng":17.46358,"airportStartLat":-22.48722,"airportEndLng":100.747222,"airportEndLat":13.681111},{"id":1177546,"airportStartLng":17.46358,"airportStartLat":-22.48722,"airportEndLng":100.606667,"airportEndLat":13.9125},{"id":956030,"airportStartLng":72.868056,"airportStartLat":19.088611,"airportEndLng":-17.49,"airportEndLat":14.739444},{"id":2988942,"airportStartLng":-13.195489,"airportStartLat":8.616444,"airportEndLng":77.705556,"airportEndLat":13.198889},{"id":960853,"airportStartLng":72.868056,"airportStartLat":19.088611,"airportEndLng":-15.653611,"airportEndLat":11.895},{"id":2917576,"airportStartLng":72.868056,"airportStartLat":19.088611,"airportEndLng":-10.362311,"airportEndLat":6.233789},{"id":976326,"airportStartLng":72.868056,"airportStartLat":19.088611,"airportEndLng":-15.947956,"airportEndLat":18.097856},{"id":2988360,"airportStartLng":-74.146944,"airportStartLat":4.701389,"airportEndLng":3.321111,"airportEndLat":6.577222},{"id":2988389,"airportStartLng":-74.146944,"airportStartLat":4.701389,"airportEndLng":7.263056,"airportEndLat":9.006667},{"id":997801,"airportStartLng":77.103056,"airportStartLat":28.566389,"airportEndLng":-15.947956,"airportEndLat":18.097856},{"id":997823,"airportStartLng":77.103056,"airportStartLat":28.566389,"airportEndLng":18.597222,"airportEndLat":-33.969444},{"id":997761,"airportStartLng":77.103056,"airportStartLat":28.566389,"airportEndLng":-13.611961,"airportEndLat":9.576889},{"id":997675,"airportStartLng":77.103056,"airportStartLat":28.566389,"airportEndLng":-17.49,"airportEndLat":14.739444},{"id":997656,"airportStartLng":77.103056,"airportStartLat":28.566389,"airportEndLng":-16.652206,"airportEndLat":13.337961},{"id":997748,"airportStartLng":77.103056,"airportStartLat":28.566389,"airportEndLng":-15.653611,"airportEndLat":11.895},{"id":2988380,"airportStartLng":-74.146944,"airportStartLat":4.701389,"airportEndLng":6.949444,"airportEndLat":5.015278},{"id":2988398,"airportStartLng":-74.146944,"airportStartLat":4.701389,"airportEndLng":8.524444,"airportEndLat":12.0475},{"id":2986773,"airportStartLng":-74.146944,"airportStartLat":4.701389,"airportEndLng":15.033889,"airportEndLat":12.133611},{"id":2986427,"airportStartLng":-74.146944,"airportStartLat":4.701389,"airportEndLng":13.231111,"airportEndLat":-8.858333},{"id":960864,"airportStartLng":72.868056,"airportStartLat":19.088611,"airportEndLng":-13.611961,"airportEndLat":9.576889},{"id":995481,"airportStartLng":72.868056,"airportStartLat":19.088611,"airportEndLng":-13.195489,"airportEndLat":8.616444},{"id":960872,"airportStartLng":72.868056,"airportStartLat":19.088611,"airportEndLng":-16.652206,"airportEndLat":13.337961}]}</t>
  </si>
  <si>
    <t>4 986 Pax</t>
  </si>
  <si>
    <t>-132 Pax</t>
  </si>
  <si>
    <t>5 120 Pax</t>
  </si>
  <si>
    <t>4 121 Pax</t>
  </si>
  <si>
    <t>5 121 Pax</t>
  </si>
  <si>
    <t>150 Pax</t>
  </si>
  <si>
    <t>4 251 Pax</t>
  </si>
  <si>
    <t>-167 Pax</t>
  </si>
  <si>
    <t>4 178 Pax</t>
  </si>
  <si>
    <t>-192 Pax</t>
  </si>
  <si>
    <t>5 794 Pax</t>
  </si>
  <si>
    <t>4 Pax</t>
  </si>
  <si>
    <t>-66 Pax</t>
  </si>
  <si>
    <t>4 462 Pax</t>
  </si>
  <si>
    <t>210 Pax</t>
  </si>
  <si>
    <t>4 528 Pax</t>
  </si>
  <si>
    <t>4 957 Pax</t>
  </si>
  <si>
    <t>-161 Pax</t>
  </si>
  <si>
    <t>4 593 Pax</t>
  </si>
  <si>
    <t>-139 Pax</t>
  </si>
  <si>
    <t>4 386 Pax</t>
  </si>
  <si>
    <t>-346 Pax</t>
  </si>
  <si>
    <t>5 122 Pax</t>
  </si>
  <si>
    <t>4 908 Pax</t>
  </si>
  <si>
    <t>-210 Pax</t>
  </si>
  <si>
    <t>3 927 Pax</t>
  </si>
  <si>
    <t>-325 Pax</t>
  </si>
  <si>
    <t>4 604 Pax</t>
  </si>
  <si>
    <t>-128 Pax</t>
  </si>
  <si>
    <t>3 933 Pax</t>
  </si>
  <si>
    <t>-319 Pax</t>
  </si>
  <si>
    <t>4 085 Pax</t>
  </si>
  <si>
    <t>5 123 Pax</t>
  </si>
  <si>
    <t>48 800 106 056 $ 12</t>
  </si>
  <si>
    <t>Heure du serveur : 09/02/2016 14:58:34</t>
  </si>
  <si>
    <t>Heure du serveur : 09/02/2016 14:58:38</t>
  </si>
  <si>
    <t>Heure du serveur : 09/02/2016 14:58:43</t>
  </si>
  <si>
    <t>Achat d'un avion Gestion des livrées Carnet d'entretien Avions</t>
  </si>
  <si>
    <t>Processus d'embauche Processus de formation Répartition des travailleurs Informations générales</t>
  </si>
  <si>
    <t>Général Services Avions Cargo Personnel Labo - transformation de R$</t>
  </si>
  <si>
    <t>638 665 000 $ 553 425</t>
  </si>
  <si>
    <t>216 412 301 539 $ 257</t>
  </si>
  <si>
    <t xml:space="preserve">   </t>
  </si>
  <si>
    <t xml:space="preserve">GénéralAccéder au chat </t>
  </si>
  <si>
    <t>Icon</t>
  </si>
  <si>
    <t xml:space="preserve">... Terminer </t>
  </si>
  <si>
    <t>Coins</t>
  </si>
  <si>
    <t>Tout livrer</t>
  </si>
  <si>
    <t>Valider les livraisons terminées</t>
  </si>
  <si>
    <t>Obtenir</t>
  </si>
  <si>
    <t>gratuit</t>
  </si>
  <si>
    <t>Répartition des travailleurs</t>
  </si>
  <si>
    <t>En savoir plus sur IATA Training iata.org/training</t>
  </si>
  <si>
    <t>Filtrer par :</t>
  </si>
  <si>
    <t>Alphabétique +</t>
  </si>
  <si>
    <t>Employés +</t>
  </si>
  <si>
    <t>Prix de vente +</t>
  </si>
  <si>
    <t>Alphabétique -</t>
  </si>
  <si>
    <t>Employés -</t>
  </si>
  <si>
    <t>Prix de vente -</t>
  </si>
  <si>
    <t>Nom du hub</t>
  </si>
  <si>
    <t>Nombre de lignes</t>
  </si>
  <si>
    <t>Nombre d'avions</t>
  </si>
  <si>
    <t>Prix de vente</t>
  </si>
  <si>
    <t>Nombre d'employés</t>
  </si>
  <si>
    <t>{"1":{"id":1,"playerId":7,"nom":"pack_starter","url":"http:\/\/pc.airlines-manager.com\/images\/specialOffers\/7.png","openMode":true,"importance":10,"redirectUrl":"http:\/\/cockpit.airlines-manager.com\/shop?origin=pub_starter","startDate":1366588800,"endDate":1366934400},"2":{"id":2,"playerId":11,"nom":"AM+ Vacances","url":"http:\/\/pc.airlines-manager.com\/images\/specialOffers\/11.png","openMode":false,"importance":10,"redirectUrl":"http:\/\/www.airlines-manager.com\/amplus\/?origin=pub_vacances","startDate":1375315200,"endDate":1375574400},"3":{"id":3,"playerId":12,"nom":"Nouvelles Livr\u00e9es 2","url":"http:\/\/pc.airlines-manager.com\/","openMode":false,"importance":10,"redirectUrl":"http:\/\/bit.ly\/187ZFSR","startDate":1381708800,"endDate":1381968000},"4":{"id":4,"playerId":13,"nom":"Nouvelles Livr\u00e9es 2","url":"http:\/\/pc.airlines-manager.com\/","openMode":false,"importance":10,"redirectUrl":"http:\/\/bit.ly\/187ZFSR","startDate":1381708800,"endDate":1381881600},"5":{"id":5,"playerId":14,"nom":"Nouvelles Livr\u00e9es 2","url":"http:\/\/pc.airlines-manager.com\/","openMode":false,"importance":10,"redirectUrl":"http:\/\/bit.ly\/187ZFSR","startDate":1381708800,"endDate":1381881600},"6":{"id":6,"playerId":15,"nom":"Nouvelles Livr\u00e9es 3","url":"http:\/\/pc.airlines-manager.com\/","openMode":false,"importance":10,"redirectUrl":"http:\/\/bit.ly\/187ZFSR","startDate":1381708800,"endDate":1381881600},"7":{"id":7,"playerId":10,"nom":"Nouveaux classics","url":"http:\/\/pc.airlines-manager.com\/images\/specialOffers\/10.png","openMode":false,"importance":10,"redirectUrl":"http:\/\/bit.ly\/10QBl2h","startDate":1384214400,"endDate":1384473600},"8":{"id":8,"playerId":16,"nom":"AM+ Carte des vols","url":"http:\/\/pc.airlines-manager.com\/images\/specialOffers\/16.png","openMode":false,"importance":1,"redirectUrl":"http:\/\/bit.ly\/presentation_AMPlus","startDate":1389830400,"endDate":1390003200},"9":{"id":9,"playerId":9,"nom":"Nouvelles Livr\u00e9es","url":"http:\/\/blog2.airlines-manager.com\/wp-content\/uploads\/2014\/06\/new-paints.png","openMode":false,"importance":10,"redirectUrl":"http:\/\/bit.ly\/187ZFSR","startDate":1405969080,"endDate":1406246340},"10":{"id":10,"playerId":9,"nom":"AM2 Mobile 1.2","url":"http:\/\/central.airlines-manager.com\/images\/pub_v12mobile.png","openMode":true,"importance":10,"redirectUrl":"http:\/\/smarturl.it\/AM2Mobile","startDate":1430330400,"endDate":1430611200},"11":{"id":11,"playerId":9,"nom":"AM2 Mobile 1.4","url":"http:\/\/central.airlines-manager.com\/images\/pub_v12mobile.png","openMode":true,"importance":10,"redirectUrl":"http:\/\/smarturl.it\/AM2Mobile","startDate":1437681600,"endDate":1437955140},"13":{"id":13,"playerId":9,"nom":"Black Friday","url":"http:\/\/central.airlines-manager.com\/images\/pub_blackfriday2.png","openMode":true,"importance":10,"redirectUrl":"http:\/\/bit.ly\/1YxJnJd","startDate":1448582400,"endDate":1448668800},"14":{"id":14,"playerId":9,"nom":"Black Friday","url":"http:\/\/central.airlines-manager.com\/images\/BLACK_FRIDAY_prolonge.png","openMode":true,"importance":10,"redirectUrl":"http:\/\/bit.ly\/1YxJnJd","startDate":1448668800,"endDate":1448841600},"12":{"id":12,"playerId":9,"nom":"AM2 Mobile 1.8","url":"http:\/\/central.airlines-manager.com\/images\/pub_v12mobile.png","openMode":true,"importance":10,"redirectUrl":"http:\/\/smarturl.it\/AM2Mobile","startDate":1449705600,"endDate":1442098740},"15":{"id":15,"playerId":9,"nom":"AM2 Mobile 1.9","url":"http:\/\/central.airlines-manager.com\/images\/pub_v12mobile.png","openMode":true,"importance":10,"redirectUrl":"http:\/\/smarturl.it\/AM2Mobile","startDate":1453937400,"endDate":1454284799},"16":{"id":16,"playerId":9,"nom":"AM2 Mobile 1.11","url":"http:\/\/central.airlines-manager.com\/images\/pub_droite_v11_mobile.png","openMode":true,"importance":10,"redirectUrl":"http:\/\/smarturl.it\/AM2Mobile","startDate":1459517400,"endDate":1459776600},"17":{"id":17,"playerId":9,"nom":"PlayrionShow","url":"http:\/\/central.airlines-manager.com\/images\/playrionshow_droite.png","openMode":true,"importance":10,"redirectUrl":"http:\/\/bit.ly\/playrionshow_teaser","startDate":1479841200,"endDate":1480100400},"18":{"id":18,"playerId":9,"nom":"PlayrionShow2","url":"http:\/\/central.airlines-manager.com\/images\/suivre_direct_playrionshow.png","openMode":true,"importance":10,"redirectUrl":"http:\/\/bit.ly\/PlayrionShowLive","startDate":1481065200,"endDate":1481140800},"19":{"id":19,"playerId":9,"nom":"PlayrionShow2","url":"http:\/\/central.airlines-manager.com\/images\/playrionshow_droite_replay.png","openMode":true,"importance":10,"redirectUrl":"http:\/\/bit.ly\/PlayrionShowLive","startDate":1481155200,"endDate":1481400000},"20":{"id":20,"playerId":9,"nom":"RoueTC","url":"http:\/\/central.airlines-manager.com\/images\/pub_droite_rouetc.png","openMode":true,"importance":10,"redirectUrl":"http:\/\/bit.ly\/TCWheelAM2","startDate":1486478700,"endDate":1486857600}}</t>
  </si>
  <si>
    <t>Version d'Airlines Manager 1.11 (FR)</t>
  </si>
  <si>
    <t xml:space="preserve">Heure du serveur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</si>
</sst>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0\ _€_-;\-* #,##0.0000\ _€_-;_-* &quot;-&quot;??\ _€_-;_-@_-"/>
    <numFmt numFmtId="166" formatCode="0.0000"/>
    <numFmt numFmtId="167" formatCode="0.0000000"/>
    <numFmt numFmtId="169" formatCode="_-* #,##0.0\ _€_-;\-* #,##0.0\ _€_-;_-* &quot;-&quot;?\ _€_-;_-@_-"/>
    <numFmt numFmtId="171" formatCode="_-* #,##0.0000000\ _€_-;\-* #,##0.0000000\ _€_-;_-* &quot;-&quot;??\ _€_-;_-@_-"/>
    <numFmt numFmtId="172" formatCode="_-* #,##0.0\ _€_-;\-* #,##0.0\ _€_-;_-* &quot;-&quot;??\ _€_-;_-@_-"/>
    <numFmt numFmtId="173" formatCode="0.000%"/>
    <numFmt numFmtId="174" formatCode="_-* #,##0.000\ _€_-;\-* #,##0.000\ _€_-;_-* &quot;-&quot;??\ _€_-;_-@_-"/>
    <numFmt numFmtId="175" formatCode="_-* #,##0.00000\ _€_-;\-* #,##0.00000\ _€_-;_-* &quot;-&quot;??\ _€_-;_-@_-"/>
    <numFmt numFmtId="176" formatCode="0.0000%"/>
    <numFmt numFmtId="177" formatCode="_-* #,##0.000000\ _€_-;\-* #,##0.000000\ _€_-;_-* &quot;-&quot;??\ _€_-;_-@_-"/>
    <numFmt numFmtId="178" formatCode="#,##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7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2" borderId="0" xfId="0" applyNumberFormat="1" applyFont="1" applyFill="1"/>
    <xf numFmtId="0" fontId="2" fillId="2" borderId="0" xfId="0" applyFont="1" applyFill="1"/>
    <xf numFmtId="9" fontId="0" fillId="0" borderId="0" xfId="1" applyFont="1"/>
    <xf numFmtId="10" fontId="0" fillId="0" borderId="0" xfId="1" applyNumberFormat="1" applyFont="1"/>
    <xf numFmtId="164" fontId="0" fillId="0" borderId="0" xfId="2" applyNumberFormat="1" applyFont="1"/>
    <xf numFmtId="1" fontId="0" fillId="0" borderId="1" xfId="0" applyNumberFormat="1" applyBorder="1"/>
    <xf numFmtId="164" fontId="0" fillId="0" borderId="1" xfId="2" applyNumberFormat="1" applyFont="1" applyBorder="1"/>
    <xf numFmtId="164" fontId="0" fillId="0" borderId="3" xfId="2" applyNumberFormat="1" applyFont="1" applyBorder="1"/>
    <xf numFmtId="164" fontId="0" fillId="0" borderId="4" xfId="2" applyNumberFormat="1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164" fontId="2" fillId="2" borderId="2" xfId="0" applyNumberFormat="1" applyFont="1" applyFill="1" applyBorder="1"/>
    <xf numFmtId="164" fontId="2" fillId="2" borderId="0" xfId="2" applyNumberFormat="1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Fill="1"/>
    <xf numFmtId="164" fontId="0" fillId="0" borderId="0" xfId="0" applyNumberFormat="1"/>
    <xf numFmtId="0" fontId="2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164" fontId="0" fillId="0" borderId="0" xfId="2" applyNumberFormat="1" applyFont="1" applyFill="1"/>
    <xf numFmtId="164" fontId="2" fillId="0" borderId="0" xfId="2" applyNumberFormat="1" applyFont="1" applyFill="1"/>
    <xf numFmtId="166" fontId="2" fillId="2" borderId="0" xfId="1" applyNumberFormat="1" applyFont="1" applyFill="1"/>
    <xf numFmtId="166" fontId="0" fillId="0" borderId="3" xfId="1" applyNumberFormat="1" applyFont="1" applyBorder="1"/>
    <xf numFmtId="166" fontId="0" fillId="0" borderId="1" xfId="1" applyNumberFormat="1" applyFont="1" applyBorder="1"/>
    <xf numFmtId="166" fontId="0" fillId="0" borderId="4" xfId="1" applyNumberFormat="1" applyFont="1" applyBorder="1"/>
    <xf numFmtId="165" fontId="0" fillId="0" borderId="0" xfId="2" applyNumberFormat="1" applyFont="1"/>
    <xf numFmtId="165" fontId="2" fillId="2" borderId="0" xfId="2" applyNumberFormat="1" applyFont="1" applyFill="1"/>
    <xf numFmtId="0" fontId="0" fillId="0" borderId="0" xfId="0" applyAlignment="1">
      <alignment horizontal="center" vertical="center"/>
    </xf>
    <xf numFmtId="14" fontId="3" fillId="2" borderId="0" xfId="0" applyNumberFormat="1" applyFont="1" applyFill="1"/>
    <xf numFmtId="164" fontId="3" fillId="2" borderId="0" xfId="2" applyNumberFormat="1" applyFont="1" applyFill="1"/>
    <xf numFmtId="10" fontId="2" fillId="2" borderId="0" xfId="2" applyNumberFormat="1" applyFont="1" applyFill="1"/>
    <xf numFmtId="43" fontId="0" fillId="0" borderId="0" xfId="0" applyNumberFormat="1"/>
    <xf numFmtId="0" fontId="0" fillId="0" borderId="0" xfId="0" applyNumberFormat="1"/>
    <xf numFmtId="167" fontId="0" fillId="0" borderId="0" xfId="0" applyNumberFormat="1"/>
    <xf numFmtId="14" fontId="0" fillId="0" borderId="0" xfId="0" applyNumberFormat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 wrapText="1"/>
    </xf>
    <xf numFmtId="9" fontId="0" fillId="0" borderId="0" xfId="0" applyNumberFormat="1"/>
    <xf numFmtId="0" fontId="0" fillId="0" borderId="0" xfId="0" applyAlignment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4" fontId="0" fillId="0" borderId="0" xfId="0" applyNumberFormat="1" applyFill="1"/>
    <xf numFmtId="43" fontId="0" fillId="0" borderId="0" xfId="2" applyNumberFormat="1" applyFont="1" applyFill="1"/>
    <xf numFmtId="164" fontId="0" fillId="0" borderId="0" xfId="0" applyNumberFormat="1" applyFill="1"/>
    <xf numFmtId="1" fontId="0" fillId="0" borderId="0" xfId="0" applyNumberFormat="1"/>
    <xf numFmtId="14" fontId="0" fillId="0" borderId="0" xfId="2" applyNumberFormat="1" applyFont="1"/>
    <xf numFmtId="0" fontId="3" fillId="2" borderId="0" xfId="0" applyFont="1" applyFill="1"/>
    <xf numFmtId="164" fontId="3" fillId="2" borderId="0" xfId="0" applyNumberFormat="1" applyFont="1" applyFill="1"/>
    <xf numFmtId="0" fontId="0" fillId="0" borderId="5" xfId="0" applyBorder="1"/>
    <xf numFmtId="14" fontId="0" fillId="0" borderId="5" xfId="0" applyNumberFormat="1" applyBorder="1"/>
    <xf numFmtId="164" fontId="2" fillId="0" borderId="0" xfId="2" applyNumberFormat="1" applyFont="1" applyAlignment="1">
      <alignment horizontal="center" vertical="center" wrapText="1"/>
    </xf>
    <xf numFmtId="164" fontId="2" fillId="0" borderId="0" xfId="2" applyNumberFormat="1" applyFont="1" applyAlignment="1">
      <alignment horizontal="center" vertical="center"/>
    </xf>
    <xf numFmtId="164" fontId="0" fillId="0" borderId="5" xfId="2" applyNumberFormat="1" applyFont="1" applyBorder="1"/>
    <xf numFmtId="10" fontId="0" fillId="0" borderId="5" xfId="1" applyNumberFormat="1" applyFont="1" applyBorder="1"/>
    <xf numFmtId="164" fontId="3" fillId="4" borderId="0" xfId="2" applyNumberFormat="1" applyFont="1" applyFill="1"/>
    <xf numFmtId="14" fontId="3" fillId="4" borderId="0" xfId="0" applyNumberFormat="1" applyFont="1" applyFill="1"/>
    <xf numFmtId="14" fontId="2" fillId="2" borderId="0" xfId="2" applyNumberFormat="1" applyFont="1" applyFill="1"/>
    <xf numFmtId="10" fontId="3" fillId="2" borderId="0" xfId="0" applyNumberFormat="1" applyFont="1" applyFill="1"/>
    <xf numFmtId="2" fontId="0" fillId="0" borderId="0" xfId="0" applyNumberFormat="1" applyAlignment="1">
      <alignment horizontal="right"/>
    </xf>
    <xf numFmtId="43" fontId="0" fillId="0" borderId="0" xfId="2" applyFont="1" applyAlignment="1">
      <alignment horizontal="right"/>
    </xf>
    <xf numFmtId="0" fontId="2" fillId="5" borderId="0" xfId="0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43" fontId="3" fillId="2" borderId="0" xfId="2" applyFont="1" applyFill="1" applyAlignment="1">
      <alignment horizontal="right"/>
    </xf>
    <xf numFmtId="0" fontId="0" fillId="0" borderId="0" xfId="0" applyAlignment="1">
      <alignment horizontal="right"/>
    </xf>
    <xf numFmtId="0" fontId="3" fillId="2" borderId="0" xfId="0" applyFont="1" applyFill="1" applyAlignment="1">
      <alignment horizontal="center" vertical="center" wrapText="1"/>
    </xf>
    <xf numFmtId="43" fontId="0" fillId="0" borderId="0" xfId="2" applyFont="1"/>
    <xf numFmtId="0" fontId="0" fillId="0" borderId="0" xfId="0" pivotButton="1"/>
    <xf numFmtId="0" fontId="0" fillId="0" borderId="0" xfId="0" applyAlignment="1">
      <alignment horizontal="left"/>
    </xf>
    <xf numFmtId="0" fontId="0" fillId="7" borderId="0" xfId="0" applyFill="1"/>
    <xf numFmtId="3" fontId="0" fillId="0" borderId="0" xfId="0" applyNumberFormat="1"/>
    <xf numFmtId="0" fontId="0" fillId="8" borderId="0" xfId="0" applyFill="1"/>
    <xf numFmtId="3" fontId="0" fillId="8" borderId="0" xfId="0" applyNumberFormat="1" applyFill="1"/>
    <xf numFmtId="3" fontId="3" fillId="2" borderId="0" xfId="0" applyNumberFormat="1" applyFont="1" applyFill="1" applyAlignment="1">
      <alignment horizontal="center" vertical="center"/>
    </xf>
    <xf numFmtId="3" fontId="0" fillId="8" borderId="0" xfId="0" applyNumberFormat="1" applyFill="1" applyAlignment="1">
      <alignment vertical="center"/>
    </xf>
    <xf numFmtId="3" fontId="0" fillId="0" borderId="0" xfId="0" applyNumberFormat="1" applyAlignment="1">
      <alignment vertical="center"/>
    </xf>
    <xf numFmtId="3" fontId="3" fillId="2" borderId="0" xfId="0" applyNumberFormat="1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9" fontId="0" fillId="0" borderId="0" xfId="1" applyNumberFormat="1" applyFont="1"/>
    <xf numFmtId="164" fontId="2" fillId="0" borderId="0" xfId="0" applyNumberFormat="1" applyFont="1"/>
    <xf numFmtId="169" fontId="0" fillId="0" borderId="0" xfId="0" applyNumberFormat="1"/>
    <xf numFmtId="0" fontId="0" fillId="3" borderId="0" xfId="0" applyFill="1"/>
    <xf numFmtId="164" fontId="0" fillId="3" borderId="0" xfId="2" applyNumberFormat="1" applyFont="1" applyFill="1"/>
    <xf numFmtId="43" fontId="0" fillId="0" borderId="0" xfId="0" applyNumberFormat="1" applyFill="1"/>
    <xf numFmtId="0" fontId="0" fillId="0" borderId="0" xfId="0" applyBorder="1"/>
    <xf numFmtId="0" fontId="0" fillId="5" borderId="0" xfId="0" applyFill="1"/>
    <xf numFmtId="0" fontId="0" fillId="11" borderId="0" xfId="0" applyFill="1"/>
    <xf numFmtId="0" fontId="2" fillId="11" borderId="0" xfId="0" applyFont="1" applyFill="1"/>
    <xf numFmtId="164" fontId="2" fillId="11" borderId="0" xfId="0" applyNumberFormat="1" applyFont="1" applyFill="1"/>
    <xf numFmtId="2" fontId="0" fillId="0" borderId="0" xfId="0" applyNumberFormat="1"/>
    <xf numFmtId="2" fontId="3" fillId="2" borderId="0" xfId="0" applyNumberFormat="1" applyFont="1" applyFill="1" applyAlignment="1">
      <alignment horizontal="center" vertical="center"/>
    </xf>
    <xf numFmtId="0" fontId="0" fillId="0" borderId="5" xfId="0" applyFill="1" applyBorder="1"/>
    <xf numFmtId="164" fontId="0" fillId="3" borderId="1" xfId="2" applyNumberFormat="1" applyFont="1" applyFill="1" applyBorder="1"/>
    <xf numFmtId="164" fontId="0" fillId="0" borderId="7" xfId="2" applyNumberFormat="1" applyFont="1" applyBorder="1"/>
    <xf numFmtId="0" fontId="0" fillId="12" borderId="6" xfId="0" applyFill="1" applyBorder="1"/>
    <xf numFmtId="0" fontId="0" fillId="0" borderId="7" xfId="0" applyBorder="1" applyAlignment="1">
      <alignment horizontal="right"/>
    </xf>
    <xf numFmtId="9" fontId="0" fillId="0" borderId="7" xfId="0" applyNumberFormat="1" applyBorder="1"/>
    <xf numFmtId="0" fontId="0" fillId="12" borderId="7" xfId="0" applyFill="1" applyBorder="1"/>
    <xf numFmtId="0" fontId="0" fillId="0" borderId="6" xfId="0" applyBorder="1" applyAlignment="1">
      <alignment horizontal="center" vertical="center"/>
    </xf>
    <xf numFmtId="164" fontId="2" fillId="12" borderId="6" xfId="2" applyNumberFormat="1" applyFont="1" applyFill="1" applyBorder="1"/>
    <xf numFmtId="9" fontId="2" fillId="12" borderId="6" xfId="0" applyNumberFormat="1" applyFont="1" applyFill="1" applyBorder="1"/>
    <xf numFmtId="164" fontId="2" fillId="12" borderId="7" xfId="2" applyNumberFormat="1" applyFont="1" applyFill="1" applyBorder="1"/>
    <xf numFmtId="9" fontId="2" fillId="12" borderId="7" xfId="0" applyNumberFormat="1" applyFont="1" applyFill="1" applyBorder="1"/>
    <xf numFmtId="0" fontId="0" fillId="0" borderId="7" xfId="0" applyFill="1" applyBorder="1" applyAlignment="1">
      <alignment horizontal="right"/>
    </xf>
    <xf numFmtId="164" fontId="3" fillId="6" borderId="0" xfId="2" applyNumberFormat="1" applyFont="1" applyFill="1"/>
    <xf numFmtId="0" fontId="2" fillId="9" borderId="0" xfId="0" applyFont="1" applyFill="1" applyAlignment="1">
      <alignment horizontal="center"/>
    </xf>
    <xf numFmtId="22" fontId="0" fillId="0" borderId="0" xfId="0" applyNumberFormat="1"/>
    <xf numFmtId="0" fontId="0" fillId="0" borderId="0" xfId="0" applyAlignment="1">
      <alignment horizontal="center"/>
    </xf>
    <xf numFmtId="9" fontId="0" fillId="13" borderId="0" xfId="1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0" fillId="0" borderId="0" xfId="2" applyNumberFormat="1" applyFont="1"/>
    <xf numFmtId="164" fontId="0" fillId="13" borderId="0" xfId="2" applyNumberFormat="1" applyFont="1" applyFill="1"/>
    <xf numFmtId="0" fontId="0" fillId="9" borderId="0" xfId="0" applyFill="1"/>
    <xf numFmtId="164" fontId="0" fillId="9" borderId="0" xfId="2" applyNumberFormat="1" applyFont="1" applyFill="1"/>
    <xf numFmtId="0" fontId="3" fillId="13" borderId="0" xfId="0" applyFont="1" applyFill="1"/>
    <xf numFmtId="164" fontId="3" fillId="13" borderId="0" xfId="0" applyNumberFormat="1" applyFont="1" applyFill="1"/>
    <xf numFmtId="10" fontId="0" fillId="0" borderId="0" xfId="0" applyNumberFormat="1"/>
    <xf numFmtId="164" fontId="0" fillId="0" borderId="0" xfId="2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4" borderId="0" xfId="0" applyFill="1"/>
    <xf numFmtId="164" fontId="0" fillId="14" borderId="0" xfId="2" applyNumberFormat="1" applyFont="1" applyFill="1"/>
    <xf numFmtId="0" fontId="0" fillId="0" borderId="0" xfId="0" applyAlignment="1">
      <alignment horizontal="center" vertical="center"/>
    </xf>
    <xf numFmtId="164" fontId="0" fillId="0" borderId="0" xfId="2" applyNumberFormat="1" applyFont="1" applyAlignment="1">
      <alignment horizontal="center" vertical="center"/>
    </xf>
    <xf numFmtId="164" fontId="0" fillId="0" borderId="0" xfId="2" applyNumberFormat="1" applyFont="1" applyAlignment="1">
      <alignment vertical="center"/>
    </xf>
    <xf numFmtId="4" fontId="3" fillId="2" borderId="0" xfId="0" applyNumberFormat="1" applyFont="1" applyFill="1" applyAlignment="1">
      <alignment horizontal="center" vertical="center"/>
    </xf>
    <xf numFmtId="43" fontId="0" fillId="0" borderId="0" xfId="2" applyFont="1" applyAlignment="1">
      <alignment horizontal="center" vertical="center"/>
    </xf>
    <xf numFmtId="43" fontId="0" fillId="13" borderId="0" xfId="2" applyFont="1" applyFill="1" applyAlignment="1">
      <alignment horizontal="center" vertical="center"/>
    </xf>
    <xf numFmtId="171" fontId="0" fillId="0" borderId="0" xfId="2" applyNumberFormat="1" applyFont="1"/>
    <xf numFmtId="172" fontId="0" fillId="0" borderId="0" xfId="2" applyNumberFormat="1" applyFont="1" applyFill="1" applyAlignment="1">
      <alignment vertical="center"/>
    </xf>
    <xf numFmtId="172" fontId="0" fillId="0" borderId="0" xfId="2" applyNumberFormat="1" applyFont="1" applyFill="1" applyAlignment="1">
      <alignment horizontal="center" vertical="center"/>
    </xf>
    <xf numFmtId="172" fontId="0" fillId="0" borderId="0" xfId="2" applyNumberFormat="1" applyFont="1" applyFill="1"/>
    <xf numFmtId="0" fontId="0" fillId="14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0" xfId="0" applyFill="1" applyAlignment="1">
      <alignment vertical="center"/>
    </xf>
    <xf numFmtId="0" fontId="0" fillId="15" borderId="0" xfId="0" applyFill="1" applyAlignment="1">
      <alignment horizontal="center" vertical="center"/>
    </xf>
    <xf numFmtId="164" fontId="0" fillId="15" borderId="0" xfId="2" applyNumberFormat="1" applyFont="1" applyFill="1" applyAlignment="1">
      <alignment vertical="center"/>
    </xf>
    <xf numFmtId="0" fontId="0" fillId="15" borderId="0" xfId="0" applyFill="1" applyAlignment="1">
      <alignment vertical="center"/>
    </xf>
    <xf numFmtId="164" fontId="0" fillId="15" borderId="0" xfId="2" applyNumberFormat="1" applyFont="1" applyFill="1" applyAlignment="1">
      <alignment horizontal="center" vertical="center"/>
    </xf>
    <xf numFmtId="164" fontId="0" fillId="12" borderId="0" xfId="2" applyNumberFormat="1" applyFont="1" applyFill="1"/>
    <xf numFmtId="0" fontId="0" fillId="16" borderId="0" xfId="0" applyFill="1" applyAlignment="1">
      <alignment horizontal="center" vertical="center"/>
    </xf>
    <xf numFmtId="164" fontId="0" fillId="16" borderId="0" xfId="2" applyNumberFormat="1" applyFont="1" applyFill="1"/>
    <xf numFmtId="0" fontId="0" fillId="16" borderId="0" xfId="0" applyFill="1"/>
    <xf numFmtId="0" fontId="0" fillId="17" borderId="0" xfId="0" applyFill="1" applyAlignment="1">
      <alignment horizontal="center" vertical="center"/>
    </xf>
    <xf numFmtId="164" fontId="0" fillId="17" borderId="0" xfId="2" applyNumberFormat="1" applyFont="1" applyFill="1"/>
    <xf numFmtId="0" fontId="0" fillId="17" borderId="0" xfId="0" applyFill="1" applyAlignment="1">
      <alignment vertical="center"/>
    </xf>
    <xf numFmtId="0" fontId="0" fillId="18" borderId="0" xfId="0" applyFill="1" applyAlignment="1">
      <alignment horizontal="center" vertical="center"/>
    </xf>
    <xf numFmtId="164" fontId="0" fillId="18" borderId="0" xfId="2" applyNumberFormat="1" applyFont="1" applyFill="1"/>
    <xf numFmtId="0" fontId="0" fillId="18" borderId="0" xfId="0" applyFill="1" applyAlignment="1">
      <alignment vertical="center"/>
    </xf>
    <xf numFmtId="164" fontId="0" fillId="18" borderId="0" xfId="2" applyNumberFormat="1" applyFont="1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164" fontId="0" fillId="19" borderId="0" xfId="2" applyNumberFormat="1" applyFont="1" applyFill="1"/>
    <xf numFmtId="0" fontId="0" fillId="19" borderId="0" xfId="0" applyFill="1"/>
    <xf numFmtId="0" fontId="0" fillId="20" borderId="0" xfId="0" applyFill="1" applyAlignment="1">
      <alignment horizontal="center" vertical="center"/>
    </xf>
    <xf numFmtId="164" fontId="0" fillId="20" borderId="0" xfId="2" applyNumberFormat="1" applyFont="1" applyFill="1"/>
    <xf numFmtId="0" fontId="0" fillId="20" borderId="0" xfId="0" applyFill="1" applyAlignment="1">
      <alignment vertical="center"/>
    </xf>
    <xf numFmtId="0" fontId="0" fillId="21" borderId="0" xfId="0" applyFill="1" applyAlignment="1">
      <alignment horizontal="center" vertical="center"/>
    </xf>
    <xf numFmtId="164" fontId="0" fillId="21" borderId="0" xfId="2" applyNumberFormat="1" applyFont="1" applyFill="1"/>
    <xf numFmtId="0" fontId="0" fillId="21" borderId="0" xfId="0" applyFill="1"/>
    <xf numFmtId="0" fontId="0" fillId="22" borderId="0" xfId="0" applyFill="1" applyAlignment="1">
      <alignment horizontal="center" vertical="center"/>
    </xf>
    <xf numFmtId="164" fontId="0" fillId="22" borderId="0" xfId="2" applyNumberFormat="1" applyFont="1" applyFill="1"/>
    <xf numFmtId="0" fontId="0" fillId="22" borderId="0" xfId="0" applyFill="1"/>
    <xf numFmtId="0" fontId="0" fillId="23" borderId="0" xfId="0" applyFill="1" applyAlignment="1">
      <alignment horizontal="center" vertical="center"/>
    </xf>
    <xf numFmtId="164" fontId="0" fillId="23" borderId="0" xfId="2" applyNumberFormat="1" applyFont="1" applyFill="1"/>
    <xf numFmtId="0" fontId="0" fillId="23" borderId="0" xfId="0" applyFill="1"/>
    <xf numFmtId="0" fontId="0" fillId="24" borderId="0" xfId="0" applyFill="1" applyAlignment="1">
      <alignment horizontal="center" vertical="center"/>
    </xf>
    <xf numFmtId="164" fontId="0" fillId="24" borderId="0" xfId="2" applyNumberFormat="1" applyFont="1" applyFill="1"/>
    <xf numFmtId="0" fontId="0" fillId="24" borderId="0" xfId="0" applyFill="1"/>
    <xf numFmtId="0" fontId="0" fillId="25" borderId="0" xfId="0" applyFill="1" applyAlignment="1">
      <alignment horizontal="center" vertical="center"/>
    </xf>
    <xf numFmtId="164" fontId="0" fillId="25" borderId="0" xfId="2" applyNumberFormat="1" applyFont="1" applyFill="1"/>
    <xf numFmtId="0" fontId="0" fillId="26" borderId="0" xfId="0" applyFill="1" applyAlignment="1">
      <alignment horizontal="center" vertical="center"/>
    </xf>
    <xf numFmtId="164" fontId="0" fillId="26" borderId="0" xfId="2" applyNumberFormat="1" applyFont="1" applyFill="1"/>
    <xf numFmtId="0" fontId="0" fillId="26" borderId="0" xfId="0" applyFill="1" applyAlignment="1">
      <alignment vertical="center"/>
    </xf>
    <xf numFmtId="164" fontId="0" fillId="26" borderId="0" xfId="2" applyNumberFormat="1" applyFont="1" applyFill="1" applyAlignment="1">
      <alignment horizontal="center" vertical="center"/>
    </xf>
    <xf numFmtId="173" fontId="3" fillId="13" borderId="0" xfId="1" applyNumberFormat="1" applyFont="1" applyFill="1"/>
    <xf numFmtId="0" fontId="0" fillId="0" borderId="0" xfId="0"/>
    <xf numFmtId="174" fontId="0" fillId="0" borderId="0" xfId="2" applyNumberFormat="1" applyFont="1"/>
    <xf numFmtId="0" fontId="0" fillId="0" borderId="0" xfId="0" applyFill="1" applyBorder="1"/>
    <xf numFmtId="0" fontId="0" fillId="0" borderId="0" xfId="0"/>
    <xf numFmtId="0" fontId="0" fillId="0" borderId="0" xfId="0"/>
    <xf numFmtId="10" fontId="0" fillId="0" borderId="0" xfId="1" applyNumberFormat="1" applyFont="1"/>
    <xf numFmtId="164" fontId="0" fillId="13" borderId="0" xfId="2" applyNumberFormat="1" applyFont="1" applyFill="1" applyAlignment="1">
      <alignment horizontal="center" vertical="center"/>
    </xf>
    <xf numFmtId="164" fontId="3" fillId="13" borderId="0" xfId="2" applyNumberFormat="1" applyFont="1" applyFill="1"/>
    <xf numFmtId="0" fontId="4" fillId="0" borderId="0" xfId="0" applyFont="1"/>
    <xf numFmtId="0" fontId="5" fillId="0" borderId="0" xfId="0" applyFont="1"/>
    <xf numFmtId="43" fontId="4" fillId="0" borderId="0" xfId="2" applyFont="1"/>
    <xf numFmtId="0" fontId="3" fillId="24" borderId="0" xfId="0" applyFont="1" applyFill="1"/>
    <xf numFmtId="43" fontId="3" fillId="24" borderId="0" xfId="0" applyNumberFormat="1" applyFont="1" applyFill="1"/>
    <xf numFmtId="10" fontId="3" fillId="2" borderId="0" xfId="1" applyNumberFormat="1" applyFont="1" applyFill="1" applyAlignment="1">
      <alignment horizontal="center" vertical="center"/>
    </xf>
    <xf numFmtId="0" fontId="0" fillId="0" borderId="0" xfId="2" applyNumberFormat="1" applyFont="1" applyAlignment="1">
      <alignment horizontal="center" vertical="center"/>
    </xf>
    <xf numFmtId="43" fontId="0" fillId="0" borderId="0" xfId="2" applyFont="1" applyAlignment="1">
      <alignment horizontal="center"/>
    </xf>
    <xf numFmtId="175" fontId="0" fillId="0" borderId="0" xfId="2" applyNumberFormat="1" applyFont="1"/>
    <xf numFmtId="176" fontId="0" fillId="0" borderId="0" xfId="1" applyNumberFormat="1" applyFont="1"/>
    <xf numFmtId="177" fontId="0" fillId="0" borderId="0" xfId="0" applyNumberFormat="1"/>
    <xf numFmtId="0" fontId="0" fillId="0" borderId="0" xfId="0"/>
    <xf numFmtId="43" fontId="0" fillId="0" borderId="0" xfId="2" applyFont="1"/>
    <xf numFmtId="164" fontId="0" fillId="0" borderId="0" xfId="2" applyNumberFormat="1" applyFont="1"/>
    <xf numFmtId="10" fontId="0" fillId="0" borderId="0" xfId="1" applyNumberFormat="1" applyFont="1"/>
    <xf numFmtId="164" fontId="0" fillId="0" borderId="0" xfId="0" applyNumberFormat="1"/>
    <xf numFmtId="0" fontId="0" fillId="28" borderId="0" xfId="0" applyFill="1" applyAlignment="1">
      <alignment horizontal="center" vertical="center"/>
    </xf>
    <xf numFmtId="164" fontId="0" fillId="28" borderId="0" xfId="2" applyNumberFormat="1" applyFont="1" applyFill="1"/>
    <xf numFmtId="0" fontId="0" fillId="28" borderId="0" xfId="0" applyFill="1" applyAlignment="1">
      <alignment vertical="center"/>
    </xf>
    <xf numFmtId="164" fontId="0" fillId="0" borderId="0" xfId="0" applyNumberFormat="1" applyFont="1"/>
    <xf numFmtId="174" fontId="0" fillId="0" borderId="0" xfId="0" applyNumberFormat="1" applyFont="1"/>
    <xf numFmtId="164" fontId="0" fillId="28" borderId="0" xfId="2" applyNumberFormat="1" applyFont="1" applyFill="1" applyAlignment="1">
      <alignment vertical="center"/>
    </xf>
    <xf numFmtId="164" fontId="0" fillId="0" borderId="0" xfId="0" pivotButton="1" applyNumberFormat="1"/>
    <xf numFmtId="0" fontId="2" fillId="10" borderId="10" xfId="0" applyFont="1" applyFill="1" applyBorder="1"/>
    <xf numFmtId="164" fontId="2" fillId="10" borderId="11" xfId="0" applyNumberFormat="1" applyFont="1" applyFill="1" applyBorder="1"/>
    <xf numFmtId="178" fontId="0" fillId="0" borderId="0" xfId="0" applyNumberFormat="1"/>
    <xf numFmtId="0" fontId="0" fillId="29" borderId="0" xfId="0" applyFill="1" applyAlignment="1">
      <alignment horizontal="center" vertical="center"/>
    </xf>
    <xf numFmtId="164" fontId="0" fillId="29" borderId="0" xfId="2" applyNumberFormat="1" applyFont="1" applyFill="1"/>
    <xf numFmtId="0" fontId="0" fillId="29" borderId="0" xfId="0" applyFill="1" applyAlignment="1">
      <alignment vertical="center"/>
    </xf>
    <xf numFmtId="164" fontId="0" fillId="29" borderId="0" xfId="2" applyNumberFormat="1" applyFont="1" applyFill="1" applyAlignment="1">
      <alignment vertical="center"/>
    </xf>
    <xf numFmtId="0" fontId="0" fillId="30" borderId="0" xfId="0" applyFill="1" applyAlignment="1">
      <alignment horizontal="center" vertical="center"/>
    </xf>
    <xf numFmtId="164" fontId="0" fillId="30" borderId="0" xfId="2" applyNumberFormat="1" applyFont="1" applyFill="1"/>
    <xf numFmtId="0" fontId="0" fillId="30" borderId="0" xfId="0" applyFill="1" applyAlignment="1">
      <alignment vertical="center"/>
    </xf>
    <xf numFmtId="164" fontId="0" fillId="30" borderId="0" xfId="2" applyNumberFormat="1" applyFont="1" applyFill="1" applyAlignment="1">
      <alignment vertical="center"/>
    </xf>
    <xf numFmtId="0" fontId="0" fillId="31" borderId="0" xfId="0" applyFill="1" applyAlignment="1">
      <alignment horizontal="center" vertical="center"/>
    </xf>
    <xf numFmtId="164" fontId="0" fillId="31" borderId="0" xfId="2" applyNumberFormat="1" applyFont="1" applyFill="1"/>
    <xf numFmtId="0" fontId="0" fillId="31" borderId="0" xfId="0" applyFill="1" applyAlignment="1">
      <alignment vertical="center"/>
    </xf>
    <xf numFmtId="164" fontId="0" fillId="31" borderId="0" xfId="2" applyNumberFormat="1" applyFont="1" applyFill="1" applyAlignment="1">
      <alignment vertical="center"/>
    </xf>
    <xf numFmtId="10" fontId="0" fillId="0" borderId="0" xfId="2" applyNumberFormat="1" applyFont="1"/>
    <xf numFmtId="0" fontId="0" fillId="32" borderId="0" xfId="0" applyFill="1"/>
    <xf numFmtId="3" fontId="0" fillId="32" borderId="0" xfId="0" applyNumberFormat="1" applyFill="1"/>
    <xf numFmtId="10" fontId="0" fillId="32" borderId="0" xfId="0" applyNumberFormat="1" applyFill="1"/>
    <xf numFmtId="164" fontId="0" fillId="7" borderId="0" xfId="2" applyNumberFormat="1" applyFont="1" applyFill="1"/>
    <xf numFmtId="10" fontId="0" fillId="7" borderId="0" xfId="1" applyNumberFormat="1" applyFont="1" applyFill="1"/>
    <xf numFmtId="3" fontId="2" fillId="9" borderId="0" xfId="0" applyNumberFormat="1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9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3" fillId="27" borderId="8" xfId="0" applyFont="1" applyFill="1" applyBorder="1" applyAlignment="1">
      <alignment horizontal="center"/>
    </xf>
    <xf numFmtId="0" fontId="3" fillId="27" borderId="9" xfId="0" applyFont="1" applyFill="1" applyBorder="1" applyAlignment="1">
      <alignment horizontal="center"/>
    </xf>
    <xf numFmtId="164" fontId="0" fillId="0" borderId="0" xfId="2" applyNumberFormat="1" applyFont="1" applyAlignment="1">
      <alignment horizontal="center"/>
    </xf>
    <xf numFmtId="0" fontId="2" fillId="3" borderId="0" xfId="0" applyFont="1" applyFill="1" applyAlignment="1">
      <alignment horizontal="center" vertical="center"/>
    </xf>
  </cellXfs>
  <cellStyles count="5">
    <cellStyle name="Milliers" xfId="2" builtinId="3"/>
    <cellStyle name="Milliers 2" xfId="3" xr:uid="{00000000-0005-0000-0000-000001000000}"/>
    <cellStyle name="Milliers 3" xfId="4" xr:uid="{00000000-0005-0000-0000-000002000000}"/>
    <cellStyle name="Normal" xfId="0" builtinId="0"/>
    <cellStyle name="Pourcentage" xfId="1" builtinId="5"/>
  </cellStyles>
  <dxfs count="275">
    <dxf>
      <fill>
        <patternFill>
          <bgColor theme="5" tint="-0.499984740745262"/>
        </patternFill>
      </fill>
    </dxf>
    <dxf>
      <fill>
        <patternFill patternType="solid">
          <bgColor theme="5" tint="-0.499984740745262"/>
        </patternFill>
      </fill>
    </dxf>
    <dxf>
      <fill>
        <patternFill patternType="solid">
          <bgColor theme="5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4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4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4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178" formatCode="#,##0.000"/>
    </dxf>
    <dxf>
      <numFmt numFmtId="164" formatCode="_-* #,##0\ _€_-;\-* #,##0\ _€_-;_-* &quot;-&quot;??\ _€_-;_-@_-"/>
    </dxf>
    <dxf>
      <numFmt numFmtId="164" formatCode="_-* #,##0\ _€_-;\-* #,##0\ _€_-;_-* &quot;-&quot;??\ _€_-;_-@_-"/>
    </dxf>
    <dxf>
      <numFmt numFmtId="164" formatCode="_-* #,##0\ _€_-;\-* #,##0\ _€_-;_-* &quot;-&quot;??\ _€_-;_-@_-"/>
    </dxf>
    <dxf>
      <numFmt numFmtId="164" formatCode="_-* #,##0\ _€_-;\-* #,##0\ _€_-;_-* &quot;-&quot;??\ _€_-;_-@_-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7/relationships/slicerCache" Target="slicerCaches/slicerCache1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pivotCacheDefinition" Target="pivotCache/pivotCacheDefinition5.xml"/><Relationship Id="rId37" Type="http://schemas.openxmlformats.org/officeDocument/2006/relationships/sharedStrings" Target="sharedString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1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pivotCacheDefinition" Target="pivotCache/pivotCacheDefinition3.xml"/><Relationship Id="rId35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Graphique!$C$1</c:f>
              <c:strCache>
                <c:ptCount val="1"/>
                <c:pt idx="0">
                  <c:v>Classement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Graphique!$B$2:$B$15</c:f>
              <c:numCache>
                <c:formatCode>m/d/yyyy</c:formatCode>
                <c:ptCount val="14"/>
                <c:pt idx="0">
                  <c:v>43450</c:v>
                </c:pt>
                <c:pt idx="1">
                  <c:v>43451</c:v>
                </c:pt>
                <c:pt idx="2">
                  <c:v>43452</c:v>
                </c:pt>
                <c:pt idx="3">
                  <c:v>43453</c:v>
                </c:pt>
                <c:pt idx="4">
                  <c:v>43454</c:v>
                </c:pt>
                <c:pt idx="5">
                  <c:v>43455</c:v>
                </c:pt>
                <c:pt idx="6">
                  <c:v>43456</c:v>
                </c:pt>
                <c:pt idx="7">
                  <c:v>43457</c:v>
                </c:pt>
                <c:pt idx="8">
                  <c:v>43458</c:v>
                </c:pt>
                <c:pt idx="9">
                  <c:v>43459</c:v>
                </c:pt>
                <c:pt idx="10">
                  <c:v>43460</c:v>
                </c:pt>
                <c:pt idx="11">
                  <c:v>43461</c:v>
                </c:pt>
                <c:pt idx="12">
                  <c:v>43462</c:v>
                </c:pt>
                <c:pt idx="13">
                  <c:v>43463</c:v>
                </c:pt>
              </c:numCache>
            </c:numRef>
          </c:cat>
          <c:val>
            <c:numRef>
              <c:f>Graphique!$C$2:$C$15</c:f>
              <c:numCache>
                <c:formatCode>_-* #\ ##0\ _€_-;\-* #\ ##0\ _€_-;_-* "-"??\ _€_-;_-@_-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AA-4765-9061-64FBD3BEE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487424"/>
        <c:axId val="152489344"/>
      </c:lineChart>
      <c:dateAx>
        <c:axId val="152487424"/>
        <c:scaling>
          <c:orientation val="minMax"/>
        </c:scaling>
        <c:delete val="0"/>
        <c:axPos val="t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489344"/>
        <c:crosses val="autoZero"/>
        <c:auto val="1"/>
        <c:lblOffset val="100"/>
        <c:baseTimeUnit val="days"/>
      </c:dateAx>
      <c:valAx>
        <c:axId val="15248934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487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Graphique!$D$1</c:f>
              <c:strCache>
                <c:ptCount val="1"/>
                <c:pt idx="0">
                  <c:v>Chiffre d'affaires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Graphique!$B$2:$B$15</c:f>
              <c:numCache>
                <c:formatCode>m/d/yyyy</c:formatCode>
                <c:ptCount val="14"/>
                <c:pt idx="0">
                  <c:v>43450</c:v>
                </c:pt>
                <c:pt idx="1">
                  <c:v>43451</c:v>
                </c:pt>
                <c:pt idx="2">
                  <c:v>43452</c:v>
                </c:pt>
                <c:pt idx="3">
                  <c:v>43453</c:v>
                </c:pt>
                <c:pt idx="4">
                  <c:v>43454</c:v>
                </c:pt>
                <c:pt idx="5">
                  <c:v>43455</c:v>
                </c:pt>
                <c:pt idx="6">
                  <c:v>43456</c:v>
                </c:pt>
                <c:pt idx="7">
                  <c:v>43457</c:v>
                </c:pt>
                <c:pt idx="8">
                  <c:v>43458</c:v>
                </c:pt>
                <c:pt idx="9">
                  <c:v>43459</c:v>
                </c:pt>
                <c:pt idx="10">
                  <c:v>43460</c:v>
                </c:pt>
                <c:pt idx="11">
                  <c:v>43461</c:v>
                </c:pt>
                <c:pt idx="12">
                  <c:v>43462</c:v>
                </c:pt>
                <c:pt idx="13">
                  <c:v>43463</c:v>
                </c:pt>
              </c:numCache>
            </c:numRef>
          </c:cat>
          <c:val>
            <c:numRef>
              <c:f>Graphique!$D$2:$D$15</c:f>
              <c:numCache>
                <c:formatCode>_-* #\ ##0\ _€_-;\-* #\ ##0\ _€_-;_-* "-"??\ _€_-;_-@_-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B6-4A75-AC6C-C3FC0032DD35}"/>
            </c:ext>
          </c:extLst>
        </c:ser>
        <c:ser>
          <c:idx val="1"/>
          <c:order val="1"/>
          <c:tx>
            <c:strRef>
              <c:f>Graphique!$E$1</c:f>
              <c:strCache>
                <c:ptCount val="1"/>
                <c:pt idx="0">
                  <c:v>Coût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Graphique!$B$2:$B$15</c:f>
              <c:numCache>
                <c:formatCode>m/d/yyyy</c:formatCode>
                <c:ptCount val="14"/>
                <c:pt idx="0">
                  <c:v>43450</c:v>
                </c:pt>
                <c:pt idx="1">
                  <c:v>43451</c:v>
                </c:pt>
                <c:pt idx="2">
                  <c:v>43452</c:v>
                </c:pt>
                <c:pt idx="3">
                  <c:v>43453</c:v>
                </c:pt>
                <c:pt idx="4">
                  <c:v>43454</c:v>
                </c:pt>
                <c:pt idx="5">
                  <c:v>43455</c:v>
                </c:pt>
                <c:pt idx="6">
                  <c:v>43456</c:v>
                </c:pt>
                <c:pt idx="7">
                  <c:v>43457</c:v>
                </c:pt>
                <c:pt idx="8">
                  <c:v>43458</c:v>
                </c:pt>
                <c:pt idx="9">
                  <c:v>43459</c:v>
                </c:pt>
                <c:pt idx="10">
                  <c:v>43460</c:v>
                </c:pt>
                <c:pt idx="11">
                  <c:v>43461</c:v>
                </c:pt>
                <c:pt idx="12">
                  <c:v>43462</c:v>
                </c:pt>
                <c:pt idx="13">
                  <c:v>43463</c:v>
                </c:pt>
              </c:numCache>
            </c:numRef>
          </c:cat>
          <c:val>
            <c:numRef>
              <c:f>Graphique!$E$2:$E$15</c:f>
              <c:numCache>
                <c:formatCode>_-* #\ ##0\ _€_-;\-* #\ ##0\ _€_-;_-* "-"??\ _€_-;_-@_-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B6-4A75-AC6C-C3FC0032DD35}"/>
            </c:ext>
          </c:extLst>
        </c:ser>
        <c:ser>
          <c:idx val="2"/>
          <c:order val="2"/>
          <c:tx>
            <c:strRef>
              <c:f>Graphique!$F$1</c:f>
              <c:strCache>
                <c:ptCount val="1"/>
                <c:pt idx="0">
                  <c:v>Impôts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Graphique!$B$2:$B$15</c:f>
              <c:numCache>
                <c:formatCode>m/d/yyyy</c:formatCode>
                <c:ptCount val="14"/>
                <c:pt idx="0">
                  <c:v>43450</c:v>
                </c:pt>
                <c:pt idx="1">
                  <c:v>43451</c:v>
                </c:pt>
                <c:pt idx="2">
                  <c:v>43452</c:v>
                </c:pt>
                <c:pt idx="3">
                  <c:v>43453</c:v>
                </c:pt>
                <c:pt idx="4">
                  <c:v>43454</c:v>
                </c:pt>
                <c:pt idx="5">
                  <c:v>43455</c:v>
                </c:pt>
                <c:pt idx="6">
                  <c:v>43456</c:v>
                </c:pt>
                <c:pt idx="7">
                  <c:v>43457</c:v>
                </c:pt>
                <c:pt idx="8">
                  <c:v>43458</c:v>
                </c:pt>
                <c:pt idx="9">
                  <c:v>43459</c:v>
                </c:pt>
                <c:pt idx="10">
                  <c:v>43460</c:v>
                </c:pt>
                <c:pt idx="11">
                  <c:v>43461</c:v>
                </c:pt>
                <c:pt idx="12">
                  <c:v>43462</c:v>
                </c:pt>
                <c:pt idx="13">
                  <c:v>43463</c:v>
                </c:pt>
              </c:numCache>
            </c:numRef>
          </c:cat>
          <c:val>
            <c:numRef>
              <c:f>Graphique!$F$2:$F$15</c:f>
              <c:numCache>
                <c:formatCode>_-* #\ ##0\ _€_-;\-* #\ ##0\ _€_-;_-* "-"??\ _€_-;_-@_-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B6-4A75-AC6C-C3FC0032DD35}"/>
            </c:ext>
          </c:extLst>
        </c:ser>
        <c:ser>
          <c:idx val="3"/>
          <c:order val="3"/>
          <c:tx>
            <c:strRef>
              <c:f>Graphique!$G$1</c:f>
              <c:strCache>
                <c:ptCount val="1"/>
                <c:pt idx="0">
                  <c:v>TS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numRef>
              <c:f>Graphique!$B$2:$B$15</c:f>
              <c:numCache>
                <c:formatCode>m/d/yyyy</c:formatCode>
                <c:ptCount val="14"/>
                <c:pt idx="0">
                  <c:v>43450</c:v>
                </c:pt>
                <c:pt idx="1">
                  <c:v>43451</c:v>
                </c:pt>
                <c:pt idx="2">
                  <c:v>43452</c:v>
                </c:pt>
                <c:pt idx="3">
                  <c:v>43453</c:v>
                </c:pt>
                <c:pt idx="4">
                  <c:v>43454</c:v>
                </c:pt>
                <c:pt idx="5">
                  <c:v>43455</c:v>
                </c:pt>
                <c:pt idx="6">
                  <c:v>43456</c:v>
                </c:pt>
                <c:pt idx="7">
                  <c:v>43457</c:v>
                </c:pt>
                <c:pt idx="8">
                  <c:v>43458</c:v>
                </c:pt>
                <c:pt idx="9">
                  <c:v>43459</c:v>
                </c:pt>
                <c:pt idx="10">
                  <c:v>43460</c:v>
                </c:pt>
                <c:pt idx="11">
                  <c:v>43461</c:v>
                </c:pt>
                <c:pt idx="12">
                  <c:v>43462</c:v>
                </c:pt>
                <c:pt idx="13">
                  <c:v>43463</c:v>
                </c:pt>
              </c:numCache>
            </c:numRef>
          </c:cat>
          <c:val>
            <c:numRef>
              <c:f>Graphique!$G$2:$G$15</c:f>
              <c:numCache>
                <c:formatCode>_-* #\ ##0\ _€_-;\-* #\ ##0\ _€_-;_-* "-"??\ _€_-;_-@_-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3B6-4A75-AC6C-C3FC0032D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03968"/>
        <c:axId val="152810240"/>
      </c:lineChart>
      <c:dateAx>
        <c:axId val="15280396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810240"/>
        <c:crosses val="autoZero"/>
        <c:auto val="1"/>
        <c:lblOffset val="100"/>
        <c:baseTimeUnit val="days"/>
      </c:dateAx>
      <c:valAx>
        <c:axId val="15281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803968"/>
        <c:crosses val="autoZero"/>
        <c:crossBetween val="between"/>
        <c:majorUnit val="20000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7</xdr:col>
      <xdr:colOff>676275</xdr:colOff>
      <xdr:row>38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18</xdr:col>
      <xdr:colOff>0</xdr:colOff>
      <xdr:row>38</xdr:row>
      <xdr:rowOff>104775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1</xdr:row>
      <xdr:rowOff>0</xdr:rowOff>
    </xdr:from>
    <xdr:to>
      <xdr:col>14</xdr:col>
      <xdr:colOff>314325</xdr:colOff>
      <xdr:row>14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HUB D">
              <a:extLst>
                <a:ext uri="{FF2B5EF4-FFF2-40B4-BE49-F238E27FC236}">
                  <a16:creationId xmlns:a16="http://schemas.microsoft.com/office/drawing/2014/main" id="{00000000-0008-0000-1F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UB 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2990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vo GRANGE" refreshedDate="42599.468223958334" createdVersion="4" refreshedVersion="4" minRefreshableVersion="3" recordCount="464" xr:uid="{00000000-000A-0000-FFFF-FFFF00000000}">
  <cacheSource type="worksheet">
    <worksheetSource ref="K36:T500" sheet="DataDemande"/>
  </cacheSource>
  <cacheFields count="10">
    <cacheField name="Départ" numFmtId="0">
      <sharedItems/>
    </cacheField>
    <cacheField name="Arrivée" numFmtId="0">
      <sharedItems/>
    </cacheField>
    <cacheField name="Pays" numFmtId="0">
      <sharedItems count="12">
        <s v=""/>
        <s v="in"/>
        <s v="ng" u="1"/>
        <s v="us" u="1"/>
        <s v="ao" u="1"/>
        <s v="ru" u="1"/>
        <s v="cm" u="1"/>
        <s v="cd" u="1"/>
        <s v="na" u="1"/>
        <s v="sl" u="1"/>
        <s v="td" u="1"/>
        <s v="sn" u="1"/>
      </sharedItems>
    </cacheField>
    <cacheField name="Ligne" numFmtId="0">
      <sharedItems containsBlank="1" count="249">
        <s v=""/>
        <s v="BOM/DKR"/>
        <s v="SFO/HND" u="1"/>
        <m u="1"/>
        <s v="WDH/JHB" u="1"/>
        <s v="BOM/GIG" u="1"/>
        <s v="DLA/URC" u="1"/>
        <s v="SFO/HAN" u="1"/>
        <s v="DKR/CJU" u="1"/>
        <s v="DKR/HKG" u="1"/>
        <s v="SFO/OSL" u="1"/>
        <s v="DKR/GMP" u="1"/>
        <s v="JFK/HOI" u="1"/>
        <s v="SFO/AMS" u="1"/>
        <s v="JFK/CNX" u="1"/>
        <s v="SFO/BRU" u="1"/>
        <s v="DEL/DKR" u="1"/>
        <s v="FNA/SZX" u="1"/>
        <s v="NSI/DVO" u="1"/>
        <s v="SDD/KMG" u="1"/>
        <s v="LOS/GAU" u="1"/>
        <s v="FIH/HDY" u="1"/>
        <s v="JFK/AJF" u="1"/>
        <s v="BOM/SYD" u="1"/>
        <s v="DKR/LAO" u="1"/>
        <s v="DKR/PUS" u="1"/>
        <s v="DME/IRJ" u="1"/>
        <s v="DEL/CPT" u="1"/>
        <s v="DME/PPG" u="1"/>
        <s v="SFO/LUX" u="1"/>
        <s v="JFK/BLR" u="1"/>
        <s v="BOM/CPT" u="1"/>
        <s v="SDD/DEN" u="1"/>
        <s v="JFK/RAE" u="1"/>
        <s v="SDD/ATL" u="1"/>
        <s v="DKR/SZX" u="1"/>
        <s v="JFK/DEL" u="1"/>
        <s v="JFK/HRG" u="1"/>
        <s v="LOS/ADL" u="1"/>
        <s v="DLA/KBV" u="1"/>
        <s v="DME/COR" u="1"/>
        <s v="FIH/BTH" u="1"/>
        <s v="FIH/CEI" u="1"/>
        <s v="FIH/MES" u="1"/>
        <s v="SFO/HGH" u="1"/>
        <s v="DLA/CEI" u="1"/>
        <s v="LOS/HYD" u="1"/>
        <s v="JFK/VKO" u="1"/>
        <s v="DLA/MES" u="1"/>
        <s v="DLA/CLT" u="1"/>
        <s v="SFO/SHA" u="1"/>
        <s v="SDD/CTU" u="1"/>
        <s v="LAD/HYD" u="1"/>
        <s v="LOS/IXZ" u="1"/>
        <s v="NSI/OMS" u="1"/>
        <s v="SFO/KIX" u="1"/>
        <s v="DLA/PTY" u="1"/>
        <s v="DLA/URT" u="1"/>
        <s v="SGN/DME" u="1"/>
        <s v="BOM/ABJ" u="1"/>
        <s v="FNA/SHA" u="1"/>
        <s v="SFO/RTM" u="1"/>
        <s v="SFO/NGS" u="1"/>
        <s v="BOM/MEL" u="1"/>
        <s v="JFK/OPO" u="1"/>
        <s v="NSI/HKG" u="1"/>
        <s v="DKR/HGH" u="1"/>
        <s v="LOS/CGP" u="1"/>
        <s v="LOS/PER" u="1"/>
        <s v="SFO/SLZ" u="1"/>
        <s v="FIH/DMK" u="1"/>
        <s v="SFO/KOJ" u="1"/>
        <s v="DLA/IAD" u="1"/>
        <s v="JFK/TUU" u="1"/>
        <s v="LOS/SCL" u="1"/>
        <s v="DKR/KBL" u="1"/>
        <s v="DKR/SHA" u="1"/>
        <s v="LOS/BLR" u="1"/>
        <s v="BOM/OUA" u="1"/>
        <s v="SDD/AMS" u="1"/>
        <s v="SFO/LGW" u="1"/>
        <s v="JFK/ATZ" u="1"/>
        <s v="WDH/AMS" u="1"/>
        <s v="NSI/PUS" u="1"/>
        <s v="WDH/BKK" u="1"/>
        <s v="FIH/KUL" u="1"/>
        <s v="LOS/DEL" u="1"/>
        <s v="LAD/BLR" u="1"/>
        <s v="DKR/ALG" u="1"/>
        <s v="DEL/BJL" u="1"/>
        <s v="NSI/SZX" u="1"/>
        <s v="LAD/DEL" u="1"/>
        <s v="DLA/JFK" u="1"/>
        <s v="LOS/BOM" u="1"/>
        <s v="BOM/BJL" u="1"/>
        <s v="LOS/AMD" u="1"/>
        <s v="SDD/LAX" u="1"/>
        <s v="SFO/YHU" u="1"/>
        <s v="LAD/BOM" u="1"/>
        <s v="NDJ/FRA" u="1"/>
        <s v="LAD/AMD" u="1"/>
        <s v="SGN/CAI" u="1"/>
        <s v="SFO/MAD" u="1"/>
        <s v="DEL/WDH" u="1"/>
        <s v="DKR/SUB" u="1"/>
        <s v="FIH/SDQ" u="1"/>
        <s v="DEL/OXB" u="1"/>
        <s v="LOS/NRT" u="1"/>
        <s v="BOM/OXB" u="1"/>
        <s v="DKR/BTH" u="1"/>
        <s v="FNA/DME" u="1"/>
        <s v="JFK/SVO" u="1"/>
        <s v="LOS/DAC" u="1"/>
        <s v="NSI/SYD" u="1"/>
        <s v="SDD/HGH" u="1"/>
        <s v="LOS/EZE" u="1"/>
        <s v="DKR/MES" u="1"/>
        <s v="DME/MDZ" u="1"/>
        <s v="SFO/CRL" u="1"/>
        <s v="DME/CTC" u="1"/>
        <s v="LOS/HND" u="1"/>
        <s v="NSI/SHA" u="1"/>
        <s v="NSI/URC" u="1"/>
        <s v="DKR/GES" u="1"/>
        <s v="DME/IGR" u="1"/>
        <s v="JFK/KIX" u="1"/>
        <s v="SFO/ORY" u="1"/>
        <s v="SDD/ORD" u="1"/>
        <s v="DME/ROS" u="1"/>
        <s v="JFK/PMC" u="1"/>
        <s v="LOS/CCU" u="1"/>
        <s v="JFK/GYE" u="1"/>
        <s v="DME/TUC" u="1"/>
        <s v="DEL/SDQ" u="1"/>
        <s v="LOS/DRW" u="1"/>
        <s v="LOS/LGB" u="1"/>
        <s v="LAD/AMS" u="1"/>
        <s v="DKR/CRK" u="1"/>
        <s v="LAD/CCU" u="1"/>
        <s v="SGN/LED" u="1"/>
        <s v="LOS/PNQ" u="1"/>
        <s v="NSI/MEL" u="1"/>
        <s v="SFO/BSB" u="1"/>
        <s v="BOM/CNF" u="1"/>
        <s v="DEL/ROB" u="1"/>
        <s v="DME/NOU" u="1"/>
        <s v="SFO/SXR" u="1"/>
        <s v="LOS/SYD" u="1"/>
        <s v="SFO/PVG" u="1"/>
        <s v="BOM/REC" u="1"/>
        <s v="SDD/CEK" u="1"/>
        <s v="JFK/CEI" u="1"/>
        <s v="NDJ/AMS" u="1"/>
        <s v="FIH/POP" u="1"/>
        <s v="SFO/CDG" u="1"/>
        <s v="FIH/CNX" u="1"/>
        <s v="FNA/PVG" u="1"/>
        <s v="JFK/YNB" u="1"/>
        <s v="FNA/CAN" u="1"/>
        <s v="SFO/GAU" u="1"/>
        <s v="DLA/CNX" u="1"/>
        <s v="FNA/XIY" u="1"/>
        <s v="JFK/DME" u="1"/>
        <s v="SFO/LIS" u="1"/>
        <s v="DEL/CKY" u="1"/>
        <s v="SFO/DLC" u="1"/>
        <s v="BOM/CKY" u="1"/>
        <s v="DKR/PVG" u="1"/>
        <s v="DLA/PHL" u="1"/>
        <s v="WDH/DMK" u="1"/>
        <s v="DME/JUJ" u="1"/>
        <s v="DME/NAN" u="1"/>
        <s v="SFO/BIO" u="1"/>
        <s v="DME/SLA" u="1"/>
        <s v="DKR/DPS" u="1"/>
        <s v="LOS/MEL" u="1"/>
        <s v="SDD/JFK" u="1"/>
        <s v="WDH/KUL" u="1"/>
        <s v="SFO/PEK" u="1"/>
        <s v="FIH/PUJ" u="1"/>
        <s v="DME/LUQ" u="1"/>
        <s v="DLA/MCO" u="1"/>
        <s v="SDD/CKG" u="1"/>
        <s v="FNA/PEK" u="1"/>
        <s v="LOS/CBR" u="1"/>
        <s v="SGN/BRI" u="1"/>
        <s v="DME/DRW" u="1"/>
        <s v="FNA/CGK" u="1"/>
        <s v="DLA/BOS" u="1"/>
        <s v="DLA/MIA" u="1"/>
        <s v="SFO/CGO" u="1"/>
        <s v="JFK/CAI" u="1"/>
        <s v="LOS/COK" u="1"/>
        <s v="LOS/MAA" u="1"/>
        <s v="FIH/PAP" u="1"/>
        <s v="FIH/PDG" u="1"/>
        <s v="SFO/FRA" u="1"/>
        <s v="SFO/ITM" u="1"/>
        <s v="DEL/NKC" u="1"/>
        <s v="JFK/NSK" u="1"/>
        <s v="LAD/MAA" u="1"/>
        <s v="BOM/NKC" u="1"/>
        <s v="DKR/CGK" u="1"/>
        <s v="DEL/ACC" u="1"/>
        <s v="LAD/CHC" u="1"/>
        <s v="DEL/SSA" u="1"/>
        <s v="SDD/XIY" u="1"/>
        <s v="SGN/FKI" u="1"/>
        <s v="DLA/BUF" u="1"/>
        <s v="DLA/EWR" u="1"/>
        <s v="SFO/KMI" u="1"/>
        <s v="BOM/SSA" u="1"/>
        <s v="SFO/KWJ" u="1"/>
        <s v="FNA/KMG" u="1"/>
        <s v="DEL/PUJ" u="1"/>
        <s v="NSI/PVG" u="1"/>
        <s v="NSI/CAN" u="1"/>
        <s v="DEL/SID" u="1"/>
        <s v="DEL/ICN" u="1"/>
        <s v="FIH/BKK" u="1"/>
        <s v="DKR/DOH" u="1"/>
        <s v="DLA/AMS" u="1"/>
        <s v="DME/APW" u="1"/>
        <s v="JFK/HBE" u="1"/>
        <s v="SDD/DFW" u="1"/>
        <s v="DEL/GMP" u="1"/>
        <s v="FIH/HKT" u="1"/>
        <s v="SFO/ICN" u="1"/>
        <s v="SFO/ATQ" u="1"/>
        <s v="SFO/TAO" u="1"/>
        <s v="SFO/DUB" u="1"/>
        <s v="SFO/LHR" u="1"/>
        <s v="SFO/NRT" u="1"/>
        <s v="DLA/HKT" u="1"/>
        <s v="JFK/LED" u="1"/>
        <s v="SFO/GMP" u="1"/>
        <s v="DEL/FNA" u="1"/>
        <s v="DKR/SSA" u="1"/>
        <s v="DKR/AMD" u="1"/>
        <s v="BOM/FNA" u="1"/>
        <s v="FNA/CTU" u="1"/>
        <s v="FNA/HKG" u="1"/>
        <s v="BOM/DXB" u="1"/>
        <s v="SFO/PUS" u="1"/>
        <s v="DKR/ICN" u="1"/>
        <s v="FIH/URC" u="1"/>
        <s v="NSI/PEK" u="1"/>
        <s v="SFO/FUK" u="1"/>
        <s v="BOM/AMS" u="1"/>
      </sharedItems>
    </cacheField>
    <cacheField name="Distance" numFmtId="0">
      <sharedItems containsMixedTypes="1" containsNumber="1" containsInteger="1" minValue="0" maxValue="0"/>
    </cacheField>
    <cacheField name="Distance_" numFmtId="0">
      <sharedItems containsSemiMixedTypes="0" containsString="0" containsNumber="1" containsInteger="1" minValue="0" maxValue="9516"/>
    </cacheField>
    <cacheField name="Eco" numFmtId="164">
      <sharedItems containsSemiMixedTypes="0" containsString="0" containsNumber="1" containsInteger="1" minValue="0" maxValue="5849"/>
    </cacheField>
    <cacheField name="Affaire" numFmtId="164">
      <sharedItems containsSemiMixedTypes="0" containsString="0" containsNumber="1" containsInteger="1" minValue="0" maxValue="149"/>
    </cacheField>
    <cacheField name="Première" numFmtId="164">
      <sharedItems containsSemiMixedTypes="0" containsString="0" containsNumber="1" containsInteger="1" minValue="0" maxValue="10"/>
    </cacheField>
    <cacheField name="Cargo" numFmtId="164">
      <sharedItems containsSemiMixedTypes="0" containsString="0" containsNumber="1" containsInteger="1" minValue="0" maxValue="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vo GRANGE" refreshedDate="42599.666594097223" createdVersion="5" refreshedVersion="4" minRefreshableVersion="3" recordCount="975" xr:uid="{00000000-000A-0000-FFFF-FFFF02000000}">
  <cacheSource type="worksheet">
    <worksheetSource ref="M25:P1000" sheet="DataCoutRevenuAux"/>
  </cacheSource>
  <cacheFields count="4">
    <cacheField name="Ligne" numFmtId="0">
      <sharedItems count="186">
        <s v=""/>
        <s v="DME/COR" u="1"/>
        <s v="FIH/HDY" u="1"/>
        <s v="LAD/MAA" u="1"/>
        <s v="FIH/HKT" u="1"/>
        <s v="WDH/BKK" u="1"/>
        <s v="BOM/BJL" u="1"/>
        <s v="DEL/SDQ" u="1"/>
        <s v="BOM/OXB" u="1"/>
        <s v="DKR/CRK" u="1"/>
        <s v="DKR/SSA" u="1"/>
        <s v="DLA/IAD" u="1"/>
        <s v="LOS/DRW" u="1"/>
        <s v="BOM/DKR" u="1"/>
        <s v="DLA/BUF" u="1"/>
        <s v="SDD/ORD" u="1"/>
        <s v="WDH/KUL" u="1"/>
        <s v="BOM/MEL" u="1"/>
        <s v="DKR/BTH" u="1"/>
        <s v="FIH/PAP" u="1"/>
        <s v="LAD/BLR" u="1"/>
        <s v="NSI/PVG" u="1"/>
        <s v="DLA/MCO" u="1"/>
        <s v="FIH/CNX" u="1"/>
        <s v="FNA/XIY" u="1"/>
        <s v="SFO/PEK" u="1"/>
        <s v="WDH/JHB" u="1"/>
        <s v="BOM/SSA" u="1"/>
        <s v="NSI/MEL" u="1"/>
        <s v="DKR/LAO" u="1"/>
        <s v="DEL/CPT" u="1"/>
        <s v="LAD/DEL" u="1"/>
        <s v="LOS/LGB" u="1"/>
        <s v="DKR/KBL" u="1"/>
        <s v="DKR/SUB" u="1"/>
        <s v="DEL/GMP" u="1"/>
        <s v="FIH/DMK" u="1"/>
        <s v="LOS/HND" u="1"/>
        <s v="LOS/DAC" u="1"/>
        <s v="LOS/EZE" u="1"/>
        <s v="SFO/SHA" u="1"/>
        <s v="DEL/CKY" u="1"/>
        <s v="DME/DRW" u="1"/>
        <s v="LOS/AMD" u="1"/>
        <s v="DKR/DPS" u="1"/>
        <s v="LOS/CBR" u="1"/>
        <s v="DKR/CJU" u="1"/>
        <s v="FNA/DME" u="1"/>
        <s v="SFO/LHR" u="1"/>
        <s v="SFO/HGH" u="1"/>
        <s v="DEL/NKC" u="1"/>
        <s v="FNA/KMG" u="1"/>
        <s v="LOS/ADL" u="1"/>
        <s v="DKR/GES" u="1"/>
        <s v="DLA/CLT" u="1"/>
        <s v="LOS/NRT" u="1"/>
        <s v="DEL/ICN" u="1"/>
        <s v="DME/CTC" u="1"/>
        <s v="LOS/CGP" u="1"/>
        <s v="SDD/DFW" u="1"/>
        <s v="LAD/AMS" u="1"/>
        <s v="LOS/PER" u="1"/>
        <s v="NDJ/FRA" u="1"/>
        <s v="SFO/HAN" u="1"/>
        <s v="DLA/EWR" u="1"/>
        <s v="SFO/BSB" u="1"/>
        <s v="DKR/MES" u="1"/>
        <s v="DME/PPG" u="1"/>
        <s v="FNA/PEK" u="1"/>
        <s v="LOS/COK" u="1"/>
        <s v="DLA/CEI" u="1"/>
        <s v="DME/MDZ" u="1"/>
        <s v="DME/SLA" u="1"/>
        <s v="FIH/BKK" u="1"/>
        <s v="FNA/CAN" u="1"/>
        <s v="NSI/DVO" u="1"/>
        <s v="SFO/ATQ" u="1"/>
        <s v="DLA/MES" u="1"/>
        <s v="DME/NOU" u="1"/>
        <s v="SFO/CGO" u="1"/>
        <s v="DME/NAN" u="1"/>
        <s v="LOS/CCU" u="1"/>
        <s v="LOS/SCL" u="1"/>
        <s v="DEL/SID" u="1"/>
        <s v="DKR/GMP" u="1"/>
        <s v="DLA/JFK" u="1"/>
        <s v="LOS/MEL" u="1"/>
        <s v="FIH/KUL" u="1"/>
        <s v="FNA/CGK" u="1"/>
        <s v="FNA/SHA" u="1"/>
        <s v="DLA/HKT" u="1"/>
        <s v="LAD/AMD" u="1"/>
        <s v="DEL/FNA" u="1"/>
        <s v="BOM/CPT" u="1"/>
        <s v="BOM/SYD" u="1"/>
        <s v="DLA/BOS" u="1"/>
        <s v="FNA/SZX" u="1"/>
        <s v="NSI/OMS" u="1"/>
        <s v="SFO/TAO" u="1"/>
        <s v="DKR/CGK" u="1"/>
        <s v="DKR/SHA" u="1"/>
        <s v="DKR/DOH" u="1"/>
        <s v="DLA/MIA" u="1"/>
        <s v="DKR/PUS" u="1"/>
        <s v="NSI/SYD" u="1"/>
        <s v="DEL/BJL" u="1"/>
        <s v="DME/APW" u="1"/>
        <s v="FIH/PUJ" u="1"/>
        <s v="FNA/CTU" u="1"/>
        <s v="NSI/PEK" u="1"/>
        <s v="SFO/ORY" u="1"/>
        <s v="SFO/PVG" u="1"/>
        <s v="BOM/CKY" u="1"/>
        <s v="DEL/OXB" u="1"/>
        <s v="DKR/HGH" u="1"/>
        <s v="DKR/SZX" u="1"/>
        <s v="DLA/AMS" u="1"/>
        <s v="FIH/BTH" u="1"/>
        <s v="NSI/CAN" u="1"/>
        <s v="DKR/ICN" u="1"/>
        <s v="DLA/CNX" u="1"/>
        <s v="LOS/HYD" u="1"/>
        <s v="SFO/FRA" u="1"/>
        <s v="FNA/HKG" u="1"/>
        <s v="LOS/BOM" u="1"/>
        <s v="BOM/AMS" u="1"/>
        <s v="BOM/CNF" u="1"/>
        <s v="BOM/NKC" u="1"/>
        <s v="DEL/DKR" u="1"/>
        <s v="LOS/PNQ" u="1"/>
        <s v="DLA/PHL" u="1"/>
        <s v="DME/JUJ" u="1"/>
        <s v="LOS/IXZ" u="1"/>
        <s v="LOS/MAA" u="1"/>
        <s v="BOM/ABJ" u="1"/>
        <s v="DME/IGR" u="1"/>
        <s v="DME/ROS" u="1"/>
        <s v="NSI/SHA" u="1"/>
        <s v="BOM/DXB" u="1"/>
        <s v="DME/IRJ" u="1"/>
        <s v="FIH/PDG" u="1"/>
        <s v="DEL/SSA" u="1"/>
        <s v="DKR/AMD" u="1"/>
        <s v="DKR/HKG" u="1"/>
        <s v="LAD/CCU" u="1"/>
        <s v="NSI/PUS" u="1"/>
        <s v="SDD/JFK" u="1"/>
        <s v="DME/TUC" u="1"/>
        <s v="LOS/GAU" u="1"/>
        <s v="NSI/SZX" u="1"/>
        <s v="WDH/DMK" u="1"/>
        <s v="DEL/ROB" u="1"/>
        <s v="DLA/KBV" u="1"/>
        <s v="DME/LUQ" u="1"/>
        <s v="SDD/ATL" u="1"/>
        <s v="SDD/CEK" u="1"/>
        <s v="DEL/PUJ" u="1"/>
        <s v="DLA/URT" u="1"/>
        <s v="SDD/DEN" u="1"/>
        <s v="BOM/REC" u="1"/>
        <s v="FIH/SDQ" u="1"/>
        <s v="LOS/BLR" u="1"/>
        <s v="SFO/DLC" u="1"/>
        <s v="BOM/OUA" u="1"/>
        <s v="DLA/URC" u="1"/>
        <s v="SFO/SXR" u="1"/>
        <s v="DKR/ALG" u="1"/>
        <s v="SFO/CDG" u="1"/>
        <s v="DEL/WDH" u="1"/>
        <s v="LOS/DEL" u="1"/>
        <s v="NSI/HKG" u="1"/>
        <s v="SDD/AMS" u="1"/>
        <s v="FIH/CEI" u="1"/>
        <s v="FNA/PVG" u="1"/>
        <s v="BOM/GIG" u="1"/>
        <s v="FIH/MES" u="1"/>
        <s v="SFO/GAU" u="1"/>
        <s v="BOM/FNA" u="1"/>
        <s v="DLA/PTY" u="1"/>
        <s v="LAD/HYD" u="1"/>
        <s v="NDJ/AMS" u="1"/>
        <s v="NSI/URC" u="1"/>
        <s v="LAD/BOM" u="1"/>
        <s v="LOS/SYD" u="1"/>
        <s v="DEL/ACC" u="1"/>
        <s v="DKR/PVG" u="1"/>
      </sharedItems>
    </cacheField>
    <cacheField name="Revenus Aux" numFmtId="0">
      <sharedItems containsSemiMixedTypes="0" containsString="0" containsNumber="1" containsInteger="1" minValue="0" maxValue="0"/>
    </cacheField>
    <cacheField name="Coût" numFmtId="0">
      <sharedItems containsSemiMixedTypes="0" containsString="0" containsNumber="1" containsInteger="1" minValue="0" maxValue="0"/>
    </cacheField>
    <cacheField name="Bénef brut" numFmtId="0">
      <sharedItems containsSemiMixedTypes="0" containsString="0" containsNumber="1" containsInteger="1" minValue="0" maxValue="21547722" count="664">
        <n v="0"/>
        <n v="11097751" u="1"/>
        <n v="10823214" u="1"/>
        <n v="7363710" u="1"/>
        <n v="9905109" u="1"/>
        <n v="14873607" u="1"/>
        <n v="9613528" u="1"/>
        <n v="6895095" u="1"/>
        <n v="8404501" u="1"/>
        <n v="14647510" u="1"/>
        <n v="12711206" u="1"/>
        <n v="13485766" u="1"/>
        <n v="13583506" u="1"/>
        <n v="13406556" u="1"/>
        <n v="14519715" u="1"/>
        <n v="6887344" u="1"/>
        <n v="9356484" u="1"/>
        <n v="6782299" u="1"/>
        <n v="12841064" u="1"/>
        <n v="8903470" u="1"/>
        <n v="13584669" u="1"/>
        <n v="11115411" u="1"/>
        <n v="14374899" u="1"/>
        <n v="11792697" u="1"/>
        <n v="10131163" u="1"/>
        <n v="10259335" u="1"/>
        <n v="10388439" u="1"/>
        <n v="11744104" u="1"/>
        <n v="9534420" u="1"/>
        <n v="18652644" u="1"/>
        <n v="18685446" u="1"/>
        <n v="8404305" u="1"/>
        <n v="11115410" u="1"/>
        <n v="16229614" u="1"/>
        <n v="12793578" u="1"/>
        <n v="12631760" u="1"/>
        <n v="12034286" u="1"/>
        <n v="7371744" u="1"/>
        <n v="14487271" u="1"/>
        <n v="7468379" u="1"/>
        <n v="13293697" u="1"/>
        <n v="10211086" u="1"/>
        <n v="9470268" u="1"/>
        <n v="14826745" u="1"/>
        <n v="11971147" u="1"/>
        <n v="9533936" u="1"/>
        <n v="11050808" u="1"/>
        <n v="12407172" u="1"/>
        <n v="3620892" u="1"/>
        <n v="19349179" u="1"/>
        <n v="9906124" u="1"/>
        <n v="7412750" u="1"/>
        <n v="7428669" u="1"/>
        <n v="4959427" u="1"/>
        <n v="9066722" u="1"/>
        <n v="11293723" u="1"/>
        <n v="12455997" u="1"/>
        <n v="7582025" u="1"/>
        <n v="19766865" u="1"/>
        <n v="12633099" u="1"/>
        <n v="12375003" u="1"/>
        <n v="14019758" u="1"/>
        <n v="20027643" u="1"/>
        <n v="10342389" u="1"/>
        <n v="15682473" u="1"/>
        <n v="9826053" u="1"/>
        <n v="18894957" u="1"/>
        <n v="13504410" u="1"/>
        <n v="9534970" u="1"/>
        <n v="6403783" u="1"/>
        <n v="7412749" u="1"/>
        <n v="8712805" u="1"/>
        <n v="7364381" u="1"/>
        <n v="19073022" u="1"/>
        <n v="12051390" u="1"/>
        <n v="13229816" u="1"/>
        <n v="9116365" u="1"/>
        <n v="10583463" u="1"/>
        <n v="18978502" u="1"/>
        <n v="11293222" u="1"/>
        <n v="9034881" u="1"/>
        <n v="11874584" u="1"/>
        <n v="12085324" u="1"/>
        <n v="8026342" u="1"/>
        <n v="12245310" u="1"/>
        <n v="15296484" u="1"/>
        <n v="12004981" u="1"/>
        <n v="8857472" u="1"/>
        <n v="16620061" u="1"/>
        <n v="16393016" u="1"/>
        <n v="16021928" u="1"/>
        <n v="6219282" u="1"/>
        <n v="12553660" u="1"/>
        <n v="15974283" u="1"/>
        <n v="8439245" u="1"/>
        <n v="8906506" u="1"/>
        <n v="10131942" u="1"/>
        <n v="11826254" u="1"/>
        <n v="13133503" u="1"/>
        <n v="15150583" u="1"/>
        <n v="8938110" u="1"/>
        <n v="10552634" u="1"/>
        <n v="7388635" u="1"/>
        <n v="6436655" u="1"/>
        <n v="10955696" u="1"/>
        <n v="16866293" u="1"/>
        <n v="14150471" u="1"/>
        <n v="11972842" u="1"/>
        <n v="15797154" u="1"/>
        <n v="11343168" u="1"/>
        <n v="6896655" u="1"/>
        <n v="6840416" u="1"/>
        <n v="7389277" u="1"/>
        <n v="14199810" u="1"/>
        <n v="9117259" u="1"/>
        <n v="13134440" u="1"/>
        <n v="8357047" u="1"/>
        <n v="10295484" u="1"/>
        <n v="18770193" u="1"/>
        <n v="7534360" u="1"/>
        <n v="19770223" u="1"/>
        <n v="9714387" u="1"/>
        <n v="13296346" u="1"/>
        <n v="10859167" u="1"/>
        <n v="4145866" u="1"/>
        <n v="20239926" u="1"/>
        <n v="19754930" u="1"/>
        <n v="12457370" u="1"/>
        <n v="13344641" u="1"/>
        <n v="19175062" u="1"/>
        <n v="9520666" u="1"/>
        <n v="3774760" u="1"/>
        <n v="11504751" u="1"/>
        <n v="11924520" u="1"/>
        <n v="13296345" u="1"/>
        <n v="6219404" u="1"/>
        <n v="14022031" u="1"/>
        <n v="13828656" u="1"/>
        <n v="8859724" u="1"/>
        <n v="12408503" u="1"/>
        <n v="13490314" u="1"/>
        <n v="15846210" u="1"/>
        <n v="12666542" u="1"/>
        <n v="8923263" u="1"/>
        <n v="18998487" u="1"/>
        <n v="6131242" u="1"/>
        <n v="7454434" u="1"/>
        <n v="9134541" u="1"/>
        <n v="9633592" u="1"/>
        <n v="8471398" u="1"/>
        <n v="11246814" u="1"/>
        <n v="10844579" u="1"/>
        <n v="10005796" u="1"/>
        <n v="18644521" u="1"/>
        <n v="11957577" u="1"/>
        <n v="10037184" u="1"/>
        <n v="12731671" u="1"/>
        <n v="15136642" u="1"/>
        <n v="15782082" u="1"/>
        <n v="7567056" u="1"/>
        <n v="14264655" u="1"/>
        <n v="9391816" u="1"/>
        <n v="8907286" u="1"/>
        <n v="3770904" u="1"/>
        <n v="12781573" u="1"/>
        <n v="14879293" u="1"/>
        <n v="5792148" u="1"/>
        <n v="13409318" u="1"/>
        <n v="10408078" u="1"/>
        <n v="11973985" u="1"/>
        <n v="13329184" u="1"/>
        <n v="13135624" u="1"/>
        <n v="6881191" u="1"/>
        <n v="18982064" u="1"/>
        <n v="8907574" u="1"/>
        <n v="5461934" u="1"/>
        <n v="11829146" u="1"/>
        <n v="12280030" u="1"/>
        <n v="17982242" u="1"/>
        <n v="5502069" u="1"/>
        <n v="2209838" u="1"/>
        <n v="13362355" u="1"/>
        <n v="12377906" u="1"/>
        <n v="15976708" u="1"/>
        <n v="11136173" u="1"/>
        <n v="10344609" u="1"/>
        <n v="12796823" u="1"/>
        <n v="12959589" u="1"/>
        <n v="9150569" u="1"/>
        <n v="14297495" u="1"/>
        <n v="10166454" u="1"/>
        <n v="15750257" u="1"/>
        <n v="9553816" u="1"/>
        <n v="12377399" u="1"/>
        <n v="18983732" u="1"/>
        <n v="10295887" u="1"/>
        <n v="13297882" u="1"/>
        <n v="11522472" u="1"/>
        <n v="11732079" u="1"/>
        <n v="14023190" u="1"/>
        <n v="14573477" u="1"/>
        <n v="8603165" u="1"/>
        <n v="11346052" u="1"/>
        <n v="13830811" u="1"/>
        <n v="7518875" u="1"/>
        <n v="12846298" u="1"/>
        <n v="13411524" u="1"/>
        <n v="14202196" u="1"/>
        <n v="18692880" u="1"/>
        <n v="9313004" u="1"/>
        <n v="11135255" u="1"/>
        <n v="16024487" u="1"/>
        <n v="10781452" u="1"/>
        <n v="3880086" u="1"/>
        <n v="11167655" u="1"/>
        <n v="11829697" u="1"/>
        <n v="12426271" u="1"/>
        <n v="12831109" u="1"/>
        <n v="9942620" u="1"/>
        <n v="16823190" u="1"/>
        <n v="8603589" u="1"/>
        <n v="21534532" u="1"/>
        <n v="18921094" u="1"/>
        <n v="7349723" u="1"/>
        <n v="12701658" u="1"/>
        <n v="7067383" u="1"/>
        <n v="9475004" u="1"/>
        <n v="19000575" u="1"/>
        <n v="13298794" u="1"/>
        <n v="14299925" u="1"/>
        <n v="12717006" u="1"/>
        <n v="10458697" u="1"/>
        <n v="12782514" u="1"/>
        <n v="18937139" u="1"/>
        <n v="6882132" u="1"/>
        <n v="14380010" u="1"/>
        <n v="8796970" u="1"/>
        <n v="8237568" u="1"/>
        <n v="9539716" u="1"/>
        <n v="15573423" u="1"/>
        <n v="9570847" u="1"/>
        <n v="11910342" u="1"/>
        <n v="11960140" u="1"/>
        <n v="9361111" u="1"/>
        <n v="10685428" u="1"/>
        <n v="9362308" u="1"/>
        <n v="15799455" u="1"/>
        <n v="19841155" u="1"/>
        <n v="10829350" u="1"/>
        <n v="14621326" u="1"/>
        <n v="11105100" u="1"/>
        <n v="12201705" u="1"/>
        <n v="10653404" u="1"/>
        <n v="10669098" u="1"/>
        <n v="14525369" u="1"/>
        <n v="13412708" u="1"/>
        <n v="8060726" u="1"/>
        <n v="11555694" u="1"/>
        <n v="10959152" u="1"/>
        <n v="13944786" u="1"/>
        <n v="9700600" u="1"/>
        <n v="13217806" u="1"/>
        <n v="10443603" u="1"/>
        <n v="10169098" u="1"/>
        <n v="13509724" u="1"/>
        <n v="11202308" u="1"/>
        <n v="16397168" u="1"/>
        <n v="6947000" u="1"/>
        <n v="13832508" u="1"/>
        <n v="12154380" u="1"/>
        <n v="6842132" u="1"/>
        <n v="6406255" u="1"/>
        <n v="11815355" u="1"/>
        <n v="10588569" u="1"/>
        <n v="10217923" u="1"/>
        <n v="10362978" u="1"/>
        <n v="12202265" u="1"/>
        <n v="11928941" u="1"/>
        <n v="15688163" u="1"/>
        <n v="6899194" u="1"/>
        <n v="12041459" u="1"/>
        <n v="7068196" u="1"/>
        <n v="15783982" u="1"/>
        <n v="9911185" u="1"/>
        <n v="11282303" u="1"/>
        <n v="19648013" u="1"/>
        <n v="14622937" u="1"/>
        <n v="8053034" u="1"/>
        <n v="7350664" u="1"/>
        <n v="21538150" u="1"/>
        <n v="20247768" u="1"/>
        <n v="15413255" u="1"/>
        <n v="12056742" u="1"/>
        <n v="15365875" u="1"/>
        <n v="7600631" u="1"/>
        <n v="9168984" u="1"/>
        <n v="18987294" u="1"/>
        <n v="7230017" u="1"/>
        <n v="9572480" u="1"/>
        <n v="10653961" u="1"/>
        <n v="5503324" u="1"/>
        <n v="10670370" u="1"/>
        <n v="10573385" u="1"/>
        <n v="14284223" u="1"/>
        <n v="12912968" u="1"/>
        <n v="7141216" u="1"/>
        <n v="6859306" u="1"/>
        <n v="11009908" u="1"/>
        <n v="16672302" u="1"/>
        <n v="11025867" u="1"/>
        <n v="10235460" u="1"/>
        <n v="11250662" u="1"/>
        <n v="16236919" u="1"/>
        <n v="8443978" u="1"/>
        <n v="7585301" u="1"/>
        <n v="11283560" u="1"/>
        <n v="11978364" u="1"/>
        <n v="12913786" u="1"/>
        <n v="6786870" u="1"/>
        <n v="11381155" u="1"/>
        <n v="13285211" u="1"/>
        <n v="2590157" u="1"/>
        <n v="8443977" u="1"/>
        <n v="19652599" u="1"/>
        <n v="12704138" u="1"/>
        <n v="11009183" u="1"/>
        <n v="11865082" u="1"/>
        <n v="17004977" u="1"/>
        <n v="10815800" u="1"/>
        <n v="13268954" u="1"/>
        <n v="18827790" u="1"/>
        <n v="12639738" u="1"/>
        <n v="10412528" u="1"/>
        <n v="8911936" u="1"/>
        <n v="15462694" u="1"/>
        <n v="18990820" u="1"/>
        <n v="8669478" u="1"/>
        <n v="9122017" u="1"/>
        <n v="4143333" u="1"/>
        <n v="9621791" u="1"/>
        <n v="8021032" u="1"/>
        <n v="13575376" u="1"/>
        <n v="10961368" u="1"/>
        <n v="10139645" u="1"/>
        <n v="16609964" u="1"/>
        <n v="11752120" u="1"/>
        <n v="11945326" u="1"/>
        <n v="12785338" u="1"/>
        <n v="3772259" u="1"/>
        <n v="12914474" u="1"/>
        <n v="12156612" u="1"/>
        <n v="18925710" u="1"/>
        <n v="7714833" u="1"/>
        <n v="13139606" u="1"/>
        <n v="12945990" u="1"/>
        <n v="14382327" u="1"/>
        <n v="13220784" u="1"/>
        <n v="8671139" u="1"/>
        <n v="11737212" u="1"/>
        <n v="12947669" u="1"/>
        <n v="12382451" u="1"/>
        <n v="10090239" u="1"/>
        <n v="9704140" u="1"/>
        <n v="16812977" u="1"/>
        <n v="10446187" u="1"/>
        <n v="18816267" u="1"/>
        <n v="4187853" u="1"/>
        <n v="15302287" u="1"/>
        <n v="11866717" u="1"/>
        <n v="14803260" u="1"/>
        <n v="15156902" u="1"/>
        <n v="12140651" u="1"/>
        <n v="10252514" u="1"/>
        <n v="12817953" u="1"/>
        <n v="9557814" u="1"/>
        <n v="7198492" u="1"/>
        <n v="14286642" u="1"/>
        <n v="7658625" u="1"/>
        <n v="15287154" u="1"/>
        <n v="14109708" u="1"/>
        <n v="15642459" u="1"/>
        <n v="10301949" u="1"/>
        <n v="4187979" u="1"/>
        <n v="12544178" u="1"/>
        <n v="11736462" u="1"/>
        <n v="19008625" u="1"/>
        <n v="7004771" u="1"/>
        <n v="13141716" u="1"/>
        <n v="15384395" u="1"/>
        <n v="3836836" u="1"/>
        <n v="10253066" u="1"/>
        <n v="10785843" u="1"/>
        <n v="13286714" u="1"/>
        <n v="7368196" u="1"/>
        <n v="14141713" u="1"/>
        <n v="4143683" u="1"/>
        <n v="8021712" u="1"/>
        <n v="17993364" u="1"/>
        <n v="4963944" u="1"/>
        <n v="4963952" u="1"/>
        <n v="12737230" u="1"/>
        <n v="8671424" u="1"/>
        <n v="6432834" u="1"/>
        <n v="12544594" u="1"/>
        <n v="19960332" u="1"/>
        <n v="7142131" u="1"/>
        <n v="13431166" u="1"/>
        <n v="14028439" u="1"/>
        <n v="10898762" u="1"/>
        <n v="12414855" u="1"/>
        <n v="20235471" u="1"/>
        <n v="10398586" u="1"/>
        <n v="14868274" u="1"/>
        <n v="7562442" u="1"/>
        <n v="6223182" u="1"/>
        <n v="18963626" u="1"/>
        <n v="12463704" u="1"/>
        <n v="7796225" u="1"/>
        <n v="15127124" u="1"/>
        <n v="19719117" u="1"/>
        <n v="16400518" u="1"/>
        <n v="11657739" u="1"/>
        <n v="11817966" u="1"/>
        <n v="11980274" u="1"/>
        <n v="12786656" u="1"/>
        <n v="19090044" u="1"/>
        <n v="10656760" u="1"/>
        <n v="8866146" u="1"/>
        <n v="7393218" u="1"/>
        <n v="3639613" u="1"/>
        <n v="16816675" u="1"/>
        <n v="11819130" u="1"/>
        <n v="8608540" u="1"/>
        <n v="14206575" u="1"/>
        <n v="11350294" u="1"/>
        <n v="8849680" u="1"/>
        <n v="8054388" u="1"/>
        <n v="14255947" u="1"/>
        <n v="19108629" u="1"/>
        <n v="11915841" u="1"/>
        <n v="7473307" u="1"/>
        <n v="11770665" u="1"/>
        <n v="9366658" u="1"/>
        <n v="10125564" u="1"/>
        <n v="13820274" u="1"/>
        <n v="5787404" u="1"/>
        <n v="15675006" u="1"/>
        <n v="10803605" u="1"/>
        <n v="10431127" u="1"/>
        <n v="15837844" u="1"/>
        <n v="10705913" u="1"/>
        <n v="3676037" u="1"/>
        <n v="15836590" u="1"/>
        <n v="11239477" u="1"/>
        <n v="8672294" u="1"/>
        <n v="8754147" u="1"/>
        <n v="7376968" u="1"/>
        <n v="18917193" u="1"/>
        <n v="11399374" u="1"/>
        <n v="11706231" u="1"/>
        <n v="8446542" u="1"/>
        <n v="21547722" u="1"/>
        <n v="13982210" u="1"/>
        <n v="7683668" u="1"/>
        <n v="11255258" u="1"/>
        <n v="12061608" u="1"/>
        <n v="11142346" u="1"/>
        <n v="15788847" u="1"/>
        <n v="14014353" u="1"/>
        <n v="19948191" u="1"/>
        <n v="18820101" u="1"/>
        <n v="19660137" u="1"/>
        <n v="11288172" u="1"/>
        <n v="13417674" u="1"/>
        <n v="15290149" u="1"/>
        <n v="7046412" u="1"/>
        <n v="13965398" u="1"/>
        <n v="12868399" u="1"/>
        <n v="10965765" u="1"/>
        <n v="10028294" u="1"/>
        <n v="9029260" u="1"/>
        <n v="10094356" u="1"/>
        <n v="18692103" u="1"/>
        <n v="13255662" u="1"/>
        <n v="11948903" u="1"/>
        <n v="12658654" u="1"/>
        <n v="17302205" u="1"/>
        <n v="12724620" u="1"/>
        <n v="10675629" u="1"/>
        <n v="7450012" u="1"/>
        <n v="7474220" u="1"/>
        <n v="10125896" u="1"/>
        <n v="12240218" u="1"/>
        <n v="14208593" u="1"/>
        <n v="10433267" u="1"/>
        <n v="14870201" u="1"/>
        <n v="9528984" u="1"/>
        <n v="10819647" u="1"/>
        <n v="14917974" u="1"/>
        <n v="3623676" u="1"/>
        <n v="14015338" u="1"/>
        <n v="9577568" u="1"/>
        <n v="12660251" u="1"/>
        <n v="16613571" u="1"/>
        <n v="14144072" u="1"/>
        <n v="15129549" u="1"/>
        <n v="16031775" u="1"/>
        <n v="18790409" u="1"/>
        <n v="10819646" u="1"/>
        <n v="10948766" u="1"/>
        <n v="15580031" u="1"/>
        <n v="7595926" u="1"/>
        <n v="11239953" u="1"/>
        <n v="13337175" u="1"/>
        <n v="11192019" u="1"/>
        <n v="15563734" u="1"/>
        <n v="15984210" u="1"/>
        <n v="13127680" u="1"/>
        <n v="11207295" u="1"/>
        <n v="10062105" u="1"/>
        <n v="6434194" u="1"/>
        <n v="8851591" u="1"/>
        <n v="5788368" u="1"/>
        <n v="16226988" u="1"/>
        <n v="12709356" u="1"/>
        <n v="15807002" u="1"/>
        <n v="13354820" u="1"/>
        <n v="13984164" u="1"/>
        <n v="13936101" u="1"/>
        <n v="19952517" u="1"/>
        <n v="10417344" u="1"/>
        <n v="19937208" u="1"/>
        <n v="9466300" u="1"/>
        <n v="10207897" u="1"/>
        <n v="19163274" u="1"/>
        <n v="7450339" u="1"/>
        <n v="10659263" u="1"/>
        <n v="9255897" u="1"/>
        <n v="14516466" u="1"/>
        <n v="11725010" u="1"/>
        <n v="7354270" u="1"/>
        <n v="11869334" u="1"/>
        <n v="19825339" u="1"/>
        <n v="10255758" u="1"/>
        <n v="13081004" u="1"/>
        <n v="10949903" u="1"/>
        <n v="13839420" u="1"/>
        <n v="12966927" u="1"/>
        <n v="3660507" u="1"/>
        <n v="12129293" u="1"/>
        <n v="13323132" u="1"/>
        <n v="13823372" u="1"/>
        <n v="13629619" u="1"/>
        <n v="8401828" u="1"/>
        <n v="8902060" u="1"/>
        <n v="15791899" u="1"/>
        <n v="6127431" u="1"/>
        <n v="11821760" u="1"/>
        <n v="8402101" u="1"/>
        <n v="12047672" u="1"/>
        <n v="8933456" u="1"/>
        <n v="7329836" u="1"/>
        <n v="13404341" u="1"/>
        <n v="14306334" u="1"/>
        <n v="19726655" u="1"/>
        <n v="6943078" u="1"/>
        <n v="7071720" u="1"/>
        <n v="7467285" u="1"/>
        <n v="12161764" u="1"/>
        <n v="18951965" u="1"/>
        <n v="6942668" u="1"/>
        <n v="8273683" u="1"/>
        <n v="7201358" u="1"/>
        <n v="18986823" u="1"/>
        <n v="11016067" u="1"/>
        <n v="9998856" u="1"/>
        <n v="7563779" u="1"/>
        <n v="4185117" u="1"/>
        <n v="8676925" u="1"/>
        <n v="9030993" u="1"/>
        <n v="9628732" u="1"/>
        <n v="10660078" u="1"/>
        <n v="14259097" u="1"/>
        <n v="18681354" u="1"/>
        <n v="13130356" u="1"/>
        <n v="12209455" u="1"/>
        <n v="19954627" u="1"/>
        <n v="16776184" u="1"/>
        <n v="11694284" u="1"/>
        <n v="13501564" u="1"/>
        <n v="10467072" u="1"/>
        <n v="10710293" u="1"/>
        <n v="8450562" u="1"/>
        <n v="8056766" u="1"/>
        <n v="11241423" u="1"/>
        <n v="10451924" u="1"/>
        <n v="9564002" u="1"/>
        <n v="20051747" u="1"/>
        <n v="19004136" u="1"/>
        <n v="20019539" u="1"/>
        <n v="11710130" u="1"/>
        <n v="15565750" u="1"/>
        <n v="12921085" u="1"/>
        <n v="10064097" u="1"/>
        <n v="18647440" u="1"/>
        <n v="6402440" u="1"/>
        <n v="15147652" u="1"/>
        <n v="9708687" u="1"/>
        <n v="11194147" u="1"/>
        <n v="15744740" u="1"/>
        <n v="15469046" u="1"/>
        <n v="9403075" u="1"/>
        <n v="5506956" u="1"/>
        <n v="18955959" u="1"/>
        <n v="18889599" u="1"/>
        <n v="7580689" u="1"/>
        <n v="7467323" u="1"/>
        <n v="11872549" u="1"/>
        <n v="6128051" u="1"/>
        <n v="7596656" u="1"/>
        <n v="18939460" u="1"/>
        <n v="10548280" u="1"/>
        <n v="12243259" u="1"/>
        <n v="19714518" u="1"/>
        <n v="11548511" u="1"/>
        <n v="9258147" u="1"/>
        <n v="12210119" u="1"/>
        <n v="17082381" u="1"/>
        <n v="17985997" u="1"/>
        <n v="8466382" u="1"/>
        <n v="12033852" u="1"/>
        <n v="10451391" u="1"/>
        <n v="14630414" u="1"/>
        <n v="11338919" u="1"/>
        <n v="9999406" u="1"/>
        <n v="19067630" u="1"/>
        <n v="9128777" u="1"/>
        <n v="9355637" u="1"/>
        <n v="7548163" u="1"/>
        <n v="14293052" u="1"/>
        <n v="9128929" u="1"/>
        <n v="11098220" u="1"/>
        <n v="19457592" u="1"/>
        <n v="9564697" u="1"/>
        <n v="13969495" u="1"/>
        <n v="10032544" u="1"/>
        <n v="7145638" u="1"/>
        <n v="12840232" u="1"/>
        <n v="14373385" u="1"/>
        <n v="12244172" u="1"/>
        <n v="11727603" u="1"/>
        <n v="13388454" u="1"/>
        <n v="9709470" u="1"/>
        <n v="19006954" u="1"/>
        <n v="12371982" u="1"/>
        <n v="18683398" u="1"/>
        <n v="10437108" u="1"/>
        <n v="11260309" u="1"/>
        <n v="11550347" u="1"/>
        <n v="13937776" u="1"/>
        <n v="19167316" u="1"/>
        <n v="6782292" u="1"/>
        <n v="15309175" u="1"/>
        <n v="1639035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vo GRANGE" refreshedDate="42599.725479398148" createdVersion="5" refreshedVersion="4" minRefreshableVersion="3" recordCount="70" xr:uid="{00000000-000A-0000-FFFF-FFFF03000000}">
  <cacheSource type="worksheet">
    <worksheetSource ref="J63:M133" sheet="DataHubs"/>
  </cacheSource>
  <cacheFields count="4">
    <cacheField name="Hubs" numFmtId="0">
      <sharedItems count="19">
        <s v=""/>
        <s v="DKR"/>
        <s v="SFO"/>
        <s v="LAD"/>
        <s v="NDJ"/>
        <s v="BOG"/>
        <s v="LOS"/>
        <s v="FIH"/>
        <s v="MEX"/>
        <s v="BOM"/>
        <s v="FNA"/>
        <s v="DME"/>
        <s v="SDD"/>
        <s v="DLA"/>
        <s v="WDH"/>
        <s v="CUN"/>
        <s v="DEL"/>
        <s v="NSI"/>
        <s v="Pla"/>
      </sharedItems>
    </cacheField>
    <cacheField name="Chiffre d'affaires" numFmtId="164">
      <sharedItems containsMixedTypes="1" containsNumber="1" containsInteger="1" minValue="0" maxValue="328468382" count="29">
        <s v=""/>
        <n v="0"/>
        <n v="14575348"/>
        <e v="#VALUE!"/>
        <n v="106558754" u="1"/>
        <n v="221996581" u="1"/>
        <n v="222008442" u="1"/>
        <n v="231403497" u="1"/>
        <n v="209154109" u="1"/>
        <n v="186976474" u="1"/>
        <n v="186982971" u="1"/>
        <n v="289032058" u="1"/>
        <n v="328321612" u="1"/>
        <n v="328468382" u="1"/>
        <n v="209186537" u="1"/>
        <n v="272673308" u="1"/>
        <n v="13486215" u="1"/>
        <n v="187258522" u="1"/>
        <n v="187239929" u="1"/>
        <n v="47933977" u="1"/>
        <n v="327747742" u="1"/>
        <n v="106570437" u="1"/>
        <n v="231410924" u="1"/>
        <n v="328314505" u="1"/>
        <n v="85421574" u="1"/>
        <n v="289033864" u="1"/>
        <n v="140941998" u="1"/>
        <n v="272687205" u="1"/>
        <n v="221984028" u="1"/>
      </sharedItems>
    </cacheField>
    <cacheField name="Résultats" numFmtId="164">
      <sharedItems containsMixedTypes="1" containsNumber="1" containsInteger="1" minValue="0" maxValue="277414712" count="18">
        <s v=""/>
        <n v="0"/>
        <n v="11980073"/>
        <e v="#VALUE!"/>
        <n v="176153805" u="1"/>
        <n v="242862435" u="1"/>
        <n v="88559181" u="1"/>
        <n v="277414712" u="1"/>
        <n v="40195089" u="1"/>
        <n v="157928847" u="1"/>
        <n v="11289473" u="1"/>
        <n v="229466777" u="1"/>
        <n v="119514821" u="1"/>
        <n v="190846915" u="1"/>
        <n v="71252557" u="1"/>
        <n v="157802421" u="1"/>
        <n v="275184554" u="1"/>
        <n v="187283527" u="1"/>
      </sharedItems>
    </cacheField>
    <cacheField name="Ratios" numFmtId="10">
      <sharedItems containsMixedTypes="1" containsNumber="1" minValue="0.8219407865939119" maxValue="0.8219407865939119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vo GRANGE" refreshedDate="42607.655903125" createdVersion="4" refreshedVersion="4" minRefreshableVersion="3" recordCount="461" xr:uid="{00000000-000A-0000-FFFF-FFFF04000000}">
  <cacheSource type="worksheet">
    <worksheetSource ref="M39:Q500" sheet="DataPrixBillets"/>
  </cacheSource>
  <cacheFields count="5">
    <cacheField name="Ligne" numFmtId="0">
      <sharedItems containsBlank="1" count="316">
        <m/>
        <s v=""/>
        <s v="BOM/NKC"/>
        <s v="BOM/FNA"/>
        <s v="BOM/CKY"/>
        <s v="DEL/CKY"/>
        <s v="DEL/DKR"/>
        <s v="DEL/BJL"/>
        <s v="DEL/OXB"/>
        <s v="BOM/ROB"/>
        <s v="BOM/DKR"/>
        <s v="DEL/FNA"/>
        <s v="BOM/OXB"/>
        <s v="DEL/ROB"/>
        <s v="DEL/CPT"/>
        <s v="DEL/NKC"/>
        <s v="BOM/BJL"/>
        <s v="WDH/DMK"/>
        <s v="WDH/BKK"/>
        <s v="SFO/CGO" u="1"/>
        <s v="BOM/CNF" u="1"/>
        <s v="SFO/GMP" u="1"/>
        <s v="BOM/CPT" u="1"/>
        <s v="LOS/EZE" u="1"/>
        <s v="DKR/CRK" u="1"/>
        <s v="DLA/MES" u="1"/>
        <s v="JFK/HBE" u="1"/>
        <s v="DKR/ALG" u="1"/>
        <s v="DLA/MCO" u="1"/>
        <s v="DME/COR" u="1"/>
        <s v="SDD/DFW" u="1"/>
        <s v="JFK/OPO" u="1"/>
        <s v="SFO/LUX" u="1"/>
        <s v="NSI/DVO" u="1"/>
        <s v="SFO/KOJ" u="1"/>
        <s v="JFK/SVO" u="1"/>
        <s v="DEL/A -" u="1"/>
        <s v="SFO/KMI" u="1"/>
        <s v="SFO/HGH" u="1"/>
        <s v="FNA/SHA" u="1"/>
        <s v="DKR/DPS" u="1"/>
        <s v="SDD/ORD" u="1"/>
        <s v="DEL/B -" u="1"/>
        <s v="FIH/BKK" u="1"/>
        <s v="DME/JUJ" u="1"/>
        <s v="SFO/OSL" u="1"/>
        <s v="BOM/ABJ" u="1"/>
        <s v="FIH/C -" u="1"/>
        <s v="DEL/C -" u="1"/>
        <s v="FIH/DMK" u="1"/>
        <s v="SFO/PUS" u="1"/>
        <s v="DEL/D -" u="1"/>
        <s v="LAD/AMD" u="1"/>
        <s v="DKR/CJU" u="1"/>
        <s v="LOS/DRW" u="1"/>
        <s v="SDD/JFK" u="1"/>
        <s v="WDH/JHB" u="1"/>
        <s v="LOS/BLR" u="1"/>
        <s v="LAD/HYD" u="1"/>
        <s v="DEL/ACC" u="1"/>
        <s v="LAD/BOM" u="1"/>
        <s v="SFO/GAU" u="1"/>
        <s v="SFO/ICN" u="1"/>
        <s v="DME/LUQ" u="1"/>
        <s v="SFO/HAN" u="1"/>
        <s v="SFO/KIX" u="1"/>
        <s v="SFO/LIS" u="1"/>
        <s v="FIH/KUL" u="1"/>
        <s v="LAD/AMS" u="1"/>
        <s v="FIH/CEI" u="1"/>
        <s v="LOS/IXZ" u="1"/>
        <s v="FIH/G -" u="1"/>
        <s v="DEL/GMP" u="1"/>
        <s v="LOS/ADL" u="1"/>
        <s v="SFO/LGW" u="1"/>
        <s v="FIH/H -" u="1"/>
        <s v="LOS/HND" u="1"/>
        <s v="DEL/H -" u="1"/>
        <s v="FIH/I -" u="1"/>
        <s v="SFO/NGS" u="1"/>
        <s v="DKR/PVG" u="1"/>
        <s v="SFO/MAD" u="1"/>
        <s v="JFK/YNB" u="1"/>
        <s v="FIH/HKT" u="1"/>
        <s v="FIH/J -" u="1"/>
        <s v="SGN/DME" u="1"/>
        <s v="DEL/J -" u="1"/>
        <s v="DME/IGR" u="1"/>
        <s v="FIH/K -" u="1"/>
        <s v="FIH/PUJ" u="1"/>
        <s v="SFO/PEK" u="1"/>
        <s v="LOS/CBR" u="1"/>
        <s v="DEL/PUJ" u="1"/>
        <s v="DME/NOU" u="1"/>
        <s v="NSI/PVG" u="1"/>
        <s v="DME/TUC" u="1"/>
        <s v="FIH/L -" u="1"/>
        <s v="DEL/L -" u="1"/>
        <s v="DKR/SZX" u="1"/>
        <s v="LAD/DEL" u="1"/>
        <s v="SGN/FKI" u="1"/>
        <s v="LAD/CCU" u="1"/>
        <s v="LOS/NRT" u="1"/>
        <s v="DEL/N -" u="1"/>
        <s v="DEL/SSA" u="1"/>
        <s v="DEL/ICN" u="1"/>
        <s v="NSI/SZX" u="1"/>
        <s v="FIH/POP" u="1"/>
        <s v="DME/ROS" u="1"/>
        <s v="DKR/KBL" u="1"/>
        <s v="FIH/P -" u="1"/>
        <s v="SGN/CAI" u="1"/>
        <s v="DEL/P -" u="1"/>
        <s v="FIH/Q -" u="1"/>
        <s v="FNA/DME" u="1"/>
        <s v="DEL/Q -" u="1"/>
        <s v="DLA/CNX" u="1"/>
        <s v="FIH/MES" u="1"/>
        <s v="LOS/PNQ" u="1"/>
        <s v="SFO/TAO" u="1"/>
        <s v="DME/NAN" u="1"/>
        <s v="DLA/CLT" u="1"/>
        <s v="NSI/URC" u="1"/>
        <s v="DEL/R -" u="1"/>
        <s v="JFK/GYE" u="1"/>
        <s v="FIH/S -" u="1"/>
        <s v="DKR/SHA" u="1"/>
        <s v="FIH/T -" u="1"/>
        <s v="DEL/SID" u="1"/>
        <s v="FNA/CGK" u="1"/>
        <s v="DEL/T -" u="1"/>
        <s v="NSI/SHA" u="1"/>
        <s v="SFO/ATQ" u="1"/>
        <s v="JFK/DME" u="1"/>
        <s v="SGN/LED" u="1"/>
        <s v="LAD/MAA" u="1"/>
        <s v="FIH/PAP" u="1"/>
        <s v="FNA/HKG" u="1"/>
        <s v="NDJ/FRA" u="1"/>
        <s v="FNA/CAN" u="1"/>
        <s v="FIH/X -" u="1"/>
        <s v="SFO/CRL" u="1"/>
        <s v="SFO/BRU" u="1"/>
        <s v="FNA/KMG" u="1"/>
        <s v="FIH/Y -" u="1"/>
        <s v="DEL/Y -" u="1"/>
        <s v="SDD/AMS" u="1"/>
        <s v="JFK/HOI" u="1"/>
        <s v="SFO/FRA" u="1"/>
        <s v="JFK/CEI" u="1"/>
        <s v="SDD/CKG" u="1"/>
        <s v="SFO/DLC" u="1"/>
        <s v="JFK/DEL" u="1"/>
        <s v="DLA/JFK" u="1"/>
        <s v="DLA/PTY" u="1"/>
        <s v="WDH/AMS" u="1"/>
        <s v="JFK/CAI" u="1"/>
        <s v="DME/CTC" u="1"/>
        <s v="WDH/B -" u="1"/>
        <s v="SFO/ITM" u="1"/>
        <s v="JFK/NSK" u="1"/>
        <s v="FIH/BTH" u="1"/>
        <s v="SFO/HND" u="1"/>
        <s v="BOM/A -" u="1"/>
        <s v="SDD/CEK" u="1"/>
        <s v="DME/APW" u="1"/>
        <s v="BOM/AMS" u="1"/>
        <s v="SFO/CDG" u="1"/>
        <s v="DLA/URC" u="1"/>
        <s v="BOM/B -" u="1"/>
        <s v="DKR/AMD" u="1"/>
        <s v="DLA/KBV" u="1"/>
        <s v="SDD/DEN" u="1"/>
        <s v="BOM/C -" u="1"/>
        <s v="DLA/PHL" u="1"/>
        <s v="WDH/KUL" u="1"/>
        <s v="DKR/A -" u="1"/>
        <s v="DME/DRW" u="1"/>
        <s v="DLA/URT" u="1"/>
        <s v="BOM/D -" u="1"/>
        <s v="JFK/KIX" u="1"/>
        <s v="DKR/B -" u="1"/>
        <s v="DKR/DOH" u="1"/>
        <s v="JFK/PMC" u="1"/>
        <s v="SDD/KMG" u="1"/>
        <s v="JFK/LED" u="1"/>
        <s v="SDD/HGH" u="1"/>
        <s v="SFO/PVG" u="1"/>
        <s v="FNA/PEK" u="1"/>
        <s v="LOS/AMD" u="1"/>
        <s v="LOS/HYD" u="1"/>
        <s v="BOM/F -" u="1"/>
        <s v="LOS/BOM" u="1"/>
        <s v="DKR/D -" u="1"/>
        <s v="LOS/A -" u="1"/>
        <s v="JFK/TUU" u="1"/>
        <s v="DME/IRJ" u="1"/>
        <s v="SFO/NRT" u="1"/>
        <s v="LOS/COK" u="1"/>
        <s v="FIH/CNX" u="1"/>
        <s v="BOM/G -" u="1"/>
        <s v="WDH/K -" u="1"/>
        <s v="DKR/CGK" u="1"/>
        <s v="BOM/GIG" u="1"/>
        <s v="SFO/SXR" u="1"/>
        <s v="LOS/C -" u="1"/>
        <s v="SFO/ORY" u="1"/>
        <s v="SFO/RTM" u="1"/>
        <s v="WDH/L -" u="1"/>
        <s v="BOM/OUA" u="1"/>
        <s v="SGN/BRI" u="1"/>
        <s v="DKR/G -" u="1"/>
        <s v="LOS/D -" u="1"/>
        <s v="DKR/GMP" u="1"/>
        <s v="SFO/LHR" u="1"/>
        <s v="BOM/J -" u="1"/>
        <s v="DKR/H -" u="1"/>
        <s v="LOS/E -" u="1"/>
        <s v="DKR/HKG" u="1"/>
        <s v="LAD/BLR" u="1"/>
        <s v="BOM/SYD" u="1"/>
        <s v="LOS/CGP" u="1"/>
        <s v="BOM/L -" u="1"/>
        <s v="LAD/CHC" u="1"/>
        <s v="FNA/XIY" u="1"/>
        <s v="DKR/HGH" u="1"/>
        <s v="NSI/HKG" u="1"/>
        <s v="JFK/VKO" u="1"/>
        <s v="JFK/RAE" u="1"/>
        <s v="LOS/DEL" u="1"/>
        <s v="DKR/K -" u="1"/>
        <s v="DLA/BUF" u="1"/>
        <s v="NSI/CAN" u="1"/>
        <s v="BOM/SSA" u="1"/>
        <s v="SDD/LAX" u="1"/>
        <s v="DKR/GES" u="1"/>
        <s v="LOS/DAC" u="1"/>
        <s v="DKR/L -" u="1"/>
        <s v="DME/PPG" u="1"/>
        <s v="LOS/CCU" u="1"/>
        <s v="SFO/SHA" u="1"/>
        <s v="DKR/PUS" u="1"/>
        <s v="DKR/SUB" u="1"/>
        <s v="SFO/SLZ" u="1"/>
        <s v="NSI/SYD" u="1"/>
        <s v="DKR/N -" u="1"/>
        <s v="LOS/K -" u="1"/>
        <s v="DKR/SSA" u="1"/>
        <s v="DKR/ICN" u="1"/>
        <s v="LOS/SYD" u="1"/>
        <s v="BOM/MEL" u="1"/>
        <s v="NSI/PUS" u="1"/>
        <s v="DKR/O -" u="1"/>
        <s v="LOS/L -" u="1"/>
        <s v="DLA/EWR" u="1"/>
        <s v="FIH/HDY" u="1"/>
        <s v="FNA/CTU" u="1"/>
        <s v="BOM/R -" u="1"/>
        <s v="DKR/P -" u="1"/>
        <s v="LOS/M -" u="1"/>
        <s v="DLA/BOS" u="1"/>
        <s v="DME/SLA" u="1"/>
        <s v="DLA/AMS" u="1"/>
        <s v="LOS/LGB" u="1"/>
        <s v="LOS/GAU" u="1"/>
        <s v="BOM/T -" u="1"/>
        <s v="FIH/URC" u="1"/>
        <s v="DKR/MES" u="1"/>
        <s v="NSI/OMS" u="1"/>
        <s v="DME/MDZ" u="1"/>
        <s v="BOM/REC" u="1"/>
        <s v="DKR/LAO" u="1"/>
        <s v="JFK/ATZ" u="1"/>
        <s v="DKR/S -" u="1"/>
        <s v="LOS/P -" u="1"/>
        <s v="NSI/MEL" u="1"/>
        <s v="SDD/XIY" u="1"/>
        <s v="LOS/MEL" u="1"/>
        <s v="LOS/Q -" u="1"/>
        <s v="LOS/MAA" u="1"/>
        <s v="FIH/PDG" u="1"/>
        <s v="SFO/YHU" u="1"/>
        <s v="DKR/U -" u="1"/>
        <s v="LOS/R -" u="1"/>
        <s v="DLA/CEI" u="1"/>
        <s v="JFK/AJF" u="1"/>
        <s v="SDD/ATL" u="1"/>
        <s v="NSI/PEK" u="1"/>
        <s v="SFO/BSB" u="1"/>
        <s v="BOM/Y -" u="1"/>
        <s v="LOS/T -" u="1"/>
        <s v="SFO/DUB" u="1"/>
        <s v="JFK/BLR" u="1"/>
        <s v="LOS/PER" u="1"/>
        <s v="JFK/CNX" u="1"/>
        <s v="DKR/X -" u="1"/>
        <s v="LOS/U -" u="1"/>
        <s v="NDJ/AMS" u="1"/>
        <s v="JFK/HRG" u="1"/>
        <s v="DLA/HKT" u="1"/>
        <s v="SDD/CTU" u="1"/>
        <s v="FIH/SDQ" u="1"/>
        <s v="DEL/SDQ" u="1"/>
        <s v="FNA/PVG" u="1"/>
        <s v="SFO/FUK" u="1"/>
        <s v="SFO/AMS" u="1"/>
        <s v="BOM/DXB" u="1"/>
        <s v="LOS/SCL" u="1"/>
        <s v="DEL/WDH" u="1"/>
        <s v="DLA/MIA" u="1"/>
        <s v="FNA/SZX" u="1"/>
        <s v="DLA/IAD" u="1"/>
        <s v="LOS/Z -" u="1"/>
        <s v="SFO/BIO" u="1"/>
        <s v="DKR/BTH" u="1"/>
        <s v="SFO/KWJ" u="1"/>
      </sharedItems>
    </cacheField>
    <cacheField name="Eco" numFmtId="164">
      <sharedItems containsString="0" containsBlank="1" containsNumber="1" containsInteger="1" minValue="0" maxValue="3314"/>
    </cacheField>
    <cacheField name="Affaire" numFmtId="164">
      <sharedItems containsString="0" containsBlank="1" containsNumber="1" containsInteger="1" minValue="0" maxValue="4382"/>
    </cacheField>
    <cacheField name="Première" numFmtId="164">
      <sharedItems containsString="0" containsBlank="1" containsNumber="1" containsInteger="1" minValue="0" maxValue="7968"/>
    </cacheField>
    <cacheField name="Cargo" numFmtId="164">
      <sharedItems containsString="0" containsBlank="1" containsNumber="1" containsInteger="1" minValue="0" maxValue="83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vo GRANGE" refreshedDate="42608.488289120367" createdVersion="4" refreshedVersion="4" minRefreshableVersion="3" recordCount="62" xr:uid="{00000000-000A-0000-FFFF-FFFF05000000}">
  <cacheSource type="worksheet">
    <worksheetSource ref="A5:AS1001" sheet="ROI"/>
  </cacheSource>
  <cacheFields count="46">
    <cacheField name="HUB D" numFmtId="0">
      <sharedItems containsBlank="1" count="6">
        <s v="BOM"/>
        <s v="DEL"/>
        <s v="WDH"/>
        <s v="LOS"/>
        <s v="BOG"/>
        <m/>
      </sharedItems>
    </cacheField>
    <cacheField name="HUB A" numFmtId="0">
      <sharedItems containsBlank="1"/>
    </cacheField>
    <cacheField name="LINES" numFmtId="0">
      <sharedItems containsBlank="1" count="22">
        <s v="BOM/DKR"/>
        <s v="BOM/OXB"/>
        <s v="BOM/BJL"/>
        <s v="BOM/FNA"/>
        <s v="BOM/CKY"/>
        <s v="BOM/NKC"/>
        <s v="BOM/ROB"/>
        <s v="DEL/OXB"/>
        <s v="DEL/BJL"/>
        <s v="DEL/DKR"/>
        <s v="DEL/CKY"/>
        <s v="DEL/FNA"/>
        <s v="DEL/ROB"/>
        <s v="DEL/CPT"/>
        <s v="DEL/NKC"/>
        <s v="WDH/BKK"/>
        <s v="WDH/DMK"/>
        <s v="LOS/CCU"/>
        <s v="BOG/LAD"/>
        <s v="BOG/NDJ"/>
        <m/>
        <s v="/" u="1"/>
      </sharedItems>
    </cacheField>
    <cacheField name="AIRPLANE" numFmtId="0">
      <sharedItems containsBlank="1" count="4">
        <s v="A380"/>
        <s v="B747-400"/>
        <s v="B787-9"/>
        <m/>
      </sharedItems>
    </cacheField>
    <cacheField name="AIRPLANE PRICE" numFmtId="3">
      <sharedItems containsString="0" containsBlank="1" containsNumber="1" containsInteger="1" minValue="213322500" maxValue="406224000"/>
    </cacheField>
    <cacheField name="NAME" numFmtId="3">
      <sharedItems containsBlank="1"/>
    </cacheField>
    <cacheField name="." numFmtId="0">
      <sharedItems containsNonDate="0" containsString="0" containsBlank="1"/>
    </cacheField>
    <cacheField name="RENTAL" numFmtId="3">
      <sharedItems containsString="0" containsBlank="1" containsNumber="1" containsInteger="1" minValue="0" maxValue="0"/>
    </cacheField>
    <cacheField name="DEPOSIT" numFmtId="3">
      <sharedItems containsString="0" containsBlank="1" containsNumber="1" containsInteger="1" minValue="0" maxValue="0"/>
    </cacheField>
    <cacheField name="NB WEEK" numFmtId="3">
      <sharedItems containsString="0" containsBlank="1" containsNumber="1" containsInteger="1" minValue="0" maxValue="0"/>
    </cacheField>
    <cacheField name="DATE D" numFmtId="0">
      <sharedItems containsNonDate="0" containsString="0" containsBlank="1"/>
    </cacheField>
    <cacheField name="DATE F" numFmtId="0">
      <sharedItems containsNonDate="0" containsString="0" containsBlank="1"/>
    </cacheField>
    <cacheField name=".2" numFmtId="0">
      <sharedItems containsNonDate="0" containsString="0" containsBlank="1"/>
    </cacheField>
    <cacheField name="ECO" numFmtId="0">
      <sharedItems containsString="0" containsBlank="1" containsNumber="1" containsInteger="1" minValue="-321" maxValue="4300"/>
    </cacheField>
    <cacheField name="BUSINESS" numFmtId="0">
      <sharedItems containsString="0" containsBlank="1" containsNumber="1" containsInteger="1" minValue="-67" maxValue="247"/>
    </cacheField>
    <cacheField name="FIRST" numFmtId="0">
      <sharedItems containsString="0" containsBlank="1" containsNumber="1" containsInteger="1" minValue="0" maxValue="37"/>
    </cacheField>
    <cacheField name="FREIGHT" numFmtId="0">
      <sharedItems containsString="0" containsBlank="1" containsNumber="1" containsInteger="1" minValue="-7" maxValue="57"/>
    </cacheField>
    <cacheField name=".3" numFmtId="0">
      <sharedItems containsNonDate="0" containsString="0" containsBlank="1"/>
    </cacheField>
    <cacheField name="ECO2" numFmtId="0">
      <sharedItems containsString="0" containsBlank="1" containsNumber="1" containsInteger="1" minValue="420" maxValue="853"/>
    </cacheField>
    <cacheField name="BUSINESS2" numFmtId="0">
      <sharedItems containsString="0" containsBlank="1" containsNumber="1" containsInteger="1" minValue="0" maxValue="100"/>
    </cacheField>
    <cacheField name="FIRST2" numFmtId="0">
      <sharedItems containsString="0" containsBlank="1" containsNumber="1" containsInteger="1" minValue="0" maxValue="1"/>
    </cacheField>
    <cacheField name="FREIGHT2" numFmtId="0">
      <sharedItems containsString="0" containsBlank="1" containsNumber="1" containsInteger="1" minValue="0" maxValue="11"/>
    </cacheField>
    <cacheField name="TOTAL OFFER" numFmtId="0">
      <sharedItems containsString="0" containsBlank="1" containsNumber="1" containsInteger="1" minValue="840" maxValue="1712"/>
    </cacheField>
    <cacheField name=".4" numFmtId="0">
      <sharedItems containsNonDate="0" containsString="0" containsBlank="1"/>
    </cacheField>
    <cacheField name="ECO3" numFmtId="0">
      <sharedItems containsString="0" containsBlank="1" containsNumber="1" containsInteger="1" minValue="2854" maxValue="3314"/>
    </cacheField>
    <cacheField name="BUSINESS3" numFmtId="0">
      <sharedItems containsString="0" containsBlank="1" containsNumber="1" containsInteger="1" minValue="3493" maxValue="4382"/>
    </cacheField>
    <cacheField name="FIRST3" numFmtId="0">
      <sharedItems containsString="0" containsBlank="1" containsNumber="1" containsInteger="1" minValue="4122" maxValue="7968"/>
    </cacheField>
    <cacheField name="FREIGHT3" numFmtId="0">
      <sharedItems containsString="0" containsBlank="1" containsNumber="1" containsInteger="1" minValue="5852" maxValue="8325"/>
    </cacheField>
    <cacheField name=".5" numFmtId="0">
      <sharedItems containsNonDate="0" containsString="0" containsBlank="1"/>
    </cacheField>
    <cacheField name="ECO4" numFmtId="0">
      <sharedItems containsString="0" containsBlank="1" containsNumber="1" containsInteger="1" minValue="1692459" maxValue="5653684"/>
    </cacheField>
    <cacheField name="BUSINESS4" numFmtId="0">
      <sharedItems containsString="0" containsBlank="1" containsNumber="1" containsInteger="1" minValue="0" maxValue="876200"/>
    </cacheField>
    <cacheField name="FIRST4" numFmtId="0">
      <sharedItems containsString="0" containsBlank="1" containsNumber="1" containsInteger="1" minValue="0" maxValue="15936"/>
    </cacheField>
    <cacheField name="FREIGHT4" numFmtId="0">
      <sharedItems containsString="0" containsBlank="1" containsNumber="1" containsInteger="1" minValue="0" maxValue="145794"/>
    </cacheField>
    <cacheField name="ADDITIONAL INCOME" numFmtId="0">
      <sharedItems containsString="0" containsBlank="1" containsNumber="1" minValue="169245.90000000002" maxValue="562127"/>
    </cacheField>
    <cacheField name="TOTAL _x000a_TURN OVER" numFmtId="0">
      <sharedItems containsString="0" containsBlank="1" containsNumber="1" minValue="1861704.9" maxValue="6233197"/>
    </cacheField>
    <cacheField name=".6" numFmtId="0">
      <sharedItems containsNonDate="0" containsString="0" containsBlank="1"/>
    </cacheField>
    <cacheField name="COST FLIGHTS" numFmtId="0">
      <sharedItems containsString="0" containsBlank="1" containsNumber="1" minValue="282979.14479999995" maxValue="947445.94400000002"/>
    </cacheField>
    <cacheField name="GROSS PROFIT" numFmtId="0">
      <sharedItems containsString="0" containsBlank="1" containsNumber="1" minValue="1578725.7552" maxValue="5285751.0559999999"/>
    </cacheField>
    <cacheField name="STAFF COST" numFmtId="0">
      <sharedItems containsString="0" containsBlank="1" containsNumber="1" minValue="165766.20429599998" maxValue="555003.86087999993"/>
    </cacheField>
    <cacheField name="% TAX" numFmtId="0">
      <sharedItems containsString="0" containsBlank="1" containsNumber="1" minValue="5.4069347811922432E-3" maxValue="1.8103024629372331E-2"/>
    </cacheField>
    <cacheField name="TAX" numFmtId="0">
      <sharedItems containsString="0" containsBlank="1" containsNumber="1" minValue="3986770.6740212291" maxValue="13348155.771087624"/>
    </cacheField>
    <cacheField name="STRUCTURAL PROFIT" numFmtId="0">
      <sharedItems containsString="0" containsBlank="1" containsNumber="1" minValue="1331596.8840872401" maxValue="4458335.8528529052"/>
    </cacheField>
    <cacheField name="ROI VALUE" numFmtId="0">
      <sharedItems containsString="0" containsBlank="1" containsNumber="1" minValue="87.673236210594112" maxValue="341.7650061905054"/>
    </cacheField>
    <cacheField name="ROI POURCENT" numFmtId="0">
      <sharedItems containsString="0" containsBlank="1" containsNumber="1" minValue="2.9259871019169928E-3" maxValue="1.1405989367130989E-2"/>
    </cacheField>
    <cacheField name="ROI VALUE / MONTH" numFmtId="0">
      <sharedItems containsString="0" containsBlank="1" containsNumber="1" minValue="2.9224412070198036" maxValue="11.392166873016846"/>
    </cacheField>
    <cacheField name="% ADD INCOME / TOTAL TO" numFmtId="0" formula="'ADDITIONAL INCOME'/'TOTAL _x000a_TURN OVER'" databaseField="0"/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4"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BOM"/>
    <s v="DKR"/>
    <x v="1"/>
    <x v="1"/>
    <s v="9 516"/>
    <n v="9516"/>
    <n v="5849"/>
    <n v="149"/>
    <n v="10"/>
    <n v="64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  <r>
    <s v=""/>
    <s v=""/>
    <x v="0"/>
    <x v="0"/>
    <n v="0"/>
    <n v="0"/>
    <n v="0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75"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  <r>
    <x v="0"/>
    <n v="0"/>
    <n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0">
  <r>
    <x v="0"/>
    <x v="0"/>
    <x v="0"/>
    <s v=""/>
  </r>
  <r>
    <x v="0"/>
    <x v="0"/>
    <x v="0"/>
    <s v=""/>
  </r>
  <r>
    <x v="1"/>
    <x v="1"/>
    <x v="1"/>
    <s v=""/>
  </r>
  <r>
    <x v="0"/>
    <x v="0"/>
    <x v="0"/>
    <s v=""/>
  </r>
  <r>
    <x v="2"/>
    <x v="1"/>
    <x v="1"/>
    <s v=""/>
  </r>
  <r>
    <x v="0"/>
    <x v="0"/>
    <x v="0"/>
    <s v=""/>
  </r>
  <r>
    <x v="3"/>
    <x v="1"/>
    <x v="1"/>
    <s v=""/>
  </r>
  <r>
    <x v="0"/>
    <x v="0"/>
    <x v="0"/>
    <s v=""/>
  </r>
  <r>
    <x v="4"/>
    <x v="1"/>
    <x v="1"/>
    <s v=""/>
  </r>
  <r>
    <x v="0"/>
    <x v="0"/>
    <x v="0"/>
    <s v=""/>
  </r>
  <r>
    <x v="5"/>
    <x v="1"/>
    <x v="1"/>
    <s v=""/>
  </r>
  <r>
    <x v="0"/>
    <x v="0"/>
    <x v="0"/>
    <s v=""/>
  </r>
  <r>
    <x v="6"/>
    <x v="1"/>
    <x v="1"/>
    <s v=""/>
  </r>
  <r>
    <x v="0"/>
    <x v="0"/>
    <x v="0"/>
    <s v=""/>
  </r>
  <r>
    <x v="7"/>
    <x v="1"/>
    <x v="1"/>
    <s v=""/>
  </r>
  <r>
    <x v="0"/>
    <x v="0"/>
    <x v="0"/>
    <s v=""/>
  </r>
  <r>
    <x v="8"/>
    <x v="1"/>
    <x v="1"/>
    <s v=""/>
  </r>
  <r>
    <x v="0"/>
    <x v="0"/>
    <x v="0"/>
    <s v=""/>
  </r>
  <r>
    <x v="9"/>
    <x v="2"/>
    <x v="2"/>
    <n v="0.8219407865939119"/>
  </r>
  <r>
    <x v="0"/>
    <x v="0"/>
    <x v="0"/>
    <s v=""/>
  </r>
  <r>
    <x v="10"/>
    <x v="1"/>
    <x v="1"/>
    <s v=""/>
  </r>
  <r>
    <x v="0"/>
    <x v="0"/>
    <x v="0"/>
    <s v=""/>
  </r>
  <r>
    <x v="11"/>
    <x v="1"/>
    <x v="1"/>
    <s v=""/>
  </r>
  <r>
    <x v="0"/>
    <x v="0"/>
    <x v="0"/>
    <s v=""/>
  </r>
  <r>
    <x v="12"/>
    <x v="1"/>
    <x v="1"/>
    <s v=""/>
  </r>
  <r>
    <x v="0"/>
    <x v="0"/>
    <x v="0"/>
    <s v=""/>
  </r>
  <r>
    <x v="13"/>
    <x v="1"/>
    <x v="1"/>
    <s v=""/>
  </r>
  <r>
    <x v="0"/>
    <x v="0"/>
    <x v="0"/>
    <s v=""/>
  </r>
  <r>
    <x v="14"/>
    <x v="1"/>
    <x v="1"/>
    <s v=""/>
  </r>
  <r>
    <x v="0"/>
    <x v="0"/>
    <x v="0"/>
    <s v=""/>
  </r>
  <r>
    <x v="15"/>
    <x v="1"/>
    <x v="1"/>
    <s v=""/>
  </r>
  <r>
    <x v="0"/>
    <x v="0"/>
    <x v="0"/>
    <s v=""/>
  </r>
  <r>
    <x v="16"/>
    <x v="1"/>
    <x v="1"/>
    <s v=""/>
  </r>
  <r>
    <x v="0"/>
    <x v="0"/>
    <x v="0"/>
    <s v=""/>
  </r>
  <r>
    <x v="17"/>
    <x v="1"/>
    <x v="1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18"/>
    <x v="3"/>
    <x v="3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  <r>
    <x v="0"/>
    <x v="0"/>
    <x v="0"/>
    <s v="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461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1"/>
    <n v="0"/>
    <n v="0"/>
    <n v="0"/>
    <n v="0"/>
  </r>
  <r>
    <x v="1"/>
    <n v="0"/>
    <n v="0"/>
    <n v="0"/>
    <n v="0"/>
  </r>
  <r>
    <x v="2"/>
    <n v="3171"/>
    <n v="4092"/>
    <n v="7077"/>
    <n v="8000"/>
  </r>
  <r>
    <x v="1"/>
    <n v="0"/>
    <n v="0"/>
    <n v="0"/>
    <n v="0"/>
  </r>
  <r>
    <x v="3"/>
    <n v="3134"/>
    <n v="4112"/>
    <n v="7111"/>
    <n v="7700"/>
  </r>
  <r>
    <x v="1"/>
    <n v="0"/>
    <n v="0"/>
    <n v="0"/>
    <n v="0"/>
  </r>
  <r>
    <x v="4"/>
    <n v="3103"/>
    <n v="4116"/>
    <n v="7118"/>
    <n v="7700"/>
  </r>
  <r>
    <x v="1"/>
    <n v="0"/>
    <n v="0"/>
    <n v="0"/>
    <n v="0"/>
  </r>
  <r>
    <x v="5"/>
    <n v="3197"/>
    <n v="4233"/>
    <n v="7320"/>
    <n v="8000"/>
  </r>
  <r>
    <x v="1"/>
    <n v="0"/>
    <n v="0"/>
    <n v="0"/>
    <n v="0"/>
  </r>
  <r>
    <x v="6"/>
    <n v="3314"/>
    <n v="4275"/>
    <n v="7394"/>
    <n v="8100"/>
  </r>
  <r>
    <x v="1"/>
    <n v="0"/>
    <n v="0"/>
    <n v="0"/>
    <n v="0"/>
  </r>
  <r>
    <x v="7"/>
    <n v="3226"/>
    <n v="4273"/>
    <n v="7389"/>
    <n v="7500"/>
  </r>
  <r>
    <x v="1"/>
    <n v="0"/>
    <n v="0"/>
    <n v="0"/>
    <n v="0"/>
  </r>
  <r>
    <x v="8"/>
    <n v="3207"/>
    <n v="4265"/>
    <n v="7376"/>
    <n v="8000"/>
  </r>
  <r>
    <x v="1"/>
    <n v="0"/>
    <n v="0"/>
    <n v="0"/>
    <n v="0"/>
  </r>
  <r>
    <x v="9"/>
    <n v="3023"/>
    <n v="4020"/>
    <n v="6952"/>
    <n v="7600"/>
  </r>
  <r>
    <x v="1"/>
    <n v="0"/>
    <n v="0"/>
    <n v="0"/>
    <n v="0"/>
  </r>
  <r>
    <x v="10"/>
    <n v="2854"/>
    <n v="3579"/>
    <n v="7968"/>
    <n v="6470"/>
  </r>
  <r>
    <x v="1"/>
    <n v="0"/>
    <n v="0"/>
    <n v="0"/>
    <n v="0"/>
  </r>
  <r>
    <x v="11"/>
    <n v="3237"/>
    <n v="4238"/>
    <n v="7330"/>
    <n v="8000"/>
  </r>
  <r>
    <x v="1"/>
    <n v="0"/>
    <n v="0"/>
    <n v="0"/>
    <n v="0"/>
  </r>
  <r>
    <x v="12"/>
    <n v="3212"/>
    <n v="3493"/>
    <n v="4122"/>
    <n v="6627"/>
  </r>
  <r>
    <x v="1"/>
    <n v="0"/>
    <n v="0"/>
    <n v="0"/>
    <n v="0"/>
  </r>
  <r>
    <x v="13"/>
    <n v="3138"/>
    <n v="4173"/>
    <n v="7217"/>
    <n v="8000"/>
  </r>
  <r>
    <x v="1"/>
    <n v="0"/>
    <n v="0"/>
    <n v="0"/>
    <n v="0"/>
  </r>
  <r>
    <x v="14"/>
    <n v="3133"/>
    <n v="4111"/>
    <n v="7109"/>
    <n v="8000"/>
  </r>
  <r>
    <x v="1"/>
    <n v="0"/>
    <n v="0"/>
    <n v="0"/>
    <n v="0"/>
  </r>
  <r>
    <x v="15"/>
    <n v="3209"/>
    <n v="4136"/>
    <n v="7152"/>
    <n v="8000"/>
  </r>
  <r>
    <x v="1"/>
    <n v="0"/>
    <n v="0"/>
    <n v="0"/>
    <n v="0"/>
  </r>
  <r>
    <x v="16"/>
    <n v="3161"/>
    <n v="4194"/>
    <n v="7254"/>
    <n v="7900"/>
  </r>
  <r>
    <x v="1"/>
    <n v="0"/>
    <n v="0"/>
    <n v="0"/>
    <n v="0"/>
  </r>
  <r>
    <x v="17"/>
    <n v="3294"/>
    <n v="4381"/>
    <n v="7576"/>
    <n v="8000"/>
  </r>
  <r>
    <x v="1"/>
    <n v="0"/>
    <n v="0"/>
    <n v="0"/>
    <n v="0"/>
  </r>
  <r>
    <x v="18"/>
    <n v="3295"/>
    <n v="4382"/>
    <n v="7578"/>
    <n v="830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62">
  <r>
    <x v="0"/>
    <s v="DKR"/>
    <x v="0"/>
    <x v="0"/>
    <n v="344565000"/>
    <s v="BOM-A380"/>
    <m/>
    <n v="0"/>
    <n v="0"/>
    <n v="0"/>
    <m/>
    <m/>
    <m/>
    <n v="4300"/>
    <n v="77"/>
    <n v="4"/>
    <n v="42"/>
    <m/>
    <n v="745"/>
    <n v="36"/>
    <n v="1"/>
    <n v="10"/>
    <n v="1584"/>
    <m/>
    <n v="2854"/>
    <n v="3579"/>
    <n v="7968"/>
    <n v="6470"/>
    <m/>
    <n v="4252460"/>
    <n v="257688"/>
    <n v="15936"/>
    <n v="129400"/>
    <n v="365033.7257736359"/>
    <n v="5020517.7257736363"/>
    <m/>
    <n v="763118.69431759266"/>
    <n v="4257399.0314560439"/>
    <n v="447026.8983028846"/>
    <n v="1.4581049827541227E-2"/>
    <n v="10751248.942578435"/>
    <n v="3590958.8894270686"/>
    <n v="110.78022244050921"/>
    <n v="9.0268820369720452E-3"/>
    <n v="3.6926740813503067"/>
  </r>
  <r>
    <x v="0"/>
    <s v="DKR"/>
    <x v="0"/>
    <x v="0"/>
    <n v="344565000"/>
    <s v="BOM-A380"/>
    <m/>
    <n v="0"/>
    <n v="0"/>
    <n v="0"/>
    <m/>
    <m/>
    <m/>
    <n v="2810"/>
    <n v="5"/>
    <n v="2"/>
    <n v="22"/>
    <m/>
    <n v="745"/>
    <n v="36"/>
    <n v="1"/>
    <n v="10"/>
    <n v="1584"/>
    <m/>
    <n v="2854"/>
    <n v="3579"/>
    <n v="7968"/>
    <n v="6470"/>
    <m/>
    <n v="4252460"/>
    <n v="257688"/>
    <n v="15936"/>
    <n v="129400"/>
    <n v="365033.7257736359"/>
    <n v="5020517.7257736363"/>
    <m/>
    <n v="763118.69431759266"/>
    <n v="4257399.0314560439"/>
    <n v="447026.8983028846"/>
    <n v="1.4581049827541227E-2"/>
    <n v="10751248.942578435"/>
    <n v="3590958.8894270686"/>
    <n v="110.78022244050921"/>
    <n v="9.0268820369720452E-3"/>
    <n v="3.6926740813503067"/>
  </r>
  <r>
    <x v="0"/>
    <s v="DKR"/>
    <x v="0"/>
    <x v="0"/>
    <n v="362700000"/>
    <s v="BOM-A380"/>
    <m/>
    <n v="0"/>
    <n v="0"/>
    <n v="0"/>
    <m/>
    <m/>
    <m/>
    <n v="1320"/>
    <n v="-67"/>
    <n v="0"/>
    <n v="2"/>
    <m/>
    <n v="745"/>
    <n v="36"/>
    <n v="1"/>
    <n v="10"/>
    <n v="1584"/>
    <m/>
    <n v="2854"/>
    <n v="3579"/>
    <n v="7968"/>
    <n v="6470"/>
    <m/>
    <n v="4252460"/>
    <n v="17895"/>
    <n v="15936"/>
    <n v="129400"/>
    <n v="365033.7257736359"/>
    <n v="4780724.7257736363"/>
    <m/>
    <n v="726670.15831759269"/>
    <n v="4054054.5674560433"/>
    <n v="425675.72958288452"/>
    <n v="1.3884620918756365E-2"/>
    <n v="10237741.296852427"/>
    <n v="3419445.3420190276"/>
    <n v="116.33676949214443"/>
    <n v="8.5957346449054058E-3"/>
    <n v="3.877892316404814"/>
  </r>
  <r>
    <x v="0"/>
    <s v="DKR"/>
    <x v="0"/>
    <x v="1"/>
    <n v="250669800"/>
    <s v="BOM-B747-400"/>
    <m/>
    <n v="0"/>
    <n v="0"/>
    <n v="0"/>
    <m/>
    <m/>
    <m/>
    <n v="0"/>
    <n v="-67"/>
    <n v="0"/>
    <n v="0"/>
    <m/>
    <n v="660"/>
    <n v="0"/>
    <n v="0"/>
    <n v="1"/>
    <n v="1322"/>
    <m/>
    <n v="2854"/>
    <n v="3579"/>
    <n v="7968"/>
    <n v="6470"/>
    <m/>
    <n v="3767280"/>
    <n v="0"/>
    <n v="0"/>
    <n v="12940"/>
    <n v="323385.58256456332"/>
    <n v="4103605.5825645635"/>
    <m/>
    <n v="623748.04854981368"/>
    <n v="3479857.5340147498"/>
    <n v="365385.04107154871"/>
    <n v="1.1918069159437137E-2"/>
    <n v="8787716.24564033"/>
    <n v="2935131.3450729907"/>
    <n v="135.5330231518351"/>
    <n v="7.3782756168562606E-3"/>
    <n v="4.517767438394503"/>
  </r>
  <r>
    <x v="0"/>
    <s v="OXB"/>
    <x v="1"/>
    <x v="0"/>
    <n v="323891100"/>
    <s v="BOM-A380"/>
    <m/>
    <n v="0"/>
    <n v="0"/>
    <n v="0"/>
    <m/>
    <m/>
    <m/>
    <n v="3006"/>
    <n v="68"/>
    <n v="4"/>
    <n v="22"/>
    <m/>
    <n v="759"/>
    <n v="17"/>
    <n v="1"/>
    <n v="11"/>
    <n v="1576"/>
    <m/>
    <n v="3212"/>
    <n v="3493"/>
    <n v="4122"/>
    <n v="6627"/>
    <m/>
    <n v="4875816"/>
    <n v="118762"/>
    <n v="8244"/>
    <n v="145794"/>
    <n v="418542.97998492781"/>
    <n v="5567158.9799849279"/>
    <m/>
    <n v="846208.16495770903"/>
    <n v="4720950.8150272192"/>
    <n v="495699.83557785803"/>
    <n v="1.6168655688292621E-2"/>
    <n v="11921860.526347574"/>
    <n v="3981947.7034014515"/>
    <n v="99.902674313286553"/>
    <n v="1.0009742050188591E-2"/>
    <n v="3.3300891437762186"/>
  </r>
  <r>
    <x v="0"/>
    <s v="OXB"/>
    <x v="1"/>
    <x v="0"/>
    <n v="323891100"/>
    <s v="BOM-A380"/>
    <m/>
    <n v="0"/>
    <n v="0"/>
    <n v="0"/>
    <m/>
    <m/>
    <m/>
    <n v="1488"/>
    <n v="34"/>
    <n v="2"/>
    <n v="0"/>
    <m/>
    <n v="759"/>
    <n v="17"/>
    <n v="1"/>
    <n v="11"/>
    <n v="1576"/>
    <m/>
    <n v="3212"/>
    <n v="3493"/>
    <n v="4122"/>
    <n v="6627"/>
    <m/>
    <n v="4875816"/>
    <n v="118762"/>
    <n v="8244"/>
    <n v="145794"/>
    <n v="418542.97998492781"/>
    <n v="5567158.9799849279"/>
    <m/>
    <n v="846208.16495770903"/>
    <n v="4720950.8150272192"/>
    <n v="495699.83557785803"/>
    <n v="1.6168655688292621E-2"/>
    <n v="11921860.526347574"/>
    <n v="3981947.7034014515"/>
    <n v="99.902674313286553"/>
    <n v="1.0009742050188591E-2"/>
    <n v="3.3300891437762186"/>
  </r>
  <r>
    <x v="0"/>
    <s v="OXB"/>
    <x v="1"/>
    <x v="0"/>
    <n v="362700000"/>
    <s v="BOM-A380"/>
    <m/>
    <n v="0"/>
    <n v="0"/>
    <n v="0"/>
    <m/>
    <m/>
    <m/>
    <n v="-148"/>
    <n v="0"/>
    <n v="0"/>
    <n v="0"/>
    <m/>
    <n v="818"/>
    <n v="17"/>
    <n v="1"/>
    <n v="0"/>
    <n v="1672"/>
    <m/>
    <n v="3212"/>
    <n v="3493"/>
    <n v="4122"/>
    <n v="6627"/>
    <m/>
    <n v="4779456"/>
    <n v="118762"/>
    <n v="8244"/>
    <n v="0"/>
    <n v="410271.37958996877"/>
    <n v="5316733.3795899684"/>
    <m/>
    <n v="808143.47369767516"/>
    <n v="4508589.905892293"/>
    <n v="473401.94011869072"/>
    <n v="1.5441346602477537E-2"/>
    <n v="11385583.568770252"/>
    <n v="3802829.1174313524"/>
    <n v="104.60823041508534"/>
    <n v="9.5594772613206546E-3"/>
    <n v="3.4869410138361783"/>
  </r>
  <r>
    <x v="0"/>
    <s v="BJL"/>
    <x v="2"/>
    <x v="0"/>
    <n v="403000000"/>
    <s v="BOM-A380"/>
    <m/>
    <n v="0"/>
    <n v="0"/>
    <n v="0"/>
    <m/>
    <m/>
    <m/>
    <n v="3408"/>
    <n v="115"/>
    <n v="7"/>
    <n v="11"/>
    <m/>
    <n v="853"/>
    <n v="0"/>
    <n v="0"/>
    <n v="3"/>
    <n v="1712"/>
    <m/>
    <n v="3161"/>
    <n v="4194"/>
    <n v="7254"/>
    <n v="7900"/>
    <m/>
    <n v="5392666"/>
    <n v="0"/>
    <n v="0"/>
    <n v="47400"/>
    <n v="462909.69505481765"/>
    <n v="5902975.6950548179"/>
    <m/>
    <n v="897252.30564833235"/>
    <n v="5005723.3894064855"/>
    <n v="525600.95588768099"/>
    <n v="1.7143965511464441E-2"/>
    <n v="12640999.32836006"/>
    <n v="4222142.8553890074"/>
    <n v="94.219271628316932"/>
    <n v="1.0613539912990126E-2"/>
    <n v="3.1406423876105642"/>
  </r>
  <r>
    <x v="0"/>
    <s v="BJL"/>
    <x v="2"/>
    <x v="0"/>
    <n v="344565000"/>
    <s v="BOM-A380"/>
    <m/>
    <n v="0"/>
    <n v="0"/>
    <n v="0"/>
    <m/>
    <m/>
    <m/>
    <n v="1702"/>
    <n v="115"/>
    <n v="7"/>
    <n v="5"/>
    <m/>
    <n v="853"/>
    <n v="0"/>
    <n v="0"/>
    <n v="3"/>
    <n v="1712"/>
    <m/>
    <n v="3161"/>
    <n v="4194"/>
    <n v="7254"/>
    <n v="7900"/>
    <m/>
    <n v="5392666"/>
    <n v="0"/>
    <n v="0"/>
    <n v="47400"/>
    <n v="462909.69505481765"/>
    <n v="5902975.6950548179"/>
    <m/>
    <n v="897252.30564833235"/>
    <n v="5005723.3894064855"/>
    <n v="525600.95588768099"/>
    <n v="1.7143965511464441E-2"/>
    <n v="12640999.32836006"/>
    <n v="4222142.8553890074"/>
    <n v="94.219271628316932"/>
    <n v="1.0613539912990126E-2"/>
    <n v="3.1406423876105642"/>
  </r>
  <r>
    <x v="0"/>
    <s v="BJL"/>
    <x v="2"/>
    <x v="0"/>
    <n v="304668000"/>
    <s v="BOM-A380"/>
    <m/>
    <n v="0"/>
    <n v="0"/>
    <n v="0"/>
    <m/>
    <m/>
    <m/>
    <n v="-4"/>
    <n v="115"/>
    <n v="7"/>
    <n v="-1"/>
    <m/>
    <n v="853"/>
    <n v="0"/>
    <n v="0"/>
    <n v="3"/>
    <n v="1712"/>
    <m/>
    <n v="3161"/>
    <n v="4194"/>
    <n v="7254"/>
    <n v="7900"/>
    <m/>
    <n v="5380022"/>
    <n v="0"/>
    <n v="0"/>
    <n v="39500"/>
    <n v="461824.3264849353"/>
    <n v="5881346.3264849354"/>
    <m/>
    <n v="893964.64162571018"/>
    <n v="4987381.6848592255"/>
    <n v="523675.07691021869"/>
    <n v="1.7081147507807835E-2"/>
    <n v="12594680.853121584"/>
    <n v="4206672.3048240775"/>
    <n v="94.565774493359498"/>
    <n v="1.057465034635994E-2"/>
    <n v="3.1521924831119832"/>
  </r>
  <r>
    <x v="0"/>
    <s v="FNA"/>
    <x v="3"/>
    <x v="0"/>
    <n v="362700000"/>
    <s v="BOM-A380"/>
    <m/>
    <n v="0"/>
    <n v="0"/>
    <n v="0"/>
    <m/>
    <m/>
    <m/>
    <n v="3413"/>
    <n v="90"/>
    <n v="3"/>
    <n v="12"/>
    <m/>
    <n v="853"/>
    <n v="0"/>
    <n v="0"/>
    <n v="3"/>
    <n v="1712"/>
    <m/>
    <n v="3134"/>
    <n v="4112"/>
    <n v="7111"/>
    <n v="7700"/>
    <m/>
    <n v="5346604"/>
    <n v="0"/>
    <n v="0"/>
    <n v="46200"/>
    <n v="458955.70525207167"/>
    <n v="5851759.7052520718"/>
    <m/>
    <n v="889467.47519831487"/>
    <n v="4962292.2300537573"/>
    <n v="521040.6841556445"/>
    <n v="1.6995219318328432E-2"/>
    <n v="12531322.222076161"/>
    <n v="4185510.2760598236"/>
    <n v="95.043901055702179"/>
    <n v="1.0521453653443077E-2"/>
    <n v="3.1681300351900727"/>
  </r>
  <r>
    <x v="0"/>
    <s v="FNA"/>
    <x v="3"/>
    <x v="0"/>
    <n v="362700000"/>
    <s v="BOM-A380"/>
    <m/>
    <n v="0"/>
    <n v="0"/>
    <n v="0"/>
    <m/>
    <m/>
    <m/>
    <n v="1707"/>
    <n v="90"/>
    <n v="3"/>
    <n v="6"/>
    <m/>
    <n v="853"/>
    <n v="0"/>
    <n v="0"/>
    <n v="3"/>
    <n v="1712"/>
    <m/>
    <n v="3134"/>
    <n v="4112"/>
    <n v="7111"/>
    <n v="7700"/>
    <m/>
    <n v="5346604"/>
    <n v="0"/>
    <n v="0"/>
    <n v="46200"/>
    <n v="458955.70525207167"/>
    <n v="5851759.7052520718"/>
    <m/>
    <n v="889467.47519831487"/>
    <n v="4962292.2300537573"/>
    <n v="521040.6841556445"/>
    <n v="1.6995219318328432E-2"/>
    <n v="12531322.222076161"/>
    <n v="4185510.2760598236"/>
    <n v="95.043901055702179"/>
    <n v="1.0521453653443077E-2"/>
    <n v="3.1681300351900727"/>
  </r>
  <r>
    <x v="0"/>
    <s v="FNA"/>
    <x v="3"/>
    <x v="0"/>
    <n v="362700000"/>
    <s v="BOM-A380"/>
    <m/>
    <n v="0"/>
    <n v="0"/>
    <n v="0"/>
    <m/>
    <m/>
    <m/>
    <n v="1"/>
    <n v="90"/>
    <n v="3"/>
    <n v="0"/>
    <m/>
    <n v="853"/>
    <n v="0"/>
    <n v="0"/>
    <n v="3"/>
    <n v="1712"/>
    <m/>
    <n v="3134"/>
    <n v="4112"/>
    <n v="7111"/>
    <n v="7700"/>
    <m/>
    <n v="5346604"/>
    <n v="0"/>
    <n v="0"/>
    <n v="46200"/>
    <n v="458955.70525207167"/>
    <n v="5851759.7052520718"/>
    <m/>
    <n v="889467.47519831487"/>
    <n v="4962292.2300537573"/>
    <n v="521040.6841556445"/>
    <n v="1.6995219318328432E-2"/>
    <n v="12531322.222076161"/>
    <n v="4185510.2760598236"/>
    <n v="95.043901055702179"/>
    <n v="1.0521453653443077E-2"/>
    <n v="3.1681300351900727"/>
  </r>
  <r>
    <x v="0"/>
    <s v="CKY"/>
    <x v="4"/>
    <x v="0"/>
    <n v="362700000"/>
    <s v="BOM-A380"/>
    <m/>
    <n v="0"/>
    <n v="0"/>
    <n v="0"/>
    <m/>
    <m/>
    <m/>
    <n v="3411"/>
    <n v="113"/>
    <n v="6"/>
    <n v="12"/>
    <m/>
    <n v="853"/>
    <n v="0"/>
    <n v="0"/>
    <n v="3"/>
    <n v="1712"/>
    <m/>
    <n v="3103"/>
    <n v="4116"/>
    <n v="7118"/>
    <n v="7700"/>
    <m/>
    <n v="5293718"/>
    <n v="0"/>
    <n v="0"/>
    <n v="46200"/>
    <n v="454415.93918225222"/>
    <n v="5794333.9391822526"/>
    <m/>
    <n v="880738.75875570241"/>
    <n v="4913595.1804265501"/>
    <n v="515927.49394478777"/>
    <n v="1.6828438121212007E-2"/>
    <n v="12408347.114635471"/>
    <n v="4144436.1127136913"/>
    <n v="95.985850360950209"/>
    <n v="1.0418202227094386E-2"/>
    <n v="3.1995283453650072"/>
  </r>
  <r>
    <x v="0"/>
    <s v="CKY"/>
    <x v="4"/>
    <x v="0"/>
    <n v="362700000"/>
    <s v="BOM-A380"/>
    <m/>
    <n v="0"/>
    <n v="0"/>
    <n v="0"/>
    <m/>
    <m/>
    <m/>
    <n v="1705"/>
    <n v="113"/>
    <n v="6"/>
    <n v="6"/>
    <m/>
    <n v="853"/>
    <n v="0"/>
    <n v="0"/>
    <n v="3"/>
    <n v="1712"/>
    <m/>
    <n v="3103"/>
    <n v="4116"/>
    <n v="7118"/>
    <n v="7700"/>
    <m/>
    <n v="5293718"/>
    <n v="0"/>
    <n v="0"/>
    <n v="46200"/>
    <n v="454415.93918225222"/>
    <n v="5794333.9391822526"/>
    <m/>
    <n v="880738.75875570241"/>
    <n v="4913595.1804265501"/>
    <n v="515927.49394478777"/>
    <n v="1.6828438121212007E-2"/>
    <n v="12408347.114635471"/>
    <n v="4144436.1127136913"/>
    <n v="95.985850360950209"/>
    <n v="1.0418202227094386E-2"/>
    <n v="3.1995283453650072"/>
  </r>
  <r>
    <x v="0"/>
    <s v="CKY"/>
    <x v="4"/>
    <x v="0"/>
    <n v="362700000"/>
    <s v="BOM-A380"/>
    <m/>
    <n v="0"/>
    <n v="0"/>
    <n v="0"/>
    <m/>
    <m/>
    <m/>
    <n v="-1"/>
    <n v="113"/>
    <n v="6"/>
    <n v="0"/>
    <m/>
    <n v="853"/>
    <n v="0"/>
    <n v="0"/>
    <n v="3"/>
    <n v="1712"/>
    <m/>
    <n v="3103"/>
    <n v="4116"/>
    <n v="7118"/>
    <n v="7700"/>
    <m/>
    <n v="5290615"/>
    <n v="0"/>
    <n v="0"/>
    <n v="46200"/>
    <n v="454149.5757946893"/>
    <n v="5790964.5757946894"/>
    <m/>
    <n v="880226.61552079278"/>
    <n v="4910737.9602738963"/>
    <n v="515627.48582875909"/>
    <n v="1.6818652505838326E-2"/>
    <n v="12401131.750297297"/>
    <n v="4142026.1530104983"/>
    <n v="96.041697915480611"/>
    <n v="1.041214411765219E-2"/>
    <n v="3.2013899305160205"/>
  </r>
  <r>
    <x v="0"/>
    <s v="NKC"/>
    <x v="5"/>
    <x v="0"/>
    <n v="362700000"/>
    <s v="BOM-A380"/>
    <m/>
    <n v="0"/>
    <n v="0"/>
    <n v="0"/>
    <m/>
    <m/>
    <m/>
    <n v="3408"/>
    <n v="162"/>
    <n v="12"/>
    <n v="5"/>
    <m/>
    <n v="853"/>
    <n v="0"/>
    <n v="0"/>
    <n v="3"/>
    <n v="1712"/>
    <m/>
    <n v="3171"/>
    <n v="4092"/>
    <n v="7077"/>
    <n v="8000"/>
    <m/>
    <n v="5409726"/>
    <n v="0"/>
    <n v="0"/>
    <n v="48000"/>
    <n v="464374.13572250138"/>
    <n v="5922100.1357225012"/>
    <m/>
    <n v="900159.22062982013"/>
    <n v="5021940.9150926806"/>
    <n v="527303.79608473147"/>
    <n v="1.7199508472874134E-2"/>
    <n v="12681953.595178058"/>
    <n v="4235821.7395145204"/>
    <n v="93.915006109546141"/>
    <n v="1.0647925623659767E-2"/>
    <n v="3.1305002036515379"/>
  </r>
  <r>
    <x v="0"/>
    <s v="NKC"/>
    <x v="5"/>
    <x v="0"/>
    <n v="362700000"/>
    <s v="BOM-A380"/>
    <m/>
    <n v="0"/>
    <n v="0"/>
    <n v="0"/>
    <m/>
    <m/>
    <m/>
    <n v="1702"/>
    <n v="162"/>
    <n v="12"/>
    <n v="-1"/>
    <m/>
    <n v="853"/>
    <n v="0"/>
    <n v="0"/>
    <n v="3"/>
    <n v="1712"/>
    <m/>
    <n v="3171"/>
    <n v="4092"/>
    <n v="7077"/>
    <n v="8000"/>
    <m/>
    <n v="5409726"/>
    <n v="0"/>
    <n v="0"/>
    <n v="40000"/>
    <n v="464374.13572250138"/>
    <n v="5914100.1357225012"/>
    <m/>
    <n v="898943.22062982013"/>
    <n v="5015156.9150926806"/>
    <n v="526591.4760847314"/>
    <n v="1.7176274136299345E-2"/>
    <n v="12664821.897564668"/>
    <n v="4230099.6859964263"/>
    <n v="94.042044886643993"/>
    <n v="1.0633541637736353E-2"/>
    <n v="3.1347348295547999"/>
  </r>
  <r>
    <x v="0"/>
    <s v="NKC"/>
    <x v="5"/>
    <x v="0"/>
    <n v="362700000"/>
    <s v="BOM-A380"/>
    <m/>
    <n v="0"/>
    <n v="0"/>
    <n v="0"/>
    <m/>
    <m/>
    <m/>
    <n v="-4"/>
    <n v="162"/>
    <n v="12"/>
    <n v="-7"/>
    <m/>
    <n v="853"/>
    <n v="0"/>
    <n v="0"/>
    <n v="3"/>
    <n v="1712"/>
    <m/>
    <n v="3171"/>
    <n v="4092"/>
    <n v="7077"/>
    <n v="8000"/>
    <m/>
    <n v="5397042"/>
    <n v="0"/>
    <n v="0"/>
    <n v="0"/>
    <n v="463285.33352854475"/>
    <n v="5860327.3335285448"/>
    <m/>
    <n v="890769.75469633879"/>
    <n v="4969557.5788322063"/>
    <n v="521803.54577738163"/>
    <n v="1.702010221320634E-2"/>
    <n v="12549669.47418822"/>
    <n v="4191638.3294999627"/>
    <n v="94.90494963407555"/>
    <n v="1.0536858234008805E-2"/>
    <n v="3.1634983211358518"/>
  </r>
  <r>
    <x v="0"/>
    <s v="ROB"/>
    <x v="6"/>
    <x v="0"/>
    <n v="362700000"/>
    <s v="BOM-A380"/>
    <m/>
    <n v="0"/>
    <n v="0"/>
    <n v="0"/>
    <m/>
    <m/>
    <m/>
    <n v="3248"/>
    <n v="117"/>
    <n v="7"/>
    <n v="10"/>
    <m/>
    <n v="853"/>
    <n v="0"/>
    <n v="0"/>
    <n v="3"/>
    <n v="1712"/>
    <m/>
    <n v="3023"/>
    <n v="4020"/>
    <n v="6952"/>
    <n v="7600"/>
    <m/>
    <n v="5157238"/>
    <n v="0"/>
    <n v="0"/>
    <n v="45600"/>
    <n v="442700.4138407826"/>
    <n v="5645538.4138407828"/>
    <m/>
    <n v="858121.83890379895"/>
    <n v="4787416.5749369841"/>
    <n v="502678.7403683833"/>
    <n v="1.6396292456636184E-2"/>
    <n v="12089707.12133849"/>
    <n v="4038009.1178065906"/>
    <n v="98.515682590023417"/>
    <n v="1.0150668134347058E-2"/>
    <n v="3.2838560863341137"/>
  </r>
  <r>
    <x v="0"/>
    <s v="ROB"/>
    <x v="6"/>
    <x v="0"/>
    <n v="362700000"/>
    <s v="BOM-A380"/>
    <m/>
    <n v="0"/>
    <n v="0"/>
    <n v="0"/>
    <m/>
    <m/>
    <m/>
    <n v="1542"/>
    <n v="117"/>
    <n v="7"/>
    <n v="4"/>
    <m/>
    <n v="853"/>
    <n v="0"/>
    <n v="0"/>
    <n v="3"/>
    <n v="1712"/>
    <m/>
    <n v="3023"/>
    <n v="4020"/>
    <n v="6952"/>
    <n v="7600"/>
    <m/>
    <n v="5157238"/>
    <n v="0"/>
    <n v="0"/>
    <n v="45600"/>
    <n v="442700.4138407826"/>
    <n v="5645538.4138407828"/>
    <m/>
    <n v="858121.83890379895"/>
    <n v="4787416.5749369841"/>
    <n v="502678.7403683833"/>
    <n v="1.6396292456636184E-2"/>
    <n v="12089707.12133849"/>
    <n v="4038009.1178065906"/>
    <n v="98.515682590023417"/>
    <n v="1.0150668134347058E-2"/>
    <n v="3.2838560863341137"/>
  </r>
  <r>
    <x v="0"/>
    <s v="ROB"/>
    <x v="6"/>
    <x v="0"/>
    <n v="362700000"/>
    <s v="BOM-A380"/>
    <m/>
    <n v="0"/>
    <n v="0"/>
    <n v="0"/>
    <m/>
    <m/>
    <m/>
    <n v="-164"/>
    <n v="117"/>
    <n v="7"/>
    <n v="-2"/>
    <m/>
    <n v="853"/>
    <n v="0"/>
    <n v="0"/>
    <n v="3"/>
    <n v="1712"/>
    <m/>
    <n v="3023"/>
    <n v="4020"/>
    <n v="6952"/>
    <n v="7600"/>
    <m/>
    <n v="4661466"/>
    <n v="0"/>
    <n v="0"/>
    <n v="30400"/>
    <n v="400143.04697683867"/>
    <n v="5092009.0469768383"/>
    <m/>
    <n v="773985.37514047942"/>
    <n v="4318023.6718363585"/>
    <n v="453392.48554281762"/>
    <n v="1.4788681504917689E-2"/>
    <n v="10904344.904682824"/>
    <n v="3642093.5351775652"/>
    <n v="109.22487868671941"/>
    <n v="9.1554233067011812E-3"/>
    <n v="3.6408292895573138"/>
  </r>
  <r>
    <x v="1"/>
    <s v="OXB"/>
    <x v="7"/>
    <x v="0"/>
    <n v="344565000"/>
    <s v="DEL-A380"/>
    <m/>
    <n v="0"/>
    <n v="0"/>
    <n v="0"/>
    <m/>
    <m/>
    <m/>
    <n v="3199"/>
    <n v="97"/>
    <n v="5"/>
    <n v="11"/>
    <m/>
    <n v="853"/>
    <n v="0"/>
    <n v="0"/>
    <n v="3"/>
    <n v="1712"/>
    <m/>
    <n v="3207"/>
    <n v="4265"/>
    <n v="7376"/>
    <n v="8000"/>
    <m/>
    <n v="5471142"/>
    <n v="0"/>
    <n v="0"/>
    <n v="48000"/>
    <n v="469646.12212616269"/>
    <n v="5988788.122126163"/>
    <m/>
    <n v="910295.79456317681"/>
    <n v="5078492.3275629859"/>
    <n v="533241.6943941135"/>
    <n v="1.7393189863073859E-2"/>
    <n v="12824763.39736725"/>
    <n v="4283520.7679164791"/>
    <n v="94.155524007456833"/>
    <n v="1.0620725767728753E-2"/>
    <n v="3.1385174669152276"/>
  </r>
  <r>
    <x v="1"/>
    <s v="OXB"/>
    <x v="7"/>
    <x v="0"/>
    <n v="362700000"/>
    <s v="DEL-A380"/>
    <m/>
    <n v="0"/>
    <n v="0"/>
    <n v="0"/>
    <m/>
    <m/>
    <m/>
    <n v="1493"/>
    <n v="97"/>
    <n v="5"/>
    <n v="5"/>
    <m/>
    <n v="853"/>
    <n v="0"/>
    <n v="0"/>
    <n v="3"/>
    <n v="1712"/>
    <m/>
    <n v="3207"/>
    <n v="4265"/>
    <n v="7376"/>
    <n v="8000"/>
    <m/>
    <n v="5471142"/>
    <n v="0"/>
    <n v="0"/>
    <n v="48000"/>
    <n v="469646.12212616269"/>
    <n v="5988788.122126163"/>
    <m/>
    <n v="910295.79456317681"/>
    <n v="5078492.3275629859"/>
    <n v="533241.6943941135"/>
    <n v="1.7393189863073859E-2"/>
    <n v="12824763.39736725"/>
    <n v="4283520.7679164791"/>
    <n v="94.155524007456833"/>
    <n v="1.0620725767728753E-2"/>
    <n v="3.1385174669152276"/>
  </r>
  <r>
    <x v="1"/>
    <s v="OXB"/>
    <x v="7"/>
    <x v="0"/>
    <n v="362700000"/>
    <s v="DEL-A380"/>
    <m/>
    <n v="0"/>
    <n v="0"/>
    <n v="0"/>
    <m/>
    <m/>
    <m/>
    <n v="-213"/>
    <n v="97"/>
    <n v="5"/>
    <n v="-1"/>
    <m/>
    <n v="853"/>
    <n v="0"/>
    <n v="0"/>
    <n v="3"/>
    <n v="1712"/>
    <m/>
    <n v="3207"/>
    <n v="4265"/>
    <n v="7376"/>
    <n v="8000"/>
    <m/>
    <n v="4788051"/>
    <n v="0"/>
    <n v="0"/>
    <n v="40000"/>
    <n v="411009.17956293136"/>
    <n v="5239060.1795629309"/>
    <m/>
    <n v="796337.14729356545"/>
    <n v="4442723.0322693652"/>
    <n v="466485.91838828335"/>
    <n v="1.5215760943443879E-2"/>
    <n v="11219249.34682929"/>
    <n v="3747272.8414968108"/>
    <n v="107.62951072943463"/>
    <n v="9.2911320809945762E-3"/>
    <n v="3.5876503576478211"/>
  </r>
  <r>
    <x v="1"/>
    <s v="BJL"/>
    <x v="8"/>
    <x v="0"/>
    <n v="362700000"/>
    <s v="DEL-A380"/>
    <m/>
    <n v="0"/>
    <n v="0"/>
    <n v="0"/>
    <m/>
    <m/>
    <m/>
    <n v="3409"/>
    <n v="116"/>
    <n v="7"/>
    <n v="26"/>
    <m/>
    <n v="853"/>
    <n v="0"/>
    <n v="0"/>
    <n v="3"/>
    <n v="1712"/>
    <m/>
    <n v="3226"/>
    <n v="4273"/>
    <n v="7389"/>
    <n v="7500"/>
    <m/>
    <n v="5503556"/>
    <n v="0"/>
    <n v="0"/>
    <n v="45000"/>
    <n v="472428.55939476169"/>
    <n v="6020984.5593947619"/>
    <m/>
    <n v="915189.65302800376"/>
    <n v="5105794.906366758"/>
    <n v="536108.46516850963"/>
    <n v="1.7486697720574831E-2"/>
    <n v="12893710.850806521"/>
    <n v="4306549.4850593405"/>
    <n v="93.652039503835553"/>
    <n v="1.0677824052716382E-2"/>
    <n v="3.1217346501278516"/>
  </r>
  <r>
    <x v="1"/>
    <s v="BJL"/>
    <x v="8"/>
    <x v="0"/>
    <n v="323891100"/>
    <s v="DEL-A380"/>
    <m/>
    <n v="0"/>
    <n v="0"/>
    <n v="0"/>
    <m/>
    <m/>
    <m/>
    <n v="1703"/>
    <n v="116"/>
    <n v="7"/>
    <n v="20"/>
    <m/>
    <n v="853"/>
    <n v="0"/>
    <n v="0"/>
    <n v="3"/>
    <n v="1712"/>
    <m/>
    <n v="3226"/>
    <n v="4273"/>
    <n v="7389"/>
    <n v="7500"/>
    <m/>
    <n v="5503556"/>
    <n v="0"/>
    <n v="0"/>
    <n v="45000"/>
    <n v="472428.55939476169"/>
    <n v="6020984.5593947619"/>
    <m/>
    <n v="915189.65302800376"/>
    <n v="5105794.906366758"/>
    <n v="536108.46516850963"/>
    <n v="1.7486697720574831E-2"/>
    <n v="12893710.850806521"/>
    <n v="4306549.4850593405"/>
    <n v="93.652039503835553"/>
    <n v="1.0677824052716382E-2"/>
    <n v="3.1217346501278516"/>
  </r>
  <r>
    <x v="1"/>
    <s v="BJL"/>
    <x v="8"/>
    <x v="0"/>
    <n v="362700000"/>
    <s v="DEL-A380"/>
    <m/>
    <n v="0"/>
    <n v="0"/>
    <n v="0"/>
    <m/>
    <m/>
    <m/>
    <n v="-3"/>
    <n v="116"/>
    <n v="7"/>
    <n v="14"/>
    <m/>
    <n v="853"/>
    <n v="0"/>
    <n v="0"/>
    <n v="3"/>
    <n v="1712"/>
    <m/>
    <n v="3226"/>
    <n v="4273"/>
    <n v="7389"/>
    <n v="7500"/>
    <m/>
    <n v="5493878"/>
    <n v="0"/>
    <n v="0"/>
    <n v="45000"/>
    <n v="471597.7940499878"/>
    <n v="6010475.7940499876"/>
    <m/>
    <n v="913592.32069559814"/>
    <n v="5096883.4733543899"/>
    <n v="535172.7647022109"/>
    <n v="1.7456177196699084E-2"/>
    <n v="12871206.727034427"/>
    <n v="4299033.0203453535"/>
    <n v="93.815781500464112"/>
    <n v="1.0659187441667828E-2"/>
    <n v="3.1271927166821372"/>
  </r>
  <r>
    <x v="1"/>
    <s v="DKR"/>
    <x v="9"/>
    <x v="0"/>
    <n v="362700000"/>
    <s v="DEL-A380"/>
    <m/>
    <n v="0"/>
    <n v="0"/>
    <n v="0"/>
    <m/>
    <m/>
    <m/>
    <n v="3408"/>
    <n v="143"/>
    <n v="9"/>
    <n v="12"/>
    <m/>
    <n v="853"/>
    <n v="0"/>
    <n v="0"/>
    <n v="3"/>
    <n v="1712"/>
    <m/>
    <n v="3314"/>
    <n v="4275"/>
    <n v="7394"/>
    <n v="8100"/>
    <m/>
    <n v="5653684"/>
    <n v="0"/>
    <n v="0"/>
    <n v="48600"/>
    <n v="485315.63727037824"/>
    <n v="6187599.6372703779"/>
    <m/>
    <n v="940515.14486509748"/>
    <n v="5247084.4924052805"/>
    <n v="550943.8717025544"/>
    <n v="1.7970596570299469E-2"/>
    <n v="13250510.742306119"/>
    <n v="4425722.0341250505"/>
    <n v="91.130247085148071"/>
    <n v="1.0973305043995372E-2"/>
    <n v="3.037674902838269"/>
  </r>
  <r>
    <x v="1"/>
    <s v="DKR"/>
    <x v="9"/>
    <x v="0"/>
    <n v="362700000"/>
    <s v="DEL-A380"/>
    <m/>
    <n v="0"/>
    <n v="0"/>
    <n v="0"/>
    <m/>
    <m/>
    <m/>
    <n v="1702"/>
    <n v="143"/>
    <n v="9"/>
    <n v="6"/>
    <m/>
    <n v="853"/>
    <n v="0"/>
    <n v="0"/>
    <n v="3"/>
    <n v="1712"/>
    <m/>
    <n v="3314"/>
    <n v="4275"/>
    <n v="7394"/>
    <n v="8100"/>
    <m/>
    <n v="5653684"/>
    <n v="0"/>
    <n v="0"/>
    <n v="48600"/>
    <n v="485315.63727037824"/>
    <n v="6187599.6372703779"/>
    <m/>
    <n v="940515.14486509748"/>
    <n v="5247084.4924052805"/>
    <n v="550943.8717025544"/>
    <n v="1.7970596570299469E-2"/>
    <n v="13250510.742306119"/>
    <n v="4425722.0341250505"/>
    <n v="91.130247085148071"/>
    <n v="1.0973305043995372E-2"/>
    <n v="3.037674902838269"/>
  </r>
  <r>
    <x v="1"/>
    <s v="DKR"/>
    <x v="9"/>
    <x v="0"/>
    <n v="362700000"/>
    <s v="DEL-A380"/>
    <m/>
    <n v="0"/>
    <n v="0"/>
    <n v="0"/>
    <m/>
    <m/>
    <m/>
    <n v="-4"/>
    <n v="143"/>
    <n v="9"/>
    <n v="0"/>
    <m/>
    <n v="853"/>
    <n v="0"/>
    <n v="0"/>
    <n v="3"/>
    <n v="1712"/>
    <m/>
    <n v="3314"/>
    <n v="4275"/>
    <n v="7394"/>
    <n v="8100"/>
    <m/>
    <n v="5640428"/>
    <n v="0"/>
    <n v="0"/>
    <n v="48600"/>
    <n v="484177.73425215931"/>
    <n v="6173205.7342521595"/>
    <m/>
    <n v="938327.2716063282"/>
    <n v="5234878.4626458315"/>
    <n v="549662.23857781233"/>
    <n v="1.7928792471880697E-2"/>
    <n v="13219686.743058044"/>
    <n v="4415426.6986994883"/>
    <n v="91.342733108623975"/>
    <n v="1.0947778394268198E-2"/>
    <n v="3.044757770287466"/>
  </r>
  <r>
    <x v="1"/>
    <s v="CKY"/>
    <x v="10"/>
    <x v="0"/>
    <n v="362700000"/>
    <s v="DEL-A380"/>
    <m/>
    <n v="0"/>
    <n v="0"/>
    <n v="0"/>
    <m/>
    <m/>
    <m/>
    <n v="3412"/>
    <n v="114"/>
    <n v="6"/>
    <n v="11"/>
    <m/>
    <n v="853"/>
    <n v="0"/>
    <n v="0"/>
    <n v="3"/>
    <n v="1712"/>
    <m/>
    <n v="3197"/>
    <n v="4233"/>
    <n v="7320"/>
    <n v="8000"/>
    <m/>
    <n v="5454082"/>
    <n v="0"/>
    <n v="0"/>
    <n v="48000"/>
    <n v="468181.68145847897"/>
    <n v="5970263.6814584788"/>
    <m/>
    <n v="907480.07958168874"/>
    <n v="5062783.6018767897"/>
    <n v="531592.2781970629"/>
    <n v="1.7339389476907267E-2"/>
    <n v="12785094.007870251"/>
    <n v="4270271.0378048243"/>
    <n v="94.447668293048025"/>
    <n v="1.0587873878444986E-2"/>
    <n v="3.1482556097682677"/>
  </r>
  <r>
    <x v="1"/>
    <s v="CKY"/>
    <x v="10"/>
    <x v="0"/>
    <n v="304668000"/>
    <s v="DEL-A380"/>
    <m/>
    <n v="0"/>
    <n v="0"/>
    <n v="0"/>
    <m/>
    <m/>
    <m/>
    <n v="1706"/>
    <n v="114"/>
    <n v="6"/>
    <n v="5"/>
    <m/>
    <n v="853"/>
    <n v="0"/>
    <n v="0"/>
    <n v="3"/>
    <n v="1712"/>
    <m/>
    <n v="3197"/>
    <n v="4233"/>
    <n v="7320"/>
    <n v="8000"/>
    <m/>
    <n v="5454082"/>
    <n v="0"/>
    <n v="0"/>
    <n v="48000"/>
    <n v="468181.68145847897"/>
    <n v="5970263.6814584788"/>
    <m/>
    <n v="907480.07958168874"/>
    <n v="5062783.6018767897"/>
    <n v="531592.2781970629"/>
    <n v="1.7339389476907267E-2"/>
    <n v="12785094.007870251"/>
    <n v="4270271.0378048243"/>
    <n v="94.447668293048025"/>
    <n v="1.0587873878444986E-2"/>
    <n v="3.1482556097682677"/>
  </r>
  <r>
    <x v="1"/>
    <s v="CKY"/>
    <x v="10"/>
    <x v="0"/>
    <n v="362700000"/>
    <s v="DEL-A380"/>
    <m/>
    <n v="0"/>
    <n v="0"/>
    <n v="0"/>
    <m/>
    <m/>
    <m/>
    <n v="0"/>
    <n v="114"/>
    <n v="6"/>
    <n v="-1"/>
    <m/>
    <n v="853"/>
    <n v="0"/>
    <n v="0"/>
    <n v="3"/>
    <n v="1712"/>
    <m/>
    <n v="3197"/>
    <n v="4233"/>
    <n v="7320"/>
    <n v="8000"/>
    <m/>
    <n v="5454082"/>
    <n v="0"/>
    <n v="0"/>
    <n v="40000"/>
    <n v="468181.68145847897"/>
    <n v="5962263.6814584788"/>
    <m/>
    <n v="906264.07958168874"/>
    <n v="5055999.6018767897"/>
    <n v="530879.95819706295"/>
    <n v="1.7316155140332478E-2"/>
    <n v="12767962.310256861"/>
    <n v="4264548.9842867302"/>
    <n v="94.574395554154265"/>
    <n v="1.0573686399374236E-2"/>
    <n v="3.152479851805142"/>
  </r>
  <r>
    <x v="1"/>
    <s v="FNA"/>
    <x v="11"/>
    <x v="0"/>
    <n v="362700000"/>
    <s v="DEL-A380"/>
    <m/>
    <n v="0"/>
    <n v="0"/>
    <n v="0"/>
    <m/>
    <m/>
    <m/>
    <n v="3410"/>
    <n v="91"/>
    <n v="3"/>
    <n v="10"/>
    <m/>
    <n v="853"/>
    <n v="0"/>
    <n v="0"/>
    <n v="3"/>
    <n v="1712"/>
    <m/>
    <n v="3237"/>
    <n v="4238"/>
    <n v="7330"/>
    <n v="8000"/>
    <m/>
    <n v="5522322"/>
    <n v="0"/>
    <n v="0"/>
    <n v="48000"/>
    <n v="552232.20000000007"/>
    <n v="6122554.2000000002"/>
    <m/>
    <n v="930628.23840000003"/>
    <n v="5191925.9616"/>
    <n v="545152.22596800001"/>
    <n v="1.7781685622525169E-2"/>
    <n v="13111218.397000251"/>
    <n v="4379197.849978934"/>
    <n v="92.098406218833006"/>
    <n v="1.0857951196505202E-2"/>
    <n v="3.0699468739611002"/>
  </r>
  <r>
    <x v="1"/>
    <s v="FNA"/>
    <x v="11"/>
    <x v="0"/>
    <n v="403000000"/>
    <s v="DEL-A380"/>
    <m/>
    <n v="0"/>
    <n v="0"/>
    <n v="0"/>
    <m/>
    <m/>
    <m/>
    <n v="1704"/>
    <n v="91"/>
    <n v="3"/>
    <n v="4"/>
    <m/>
    <n v="853"/>
    <n v="0"/>
    <n v="0"/>
    <n v="3"/>
    <n v="1712"/>
    <m/>
    <n v="3237"/>
    <n v="4238"/>
    <n v="7330"/>
    <n v="8000"/>
    <m/>
    <n v="5522322"/>
    <n v="0"/>
    <n v="0"/>
    <n v="48000"/>
    <n v="552232.20000000007"/>
    <n v="6122554.2000000002"/>
    <m/>
    <n v="930628.23840000003"/>
    <n v="5191925.9616"/>
    <n v="545152.22596800001"/>
    <n v="1.7781685622525169E-2"/>
    <n v="13111218.397000251"/>
    <n v="4379197.849978934"/>
    <n v="92.098406218833006"/>
    <n v="1.0857951196505202E-2"/>
    <n v="3.0699468739611002"/>
  </r>
  <r>
    <x v="1"/>
    <s v="FNA"/>
    <x v="11"/>
    <x v="0"/>
    <n v="344565000"/>
    <s v="DEL-A380"/>
    <m/>
    <n v="0"/>
    <n v="0"/>
    <n v="0"/>
    <m/>
    <m/>
    <m/>
    <n v="-2"/>
    <n v="91"/>
    <n v="3"/>
    <n v="-2"/>
    <m/>
    <n v="853"/>
    <n v="0"/>
    <n v="0"/>
    <n v="3"/>
    <n v="1712"/>
    <m/>
    <n v="3237"/>
    <n v="4238"/>
    <n v="7330"/>
    <n v="8000"/>
    <m/>
    <n v="5515848"/>
    <n v="0"/>
    <n v="0"/>
    <n v="32000"/>
    <n v="551584.80000000005"/>
    <n v="6099432.7999999998"/>
    <m/>
    <n v="927113.78559999994"/>
    <n v="5172319.0143999998"/>
    <n v="543093.49651199998"/>
    <n v="1.7714534323815121E-2"/>
    <n v="13061704.792850466"/>
    <n v="4362660.1139522763"/>
    <n v="92.447527876431749"/>
    <n v="1.0816946899181891E-2"/>
    <n v="3.0815842625477248"/>
  </r>
  <r>
    <x v="1"/>
    <s v="ROB"/>
    <x v="12"/>
    <x v="0"/>
    <n v="362700000"/>
    <s v="DEL-A380"/>
    <m/>
    <n v="0"/>
    <n v="0"/>
    <n v="0"/>
    <m/>
    <m/>
    <m/>
    <n v="3277"/>
    <n v="118"/>
    <n v="7"/>
    <n v="7"/>
    <m/>
    <n v="853"/>
    <n v="0"/>
    <n v="0"/>
    <n v="3"/>
    <n v="1712"/>
    <m/>
    <n v="3138"/>
    <n v="4173"/>
    <n v="7217"/>
    <n v="8000"/>
    <m/>
    <n v="5353428"/>
    <n v="0"/>
    <n v="0"/>
    <n v="48000"/>
    <n v="535342.80000000005"/>
    <n v="5936770.7999999998"/>
    <m/>
    <n v="902389.16159999999"/>
    <n v="5034381.6383999996"/>
    <n v="528610.07203199994"/>
    <n v="1.7242116366824031E-2"/>
    <n v="12713370.26820177"/>
    <n v="4246315.0302822487"/>
    <n v="94.980504183928119"/>
    <n v="1.0528476434106067E-2"/>
    <n v="3.1660168061309375"/>
  </r>
  <r>
    <x v="1"/>
    <s v="ROB"/>
    <x v="12"/>
    <x v="0"/>
    <n v="362700000"/>
    <s v="DEL-A380"/>
    <m/>
    <n v="0"/>
    <n v="0"/>
    <n v="0"/>
    <m/>
    <m/>
    <m/>
    <n v="1571"/>
    <n v="118"/>
    <n v="7"/>
    <n v="1"/>
    <m/>
    <n v="853"/>
    <n v="0"/>
    <n v="0"/>
    <n v="3"/>
    <n v="1712"/>
    <m/>
    <n v="3138"/>
    <n v="4173"/>
    <n v="7217"/>
    <n v="8000"/>
    <m/>
    <n v="5353428"/>
    <n v="0"/>
    <n v="0"/>
    <n v="48000"/>
    <n v="535342.80000000005"/>
    <n v="5936770.7999999998"/>
    <m/>
    <n v="902389.16159999999"/>
    <n v="5034381.6383999996"/>
    <n v="528610.07203199994"/>
    <n v="1.7242116366824031E-2"/>
    <n v="12713370.26820177"/>
    <n v="4246315.0302822487"/>
    <n v="94.980504183928119"/>
    <n v="1.0528476434106067E-2"/>
    <n v="3.1660168061309375"/>
  </r>
  <r>
    <x v="1"/>
    <s v="ROB"/>
    <x v="12"/>
    <x v="0"/>
    <n v="406224000"/>
    <s v="DEL-A380"/>
    <m/>
    <n v="0"/>
    <n v="0"/>
    <n v="0"/>
    <m/>
    <m/>
    <m/>
    <n v="-135"/>
    <n v="118"/>
    <n v="7"/>
    <n v="-5"/>
    <m/>
    <n v="853"/>
    <n v="0"/>
    <n v="0"/>
    <n v="3"/>
    <n v="1712"/>
    <m/>
    <n v="3138"/>
    <n v="4173"/>
    <n v="7217"/>
    <n v="8000"/>
    <m/>
    <n v="4929798"/>
    <n v="0"/>
    <n v="0"/>
    <n v="8000"/>
    <n v="492979.80000000005"/>
    <n v="5430777.7999999998"/>
    <m/>
    <n v="825478.22560000001"/>
    <n v="4605299.5744000003"/>
    <n v="483556.45531200001"/>
    <n v="1.5772564908512997E-2"/>
    <n v="11629805.384390153"/>
    <n v="3884400.15205963"/>
    <n v="103.82996774576601"/>
    <n v="9.6311307969252254E-3"/>
    <n v="3.4609989248588673"/>
  </r>
  <r>
    <x v="1"/>
    <s v="CPT"/>
    <x v="13"/>
    <x v="0"/>
    <n v="348192000"/>
    <s v="DEL-A380"/>
    <m/>
    <n v="0"/>
    <n v="0"/>
    <n v="0"/>
    <m/>
    <m/>
    <m/>
    <n v="3409"/>
    <n v="247"/>
    <n v="36"/>
    <n v="8"/>
    <m/>
    <n v="853"/>
    <n v="0"/>
    <n v="0"/>
    <n v="3"/>
    <n v="1712"/>
    <m/>
    <n v="3133"/>
    <n v="4111"/>
    <n v="7109"/>
    <n v="8000"/>
    <m/>
    <n v="5344898"/>
    <n v="0"/>
    <n v="0"/>
    <n v="48000"/>
    <n v="534489.80000000005"/>
    <n v="5927387.7999999998"/>
    <m/>
    <n v="900962.94559999998"/>
    <n v="5026424.8543999996"/>
    <n v="527774.60971199989"/>
    <n v="1.7214865394313873E-2"/>
    <n v="12693276.928363463"/>
    <n v="4239603.7767622145"/>
    <n v="95.130857442535188"/>
    <n v="1.0511836294590961E-2"/>
    <n v="3.1710285814178394"/>
  </r>
  <r>
    <x v="1"/>
    <s v="CPT"/>
    <x v="13"/>
    <x v="0"/>
    <n v="362700000"/>
    <s v="DEL-A380"/>
    <m/>
    <n v="0"/>
    <n v="0"/>
    <n v="0"/>
    <m/>
    <m/>
    <m/>
    <n v="1703"/>
    <n v="247"/>
    <n v="36"/>
    <n v="2"/>
    <m/>
    <n v="853"/>
    <n v="0"/>
    <n v="0"/>
    <n v="3"/>
    <n v="1712"/>
    <m/>
    <n v="3133"/>
    <n v="4111"/>
    <n v="7109"/>
    <n v="8000"/>
    <m/>
    <n v="5344898"/>
    <n v="0"/>
    <n v="0"/>
    <n v="48000"/>
    <n v="534489.80000000005"/>
    <n v="5927387.7999999998"/>
    <m/>
    <n v="900962.94559999998"/>
    <n v="5026424.8543999996"/>
    <n v="527774.60971199989"/>
    <n v="1.7214865394313873E-2"/>
    <n v="12693276.928363463"/>
    <n v="4239603.7767622145"/>
    <n v="95.130857442535188"/>
    <n v="1.0511836294590961E-2"/>
    <n v="3.1710285814178394"/>
  </r>
  <r>
    <x v="1"/>
    <s v="CPT"/>
    <x v="13"/>
    <x v="0"/>
    <n v="362700000"/>
    <s v="DEL-A380"/>
    <m/>
    <n v="0"/>
    <n v="0"/>
    <n v="0"/>
    <m/>
    <m/>
    <m/>
    <n v="-3"/>
    <n v="247"/>
    <n v="36"/>
    <n v="-4"/>
    <m/>
    <n v="853"/>
    <n v="0"/>
    <n v="0"/>
    <n v="3"/>
    <n v="1712"/>
    <m/>
    <n v="3133"/>
    <n v="4111"/>
    <n v="7109"/>
    <n v="8000"/>
    <m/>
    <n v="5335499"/>
    <n v="0"/>
    <n v="0"/>
    <n v="16000"/>
    <n v="533549.9"/>
    <n v="5885048.9000000004"/>
    <m/>
    <n v="894527.43280000007"/>
    <n v="4990521.4671999998"/>
    <n v="524004.75405599998"/>
    <n v="1.7091900862713071E-2"/>
    <n v="12602609.774353011"/>
    <n v="4209320.5953000616"/>
    <n v="95.815258868693874"/>
    <n v="1.0436751012387384E-2"/>
    <n v="3.1938419622897958"/>
  </r>
  <r>
    <x v="1"/>
    <s v="NKC"/>
    <x v="14"/>
    <x v="0"/>
    <n v="362700000"/>
    <s v="DEL-A380"/>
    <m/>
    <n v="0"/>
    <n v="0"/>
    <n v="0"/>
    <m/>
    <m/>
    <m/>
    <n v="3410"/>
    <n v="162"/>
    <n v="12"/>
    <n v="8"/>
    <m/>
    <n v="853"/>
    <n v="0"/>
    <n v="0"/>
    <n v="3"/>
    <n v="1712"/>
    <m/>
    <n v="3209"/>
    <n v="4136"/>
    <n v="7152"/>
    <n v="8000"/>
    <m/>
    <n v="5474554"/>
    <n v="0"/>
    <n v="0"/>
    <n v="48000"/>
    <n v="547455.4"/>
    <n v="6070009.4000000004"/>
    <m/>
    <n v="922641.42879999999"/>
    <n v="5147367.9712000005"/>
    <n v="540473.63697600004"/>
    <n v="1.7629080176468283E-2"/>
    <n v="12998695.693905734"/>
    <n v="4341614.8302667402"/>
    <n v="92.895652485879552"/>
    <n v="1.0764766415220598E-2"/>
    <n v="3.0965217495293182"/>
  </r>
  <r>
    <x v="1"/>
    <s v="NKC"/>
    <x v="14"/>
    <x v="0"/>
    <n v="362700000"/>
    <s v="DEL-A380"/>
    <m/>
    <n v="0"/>
    <n v="0"/>
    <n v="0"/>
    <m/>
    <m/>
    <m/>
    <n v="1704"/>
    <n v="162"/>
    <n v="12"/>
    <n v="2"/>
    <m/>
    <n v="853"/>
    <n v="0"/>
    <n v="0"/>
    <n v="3"/>
    <n v="1712"/>
    <m/>
    <n v="3209"/>
    <n v="4136"/>
    <n v="7152"/>
    <n v="8000"/>
    <m/>
    <n v="5474554"/>
    <n v="0"/>
    <n v="0"/>
    <n v="48000"/>
    <n v="547455.4"/>
    <n v="6070009.4000000004"/>
    <m/>
    <n v="922641.42879999999"/>
    <n v="5147367.9712000005"/>
    <n v="540473.63697600004"/>
    <n v="1.7629080176468283E-2"/>
    <n v="12998695.693905734"/>
    <n v="4341614.8302667402"/>
    <n v="92.895652485879552"/>
    <n v="1.0764766415220598E-2"/>
    <n v="3.0965217495293182"/>
  </r>
  <r>
    <x v="1"/>
    <s v="NKC"/>
    <x v="14"/>
    <x v="0"/>
    <n v="304668000"/>
    <s v="DEL-A380"/>
    <m/>
    <n v="0"/>
    <n v="0"/>
    <n v="0"/>
    <m/>
    <m/>
    <m/>
    <n v="-2"/>
    <n v="162"/>
    <n v="12"/>
    <n v="-4"/>
    <m/>
    <n v="853"/>
    <n v="0"/>
    <n v="0"/>
    <n v="3"/>
    <n v="1712"/>
    <m/>
    <n v="3209"/>
    <n v="4136"/>
    <n v="7152"/>
    <n v="8000"/>
    <m/>
    <n v="5468136"/>
    <n v="0"/>
    <n v="0"/>
    <n v="16000"/>
    <n v="546813.6"/>
    <n v="6030949.5999999996"/>
    <m/>
    <n v="916704.33919999993"/>
    <n v="5114245.2607999993"/>
    <n v="536995.75238399988"/>
    <n v="1.7515639109000277E-2"/>
    <n v="12915050.608600786"/>
    <n v="4313677.0470159836"/>
    <n v="93.497296646024409"/>
    <n v="1.0695496403344631E-2"/>
    <n v="3.1165765548674802"/>
  </r>
  <r>
    <x v="2"/>
    <s v="BKK"/>
    <x v="15"/>
    <x v="0"/>
    <n v="362700000"/>
    <s v="WDH-A380"/>
    <m/>
    <n v="0"/>
    <n v="0"/>
    <n v="0"/>
    <m/>
    <m/>
    <m/>
    <n v="2542"/>
    <n v="227"/>
    <n v="37"/>
    <n v="12"/>
    <m/>
    <n v="853"/>
    <n v="0"/>
    <n v="0"/>
    <n v="3"/>
    <n v="1712"/>
    <m/>
    <n v="3295"/>
    <n v="4382"/>
    <n v="7578"/>
    <n v="8300"/>
    <m/>
    <n v="5621270"/>
    <n v="0"/>
    <n v="0"/>
    <n v="49800"/>
    <n v="562127"/>
    <n v="6233197"/>
    <m/>
    <n v="947445.94400000002"/>
    <n v="5285751.0559999999"/>
    <n v="555003.86087999993"/>
    <n v="1.8103024629372331E-2"/>
    <n v="13348155.771087624"/>
    <n v="4458335.8528529052"/>
    <n v="87.673236210594112"/>
    <n v="1.1405989367130989E-2"/>
    <n v="2.9224412070198036"/>
  </r>
  <r>
    <x v="2"/>
    <s v="BKK"/>
    <x v="15"/>
    <x v="0"/>
    <n v="304668000"/>
    <s v="WDH-A380"/>
    <m/>
    <n v="0"/>
    <n v="0"/>
    <n v="0"/>
    <m/>
    <m/>
    <m/>
    <n v="836"/>
    <n v="227"/>
    <n v="37"/>
    <n v="6"/>
    <m/>
    <n v="853"/>
    <n v="0"/>
    <n v="0"/>
    <n v="3"/>
    <n v="1712"/>
    <m/>
    <n v="3295"/>
    <n v="4382"/>
    <n v="7578"/>
    <n v="8300"/>
    <m/>
    <n v="5621270"/>
    <n v="0"/>
    <n v="0"/>
    <n v="49800"/>
    <n v="562127"/>
    <n v="6233197"/>
    <m/>
    <n v="947445.94400000002"/>
    <n v="5285751.0559999999"/>
    <n v="555003.86087999993"/>
    <n v="1.8103024629372331E-2"/>
    <n v="13348155.771087624"/>
    <n v="4458335.8528529052"/>
    <n v="87.673236210594112"/>
    <n v="1.1405989367130989E-2"/>
    <n v="2.9224412070198036"/>
  </r>
  <r>
    <x v="2"/>
    <s v="BKK"/>
    <x v="15"/>
    <x v="1"/>
    <n v="296300000"/>
    <s v="WDH-B747-400"/>
    <m/>
    <n v="0"/>
    <n v="0"/>
    <n v="0"/>
    <m/>
    <m/>
    <m/>
    <n v="-170"/>
    <n v="53"/>
    <n v="37"/>
    <n v="-6"/>
    <m/>
    <n v="503"/>
    <n v="87"/>
    <n v="0"/>
    <n v="6"/>
    <n v="1192"/>
    <m/>
    <n v="3295"/>
    <n v="4382"/>
    <n v="7578"/>
    <n v="8300"/>
    <m/>
    <n v="2754620"/>
    <n v="762468"/>
    <n v="0"/>
    <n v="49800"/>
    <n v="275462"/>
    <n v="3842350"/>
    <m/>
    <n v="584037.19999999995"/>
    <n v="3258312.8"/>
    <n v="342122.84399999998"/>
    <n v="1.1159306642268609E-2"/>
    <n v="8228247.2906020014"/>
    <n v="2748266.5419060811"/>
    <n v="142.2266459141324"/>
    <n v="7.0310313062134488E-3"/>
    <n v="4.740888197137747"/>
  </r>
  <r>
    <x v="2"/>
    <s v="DMK"/>
    <x v="16"/>
    <x v="0"/>
    <n v="304668000"/>
    <s v="WDH-A380"/>
    <m/>
    <n v="0"/>
    <n v="0"/>
    <n v="0"/>
    <m/>
    <m/>
    <m/>
    <n v="2469"/>
    <n v="223"/>
    <n v="36"/>
    <n v="20"/>
    <m/>
    <n v="853"/>
    <n v="0"/>
    <n v="0"/>
    <n v="3"/>
    <n v="1712"/>
    <m/>
    <n v="3294"/>
    <n v="4381"/>
    <n v="7576"/>
    <n v="8000"/>
    <m/>
    <n v="5619564"/>
    <n v="0"/>
    <n v="0"/>
    <n v="48000"/>
    <n v="561956.4"/>
    <n v="6229520.4000000004"/>
    <m/>
    <n v="946887.10080000001"/>
    <n v="5282633.2992000002"/>
    <n v="554676.49641599995"/>
    <n v="1.809234670914097E-2"/>
    <n v="13340282.471156949"/>
    <n v="4455706.1401073281"/>
    <n v="87.72498006879735"/>
    <n v="1.1399261638084853E-2"/>
    <n v="2.9241660022932452"/>
  </r>
  <r>
    <x v="2"/>
    <s v="DMK"/>
    <x v="16"/>
    <x v="0"/>
    <n v="304668000"/>
    <s v="WDH-A380"/>
    <m/>
    <n v="0"/>
    <n v="0"/>
    <n v="0"/>
    <m/>
    <m/>
    <m/>
    <n v="763"/>
    <n v="223"/>
    <n v="36"/>
    <n v="14"/>
    <m/>
    <n v="853"/>
    <n v="0"/>
    <n v="0"/>
    <n v="3"/>
    <n v="1712"/>
    <m/>
    <n v="3294"/>
    <n v="4381"/>
    <n v="7576"/>
    <n v="8000"/>
    <m/>
    <n v="5619564"/>
    <n v="0"/>
    <n v="0"/>
    <n v="48000"/>
    <n v="561956.4"/>
    <n v="6229520.4000000004"/>
    <m/>
    <n v="946887.10080000001"/>
    <n v="5282633.2992000002"/>
    <n v="554676.49641599995"/>
    <n v="1.809234670914097E-2"/>
    <n v="13340282.471156949"/>
    <n v="4455706.1401073281"/>
    <n v="87.72498006879735"/>
    <n v="1.1399261638084853E-2"/>
    <n v="2.9241660022932452"/>
  </r>
  <r>
    <x v="2"/>
    <s v="DMK"/>
    <x v="16"/>
    <x v="1"/>
    <n v="266670000"/>
    <s v="WDH-B747-400"/>
    <m/>
    <n v="0"/>
    <n v="0"/>
    <n v="0"/>
    <m/>
    <m/>
    <m/>
    <n v="-195"/>
    <n v="23"/>
    <n v="36"/>
    <n v="0"/>
    <m/>
    <n v="479"/>
    <n v="100"/>
    <n v="0"/>
    <n v="7"/>
    <n v="1172"/>
    <m/>
    <n v="3294"/>
    <n v="4381"/>
    <n v="7576"/>
    <n v="8000"/>
    <m/>
    <n v="2513322"/>
    <n v="876200"/>
    <n v="0"/>
    <n v="112000"/>
    <n v="251332.2"/>
    <n v="3752854.2"/>
    <m/>
    <n v="570433.83840000001"/>
    <n v="3182420.3616000004"/>
    <n v="334154.13796800002"/>
    <n v="1.0899384699864836E-2"/>
    <n v="8036595.4176934296"/>
    <n v="2684254.0722505017"/>
    <n v="145.61838105199143"/>
    <n v="6.8672649206487262E-3"/>
    <n v="4.8539460350663814"/>
  </r>
  <r>
    <x v="3"/>
    <s v="CCU"/>
    <x v="17"/>
    <x v="0"/>
    <n v="344565000"/>
    <s v="LOS-A380"/>
    <m/>
    <n v="0"/>
    <n v="0"/>
    <n v="0"/>
    <m/>
    <m/>
    <m/>
    <n v="3412"/>
    <n v="149"/>
    <n v="12"/>
    <n v="11"/>
    <m/>
    <n v="853"/>
    <n v="0"/>
    <n v="0"/>
    <n v="3"/>
    <n v="1712"/>
    <m/>
    <n v="3092"/>
    <n v="4087"/>
    <n v="7067"/>
    <n v="7750"/>
    <m/>
    <n v="5274952"/>
    <n v="0"/>
    <n v="0"/>
    <n v="46500"/>
    <n v="527495.20000000007"/>
    <n v="5848947.2000000002"/>
    <m/>
    <n v="889039.97439999995"/>
    <n v="4959907.2256000005"/>
    <n v="520790.25868800003"/>
    <n v="1.6987050981622807E-2"/>
    <n v="12525299.348386839"/>
    <n v="4183498.6128632887"/>
    <n v="135.41701099762733"/>
    <n v="7.3845966074197371E-3"/>
    <n v="4.5139003665875777"/>
  </r>
  <r>
    <x v="3"/>
    <s v="CCU"/>
    <x v="17"/>
    <x v="0"/>
    <n v="344565000"/>
    <s v="LOS-A380"/>
    <m/>
    <n v="0"/>
    <n v="0"/>
    <n v="0"/>
    <m/>
    <m/>
    <m/>
    <n v="1706"/>
    <n v="149"/>
    <n v="12"/>
    <n v="5"/>
    <m/>
    <n v="853"/>
    <n v="0"/>
    <n v="0"/>
    <n v="3"/>
    <n v="1712"/>
    <m/>
    <n v="3092"/>
    <n v="4087"/>
    <n v="7067"/>
    <n v="7750"/>
    <m/>
    <n v="5274952"/>
    <n v="0"/>
    <n v="0"/>
    <n v="46500"/>
    <n v="527495.20000000007"/>
    <n v="5848947.2000000002"/>
    <m/>
    <n v="889039.97439999995"/>
    <n v="4959907.2256000005"/>
    <n v="520790.25868800003"/>
    <n v="1.6987050981622807E-2"/>
    <n v="12525299.348386839"/>
    <n v="4183498.6128632887"/>
    <n v="135.41701099762733"/>
    <n v="7.3845966074197371E-3"/>
    <n v="4.5139003665875777"/>
  </r>
  <r>
    <x v="3"/>
    <s v="CCU"/>
    <x v="17"/>
    <x v="0"/>
    <n v="344565000"/>
    <s v="LOS-A380"/>
    <m/>
    <n v="0"/>
    <n v="0"/>
    <n v="0"/>
    <m/>
    <m/>
    <m/>
    <n v="0"/>
    <n v="149"/>
    <n v="12"/>
    <n v="-1"/>
    <m/>
    <n v="853"/>
    <n v="0"/>
    <n v="0"/>
    <n v="3"/>
    <n v="1712"/>
    <m/>
    <n v="3092"/>
    <n v="4087"/>
    <n v="7067"/>
    <n v="7750"/>
    <m/>
    <n v="5274952"/>
    <n v="0"/>
    <n v="0"/>
    <n v="38750"/>
    <n v="527495.20000000007"/>
    <n v="5841197.2000000002"/>
    <m/>
    <n v="887861.97439999995"/>
    <n v="4953335.2256000005"/>
    <n v="520100.19868800003"/>
    <n v="1.6964542718065977E-2"/>
    <n v="12508703.016323866"/>
    <n v="4177955.3735176357"/>
    <n v="135.59667995919423"/>
    <n v="7.3748118338954529E-3"/>
    <n v="4.5198893319731415"/>
  </r>
  <r>
    <x v="4"/>
    <s v="LAD"/>
    <x v="18"/>
    <x v="0"/>
    <n v="351819000"/>
    <s v="BOG-A380"/>
    <m/>
    <n v="0"/>
    <n v="0"/>
    <n v="0"/>
    <m/>
    <m/>
    <m/>
    <n v="2376"/>
    <n v="216"/>
    <n v="34"/>
    <n v="57"/>
    <m/>
    <n v="853"/>
    <n v="0"/>
    <n v="0"/>
    <n v="3"/>
    <n v="1712"/>
    <m/>
    <n v="3258"/>
    <n v="4333"/>
    <n v="6219"/>
    <n v="5852"/>
    <m/>
    <n v="5558148"/>
    <n v="0"/>
    <n v="0"/>
    <n v="35112"/>
    <n v="555814.80000000005"/>
    <n v="6149074.7999999998"/>
    <m/>
    <n v="934659.36959999998"/>
    <n v="5214415.4304"/>
    <n v="547513.62019199994"/>
    <n v="1.7858709190845843E-2"/>
    <n v="13168011.259465965"/>
    <n v="4398166.886545429"/>
    <n v="103.47338540643452"/>
    <n v="9.6643208886235468E-3"/>
    <n v="3.4491128468811505"/>
  </r>
  <r>
    <x v="4"/>
    <s v="LAD"/>
    <x v="18"/>
    <x v="0"/>
    <n v="362700000"/>
    <s v="BOG-A380"/>
    <m/>
    <n v="0"/>
    <n v="0"/>
    <n v="0"/>
    <m/>
    <m/>
    <m/>
    <n v="670"/>
    <n v="216"/>
    <n v="34"/>
    <n v="51"/>
    <m/>
    <n v="853"/>
    <n v="0"/>
    <n v="0"/>
    <n v="3"/>
    <n v="1712"/>
    <m/>
    <n v="3258"/>
    <n v="4333"/>
    <n v="6219"/>
    <n v="5852"/>
    <m/>
    <n v="5558148"/>
    <n v="0"/>
    <n v="0"/>
    <n v="35112"/>
    <n v="555814.80000000005"/>
    <n v="6149074.7999999998"/>
    <m/>
    <n v="934659.36959999998"/>
    <n v="5214415.4304"/>
    <n v="547513.62019199994"/>
    <n v="1.7858709190845843E-2"/>
    <n v="13168011.259465965"/>
    <n v="4398166.886545429"/>
    <n v="103.47338540643452"/>
    <n v="9.6643208886235468E-3"/>
    <n v="3.4491128468811505"/>
  </r>
  <r>
    <x v="4"/>
    <s v="LAD"/>
    <x v="18"/>
    <x v="2"/>
    <n v="213322500"/>
    <s v="BOG-B787-9"/>
    <m/>
    <n v="0"/>
    <n v="0"/>
    <n v="0"/>
    <m/>
    <m/>
    <m/>
    <n v="-170"/>
    <n v="216"/>
    <n v="34"/>
    <n v="51"/>
    <m/>
    <n v="420"/>
    <n v="0"/>
    <n v="0"/>
    <n v="0"/>
    <n v="840"/>
    <m/>
    <n v="3258"/>
    <n v="4333"/>
    <n v="6219"/>
    <n v="5852"/>
    <m/>
    <n v="2182860"/>
    <n v="0"/>
    <n v="0"/>
    <n v="0"/>
    <n v="218286"/>
    <n v="2401146"/>
    <m/>
    <n v="364974.19199999998"/>
    <n v="2036171.808"/>
    <n v="213798.03983999998"/>
    <n v="6.9736292911516916E-3"/>
    <n v="5141963.3997006612"/>
    <n v="1717435.7395946805"/>
    <n v="264.98413119127042"/>
    <n v="3.7738108901252719E-3"/>
    <n v="8.8328043730423467"/>
  </r>
  <r>
    <x v="4"/>
    <s v="NDJ"/>
    <x v="19"/>
    <x v="0"/>
    <n v="362700000"/>
    <s v="BOG-A380"/>
    <m/>
    <n v="0"/>
    <n v="0"/>
    <n v="0"/>
    <m/>
    <m/>
    <m/>
    <n v="2225"/>
    <n v="129"/>
    <n v="9"/>
    <n v="6"/>
    <m/>
    <n v="853"/>
    <n v="0"/>
    <n v="0"/>
    <n v="3"/>
    <n v="1712"/>
    <m/>
    <n v="3261"/>
    <n v="4337"/>
    <n v="7500"/>
    <n v="8325"/>
    <m/>
    <n v="5563266"/>
    <n v="0"/>
    <n v="0"/>
    <n v="49950"/>
    <n v="556326.6"/>
    <n v="6169542.5999999996"/>
    <m/>
    <n v="937770.47519999987"/>
    <n v="5231772.1247999994"/>
    <n v="549336.07310399995"/>
    <n v="1.7918153660114029E-2"/>
    <n v="13211842.279517386"/>
    <n v="4412806.6174201351"/>
    <n v="103.13010670732611"/>
    <n v="9.6964895308206105E-3"/>
    <n v="3.4376702235775367"/>
  </r>
  <r>
    <x v="4"/>
    <s v="NDJ"/>
    <x v="19"/>
    <x v="0"/>
    <n v="362700000"/>
    <s v="BOG-A380"/>
    <m/>
    <n v="0"/>
    <n v="0"/>
    <n v="0"/>
    <m/>
    <m/>
    <m/>
    <n v="519"/>
    <n v="129"/>
    <n v="9"/>
    <n v="0"/>
    <m/>
    <n v="853"/>
    <n v="0"/>
    <n v="0"/>
    <n v="3"/>
    <n v="1712"/>
    <m/>
    <n v="3261"/>
    <n v="4337"/>
    <n v="7500"/>
    <n v="8325"/>
    <m/>
    <n v="5563266"/>
    <n v="0"/>
    <n v="0"/>
    <n v="49950"/>
    <n v="556326.6"/>
    <n v="6169542.5999999996"/>
    <m/>
    <n v="937770.47519999987"/>
    <n v="5231772.1247999994"/>
    <n v="549336.07310399995"/>
    <n v="1.7918153660114029E-2"/>
    <n v="13211842.279517386"/>
    <n v="4412806.6174201351"/>
    <n v="103.13010670732611"/>
    <n v="9.6964895308206105E-3"/>
    <n v="3.4376702235775367"/>
  </r>
  <r>
    <x v="4"/>
    <s v="NDJ"/>
    <x v="19"/>
    <x v="2"/>
    <n v="213322500"/>
    <s v="BOG-B787-9"/>
    <m/>
    <n v="0"/>
    <n v="0"/>
    <n v="0"/>
    <m/>
    <m/>
    <m/>
    <n v="-321"/>
    <n v="129"/>
    <n v="9"/>
    <n v="0"/>
    <m/>
    <n v="420"/>
    <n v="0"/>
    <n v="0"/>
    <n v="0"/>
    <n v="840"/>
    <m/>
    <n v="3261"/>
    <n v="4337"/>
    <n v="7500"/>
    <n v="8325"/>
    <m/>
    <n v="1692459"/>
    <n v="0"/>
    <n v="0"/>
    <n v="0"/>
    <n v="169245.90000000002"/>
    <n v="1861704.9"/>
    <m/>
    <n v="282979.14479999995"/>
    <n v="1578725.7552"/>
    <n v="165766.20429599998"/>
    <n v="5.4069347811922432E-3"/>
    <n v="3986770.6740212291"/>
    <n v="1331596.8840872401"/>
    <n v="341.7650061905054"/>
    <n v="2.9259871019169928E-3"/>
    <n v="11.392166873016846"/>
  </r>
  <r>
    <x v="5"/>
    <m/>
    <x v="20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0000000}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5" indent="0" outline="1" outlineData="1" multipleFieldFilters="0">
  <location ref="W39:Z40" firstHeaderRow="0" firstDataRow="1" firstDataCol="1" rowPageCount="1" colPageCount="1"/>
  <pivotFields count="4">
    <pivotField axis="axisRow" showAll="0" sortType="ascending">
      <items count="187">
        <item x="0"/>
        <item m="1" x="134"/>
        <item m="1" x="125"/>
        <item m="1" x="6"/>
        <item m="1" x="112"/>
        <item m="1" x="126"/>
        <item m="1" x="93"/>
        <item m="1" x="13"/>
        <item m="1" x="138"/>
        <item m="1" x="177"/>
        <item m="1" x="174"/>
        <item m="1" x="17"/>
        <item m="1" x="127"/>
        <item m="1" x="163"/>
        <item m="1" x="8"/>
        <item m="1" x="159"/>
        <item m="1" x="27"/>
        <item m="1" x="94"/>
        <item m="1" x="184"/>
        <item m="1" x="105"/>
        <item m="1" x="41"/>
        <item m="1" x="30"/>
        <item m="1" x="128"/>
        <item m="1" x="92"/>
        <item m="1" x="35"/>
        <item m="1" x="56"/>
        <item m="1" x="50"/>
        <item m="1" x="113"/>
        <item m="1" x="156"/>
        <item m="1" x="151"/>
        <item m="1" x="7"/>
        <item m="1" x="83"/>
        <item m="1" x="141"/>
        <item m="1" x="168"/>
        <item m="1" x="166"/>
        <item m="1" x="142"/>
        <item m="1" x="18"/>
        <item m="1" x="99"/>
        <item m="1" x="46"/>
        <item m="1" x="9"/>
        <item m="1" x="101"/>
        <item m="1" x="44"/>
        <item m="1" x="53"/>
        <item m="1" x="84"/>
        <item m="1" x="114"/>
        <item m="1" x="143"/>
        <item m="1" x="119"/>
        <item m="1" x="33"/>
        <item m="1" x="29"/>
        <item m="1" x="66"/>
        <item m="1" x="103"/>
        <item m="1" x="185"/>
        <item m="1" x="100"/>
        <item m="1" x="10"/>
        <item m="1" x="34"/>
        <item m="1" x="115"/>
        <item m="1" x="116"/>
        <item m="1" x="95"/>
        <item m="1" x="14"/>
        <item m="1" x="70"/>
        <item m="1" x="54"/>
        <item m="1" x="120"/>
        <item m="1" x="64"/>
        <item m="1" x="90"/>
        <item m="1" x="11"/>
        <item m="1" x="85"/>
        <item m="1" x="152"/>
        <item m="1" x="22"/>
        <item m="1" x="77"/>
        <item m="1" x="102"/>
        <item m="1" x="130"/>
        <item m="1" x="178"/>
        <item m="1" x="164"/>
        <item m="1" x="157"/>
        <item m="1" x="106"/>
        <item m="1" x="1"/>
        <item m="1" x="57"/>
        <item m="1" x="42"/>
        <item m="1" x="135"/>
        <item m="1" x="139"/>
        <item m="1" x="131"/>
        <item m="1" x="153"/>
        <item m="1" x="71"/>
        <item m="1" x="80"/>
        <item m="1" x="78"/>
        <item m="1" x="67"/>
        <item m="1" x="136"/>
        <item m="1" x="72"/>
        <item m="1" x="147"/>
        <item m="1" x="73"/>
        <item m="1" x="117"/>
        <item m="1" x="172"/>
        <item m="1" x="23"/>
        <item m="1" x="36"/>
        <item m="1" x="2"/>
        <item m="1" x="4"/>
        <item m="1" x="87"/>
        <item m="1" x="175"/>
        <item m="1" x="19"/>
        <item m="1" x="140"/>
        <item m="1" x="107"/>
        <item m="1" x="160"/>
        <item m="1" x="74"/>
        <item m="1" x="88"/>
        <item m="1" x="108"/>
        <item m="1" x="47"/>
        <item m="1" x="123"/>
        <item m="1" x="51"/>
        <item m="1" x="68"/>
        <item m="1" x="173"/>
        <item m="1" x="89"/>
        <item m="1" x="96"/>
        <item m="1" x="24"/>
        <item m="1" x="91"/>
        <item m="1" x="60"/>
        <item m="1" x="20"/>
        <item m="1" x="182"/>
        <item m="1" x="144"/>
        <item m="1" x="31"/>
        <item m="1" x="179"/>
        <item m="1" x="3"/>
        <item m="1" x="52"/>
        <item m="1" x="43"/>
        <item m="1" x="161"/>
        <item m="1" x="124"/>
        <item m="1" x="45"/>
        <item m="1" x="81"/>
        <item m="1" x="58"/>
        <item m="1" x="69"/>
        <item m="1" x="38"/>
        <item m="1" x="169"/>
        <item m="1" x="12"/>
        <item m="1" x="39"/>
        <item m="1" x="148"/>
        <item m="1" x="37"/>
        <item m="1" x="121"/>
        <item m="1" x="132"/>
        <item m="1" x="32"/>
        <item m="1" x="133"/>
        <item m="1" x="86"/>
        <item m="1" x="55"/>
        <item m="1" x="61"/>
        <item m="1" x="129"/>
        <item m="1" x="82"/>
        <item m="1" x="183"/>
        <item m="1" x="180"/>
        <item m="1" x="62"/>
        <item m="1" x="118"/>
        <item m="1" x="75"/>
        <item m="1" x="170"/>
        <item m="1" x="28"/>
        <item m="1" x="97"/>
        <item m="1" x="109"/>
        <item m="1" x="145"/>
        <item m="1" x="21"/>
        <item m="1" x="137"/>
        <item m="1" x="104"/>
        <item m="1" x="149"/>
        <item m="1" x="181"/>
        <item m="1" x="171"/>
        <item m="1" x="154"/>
        <item m="1" x="155"/>
        <item m="1" x="158"/>
        <item m="1" x="59"/>
        <item m="1" x="146"/>
        <item m="1" x="15"/>
        <item m="1" x="76"/>
        <item m="1" x="65"/>
        <item m="1" x="167"/>
        <item m="1" x="79"/>
        <item m="1" x="162"/>
        <item m="1" x="122"/>
        <item m="1" x="176"/>
        <item m="1" x="63"/>
        <item m="1" x="49"/>
        <item m="1" x="48"/>
        <item m="1" x="110"/>
        <item m="1" x="25"/>
        <item m="1" x="111"/>
        <item m="1" x="40"/>
        <item m="1" x="165"/>
        <item m="1" x="98"/>
        <item m="1" x="5"/>
        <item m="1" x="150"/>
        <item m="1" x="26"/>
        <item m="1" x="16"/>
        <item t="default"/>
      </items>
    </pivotField>
    <pivotField dataField="1" showAll="0"/>
    <pivotField dataField="1" showAll="0"/>
    <pivotField axis="axisPage" dataField="1" multipleItemSelectionAllowed="1" showAll="0" defaultSubtotal="0">
      <items count="664">
        <item x="0"/>
        <item m="1" x="180"/>
        <item m="1" x="48"/>
        <item m="1" x="348"/>
        <item m="1" x="389"/>
        <item m="1" x="338"/>
        <item m="1" x="577"/>
        <item m="1" x="300"/>
        <item m="1" x="522"/>
        <item m="1" x="556"/>
        <item m="1" x="91"/>
        <item m="1" x="605"/>
        <item m="1" x="402"/>
        <item m="1" x="111"/>
        <item m="1" x="7"/>
        <item m="1" x="570"/>
        <item m="1" x="386"/>
        <item m="1" x="475"/>
        <item m="1" x="375"/>
        <item m="1" x="223"/>
        <item m="1" x="37"/>
        <item m="1" x="39"/>
        <item m="1" x="119"/>
        <item m="1" x="558"/>
        <item m="1" x="201"/>
        <item m="1" x="401"/>
        <item m="1" x="554"/>
        <item m="1" x="295"/>
        <item m="1" x="625"/>
        <item m="1" x="496"/>
        <item m="1" x="192"/>
        <item m="1" x="260"/>
        <item m="1" x="65"/>
        <item m="1" x="361"/>
        <item m="1" x="443"/>
        <item m="1" x="263"/>
        <item m="1" x="543"/>
        <item m="1" x="117"/>
        <item m="1" x="185"/>
        <item m="1" x="275"/>
        <item m="1" x="494"/>
        <item m="1" x="595"/>
        <item m="1" x="252"/>
        <item m="1" x="253"/>
        <item m="1" x="509"/>
        <item m="1" x="258"/>
        <item m="1" x="325"/>
        <item m="1" x="512"/>
        <item m="1" x="633"/>
        <item m="1" x="539"/>
        <item m="1" x="384"/>
        <item m="1" x="326"/>
        <item m="1" x="484"/>
        <item m="1" x="107"/>
        <item m="1" x="630"/>
        <item m="1" x="60"/>
        <item m="1" x="47"/>
        <item m="1" x="56"/>
        <item m="1" x="485"/>
        <item m="1" x="10"/>
        <item m="1" x="304"/>
        <item m="1" x="98"/>
        <item m="1" x="550"/>
        <item m="1" x="341"/>
        <item m="1" x="203"/>
        <item m="1" x="528"/>
        <item m="1" x="476"/>
        <item m="1" x="468"/>
        <item m="1" x="61"/>
        <item m="1" x="394"/>
        <item m="1" x="113"/>
        <item m="1" x="437"/>
        <item m="1" x="303"/>
        <item m="1" x="189"/>
        <item m="1" x="648"/>
        <item m="1" x="538"/>
        <item m="1" x="249"/>
        <item m="1" x="412"/>
        <item m="1" x="495"/>
        <item m="1" x="418"/>
        <item m="1" x="515"/>
        <item m="1" x="609"/>
        <item m="1" x="158"/>
        <item m="1" x="93"/>
        <item m="1" x="663"/>
        <item m="1" x="178"/>
        <item m="1" x="604"/>
        <item m="1" x="583"/>
        <item m="1" x="614"/>
        <item m="1" x="351"/>
        <item m="1" x="569"/>
        <item m="1" x="78"/>
        <item m="1" x="173"/>
        <item m="1" x="573"/>
        <item m="1" x="635"/>
        <item m="1" x="534"/>
        <item m="1" x="285"/>
        <item m="1" x="623"/>
        <item h="1" m="1" x="427"/>
        <item h="1" m="1" x="236"/>
        <item h="1" m="1" x="553"/>
        <item h="1" m="1" x="130"/>
        <item h="1" m="1" x="336"/>
        <item h="1" m="1" x="209"/>
        <item h="1" m="1" x="161"/>
        <item h="1" m="1" x="16"/>
        <item h="1" m="1" x="398"/>
        <item h="1" m="1" x="399"/>
        <item h="1" m="1" x="53"/>
        <item m="1" x="221"/>
        <item h="1" m="1" x="431"/>
        <item h="1" m="1" x="356"/>
        <item m="1" x="480"/>
        <item m="1" x="102"/>
        <item h="1" m="1" x="321"/>
        <item m="1" x="305"/>
        <item m="1" x="511"/>
        <item m="1" x="167"/>
        <item m="1" x="562"/>
        <item m="1" x="624"/>
        <item m="1" x="372"/>
        <item h="1" m="1" x="123"/>
        <item m="1" x="1"/>
        <item h="1" m="1" x="447"/>
        <item h="1" m="1" x="32"/>
        <item h="1" m="1" x="232"/>
        <item m="1" x="320"/>
        <item m="1" x="35"/>
        <item h="1" m="1" x="345"/>
        <item h="1" m="1" x="8"/>
        <item h="1" m="1" x="454"/>
        <item h="1" m="1" x="245"/>
        <item h="1" m="1" x="490"/>
        <item h="1" m="1" x="561"/>
        <item h="1" m="1" x="616"/>
        <item h="1" m="1" x="481"/>
        <item h="1" m="1" x="28"/>
        <item h="1" m="1" x="572"/>
        <item h="1" m="1" x="499"/>
        <item h="1" m="1" x="270"/>
        <item m="1" x="588"/>
        <item m="1" x="181"/>
        <item h="1" m="1" x="31"/>
        <item h="1" m="1" x="656"/>
        <item h="1" m="1" x="154"/>
        <item h="1" m="1" x="456"/>
        <item h="1" m="1" x="191"/>
        <item h="1" m="1" x="140"/>
        <item h="1" m="1" x="651"/>
        <item h="1" m="1" x="228"/>
        <item h="1" m="1" x="261"/>
        <item h="1" m="1" x="383"/>
        <item h="1" m="1" x="328"/>
        <item h="1" m="1" x="21"/>
        <item m="1" x="347"/>
        <item m="1" x="23"/>
        <item h="1" m="1" x="94"/>
        <item m="1" x="71"/>
        <item h="1" m="1" x="611"/>
        <item m="1" x="343"/>
        <item h="1" m="1" x="298"/>
        <item h="1" m="1" x="374"/>
        <item h="1" m="1" x="297"/>
        <item h="1" m="1" x="429"/>
        <item h="1" m="1" x="306"/>
        <item m="1" x="230"/>
        <item m="1" x="170"/>
        <item h="1" m="1" x="507"/>
        <item m="1" x="296"/>
        <item m="1" x="194"/>
        <item m="1" x="313"/>
        <item h="1" m="1" x="29"/>
        <item h="1" m="1" x="66"/>
        <item h="1" m="1" x="73"/>
        <item h="1" m="1" x="242"/>
        <item h="1" m="1" x="51"/>
        <item h="1" m="1" x="644"/>
        <item h="1" m="1" x="108"/>
        <item m="1" x="603"/>
        <item m="1" x="218"/>
        <item m="1" x="537"/>
        <item m="1" x="188"/>
        <item m="1" x="54"/>
        <item m="1" x="175"/>
        <item m="1" x="410"/>
        <item m="1" x="531"/>
        <item m="1" x="469"/>
        <item m="1" x="599"/>
        <item m="1" x="153"/>
        <item m="1" x="508"/>
        <item m="1" x="210"/>
        <item m="1" x="143"/>
        <item m="1" x="95"/>
        <item m="1" x="340"/>
        <item m="1" x="339"/>
        <item m="1" x="532"/>
        <item m="1" x="45"/>
        <item m="1" x="521"/>
        <item m="1" x="413"/>
        <item m="1" x="3"/>
        <item m="1" x="615"/>
        <item m="1" x="607"/>
        <item m="1" x="501"/>
        <item m="1" x="4"/>
        <item m="1" x="168"/>
        <item m="1" x="479"/>
        <item m="1" x="17"/>
        <item m="1" x="637"/>
        <item m="1" x="213"/>
        <item m="1" x="403"/>
        <item m="1" x="172"/>
        <item m="1" x="489"/>
        <item m="1" x="225"/>
        <item m="1" x="302"/>
        <item m="1" x="311"/>
        <item m="1" x="315"/>
        <item m="1" x="426"/>
        <item m="1" x="446"/>
        <item m="1" x="197"/>
        <item m="1" x="118"/>
        <item m="1" x="552"/>
        <item m="1" x="49"/>
        <item m="1" x="642"/>
        <item m="1" x="193"/>
        <item m="1" x="638"/>
        <item m="1" x="38"/>
        <item m="1" x="486"/>
        <item m="1" x="627"/>
        <item m="1" x="433"/>
        <item m="1" x="266"/>
        <item m="1" x="662"/>
        <item m="1" x="308"/>
        <item m="1" x="379"/>
        <item m="1" x="380"/>
        <item m="1" x="498"/>
        <item m="1" x="369"/>
        <item m="1" x="467"/>
        <item m="1" x="293"/>
        <item m="1" x="24"/>
        <item m="1" x="536"/>
        <item m="1" x="272"/>
        <item m="1" x="452"/>
        <item m="1" x="76"/>
        <item m="1" x="287"/>
        <item m="1" x="63"/>
        <item m="1" x="533"/>
        <item h="1" m="1" x="363"/>
        <item h="1" m="1" x="344"/>
        <item h="1" m="1" x="291"/>
        <item h="1" m="1" x="378"/>
        <item h="1" m="1" x="606"/>
        <item h="1" m="1" x="636"/>
        <item h="1" m="1" x="542"/>
        <item h="1" m="1" x="365"/>
        <item h="1" m="1" x="235"/>
        <item h="1" m="1" x="353"/>
        <item h="1" m="1" x="367"/>
        <item h="1" m="1" x="587"/>
        <item h="1" m="1" x="200"/>
        <item h="1" m="1" x="523"/>
        <item h="1" m="1" x="377"/>
        <item h="1" m="1" x="90"/>
        <item h="1" m="1" x="217"/>
        <item h="1" m="1" x="444"/>
        <item h="1" m="1" x="151"/>
        <item h="1" m="1" x="585"/>
        <item h="1" m="1" x="237"/>
        <item h="1" m="1" x="463"/>
        <item h="1" m="1" x="126"/>
        <item h="1" m="1" x="276"/>
        <item h="1" m="1" x="514"/>
        <item h="1" m="1" x="74"/>
        <item h="1" m="1" x="597"/>
        <item h="1" m="1" x="322"/>
        <item h="1" m="1" x="634"/>
        <item h="1" m="1" x="643"/>
        <item h="1" m="1" x="441"/>
        <item h="1" m="1" x="434"/>
        <item h="1" m="1" x="122"/>
        <item h="1" m="1" x="58"/>
        <item h="1" m="1" x="649"/>
        <item h="1" m="1" x="70"/>
        <item h="1" m="1" x="400"/>
        <item h="1" m="1" x="483"/>
        <item h="1" m="1" x="164"/>
        <item h="1" m="1" x="349"/>
        <item h="1" m="1" x="453"/>
        <item h="1" m="1" x="214"/>
        <item h="1" m="1" x="134"/>
        <item h="1" m="1" x="497"/>
        <item h="1" m="1" x="406"/>
        <item h="1" m="1" x="82"/>
        <item h="1" m="1" x="346"/>
        <item h="1" m="1" x="654"/>
        <item h="1" m="1" x="81"/>
        <item h="1" m="1" x="421"/>
        <item h="1" m="1" x="589"/>
        <item h="1" m="1" x="517"/>
        <item h="1" m="1" x="373"/>
        <item h="1" m="1" x="224"/>
        <item h="1" m="1" x="269"/>
        <item m="1" x="411"/>
        <item m="1" x="391"/>
        <item m="1" x="101"/>
        <item m="1" x="591"/>
        <item m="1" x="592"/>
        <item m="1" x="371"/>
        <item m="1" x="86"/>
        <item m="1" x="216"/>
        <item m="1" x="133"/>
        <item m="1" x="600"/>
        <item m="1" x="264"/>
        <item m="1" x="171"/>
        <item m="1" x="205"/>
        <item m="1" x="524"/>
        <item m="1" x="568"/>
        <item m="1" x="186"/>
        <item m="1" x="329"/>
        <item m="1" x="647"/>
        <item m="1" x="547"/>
        <item m="1" x="284"/>
        <item m="1" x="518"/>
        <item m="1" x="152"/>
        <item m="1" x="240"/>
        <item m="1" x="422"/>
        <item m="1" x="458"/>
        <item m="1" x="526"/>
        <item m="1" x="626"/>
        <item m="1" x="265"/>
        <item m="1" x="388"/>
        <item m="1" x="105"/>
        <item m="1" x="9"/>
        <item m="1" x="312"/>
        <item m="1" x="465"/>
        <item m="1" x="506"/>
        <item m="1" x="477"/>
        <item m="1" x="137"/>
        <item m="1" x="408"/>
        <item m="1" x="84"/>
        <item m="1" x="571"/>
        <item m="1" x="352"/>
        <item m="1" x="219"/>
        <item m="1" x="88"/>
        <item m="1" x="610"/>
        <item m="1" x="85"/>
        <item m="1" x="370"/>
        <item m="1" x="147"/>
        <item m="1" x="290"/>
        <item m="1" x="586"/>
        <item m="1" x="404"/>
        <item m="1" x="247"/>
        <item m="1" x="330"/>
        <item m="1" x="248"/>
        <item m="1" x="466"/>
        <item m="1" x="34"/>
        <item m="1" x="40"/>
        <item m="1" x="331"/>
        <item m="1" x="176"/>
        <item m="1" x="100"/>
        <item m="1" x="333"/>
        <item m="1" x="83"/>
        <item m="1" x="148"/>
        <item m="1" x="455"/>
        <item m="1" x="226"/>
        <item m="1" x="238"/>
        <item m="1" x="87"/>
        <item m="1" x="159"/>
        <item m="1" x="393"/>
        <item m="1" x="314"/>
        <item m="1" x="121"/>
        <item m="1" x="190"/>
        <item m="1" x="488"/>
        <item m="1" x="150"/>
        <item m="1" x="6"/>
        <item m="1" x="283"/>
        <item m="1" x="530"/>
        <item m="1" x="155"/>
        <item m="1" x="318"/>
        <item m="1" x="442"/>
        <item m="1" x="548"/>
        <item m="1" x="231"/>
        <item m="1" x="27"/>
        <item m="1" x="612"/>
        <item m="1" x="166"/>
        <item m="1" x="15"/>
        <item m="1" x="146"/>
        <item m="1" x="578"/>
        <item m="1" x="124"/>
        <item m="1" x="279"/>
        <item m="1" x="103"/>
        <item m="1" x="271"/>
        <item m="1" x="566"/>
        <item m="1" x="273"/>
        <item m="1" x="657"/>
        <item m="1" x="79"/>
        <item m="1" x="478"/>
        <item m="1" x="461"/>
        <item m="1" x="198"/>
        <item m="1" x="487"/>
        <item m="1" x="513"/>
        <item m="1" x="97"/>
        <item m="1" x="360"/>
        <item m="1" x="233"/>
        <item m="1" x="12"/>
        <item m="1" x="131"/>
        <item m="1" x="382"/>
        <item m="1" x="598"/>
        <item m="1" x="227"/>
        <item m="1" x="160"/>
        <item m="1" x="415"/>
        <item m="1" x="144"/>
        <item m="1" x="149"/>
        <item m="1" x="262"/>
        <item m="1" x="129"/>
        <item m="1" x="254"/>
        <item m="1" x="278"/>
        <item m="1" x="165"/>
        <item m="1" x="471"/>
        <item m="1" x="397"/>
        <item m="1" x="208"/>
        <item m="1" x="157"/>
        <item m="1" x="202"/>
        <item m="1" x="655"/>
        <item m="1" x="142"/>
        <item m="1" x="457"/>
        <item m="1" x="425"/>
        <item m="1" x="564"/>
        <item m="1" x="44"/>
        <item m="1" x="52"/>
        <item m="1" x="440"/>
        <item m="1" x="462"/>
        <item m="1" x="525"/>
        <item m="1" x="516"/>
        <item m="1" x="407"/>
        <item m="1" x="106"/>
        <item m="1" x="493"/>
        <item m="1" x="563"/>
        <item m="1" x="420"/>
        <item m="1" x="639"/>
        <item m="1" x="355"/>
        <item m="1" x="239"/>
        <item m="1" x="387"/>
        <item m="1" x="632"/>
        <item m="1" x="259"/>
        <item m="1" x="546"/>
        <item m="1" x="104"/>
        <item m="1" x="555"/>
        <item m="1" x="199"/>
        <item m="1" x="381"/>
        <item m="1" x="96"/>
        <item m="1" x="409"/>
        <item m="1" x="581"/>
        <item m="1" x="602"/>
        <item m="1" x="432"/>
        <item m="1" x="280"/>
        <item m="1" x="574"/>
        <item m="1" x="423"/>
        <item m="1" x="617"/>
        <item m="1" x="414"/>
        <item m="1" x="267"/>
        <item m="1" x="541"/>
        <item m="1" x="141"/>
        <item m="1" x="416"/>
        <item m="1" x="337"/>
        <item m="1" x="540"/>
        <item m="1" x="174"/>
        <item m="1" x="256"/>
        <item m="1" x="145"/>
        <item m="1" x="80"/>
        <item m="1" x="428"/>
        <item m="1" x="26"/>
        <item m="1" x="646"/>
        <item m="1" x="294"/>
        <item m="1" x="473"/>
        <item m="1" x="255"/>
        <item m="1" x="257"/>
        <item m="1" x="25"/>
        <item m="1" x="274"/>
        <item m="1" x="250"/>
        <item m="1" x="459"/>
        <item m="1" x="622"/>
        <item m="1" x="46"/>
        <item m="1" x="244"/>
        <item m="1" x="519"/>
        <item m="1" x="436"/>
        <item m="1" x="590"/>
        <item m="1" x="212"/>
        <item m="1" x="621"/>
        <item m="1" x="450"/>
        <item m="1" x="460"/>
        <item m="1" x="177"/>
        <item m="1" x="549"/>
        <item m="1" x="92"/>
        <item m="1" x="559"/>
        <item m="1" x="215"/>
        <item m="1" x="67"/>
        <item m="1" x="584"/>
        <item m="1" x="18"/>
        <item m="1" x="324"/>
        <item m="1" x="350"/>
        <item m="1" x="187"/>
        <item m="1" x="196"/>
        <item m="1" x="354"/>
        <item m="1" x="544"/>
        <item m="1" x="319"/>
        <item m="1" x="55"/>
        <item m="1" x="575"/>
        <item m="1" x="596"/>
        <item m="1" x="277"/>
        <item m="1" x="132"/>
        <item m="1" x="11"/>
        <item m="1" x="251"/>
        <item m="1" x="608"/>
        <item m="1" x="510"/>
        <item m="1" x="327"/>
        <item m="1" x="43"/>
        <item m="1" x="33"/>
        <item m="1" x="292"/>
        <item m="1" x="211"/>
        <item m="1" x="359"/>
        <item m="1" x="551"/>
        <item m="1" x="309"/>
        <item m="1" x="492"/>
        <item m="1" x="116"/>
        <item m="1" x="417"/>
        <item m="1" x="430"/>
        <item m="1" x="503"/>
        <item m="1" x="334"/>
        <item m="1" x="474"/>
        <item m="1" x="99"/>
        <item m="1" x="640"/>
        <item m="1" x="125"/>
        <item m="1" x="120"/>
        <item m="1" x="529"/>
        <item m="1" x="62"/>
        <item m="1" x="470"/>
        <item m="1" x="2"/>
        <item m="1" x="184"/>
        <item m="1" x="424"/>
        <item m="1" x="392"/>
        <item m="1" x="59"/>
        <item m="1" x="439"/>
        <item m="1" x="560"/>
        <item m="1" x="162"/>
        <item m="1" x="396"/>
        <item m="1" x="580"/>
        <item m="1" x="435"/>
        <item m="1" x="42"/>
        <item m="1" x="68"/>
        <item m="1" x="138"/>
        <item m="1" x="576"/>
        <item m="1" x="72"/>
        <item m="1" x="57"/>
        <item m="1" x="652"/>
        <item m="1" x="310"/>
        <item m="1" x="301"/>
        <item m="1" x="594"/>
        <item m="1" x="362"/>
        <item m="1" x="50"/>
        <item m="1" x="332"/>
        <item m="1" x="645"/>
        <item m="1" x="661"/>
        <item m="1" x="243"/>
        <item m="1" x="451"/>
        <item m="1" x="631"/>
        <item m="1" x="358"/>
        <item m="1" x="179"/>
        <item m="1" x="445"/>
        <item m="1" x="234"/>
        <item m="1" x="535"/>
        <item m="1" x="357"/>
        <item m="1" x="395"/>
        <item m="1" x="110"/>
        <item m="1" x="520"/>
        <item m="1" x="69"/>
        <item m="1" x="281"/>
        <item m="1" x="77"/>
        <item m="1" x="464"/>
        <item m="1" x="472"/>
        <item m="1" x="342"/>
        <item m="1" x="289"/>
        <item m="1" x="650"/>
        <item m="1" x="156"/>
        <item m="1" x="128"/>
        <item m="1" x="557"/>
        <item m="1" x="182"/>
        <item m="1" x="620"/>
        <item m="1" x="75"/>
        <item m="1" x="20"/>
        <item m="1" x="163"/>
        <item m="1" x="366"/>
        <item m="1" x="653"/>
        <item m="1" x="385"/>
        <item m="1" x="582"/>
        <item m="1" x="613"/>
        <item m="1" x="335"/>
        <item m="1" x="629"/>
        <item m="1" x="364"/>
        <item m="1" x="660"/>
        <item m="1" x="14"/>
        <item m="1" x="64"/>
        <item m="1" x="5"/>
        <item m="1" x="323"/>
        <item m="1" x="628"/>
        <item m="1" x="30"/>
        <item m="1" x="505"/>
        <item m="1" x="109"/>
        <item m="1" x="482"/>
        <item m="1" x="502"/>
        <item m="1" x="222"/>
        <item m="1" x="438"/>
        <item m="1" x="419"/>
        <item m="1" x="316"/>
        <item m="1" x="204"/>
        <item m="1" x="567"/>
        <item m="1" x="527"/>
        <item m="1" x="246"/>
        <item m="1" x="183"/>
        <item m="1" x="136"/>
        <item m="1" x="504"/>
        <item m="1" x="207"/>
        <item m="1" x="229"/>
        <item m="1" x="89"/>
        <item m="1" x="376"/>
        <item m="1" x="22"/>
        <item m="1" x="601"/>
        <item m="1" x="115"/>
        <item m="1" x="286"/>
        <item m="1" x="659"/>
        <item m="1" x="268"/>
        <item m="1" x="545"/>
        <item m="1" x="282"/>
        <item m="1" x="500"/>
        <item m="1" x="195"/>
        <item m="1" x="491"/>
        <item m="1" x="139"/>
        <item m="1" x="299"/>
        <item m="1" x="317"/>
        <item m="1" x="220"/>
        <item m="1" x="36"/>
        <item m="1" x="307"/>
        <item m="1" x="169"/>
        <item m="1" x="368"/>
        <item m="1" x="135"/>
        <item m="1" x="565"/>
        <item m="1" x="241"/>
        <item m="1" x="449"/>
        <item m="1" x="127"/>
        <item m="1" x="114"/>
        <item m="1" x="288"/>
        <item m="1" x="19"/>
        <item m="1" x="593"/>
        <item m="1" x="618"/>
        <item m="1" x="579"/>
        <item m="1" x="112"/>
        <item m="1" x="448"/>
        <item m="1" x="405"/>
        <item m="1" x="619"/>
        <item m="1" x="206"/>
        <item m="1" x="13"/>
        <item m="1" x="658"/>
        <item m="1" x="390"/>
        <item m="1" x="41"/>
        <item m="1" x="641"/>
      </items>
    </pivotField>
  </pivotFields>
  <rowFields count="1">
    <field x="0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Somme de Revenus Aux" fld="1" baseField="0" baseItem="0"/>
    <dataField name="Somme de Coût" fld="2" baseField="0" baseItem="0"/>
    <dataField name="Somme de Bénef bru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200-000000000000}" name="Tableau croisé dynamique1" cacheId="16" applyNumberFormats="0" applyBorderFormats="0" applyFontFormats="0" applyPatternFormats="0" applyAlignmentFormats="0" applyWidthHeightFormats="1" dataCaption="Valeurs" updatedVersion="4" minRefreshableVersion="3" showDrill="0" useAutoFormatting="1" rowGrandTotals="0" itemPrintTitles="1" createdVersion="5" indent="0" compact="0" compactData="0" multipleFieldFilters="0">
  <location ref="O63:R80" firstHeaderRow="1" firstDataRow="1" firstDataCol="3"/>
  <pivotFields count="4">
    <pivotField axis="axisRow" compact="0" outline="0" showAll="0" defaultSubtotal="0">
      <items count="19">
        <item h="1" x="0"/>
        <item x="5"/>
        <item x="9"/>
        <item x="15"/>
        <item x="16"/>
        <item x="1"/>
        <item x="13"/>
        <item x="11"/>
        <item x="7"/>
        <item x="10"/>
        <item x="3"/>
        <item x="6"/>
        <item x="8"/>
        <item x="4"/>
        <item x="17"/>
        <item x="12"/>
        <item x="2"/>
        <item x="14"/>
        <item h="1" x="18"/>
      </items>
    </pivotField>
    <pivotField axis="axisRow" compact="0" outline="0" showAll="0" sortType="ascending" defaultSubtotal="0">
      <items count="29">
        <item x="1"/>
        <item m="1" x="16"/>
        <item x="2"/>
        <item m="1" x="19"/>
        <item m="1" x="24"/>
        <item m="1" x="4"/>
        <item m="1" x="21"/>
        <item m="1" x="26"/>
        <item m="1" x="9"/>
        <item m="1" x="10"/>
        <item m="1" x="18"/>
        <item m="1" x="17"/>
        <item m="1" x="8"/>
        <item m="1" x="14"/>
        <item m="1" x="28"/>
        <item m="1" x="5"/>
        <item m="1" x="6"/>
        <item m="1" x="7"/>
        <item m="1" x="22"/>
        <item m="1" x="15"/>
        <item m="1" x="27"/>
        <item m="1" x="11"/>
        <item m="1" x="25"/>
        <item m="1" x="20"/>
        <item m="1" x="23"/>
        <item m="1" x="12"/>
        <item m="1" x="13"/>
        <item x="0"/>
        <item x="3"/>
      </items>
    </pivotField>
    <pivotField axis="axisRow" compact="0" outline="0" showAll="0" defaultSubtotal="0">
      <items count="18">
        <item x="1"/>
        <item m="1" x="10"/>
        <item m="1" x="8"/>
        <item m="1" x="14"/>
        <item m="1" x="6"/>
        <item m="1" x="12"/>
        <item m="1" x="15"/>
        <item m="1" x="9"/>
        <item m="1" x="4"/>
        <item m="1" x="17"/>
        <item m="1" x="13"/>
        <item m="1" x="11"/>
        <item m="1" x="5"/>
        <item m="1" x="16"/>
        <item m="1" x="7"/>
        <item x="0"/>
        <item x="3"/>
        <item x="2"/>
      </items>
    </pivotField>
    <pivotField dataField="1" compact="0" outline="0" showAll="0" defaultSubtotal="0"/>
  </pivotFields>
  <rowFields count="3">
    <field x="0"/>
    <field x="2"/>
    <field x="1"/>
  </rowFields>
  <rowItems count="17">
    <i>
      <x v="1"/>
      <x/>
      <x/>
    </i>
    <i>
      <x v="2"/>
      <x v="17"/>
      <x v="2"/>
    </i>
    <i>
      <x v="3"/>
      <x/>
      <x/>
    </i>
    <i>
      <x v="4"/>
      <x/>
      <x/>
    </i>
    <i>
      <x v="5"/>
      <x/>
      <x/>
    </i>
    <i>
      <x v="6"/>
      <x/>
      <x/>
    </i>
    <i>
      <x v="7"/>
      <x/>
      <x/>
    </i>
    <i>
      <x v="8"/>
      <x/>
      <x/>
    </i>
    <i>
      <x v="9"/>
      <x/>
      <x/>
    </i>
    <i>
      <x v="10"/>
      <x/>
      <x/>
    </i>
    <i>
      <x v="11"/>
      <x/>
      <x/>
    </i>
    <i>
      <x v="12"/>
      <x/>
      <x/>
    </i>
    <i>
      <x v="13"/>
      <x/>
      <x/>
    </i>
    <i>
      <x v="14"/>
      <x/>
      <x/>
    </i>
    <i>
      <x v="15"/>
      <x/>
      <x/>
    </i>
    <i>
      <x v="16"/>
      <x/>
      <x/>
    </i>
    <i>
      <x v="17"/>
      <x/>
      <x/>
    </i>
  </rowItems>
  <colItems count="1">
    <i/>
  </colItems>
  <dataFields count="1">
    <dataField name="Moyenne de Ratios" fld="3" subtotal="average" baseField="1" baseItem="0" numFmtId="178"/>
  </dataFields>
  <formats count="5">
    <format dxfId="151">
      <pivotArea field="1" type="button" dataOnly="0" labelOnly="1" outline="0" axis="axisRow" fieldPosition="2"/>
    </format>
    <format dxfId="150">
      <pivotArea dataOnly="0" labelOnly="1" grandRow="1" outline="0" fieldPosition="0"/>
    </format>
    <format dxfId="149">
      <pivotArea dataOnly="0" labelOnly="1" outline="0" fieldPosition="0">
        <references count="1">
          <reference field="2" count="0"/>
        </references>
      </pivotArea>
    </format>
    <format dxfId="148">
      <pivotArea dataOnly="0" labelOnly="1" outline="0" fieldPosition="0">
        <references count="1">
          <reference field="1" count="0"/>
        </references>
      </pivotArea>
    </format>
    <format dxfId="14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300-000000000000}" name="Tableau croisé dynamique5" cacheId="17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5" indent="0" outline="1" outlineData="1" multipleFieldFilters="0">
  <location ref="S39:W55" firstHeaderRow="0" firstDataRow="1" firstDataCol="1"/>
  <pivotFields count="5">
    <pivotField axis="axisRow" showAll="0" sortType="ascending">
      <items count="317">
        <item h="1" x="1"/>
        <item m="1" x="163"/>
        <item m="1" x="46"/>
        <item m="1" x="166"/>
        <item m="1" x="169"/>
        <item x="16"/>
        <item m="1" x="173"/>
        <item x="4"/>
        <item m="1" x="20"/>
        <item m="1" x="22"/>
        <item m="1" x="179"/>
        <item x="10"/>
        <item m="1" x="306"/>
        <item m="1" x="191"/>
        <item x="3"/>
        <item m="1" x="200"/>
        <item m="1" x="203"/>
        <item m="1" x="215"/>
        <item m="1" x="222"/>
        <item m="1" x="250"/>
        <item x="2"/>
        <item m="1" x="209"/>
        <item x="12"/>
        <item m="1" x="257"/>
        <item m="1" x="270"/>
        <item h="1" x="9"/>
        <item m="1" x="233"/>
        <item m="1" x="220"/>
        <item m="1" x="265"/>
        <item m="1" x="289"/>
        <item m="1" x="36"/>
        <item m="1" x="59"/>
        <item m="1" x="42"/>
        <item x="7"/>
        <item m="1" x="48"/>
        <item x="5"/>
        <item x="14"/>
        <item m="1" x="51"/>
        <item x="6"/>
        <item x="11"/>
        <item m="1" x="72"/>
        <item m="1" x="77"/>
        <item m="1" x="105"/>
        <item m="1" x="86"/>
        <item m="1" x="97"/>
        <item m="1" x="103"/>
        <item x="15"/>
        <item x="8"/>
        <item m="1" x="112"/>
        <item m="1" x="92"/>
        <item m="1" x="115"/>
        <item m="1" x="123"/>
        <item x="13"/>
        <item m="1" x="302"/>
        <item m="1" x="128"/>
        <item m="1" x="104"/>
        <item m="1" x="130"/>
        <item m="1" x="308"/>
        <item m="1" x="145"/>
        <item m="1" x="176"/>
        <item m="1" x="27"/>
        <item m="1" x="170"/>
        <item m="1" x="181"/>
        <item m="1" x="314"/>
        <item m="1" x="202"/>
        <item m="1" x="53"/>
        <item m="1" x="24"/>
        <item m="1" x="193"/>
        <item m="1" x="182"/>
        <item m="1" x="40"/>
        <item m="1" x="211"/>
        <item m="1" x="235"/>
        <item m="1" x="213"/>
        <item m="1" x="216"/>
        <item m="1" x="225"/>
        <item m="1" x="218"/>
        <item m="1" x="248"/>
        <item m="1" x="230"/>
        <item m="1" x="109"/>
        <item m="1" x="237"/>
        <item m="1" x="271"/>
        <item m="1" x="267"/>
        <item m="1" x="245"/>
        <item m="1" x="252"/>
        <item m="1" x="258"/>
        <item m="1" x="241"/>
        <item m="1" x="80"/>
        <item m="1" x="273"/>
        <item m="1" x="126"/>
        <item m="1" x="247"/>
        <item m="1" x="242"/>
        <item m="1" x="98"/>
        <item m="1" x="282"/>
        <item m="1" x="295"/>
        <item m="1" x="262"/>
        <item m="1" x="260"/>
        <item m="1" x="231"/>
        <item m="1" x="284"/>
        <item m="1" x="121"/>
        <item m="1" x="116"/>
        <item m="1" x="254"/>
        <item m="1" x="299"/>
        <item m="1" x="311"/>
        <item m="1" x="153"/>
        <item m="1" x="171"/>
        <item m="1" x="28"/>
        <item m="1" x="25"/>
        <item m="1" x="309"/>
        <item m="1" x="174"/>
        <item m="1" x="154"/>
        <item m="1" x="168"/>
        <item m="1" x="178"/>
        <item m="1" x="165"/>
        <item m="1" x="29"/>
        <item m="1" x="157"/>
        <item m="1" x="177"/>
        <item m="1" x="87"/>
        <item m="1" x="196"/>
        <item m="1" x="44"/>
        <item m="1" x="63"/>
        <item m="1" x="269"/>
        <item m="1" x="120"/>
        <item m="1" x="93"/>
        <item m="1" x="238"/>
        <item m="1" x="108"/>
        <item m="1" x="261"/>
        <item m="1" x="95"/>
        <item m="1" x="43"/>
        <item m="1" x="161"/>
        <item m="1" x="47"/>
        <item m="1" x="69"/>
        <item m="1" x="199"/>
        <item m="1" x="49"/>
        <item m="1" x="71"/>
        <item m="1" x="75"/>
        <item m="1" x="255"/>
        <item m="1" x="83"/>
        <item m="1" x="78"/>
        <item m="1" x="84"/>
        <item m="1" x="88"/>
        <item m="1" x="67"/>
        <item m="1" x="96"/>
        <item m="1" x="117"/>
        <item m="1" x="110"/>
        <item m="1" x="136"/>
        <item m="1" x="280"/>
        <item m="1" x="107"/>
        <item m="1" x="89"/>
        <item m="1" x="113"/>
        <item m="1" x="125"/>
        <item m="1" x="301"/>
        <item m="1" x="127"/>
        <item m="1" x="266"/>
        <item m="1" x="140"/>
        <item m="1" x="144"/>
        <item m="1" x="139"/>
        <item m="1" x="129"/>
        <item m="1" x="256"/>
        <item m="1" x="114"/>
        <item m="1" x="137"/>
        <item m="1" x="143"/>
        <item m="1" x="188"/>
        <item m="1" x="303"/>
        <item m="1" x="39"/>
        <item m="1" x="310"/>
        <item m="1" x="224"/>
        <item m="1" x="285"/>
        <item m="1" x="272"/>
        <item m="1" x="292"/>
        <item m="1" x="156"/>
        <item m="1" x="149"/>
        <item m="1" x="294"/>
        <item m="1" x="152"/>
        <item m="1" x="133"/>
        <item m="1" x="124"/>
        <item m="1" x="26"/>
        <item m="1" x="147"/>
        <item m="1" x="298"/>
        <item m="1" x="180"/>
        <item m="1" x="185"/>
        <item m="1" x="160"/>
        <item m="1" x="31"/>
        <item m="1" x="183"/>
        <item m="1" x="228"/>
        <item m="1" x="35"/>
        <item m="1" x="195"/>
        <item m="1" x="227"/>
        <item m="1" x="82"/>
        <item m="1" x="52"/>
        <item m="1" x="68"/>
        <item m="1" x="219"/>
        <item m="1" x="60"/>
        <item m="1" x="101"/>
        <item m="1" x="223"/>
        <item m="1" x="99"/>
        <item m="1" x="58"/>
        <item m="1" x="135"/>
        <item m="1" x="194"/>
        <item m="1" x="73"/>
        <item m="1" x="189"/>
        <item m="1" x="57"/>
        <item m="1" x="192"/>
        <item m="1" x="205"/>
        <item m="1" x="91"/>
        <item m="1" x="239"/>
        <item m="1" x="221"/>
        <item m="1" x="198"/>
        <item m="1" x="212"/>
        <item m="1" x="236"/>
        <item m="1" x="229"/>
        <item m="1" x="54"/>
        <item m="1" x="217"/>
        <item m="1" x="23"/>
        <item m="1" x="264"/>
        <item m="1" x="76"/>
        <item m="1" x="190"/>
        <item m="1" x="70"/>
        <item m="1" x="246"/>
        <item m="1" x="253"/>
        <item m="1" x="263"/>
        <item m="1" x="259"/>
        <item m="1" x="279"/>
        <item m="1" x="277"/>
        <item m="1" x="102"/>
        <item m="1" x="274"/>
        <item m="1" x="293"/>
        <item m="1" x="118"/>
        <item m="1" x="278"/>
        <item m="1" x="283"/>
        <item m="1" x="307"/>
        <item m="1" x="249"/>
        <item m="1" x="290"/>
        <item m="1" x="296"/>
        <item m="1" x="312"/>
        <item m="1" x="297"/>
        <item m="1" x="138"/>
        <item m="1" x="232"/>
        <item m="1" x="33"/>
        <item m="1" x="226"/>
        <item m="1" x="275"/>
        <item m="1" x="268"/>
        <item m="1" x="287"/>
        <item m="1" x="251"/>
        <item m="1" x="94"/>
        <item m="1" x="131"/>
        <item m="1" x="244"/>
        <item m="1" x="106"/>
        <item m="1" x="122"/>
        <item m="1" x="146"/>
        <item m="1" x="286"/>
        <item m="1" x="164"/>
        <item m="1" x="150"/>
        <item m="1" x="300"/>
        <item m="1" x="172"/>
        <item m="1" x="30"/>
        <item m="1" x="186"/>
        <item m="1" x="55"/>
        <item m="1" x="184"/>
        <item m="1" x="234"/>
        <item m="1" x="41"/>
        <item m="1" x="276"/>
        <item m="1" x="305"/>
        <item m="1" x="132"/>
        <item m="1" x="313"/>
        <item m="1" x="142"/>
        <item m="1" x="288"/>
        <item m="1" x="167"/>
        <item m="1" x="19"/>
        <item m="1" x="141"/>
        <item m="1" x="151"/>
        <item m="1" x="291"/>
        <item m="1" x="148"/>
        <item m="1" x="304"/>
        <item m="1" x="61"/>
        <item m="1" x="21"/>
        <item m="1" x="64"/>
        <item m="1" x="38"/>
        <item m="1" x="162"/>
        <item m="1" x="62"/>
        <item m="1" x="159"/>
        <item m="1" x="65"/>
        <item m="1" x="37"/>
        <item m="1" x="34"/>
        <item m="1" x="315"/>
        <item m="1" x="74"/>
        <item m="1" x="214"/>
        <item m="1" x="66"/>
        <item m="1" x="32"/>
        <item m="1" x="81"/>
        <item m="1" x="79"/>
        <item m="1" x="197"/>
        <item m="1" x="206"/>
        <item m="1" x="45"/>
        <item m="1" x="90"/>
        <item m="1" x="50"/>
        <item m="1" x="187"/>
        <item m="1" x="207"/>
        <item m="1" x="240"/>
        <item m="1" x="243"/>
        <item m="1" x="204"/>
        <item m="1" x="119"/>
        <item m="1" x="281"/>
        <item m="1" x="210"/>
        <item m="1" x="111"/>
        <item m="1" x="85"/>
        <item m="1" x="100"/>
        <item m="1" x="134"/>
        <item m="1" x="155"/>
        <item m="1" x="158"/>
        <item x="18"/>
        <item x="17"/>
        <item m="1" x="56"/>
        <item m="1" x="201"/>
        <item m="1" x="175"/>
        <item m="1" x="208"/>
        <item h="1"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16">
    <i>
      <x v="5"/>
    </i>
    <i>
      <x v="7"/>
    </i>
    <i>
      <x v="11"/>
    </i>
    <i>
      <x v="14"/>
    </i>
    <i>
      <x v="20"/>
    </i>
    <i>
      <x v="22"/>
    </i>
    <i>
      <x v="33"/>
    </i>
    <i>
      <x v="35"/>
    </i>
    <i>
      <x v="36"/>
    </i>
    <i>
      <x v="38"/>
    </i>
    <i>
      <x v="39"/>
    </i>
    <i>
      <x v="46"/>
    </i>
    <i>
      <x v="47"/>
    </i>
    <i>
      <x v="52"/>
    </i>
    <i>
      <x v="309"/>
    </i>
    <i>
      <x v="310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Eco" fld="1" baseField="0" baseItem="1"/>
    <dataField name="Somme de Affaire" fld="2" baseField="0" baseItem="1"/>
    <dataField name="Somme de Première" fld="3" baseField="0" baseItem="1"/>
    <dataField name="Somme de Cargo" fld="4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400-000000000000}" name="Tableau croisé dynamique1" cacheId="13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5" indent="0" outline="1" outlineData="1" multipleFieldFilters="0">
  <location ref="U36:Z37" firstHeaderRow="0" firstDataRow="1" firstDataCol="1" rowPageCount="1" colPageCount="1"/>
  <pivotFields count="10">
    <pivotField showAll="0"/>
    <pivotField showAll="0"/>
    <pivotField axis="axisPage" multipleItemSelectionAllowed="1" showAll="0">
      <items count="13">
        <item x="0"/>
        <item m="1" x="4"/>
        <item m="1" x="7"/>
        <item m="1" x="6"/>
        <item x="1"/>
        <item m="1" x="8"/>
        <item m="1" x="2"/>
        <item m="1" x="9"/>
        <item m="1" x="11"/>
        <item m="1" x="10"/>
        <item m="1" x="3"/>
        <item m="1" x="5"/>
        <item t="default"/>
      </items>
    </pivotField>
    <pivotField axis="axisRow" showAll="0" sortType="descending">
      <items count="250">
        <item h="1" x="0"/>
        <item m="1" x="59"/>
        <item m="1" x="248"/>
        <item m="1" x="94"/>
        <item m="1" x="166"/>
        <item m="1" x="143"/>
        <item m="1" x="31"/>
        <item x="1"/>
        <item m="1" x="242"/>
        <item m="1" x="239"/>
        <item m="1" x="5"/>
        <item m="1" x="63"/>
        <item m="1" x="201"/>
        <item m="1" x="78"/>
        <item m="1" x="108"/>
        <item m="1" x="149"/>
        <item m="1" x="211"/>
        <item m="1" x="23"/>
        <item m="1" x="203"/>
        <item m="1" x="89"/>
        <item m="1" x="164"/>
        <item m="1" x="27"/>
        <item m="1" x="16"/>
        <item m="1" x="236"/>
        <item m="1" x="225"/>
        <item m="1" x="218"/>
        <item m="1" x="198"/>
        <item m="1" x="106"/>
        <item m="1" x="214"/>
        <item m="1" x="144"/>
        <item m="1" x="133"/>
        <item m="1" x="217"/>
        <item m="1" x="205"/>
        <item m="1" x="103"/>
        <item m="1" x="88"/>
        <item m="1" x="238"/>
        <item m="1" x="109"/>
        <item m="1" x="202"/>
        <item m="1" x="8"/>
        <item m="1" x="137"/>
        <item m="1" x="220"/>
        <item m="1" x="174"/>
        <item m="1" x="123"/>
        <item m="1" x="11"/>
        <item m="1" x="66"/>
        <item m="1" x="9"/>
        <item m="1" x="244"/>
        <item m="1" x="75"/>
        <item m="1" x="24"/>
        <item m="1" x="116"/>
        <item m="1" x="25"/>
        <item m="1" x="167"/>
        <item m="1" x="76"/>
        <item m="1" x="237"/>
        <item m="1" x="104"/>
        <item m="1" x="35"/>
        <item m="1" x="221"/>
        <item m="1" x="188"/>
        <item m="1" x="208"/>
        <item m="1" x="45"/>
        <item m="1" x="49"/>
        <item m="1" x="160"/>
        <item m="1" x="209"/>
        <item m="1" x="233"/>
        <item m="1" x="72"/>
        <item m="1" x="92"/>
        <item m="1" x="39"/>
        <item m="1" x="181"/>
        <item m="1" x="48"/>
        <item m="1" x="189"/>
        <item m="1" x="168"/>
        <item m="1" x="56"/>
        <item m="1" x="6"/>
        <item m="1" x="57"/>
        <item m="1" x="219"/>
        <item m="1" x="41"/>
        <item m="1" x="42"/>
        <item m="1" x="155"/>
        <item m="1" x="70"/>
        <item m="1" x="21"/>
        <item m="1" x="226"/>
        <item m="1" x="85"/>
        <item m="1" x="43"/>
        <item m="1" x="194"/>
        <item m="1" x="195"/>
        <item m="1" x="153"/>
        <item m="1" x="179"/>
        <item m="1" x="105"/>
        <item m="1" x="245"/>
        <item m="1" x="158"/>
        <item m="1" x="187"/>
        <item m="1" x="240"/>
        <item m="1" x="110"/>
        <item m="1" x="241"/>
        <item m="1" x="213"/>
        <item m="1" x="183"/>
        <item m="1" x="156"/>
        <item m="1" x="60"/>
        <item m="1" x="17"/>
        <item m="1" x="161"/>
        <item m="1" x="22"/>
        <item m="1" x="81"/>
        <item m="1" x="30"/>
        <item m="1" x="191"/>
        <item m="1" x="151"/>
        <item m="1" x="14"/>
        <item m="1" x="36"/>
        <item m="1" x="162"/>
        <item m="1" x="131"/>
        <item m="1" x="223"/>
        <item m="1" x="12"/>
        <item m="1" x="37"/>
        <item m="1" x="125"/>
        <item m="1" x="234"/>
        <item m="1" x="199"/>
        <item m="1" x="64"/>
        <item m="1" x="129"/>
        <item m="1" x="33"/>
        <item m="1" x="111"/>
        <item m="1" x="73"/>
        <item m="1" x="47"/>
        <item m="1" x="157"/>
        <item m="1" x="136"/>
        <item m="1" x="38"/>
        <item m="1" x="95"/>
        <item m="1" x="77"/>
        <item m="1" x="93"/>
        <item m="1" x="184"/>
        <item m="1" x="130"/>
        <item m="1" x="67"/>
        <item m="1" x="192"/>
        <item m="1" x="112"/>
        <item m="1" x="86"/>
        <item m="1" x="134"/>
        <item m="1" x="115"/>
        <item m="1" x="20"/>
        <item m="1" x="120"/>
        <item m="1" x="46"/>
        <item m="1" x="53"/>
        <item m="1" x="135"/>
        <item m="1" x="193"/>
        <item m="1" x="175"/>
        <item m="1" x="107"/>
        <item m="1" x="68"/>
        <item m="1" x="140"/>
        <item m="1" x="74"/>
        <item m="1" x="147"/>
        <item m="1" x="152"/>
        <item m="1" x="99"/>
        <item m="1" x="79"/>
        <item m="1" x="13"/>
        <item m="1" x="172"/>
        <item m="1" x="15"/>
        <item m="1" x="142"/>
        <item m="1" x="154"/>
        <item m="1" x="118"/>
        <item m="1" x="165"/>
        <item m="1" x="230"/>
        <item m="1" x="196"/>
        <item m="1" x="247"/>
        <item m="1" x="235"/>
        <item m="1" x="2"/>
        <item m="1" x="227"/>
        <item m="1" x="197"/>
        <item m="1" x="55"/>
        <item m="1" x="210"/>
        <item m="1" x="71"/>
        <item m="1" x="212"/>
        <item m="1" x="80"/>
        <item m="1" x="231"/>
        <item m="1" x="163"/>
        <item m="1" x="29"/>
        <item m="1" x="102"/>
        <item m="1" x="62"/>
        <item m="1" x="232"/>
        <item m="1" x="126"/>
        <item m="1" x="10"/>
        <item m="1" x="178"/>
        <item m="1" x="243"/>
        <item m="1" x="148"/>
        <item m="1" x="61"/>
        <item m="1" x="50"/>
        <item m="1" x="69"/>
        <item m="1" x="229"/>
        <item m="1" x="97"/>
        <item m="1" x="185"/>
        <item m="1" x="101"/>
        <item m="1" x="58"/>
        <item m="1" x="207"/>
        <item m="1" x="139"/>
        <item m="1" x="82"/>
        <item m="1" x="84"/>
        <item m="1" x="169"/>
        <item m="1" x="4"/>
        <item m="1" x="177"/>
        <item m="1" x="3"/>
        <item m="1" x="54"/>
        <item m="1" x="122"/>
        <item m="1" x="83"/>
        <item m="1" x="18"/>
        <item m="1" x="141"/>
        <item m="1" x="113"/>
        <item m="1" x="246"/>
        <item m="1" x="216"/>
        <item m="1" x="65"/>
        <item m="1" x="90"/>
        <item m="1" x="215"/>
        <item m="1" x="121"/>
        <item m="1" x="98"/>
        <item m="1" x="91"/>
        <item m="1" x="138"/>
        <item m="1" x="87"/>
        <item m="1" x="200"/>
        <item m="1" x="100"/>
        <item m="1" x="52"/>
        <item m="1" x="44"/>
        <item m="1" x="190"/>
        <item m="1" x="7"/>
        <item m="1" x="146"/>
        <item m="1" x="159"/>
        <item m="1" x="228"/>
        <item m="1" x="124"/>
        <item m="1" x="173"/>
        <item m="1" x="132"/>
        <item m="1" x="40"/>
        <item m="1" x="117"/>
        <item m="1" x="170"/>
        <item m="1" x="119"/>
        <item m="1" x="128"/>
        <item m="1" x="26"/>
        <item m="1" x="180"/>
        <item m="1" x="186"/>
        <item m="1" x="171"/>
        <item m="1" x="145"/>
        <item m="1" x="222"/>
        <item m="1" x="28"/>
        <item m="1" x="224"/>
        <item m="1" x="150"/>
        <item m="1" x="176"/>
        <item m="1" x="34"/>
        <item m="1" x="127"/>
        <item m="1" x="96"/>
        <item m="1" x="32"/>
        <item m="1" x="204"/>
        <item m="1" x="51"/>
        <item m="1" x="19"/>
        <item m="1" x="182"/>
        <item m="1" x="206"/>
        <item m="1" x="114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showAll="0"/>
    <pivotField dataField="1" showAll="0"/>
    <pivotField dataField="1" numFmtId="164" showAll="0"/>
    <pivotField dataField="1" numFmtId="164" showAll="0"/>
    <pivotField dataField="1" numFmtId="164" showAll="0"/>
    <pivotField dataField="1" showAll="0"/>
  </pivotFields>
  <rowFields count="1">
    <field x="3"/>
  </rowFields>
  <rowItems count="1">
    <i>
      <x v="7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hier="-1"/>
  </pageFields>
  <dataFields count="5">
    <dataField name="Somme de Distance_" fld="5" baseField="0" baseItem="0"/>
    <dataField name="Somme de Eco" fld="6" baseField="0" baseItem="0"/>
    <dataField name="Somme de Affaire" fld="7" baseField="0" baseItem="0"/>
    <dataField name="Somme de Première" fld="8" baseField="0" baseItem="0"/>
    <dataField name="Somme de Cargo" fld="9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F00-000000000000}" name="Tableau croisé dynamique1" cacheId="18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>
  <location ref="A2:K33" firstHeaderRow="0" firstDataRow="1" firstDataCol="3"/>
  <pivotFields count="46">
    <pivotField axis="axisRow" compact="0" outline="0" showAll="0" includeNewItemsInFilter="1">
      <items count="7">
        <item x="0"/>
        <item h="1" x="5"/>
        <item x="1"/>
        <item x="2"/>
        <item x="3"/>
        <item x="4"/>
        <item t="default"/>
      </items>
    </pivotField>
    <pivotField compact="0" outline="0" showAll="0"/>
    <pivotField axis="axisRow" compact="0" outline="0" showAll="0" includeNewItemsInFilter="1" defaultSubtotal="0">
      <items count="22">
        <item x="0"/>
        <item x="1"/>
        <item x="2"/>
        <item x="3"/>
        <item m="1" x="21"/>
        <item x="20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outline="0" showAll="0" includeNewItemsInFilter="1">
      <items count="5">
        <item x="0"/>
        <item x="1"/>
        <item x="3"/>
        <item x="2"/>
        <item t="default"/>
      </items>
    </pivotField>
    <pivotField dataField="1" compact="0" numFmtId="3" outline="0" showAll="0"/>
    <pivotField compact="0" outline="0" showAll="0" defaultSubtota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outline="0" showAll="0" defaultSubtota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outline="0" showAll="0" defaultSubtotal="0"/>
    <pivotField dataField="1" compact="0" numFmtId="3" outline="0" showAll="0"/>
    <pivotField dataField="1" compact="0" numFmtId="3" outline="0" showAll="0"/>
    <pivotField dataField="1" compact="0" numFmtId="3" outline="0" showAll="0"/>
    <pivotField dataField="1" compact="0" numFmtId="3" outline="0" showAll="0"/>
    <pivotField dataField="1" compact="0" outline="0" showAll="0" defaultSubtotal="0"/>
    <pivotField dataField="1" compact="0" numFmtId="3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dragToRow="0" dragToCol="0" dragToPage="0" showAll="0" defaultSubtotal="0"/>
  </pivotFields>
  <rowFields count="3">
    <field x="0"/>
    <field x="2"/>
    <field x="3"/>
  </rowFields>
  <rowItems count="31">
    <i>
      <x/>
      <x/>
      <x/>
    </i>
    <i r="2">
      <x v="1"/>
    </i>
    <i r="1">
      <x v="1"/>
      <x/>
    </i>
    <i r="1">
      <x v="2"/>
      <x/>
    </i>
    <i r="1">
      <x v="3"/>
      <x/>
    </i>
    <i r="1">
      <x v="6"/>
      <x/>
    </i>
    <i r="1">
      <x v="7"/>
      <x/>
    </i>
    <i r="1">
      <x v="8"/>
      <x/>
    </i>
    <i t="default">
      <x/>
    </i>
    <i>
      <x v="2"/>
      <x v="9"/>
      <x/>
    </i>
    <i r="1">
      <x v="10"/>
      <x/>
    </i>
    <i r="1">
      <x v="11"/>
      <x/>
    </i>
    <i r="1">
      <x v="12"/>
      <x/>
    </i>
    <i r="1">
      <x v="13"/>
      <x/>
    </i>
    <i r="1">
      <x v="14"/>
      <x/>
    </i>
    <i r="1">
      <x v="15"/>
      <x/>
    </i>
    <i r="1">
      <x v="16"/>
      <x/>
    </i>
    <i t="default">
      <x v="2"/>
    </i>
    <i>
      <x v="3"/>
      <x v="17"/>
      <x/>
    </i>
    <i r="2">
      <x v="1"/>
    </i>
    <i r="1">
      <x v="18"/>
      <x/>
    </i>
    <i r="2">
      <x v="1"/>
    </i>
    <i t="default">
      <x v="3"/>
    </i>
    <i>
      <x v="4"/>
      <x v="19"/>
      <x/>
    </i>
    <i t="default">
      <x v="4"/>
    </i>
    <i>
      <x v="5"/>
      <x v="20"/>
      <x/>
    </i>
    <i r="2">
      <x v="3"/>
    </i>
    <i r="1">
      <x v="21"/>
      <x/>
    </i>
    <i r="2">
      <x v="3"/>
    </i>
    <i t="default">
      <x v="5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  AIRPLANE PRICE" fld="4" baseField="3" baseItem="0" numFmtId="3"/>
    <dataField name=" ECO4" fld="29" baseField="2" baseItem="0" numFmtId="3"/>
    <dataField name=" BUSINESS4" fld="30" baseField="2" baseItem="0" numFmtId="3"/>
    <dataField name=" FIRST4" fld="31" baseField="2" baseItem="0" numFmtId="3"/>
    <dataField name=" FREIGHT4" fld="32" baseField="2" baseItem="0" numFmtId="3"/>
    <dataField name=" ADDITIONAL INCOME" fld="33" baseField="3" baseItem="0" numFmtId="3"/>
    <dataField name=" TOTAL TO" fld="34" baseField="3" baseItem="0" numFmtId="3"/>
    <dataField name=" % ADD INCOME / TOTAL TO" fld="45" baseField="3" baseItem="0" numFmtId="10"/>
  </dataFields>
  <formats count="3">
    <format dxfId="2">
      <pivotArea outline="0" collapsedLevelsAreSubtotals="1" fieldPosition="0">
        <references count="1">
          <reference field="0" count="1" selected="0" defaultSubtotal="1">
            <x v="0"/>
          </reference>
        </references>
      </pivotArea>
    </format>
    <format dxfId="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0">
      <pivotArea dataOnly="0" outline="0" fieldPosition="0">
        <references count="1">
          <reference field="0" count="0" defaultSubtotal="1"/>
        </references>
      </pivotArea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1" growShrinkType="overwriteClear" connectionId="29" xr16:uid="{00000000-0016-0000-1100-000002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3" growShrinkType="overwriteClear" connectionId="36" xr16:uid="{00000000-0016-0000-1100-00001400000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3" growShrinkType="overwriteClear" connectionId="6" xr16:uid="{00000000-0016-0000-1100-000015000000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6" growShrinkType="overwriteClear" connectionId="46" xr16:uid="{00000000-0016-0000-1100-000000000000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" growShrinkType="overwriteClear" connectionId="3" xr16:uid="{00000000-0016-0000-1100-000004000000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6" growShrinkType="overwriteClear" connectionId="13" xr16:uid="{00000000-0016-0000-1100-00000E000000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7" growShrinkType="overwriteClear" connectionId="49" xr16:uid="{00000000-0016-0000-1100-000012000000}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9" growShrinkType="overwriteClear" connectionId="55" xr16:uid="{00000000-0016-0000-1100-000006000000}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4" growShrinkType="overwriteClear" connectionId="7" xr16:uid="{00000000-0016-0000-1100-000003000000}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0" growShrinkType="overwriteClear" connectionId="26" xr16:uid="{00000000-0016-0000-1100-000005000000}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ine?date=2015-09-05" growShrinkType="overwriteClear" connectionId="9" xr16:uid="{00000000-0016-0000-1100-00000B000000}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4" growShrinkType="overwriteClear" connectionId="39" xr16:uid="{00000000-0016-0000-1100-00000A000000}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8" growShrinkType="overwriteClear" connectionId="52" xr16:uid="{00000000-0016-0000-1100-00000C000000}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8" growShrinkType="overwriteClear" connectionId="19" xr16:uid="{00000000-0016-0000-1100-00000F000000}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20" growShrinkType="overwriteClear" connectionId="58" xr16:uid="{00000000-0016-0000-1100-000009000000}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2" growShrinkType="overwriteClear" connectionId="5" xr16:uid="{00000000-0016-0000-1100-000007000000}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2" growShrinkType="overwriteClear" connectionId="33" xr16:uid="{00000000-0016-0000-1100-000013000000}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7" growShrinkType="overwriteClear" connectionId="16" xr16:uid="{00000000-0016-0000-1100-000017000000}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9" growShrinkType="overwriteClear" connectionId="23" xr16:uid="{00000000-0016-0000-1100-000010000000}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5" growShrinkType="overwriteClear" connectionId="43" xr16:uid="{00000000-0016-0000-1100-000001000000}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21" growShrinkType="overwriteClear" connectionId="61" xr16:uid="{00000000-0016-0000-1100-000011000000}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5" growShrinkType="overwriteClear" connectionId="10" xr16:uid="{00000000-0016-0000-1100-00000D000000}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" growShrinkType="overwriteClear" connectionId="4" xr16:uid="{00000000-0016-0000-1100-000016000000}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ine?date=2015-10-26&amp;page=2" growShrinkType="overwriteClear" connectionId="42" xr16:uid="{00000000-0016-0000-1100-000008000000}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etwork" growShrinkType="overwriteClear" connectionId="20" xr16:uid="{00000000-0016-0000-1200-000019000000}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ine?date=2015-10-26&amp;page=2" growShrinkType="overwriteClear" connectionId="31" xr16:uid="{00000000-0016-0000-1200-000018000000}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6" growShrinkType="overwriteClear" connectionId="59" xr16:uid="{00000000-0016-0000-1300-000022000000}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8" growShrinkType="overwriteClear" connectionId="34" xr16:uid="{00000000-0016-0000-1300-00001D000000}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1" growShrinkType="overwriteClear" connectionId="44" xr16:uid="{00000000-0016-0000-1300-00002B000000}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2" growShrinkType="overwriteClear" connectionId="47" xr16:uid="{00000000-0016-0000-1300-00001C000000}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0" growShrinkType="overwriteClear" connectionId="40" xr16:uid="{00000000-0016-0000-1300-000020000000}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3" growShrinkType="overwriteClear" connectionId="50" xr16:uid="{00000000-0016-0000-1300-000026000000}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ineList_6" growShrinkType="overwriteClear" connectionId="2" xr16:uid="{00000000-0016-0000-1300-00001B000000}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4" growShrinkType="overwriteClear" connectionId="53" xr16:uid="{00000000-0016-0000-1300-000024000000}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9" growShrinkType="overwriteClear" connectionId="37" xr16:uid="{00000000-0016-0000-1300-00001A000000}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3" growShrinkType="overwriteClear" connectionId="17" xr16:uid="{00000000-0016-0000-1300-00001F000000}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" growShrinkType="overwriteClear" connectionId="8" xr16:uid="{00000000-0016-0000-1300-00001E000000}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5" growShrinkType="overwriteClear" connectionId="56" xr16:uid="{00000000-0016-0000-1300-000027000000}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7" growShrinkType="overwriteClear" connectionId="62" xr16:uid="{00000000-0016-0000-1300-000028000000}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6" growShrinkType="overwriteClear" connectionId="27" xr16:uid="{00000000-0016-0000-1300-000021000000}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2" growShrinkType="overwriteClear" connectionId="14" xr16:uid="{00000000-0016-0000-1300-000025000000}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" growShrinkType="overwriteClear" connectionId="11" xr16:uid="{00000000-0016-0000-1300-00002C000000}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5" growShrinkType="overwriteClear" connectionId="24" xr16:uid="{00000000-0016-0000-1300-000029000000}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7" growShrinkType="overwriteClear" connectionId="30" xr16:uid="{00000000-0016-0000-1300-000023000000}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4" growShrinkType="overwriteClear" connectionId="21" xr16:uid="{00000000-0016-0000-1300-00002A000000}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8" growShrinkType="overwriteClear" connectionId="38" xr16:uid="{00000000-0016-0000-1400-000037000000}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6" growShrinkType="overwriteClear" connectionId="32" xr16:uid="{00000000-0016-0000-1400-000039000000}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9" growShrinkType="overwriteClear" connectionId="41" xr16:uid="{00000000-0016-0000-1400-000032000000}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4" growShrinkType="overwriteClear" connectionId="25" xr16:uid="{00000000-0016-0000-1400-00003B000000}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4" growShrinkType="overwriteClear" connectionId="57" xr16:uid="{00000000-0016-0000-1400-000034000000}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7" growShrinkType="overwriteClear" connectionId="35" xr16:uid="{00000000-0016-0000-1400-00003E000000}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1" growShrinkType="overwriteClear" connectionId="48" xr16:uid="{00000000-0016-0000-1400-00003A000000}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3" growShrinkType="overwriteClear" connectionId="54" xr16:uid="{00000000-0016-0000-1400-000036000000}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3" growShrinkType="overwriteClear" connectionId="22" xr16:uid="{00000000-0016-0000-1400-000033000000}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2" growShrinkType="overwriteClear" connectionId="51" xr16:uid="{00000000-0016-0000-1400-00002F000000}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5" growShrinkType="overwriteClear" connectionId="28" xr16:uid="{00000000-0016-0000-1400-00003C000000}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ricing_4" growShrinkType="overwriteClear" connectionId="1" xr16:uid="{00000000-0016-0000-1400-00003D000000}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2" growShrinkType="overwriteClear" connectionId="18" xr16:uid="{00000000-0016-0000-1400-000035000000}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" growShrinkType="overwriteClear" connectionId="12" xr16:uid="{00000000-0016-0000-1400-000038000000}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0" growShrinkType="overwriteClear" connectionId="45" xr16:uid="{00000000-0016-0000-1400-00002E000000}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6" growShrinkType="overwriteClear" connectionId="63" xr16:uid="{00000000-0016-0000-1400-000031000000}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" growShrinkType="overwriteClear" connectionId="15" xr16:uid="{00000000-0016-0000-1400-000030000000}" autoFormatId="16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CoutRevenuAux_15" growShrinkType="overwriteClear" connectionId="60" xr16:uid="{00000000-0016-0000-1400-00002D000000}" autoFormatId="16" applyNumberFormats="0" applyBorderFormats="0" applyFontFormats="1" applyPatternFormats="1" applyAlignmentFormats="0" applyWidthHeightFormats="0"/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UB_D" xr10:uid="{00000000-0013-0000-FFFF-FFFF01000000}" sourceName="HUB D">
  <pivotTables>
    <pivotTable tabId="45" name="Tableau croisé dynamique1"/>
  </pivotTables>
  <data>
    <tabular pivotCacheId="3">
      <items count="6">
        <i x="4" s="1"/>
        <i x="0" s="1"/>
        <i x="1" s="1"/>
        <i x="3" s="1"/>
        <i x="2" s="1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HUB D" xr10:uid="{00000000-0014-0000-FFFF-FFFF01000000}" cache="Segment_HUB_D" caption="HUB D" style="SlicerStyleDark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N36:AT43" totalsRowShown="0" dataDxfId="136" dataCellStyle="Milliers">
  <autoFilter ref="AN36:AT43" xr:uid="{00000000-0009-0000-0100-000002000000}"/>
  <tableColumns count="7">
    <tableColumn id="1" xr3:uid="{00000000-0010-0000-0200-000001000000}" name="Type d'avions"/>
    <tableColumn id="2" xr3:uid="{00000000-0010-0000-0200-000002000000}" name="Nombre" dataDxfId="135"/>
    <tableColumn id="3" xr3:uid="{00000000-0010-0000-0200-000003000000}" name="Caution" dataDxfId="134" dataCellStyle="Milliers"/>
    <tableColumn id="4" xr3:uid="{00000000-0010-0000-0200-000004000000}" name="Coût semaine" dataDxfId="133" dataCellStyle="Milliers"/>
    <tableColumn id="5" xr3:uid="{00000000-0010-0000-0200-000005000000}" name="Remise caution" dataDxfId="132" dataCellStyle="Milliers"/>
    <tableColumn id="6" xr3:uid="{00000000-0010-0000-0200-000006000000}" name="Remise loyer" dataDxfId="131" dataCellStyle="Milliers"/>
    <tableColumn id="7" xr3:uid="{00000000-0010-0000-0200-000007000000}" name="Coût total" dataDxfId="130" dataCellStyle="Milliers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au4" displayName="Tableau4" ref="BA16:BC33" totalsRowCount="1" headerRowDxfId="21" dataDxfId="20" dataCellStyle="Milliers">
  <autoFilter ref="BA16:BC32" xr:uid="{00000000-0009-0000-0100-000004000000}"/>
  <tableColumns count="3">
    <tableColumn id="1" xr3:uid="{00000000-0010-0000-0500-000001000000}" name="CA" totalsRowFunction="sum" dataDxfId="19" totalsRowDxfId="18" dataCellStyle="Milliers">
      <calculatedColumnFormula>SUMIF(DataHubs!$J:$J,ROI_Avions!#REF!,DataHubs!K:K)</calculatedColumnFormula>
    </tableColumn>
    <tableColumn id="2" xr3:uid="{00000000-0010-0000-0500-000002000000}" name="Résultat" totalsRowFunction="sum" dataDxfId="17" totalsRowDxfId="16" dataCellStyle="Milliers">
      <calculatedColumnFormula>SUMIF(DataHubs!$J:$J,ROI_Avions!#REF!,DataHubs!L:L)</calculatedColumnFormula>
    </tableColumn>
    <tableColumn id="3" xr3:uid="{00000000-0010-0000-0500-000003000000}" name="Ratio" totalsRowFunction="average" dataDxfId="15" totalsRowDxfId="14" dataCellStyle="Milliers">
      <calculatedColumnFormula>IFERROR(BB17/BA17,0)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eau5" displayName="Tableau5" ref="AV16:AY34" totalsRowShown="0" headerRowDxfId="13" dataDxfId="12" dataCellStyle="Milliers">
  <autoFilter ref="AV16:AY34" xr:uid="{00000000-0009-0000-0100-000005000000}"/>
  <tableColumns count="4">
    <tableColumn id="1" xr3:uid="{00000000-0010-0000-0600-000001000000}" name="Hub" dataDxfId="11"/>
    <tableColumn id="2" xr3:uid="{00000000-0010-0000-0600-000002000000}" name="Nbr lignes" dataDxfId="10" dataCellStyle="Milliers">
      <calculatedColumnFormula>COUNTIF(Lignes_!B:B,AV17)</calculatedColumnFormula>
    </tableColumn>
    <tableColumn id="3" xr3:uid="{00000000-0010-0000-0600-000003000000}" name="Nbr Avions" dataDxfId="9" dataCellStyle="Milliers">
      <calculatedColumnFormula>SUMIF(Lignes_!$B$4:$B$1000,AV17,Lignes_!$D$4:$D$1000)</calculatedColumnFormula>
    </tableColumn>
    <tableColumn id="4" xr3:uid="{00000000-0010-0000-0600-000004000000}" name="Ratio" dataDxfId="8" dataCellStyle="Milliers">
      <calculatedColumnFormula>IFERROR(AX17/AW17,0)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Tableau6" displayName="Tableau6" ref="AV6:AX14" totalsRowShown="0">
  <autoFilter ref="AV6:AX14" xr:uid="{00000000-0009-0000-0100-000006000000}"/>
  <tableColumns count="3">
    <tableColumn id="1" xr3:uid="{00000000-0010-0000-0700-000001000000}" name="Libellé appareils" dataDxfId="7" dataCellStyle="Milliers"/>
    <tableColumn id="2" xr3:uid="{00000000-0010-0000-0700-000002000000}" name="Nombres"/>
    <tableColumn id="3" xr3:uid="{00000000-0010-0000-0700-000003000000}" name="Potentiel" dataDxfId="6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8000000}" name="Tableau68" displayName="Tableau68" ref="AY6:BA14" totalsRowShown="0">
  <autoFilter ref="AY6:BA14" xr:uid="{00000000-0009-0000-0100-000007000000}"/>
  <tableColumns count="3">
    <tableColumn id="1" xr3:uid="{00000000-0010-0000-0800-000001000000}" name="Libellé appareils" dataDxfId="5" dataCellStyle="Milliers"/>
    <tableColumn id="2" xr3:uid="{00000000-0010-0000-0800-000002000000}" name="Nombres"/>
    <tableColumn id="3" xr3:uid="{00000000-0010-0000-0800-000003000000}" name="Colonne1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9000000}" name="Tableau689" displayName="Tableau689" ref="BB6:BC14" totalsRowShown="0">
  <autoFilter ref="BB6:BC14" xr:uid="{00000000-0009-0000-0100-000008000000}"/>
  <tableColumns count="2">
    <tableColumn id="1" xr3:uid="{00000000-0010-0000-0900-000001000000}" name="Libellé appareils" dataDxfId="4" dataCellStyle="Milliers"/>
    <tableColumn id="2" xr3:uid="{00000000-0010-0000-0900-000002000000}" name="Nombre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6.xml"/><Relationship Id="rId13" Type="http://schemas.openxmlformats.org/officeDocument/2006/relationships/queryTable" Target="../queryTables/queryTable11.xml"/><Relationship Id="rId18" Type="http://schemas.openxmlformats.org/officeDocument/2006/relationships/queryTable" Target="../queryTables/queryTable16.xml"/><Relationship Id="rId26" Type="http://schemas.openxmlformats.org/officeDocument/2006/relationships/queryTable" Target="../queryTables/queryTable24.xml"/><Relationship Id="rId3" Type="http://schemas.openxmlformats.org/officeDocument/2006/relationships/queryTable" Target="../queryTables/queryTable1.xml"/><Relationship Id="rId21" Type="http://schemas.openxmlformats.org/officeDocument/2006/relationships/queryTable" Target="../queryTables/queryTable19.xml"/><Relationship Id="rId7" Type="http://schemas.openxmlformats.org/officeDocument/2006/relationships/queryTable" Target="../queryTables/queryTable5.xml"/><Relationship Id="rId12" Type="http://schemas.openxmlformats.org/officeDocument/2006/relationships/queryTable" Target="../queryTables/queryTable10.xml"/><Relationship Id="rId17" Type="http://schemas.openxmlformats.org/officeDocument/2006/relationships/queryTable" Target="../queryTables/queryTable15.xml"/><Relationship Id="rId25" Type="http://schemas.openxmlformats.org/officeDocument/2006/relationships/queryTable" Target="../queryTables/queryTable23.xml"/><Relationship Id="rId2" Type="http://schemas.openxmlformats.org/officeDocument/2006/relationships/printerSettings" Target="../printerSettings/printerSettings13.bin"/><Relationship Id="rId16" Type="http://schemas.openxmlformats.org/officeDocument/2006/relationships/queryTable" Target="../queryTables/queryTable14.xml"/><Relationship Id="rId20" Type="http://schemas.openxmlformats.org/officeDocument/2006/relationships/queryTable" Target="../queryTables/queryTable18.xml"/><Relationship Id="rId1" Type="http://schemas.openxmlformats.org/officeDocument/2006/relationships/pivotTable" Target="../pivotTables/pivotTable1.xml"/><Relationship Id="rId6" Type="http://schemas.openxmlformats.org/officeDocument/2006/relationships/queryTable" Target="../queryTables/queryTable4.xml"/><Relationship Id="rId11" Type="http://schemas.openxmlformats.org/officeDocument/2006/relationships/queryTable" Target="../queryTables/queryTable9.xml"/><Relationship Id="rId24" Type="http://schemas.openxmlformats.org/officeDocument/2006/relationships/queryTable" Target="../queryTables/queryTable22.xml"/><Relationship Id="rId5" Type="http://schemas.openxmlformats.org/officeDocument/2006/relationships/queryTable" Target="../queryTables/queryTable3.xml"/><Relationship Id="rId15" Type="http://schemas.openxmlformats.org/officeDocument/2006/relationships/queryTable" Target="../queryTables/queryTable13.xml"/><Relationship Id="rId23" Type="http://schemas.openxmlformats.org/officeDocument/2006/relationships/queryTable" Target="../queryTables/queryTable21.xml"/><Relationship Id="rId10" Type="http://schemas.openxmlformats.org/officeDocument/2006/relationships/queryTable" Target="../queryTables/queryTable8.xml"/><Relationship Id="rId19" Type="http://schemas.openxmlformats.org/officeDocument/2006/relationships/queryTable" Target="../queryTables/queryTable17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4" Type="http://schemas.openxmlformats.org/officeDocument/2006/relationships/queryTable" Target="../queryTables/queryTable12.xml"/><Relationship Id="rId22" Type="http://schemas.openxmlformats.org/officeDocument/2006/relationships/queryTable" Target="../queryTables/queryTable20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5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2.xml"/><Relationship Id="rId4" Type="http://schemas.openxmlformats.org/officeDocument/2006/relationships/queryTable" Target="../queryTables/queryTable26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32.xml"/><Relationship Id="rId13" Type="http://schemas.openxmlformats.org/officeDocument/2006/relationships/queryTable" Target="../queryTables/queryTable37.xml"/><Relationship Id="rId18" Type="http://schemas.openxmlformats.org/officeDocument/2006/relationships/queryTable" Target="../queryTables/queryTable42.xml"/><Relationship Id="rId3" Type="http://schemas.openxmlformats.org/officeDocument/2006/relationships/queryTable" Target="../queryTables/queryTable27.xml"/><Relationship Id="rId21" Type="http://schemas.openxmlformats.org/officeDocument/2006/relationships/queryTable" Target="../queryTables/queryTable45.xml"/><Relationship Id="rId7" Type="http://schemas.openxmlformats.org/officeDocument/2006/relationships/queryTable" Target="../queryTables/queryTable31.xml"/><Relationship Id="rId12" Type="http://schemas.openxmlformats.org/officeDocument/2006/relationships/queryTable" Target="../queryTables/queryTable36.xml"/><Relationship Id="rId17" Type="http://schemas.openxmlformats.org/officeDocument/2006/relationships/queryTable" Target="../queryTables/queryTable41.xml"/><Relationship Id="rId2" Type="http://schemas.openxmlformats.org/officeDocument/2006/relationships/printerSettings" Target="../printerSettings/printerSettings15.bin"/><Relationship Id="rId16" Type="http://schemas.openxmlformats.org/officeDocument/2006/relationships/queryTable" Target="../queryTables/queryTable40.xml"/><Relationship Id="rId20" Type="http://schemas.openxmlformats.org/officeDocument/2006/relationships/queryTable" Target="../queryTables/queryTable44.xml"/><Relationship Id="rId1" Type="http://schemas.openxmlformats.org/officeDocument/2006/relationships/pivotTable" Target="../pivotTables/pivotTable3.xml"/><Relationship Id="rId6" Type="http://schemas.openxmlformats.org/officeDocument/2006/relationships/queryTable" Target="../queryTables/queryTable30.xml"/><Relationship Id="rId11" Type="http://schemas.openxmlformats.org/officeDocument/2006/relationships/queryTable" Target="../queryTables/queryTable35.xml"/><Relationship Id="rId5" Type="http://schemas.openxmlformats.org/officeDocument/2006/relationships/queryTable" Target="../queryTables/queryTable29.xml"/><Relationship Id="rId15" Type="http://schemas.openxmlformats.org/officeDocument/2006/relationships/queryTable" Target="../queryTables/queryTable39.xml"/><Relationship Id="rId10" Type="http://schemas.openxmlformats.org/officeDocument/2006/relationships/queryTable" Target="../queryTables/queryTable34.xml"/><Relationship Id="rId19" Type="http://schemas.openxmlformats.org/officeDocument/2006/relationships/queryTable" Target="../queryTables/queryTable43.xml"/><Relationship Id="rId4" Type="http://schemas.openxmlformats.org/officeDocument/2006/relationships/queryTable" Target="../queryTables/queryTable28.xml"/><Relationship Id="rId9" Type="http://schemas.openxmlformats.org/officeDocument/2006/relationships/queryTable" Target="../queryTables/queryTable33.xml"/><Relationship Id="rId14" Type="http://schemas.openxmlformats.org/officeDocument/2006/relationships/queryTable" Target="../queryTables/queryTable38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50.xml"/><Relationship Id="rId13" Type="http://schemas.openxmlformats.org/officeDocument/2006/relationships/queryTable" Target="../queryTables/queryTable55.xml"/><Relationship Id="rId18" Type="http://schemas.openxmlformats.org/officeDocument/2006/relationships/queryTable" Target="../queryTables/queryTable60.xml"/><Relationship Id="rId3" Type="http://schemas.openxmlformats.org/officeDocument/2006/relationships/table" Target="../tables/table1.xml"/><Relationship Id="rId21" Type="http://schemas.openxmlformats.org/officeDocument/2006/relationships/queryTable" Target="../queryTables/queryTable63.xml"/><Relationship Id="rId7" Type="http://schemas.openxmlformats.org/officeDocument/2006/relationships/queryTable" Target="../queryTables/queryTable49.xml"/><Relationship Id="rId12" Type="http://schemas.openxmlformats.org/officeDocument/2006/relationships/queryTable" Target="../queryTables/queryTable54.xml"/><Relationship Id="rId17" Type="http://schemas.openxmlformats.org/officeDocument/2006/relationships/queryTable" Target="../queryTables/queryTable59.xml"/><Relationship Id="rId2" Type="http://schemas.openxmlformats.org/officeDocument/2006/relationships/printerSettings" Target="../printerSettings/printerSettings16.bin"/><Relationship Id="rId16" Type="http://schemas.openxmlformats.org/officeDocument/2006/relationships/queryTable" Target="../queryTables/queryTable58.xml"/><Relationship Id="rId20" Type="http://schemas.openxmlformats.org/officeDocument/2006/relationships/queryTable" Target="../queryTables/queryTable62.xml"/><Relationship Id="rId1" Type="http://schemas.openxmlformats.org/officeDocument/2006/relationships/pivotTable" Target="../pivotTables/pivotTable4.xml"/><Relationship Id="rId6" Type="http://schemas.openxmlformats.org/officeDocument/2006/relationships/queryTable" Target="../queryTables/queryTable48.xml"/><Relationship Id="rId11" Type="http://schemas.openxmlformats.org/officeDocument/2006/relationships/queryTable" Target="../queryTables/queryTable53.xml"/><Relationship Id="rId5" Type="http://schemas.openxmlformats.org/officeDocument/2006/relationships/queryTable" Target="../queryTables/queryTable47.xml"/><Relationship Id="rId15" Type="http://schemas.openxmlformats.org/officeDocument/2006/relationships/queryTable" Target="../queryTables/queryTable57.xml"/><Relationship Id="rId10" Type="http://schemas.openxmlformats.org/officeDocument/2006/relationships/queryTable" Target="../queryTables/queryTable52.xml"/><Relationship Id="rId19" Type="http://schemas.openxmlformats.org/officeDocument/2006/relationships/queryTable" Target="../queryTables/queryTable61.xml"/><Relationship Id="rId4" Type="http://schemas.openxmlformats.org/officeDocument/2006/relationships/queryTable" Target="../queryTables/queryTable46.xml"/><Relationship Id="rId9" Type="http://schemas.openxmlformats.org/officeDocument/2006/relationships/queryTable" Target="../queryTables/queryTable51.xml"/><Relationship Id="rId14" Type="http://schemas.openxmlformats.org/officeDocument/2006/relationships/queryTable" Target="../queryTables/queryTable56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Q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14" sqref="H14"/>
    </sheetView>
  </sheetViews>
  <sheetFormatPr baseColWidth="10" defaultRowHeight="14.4" x14ac:dyDescent="0.3"/>
  <cols>
    <col min="1" max="1" width="7" bestFit="1" customWidth="1"/>
    <col min="2" max="2" width="8.88671875" bestFit="1" customWidth="1"/>
    <col min="3" max="3" width="10.5546875" bestFit="1" customWidth="1"/>
    <col min="4" max="4" width="13.6640625" bestFit="1" customWidth="1"/>
    <col min="5" max="5" width="9.33203125" bestFit="1" customWidth="1"/>
    <col min="6" max="6" width="9.109375" bestFit="1" customWidth="1"/>
    <col min="7" max="7" width="8.33203125" bestFit="1" customWidth="1"/>
    <col min="8" max="8" width="11" bestFit="1" customWidth="1"/>
    <col min="9" max="9" width="7.109375" bestFit="1" customWidth="1"/>
    <col min="10" max="10" width="8.33203125" bestFit="1" customWidth="1"/>
    <col min="11" max="11" width="14.44140625" bestFit="1" customWidth="1"/>
    <col min="13" max="13" width="11" bestFit="1" customWidth="1"/>
    <col min="14" max="14" width="9.44140625" bestFit="1" customWidth="1"/>
    <col min="15" max="15" width="8.6640625" bestFit="1" customWidth="1"/>
    <col min="16" max="16" width="8.44140625" bestFit="1" customWidth="1"/>
    <col min="17" max="17" width="6.109375" customWidth="1"/>
  </cols>
  <sheetData>
    <row r="1" spans="1:17" x14ac:dyDescent="0.3">
      <c r="A1" s="131" t="s">
        <v>426</v>
      </c>
      <c r="B1" s="131" t="s">
        <v>274</v>
      </c>
      <c r="C1" s="131" t="s">
        <v>431</v>
      </c>
      <c r="D1" s="131" t="s">
        <v>25</v>
      </c>
      <c r="E1" s="131" t="s">
        <v>744</v>
      </c>
      <c r="F1" s="131" t="s">
        <v>755</v>
      </c>
      <c r="G1" s="131" t="s">
        <v>32</v>
      </c>
      <c r="H1" s="131" t="s">
        <v>710</v>
      </c>
      <c r="I1" s="131" t="s">
        <v>711</v>
      </c>
      <c r="J1" s="131" t="s">
        <v>35</v>
      </c>
      <c r="K1" s="131" t="s">
        <v>767</v>
      </c>
      <c r="M1" t="s">
        <v>768</v>
      </c>
      <c r="N1" t="s">
        <v>32</v>
      </c>
      <c r="O1" t="s">
        <v>710</v>
      </c>
      <c r="P1" t="s">
        <v>711</v>
      </c>
      <c r="Q1" t="s">
        <v>35</v>
      </c>
    </row>
    <row r="2" spans="1:17" x14ac:dyDescent="0.3">
      <c r="A2" s="131" t="s">
        <v>315</v>
      </c>
      <c r="B2" s="131" t="s">
        <v>764</v>
      </c>
      <c r="C2" t="s">
        <v>765</v>
      </c>
      <c r="D2" s="8">
        <v>14906741</v>
      </c>
      <c r="E2" t="s">
        <v>756</v>
      </c>
      <c r="F2" t="s">
        <v>766</v>
      </c>
      <c r="G2" s="8">
        <v>2462</v>
      </c>
      <c r="H2" s="8">
        <v>897</v>
      </c>
      <c r="I2" s="8">
        <v>346</v>
      </c>
      <c r="J2" s="8">
        <v>90</v>
      </c>
      <c r="K2" s="8">
        <f t="shared" ref="K2:K31" si="0">G2*$N$2+H2*$O$2+I2*$P$2+J2*$Q$2</f>
        <v>6429.8</v>
      </c>
      <c r="N2">
        <v>1</v>
      </c>
      <c r="O2">
        <v>1.8</v>
      </c>
      <c r="P2">
        <v>4.2</v>
      </c>
      <c r="Q2">
        <v>10</v>
      </c>
    </row>
    <row r="3" spans="1:17" x14ac:dyDescent="0.3">
      <c r="A3" s="131" t="s">
        <v>315</v>
      </c>
      <c r="B3" s="131" t="s">
        <v>776</v>
      </c>
      <c r="C3" t="s">
        <v>774</v>
      </c>
      <c r="D3" s="8">
        <v>14616313</v>
      </c>
      <c r="E3" t="s">
        <v>756</v>
      </c>
      <c r="F3" t="s">
        <v>777</v>
      </c>
      <c r="G3" s="8">
        <v>2287</v>
      </c>
      <c r="H3" s="8">
        <v>825</v>
      </c>
      <c r="I3" s="8">
        <v>312</v>
      </c>
      <c r="J3" s="8">
        <v>89</v>
      </c>
      <c r="K3" s="8">
        <f t="shared" si="0"/>
        <v>5972.4</v>
      </c>
    </row>
    <row r="4" spans="1:17" x14ac:dyDescent="0.3">
      <c r="A4" s="131" t="s">
        <v>315</v>
      </c>
      <c r="B4" s="131" t="s">
        <v>771</v>
      </c>
      <c r="C4" t="s">
        <v>769</v>
      </c>
      <c r="D4" s="8">
        <v>14774854</v>
      </c>
      <c r="E4" t="s">
        <v>756</v>
      </c>
      <c r="F4" t="s">
        <v>772</v>
      </c>
      <c r="G4" s="8">
        <v>2145</v>
      </c>
      <c r="H4" s="8">
        <v>826</v>
      </c>
      <c r="I4" s="8">
        <v>326</v>
      </c>
      <c r="J4" s="8">
        <v>87</v>
      </c>
      <c r="K4" s="8">
        <f t="shared" si="0"/>
        <v>5871</v>
      </c>
    </row>
    <row r="5" spans="1:17" x14ac:dyDescent="0.3">
      <c r="A5" s="131" t="s">
        <v>315</v>
      </c>
      <c r="B5" s="131" t="s">
        <v>324</v>
      </c>
      <c r="C5" t="s">
        <v>769</v>
      </c>
      <c r="D5" s="8">
        <v>14342592</v>
      </c>
      <c r="E5" t="s">
        <v>756</v>
      </c>
      <c r="F5" t="s">
        <v>770</v>
      </c>
      <c r="G5" s="8">
        <v>2292</v>
      </c>
      <c r="H5" s="8">
        <v>871</v>
      </c>
      <c r="I5" s="8">
        <v>342</v>
      </c>
      <c r="J5" s="8">
        <v>93</v>
      </c>
      <c r="K5" s="8">
        <f t="shared" si="0"/>
        <v>6226.2000000000007</v>
      </c>
    </row>
    <row r="6" spans="1:17" x14ac:dyDescent="0.3">
      <c r="A6" s="141" t="s">
        <v>315</v>
      </c>
      <c r="B6" s="141" t="s">
        <v>773</v>
      </c>
      <c r="C6" s="129" t="s">
        <v>774</v>
      </c>
      <c r="D6" s="130">
        <v>14225149</v>
      </c>
      <c r="E6" s="129" t="s">
        <v>756</v>
      </c>
      <c r="F6" s="129" t="s">
        <v>775</v>
      </c>
      <c r="G6" s="130">
        <v>4772</v>
      </c>
      <c r="H6" s="130">
        <v>1703</v>
      </c>
      <c r="I6" s="130">
        <v>644</v>
      </c>
      <c r="J6" s="130">
        <v>185</v>
      </c>
      <c r="K6" s="130">
        <f t="shared" si="0"/>
        <v>12392.2</v>
      </c>
    </row>
    <row r="7" spans="1:17" x14ac:dyDescent="0.3">
      <c r="A7" s="131" t="s">
        <v>315</v>
      </c>
      <c r="B7" s="131" t="s">
        <v>331</v>
      </c>
      <c r="C7" t="s">
        <v>780</v>
      </c>
      <c r="D7" s="8">
        <v>15033491</v>
      </c>
      <c r="E7" t="s">
        <v>224</v>
      </c>
      <c r="F7" t="s">
        <v>781</v>
      </c>
      <c r="G7" s="8">
        <v>3540</v>
      </c>
      <c r="H7" s="8">
        <v>1377</v>
      </c>
      <c r="I7" s="8">
        <v>540</v>
      </c>
      <c r="J7" s="8">
        <v>144</v>
      </c>
      <c r="K7" s="8">
        <f t="shared" si="0"/>
        <v>9726.6</v>
      </c>
    </row>
    <row r="8" spans="1:17" x14ac:dyDescent="0.3">
      <c r="A8" s="131" t="s">
        <v>315</v>
      </c>
      <c r="B8" s="131" t="s">
        <v>782</v>
      </c>
      <c r="C8" t="s">
        <v>780</v>
      </c>
      <c r="D8" s="8">
        <v>15266533</v>
      </c>
      <c r="E8" t="s">
        <v>756</v>
      </c>
      <c r="F8" t="s">
        <v>757</v>
      </c>
      <c r="G8" s="8">
        <v>2788</v>
      </c>
      <c r="H8" s="8">
        <v>1167</v>
      </c>
      <c r="I8" s="8">
        <v>465</v>
      </c>
      <c r="J8" s="8">
        <v>119</v>
      </c>
      <c r="K8" s="8">
        <f t="shared" si="0"/>
        <v>8031.6</v>
      </c>
    </row>
    <row r="9" spans="1:17" x14ac:dyDescent="0.3">
      <c r="A9" s="141" t="s">
        <v>315</v>
      </c>
      <c r="B9" s="141" t="s">
        <v>332</v>
      </c>
      <c r="C9" s="129" t="s">
        <v>762</v>
      </c>
      <c r="D9" s="130">
        <v>16556576</v>
      </c>
      <c r="E9" s="129" t="s">
        <v>756</v>
      </c>
      <c r="F9" s="129" t="s">
        <v>757</v>
      </c>
      <c r="G9" s="130">
        <v>3945</v>
      </c>
      <c r="H9" s="130">
        <v>1901</v>
      </c>
      <c r="I9" s="130">
        <v>776</v>
      </c>
      <c r="J9" s="130">
        <v>185</v>
      </c>
      <c r="K9" s="130">
        <f t="shared" si="0"/>
        <v>12476</v>
      </c>
    </row>
    <row r="10" spans="1:17" x14ac:dyDescent="0.3">
      <c r="A10" s="141" t="s">
        <v>315</v>
      </c>
      <c r="B10" s="141" t="s">
        <v>326</v>
      </c>
      <c r="C10" s="129" t="s">
        <v>762</v>
      </c>
      <c r="D10" s="130">
        <v>22872766</v>
      </c>
      <c r="E10" s="129" t="s">
        <v>756</v>
      </c>
      <c r="F10" s="129" t="s">
        <v>757</v>
      </c>
      <c r="G10" s="130">
        <v>3659</v>
      </c>
      <c r="H10" s="130">
        <v>1761</v>
      </c>
      <c r="I10" s="130">
        <v>718</v>
      </c>
      <c r="J10" s="130">
        <v>172</v>
      </c>
      <c r="K10" s="130">
        <f t="shared" si="0"/>
        <v>11564.4</v>
      </c>
    </row>
    <row r="11" spans="1:17" x14ac:dyDescent="0.3">
      <c r="A11" s="131" t="s">
        <v>315</v>
      </c>
      <c r="B11" s="131" t="s">
        <v>329</v>
      </c>
      <c r="C11" t="s">
        <v>780</v>
      </c>
      <c r="D11" s="8">
        <v>14628210</v>
      </c>
      <c r="E11" t="s">
        <v>756</v>
      </c>
      <c r="F11" t="s">
        <v>785</v>
      </c>
      <c r="G11" s="8">
        <v>4146</v>
      </c>
      <c r="H11" s="8">
        <v>1545</v>
      </c>
      <c r="I11" s="8">
        <v>600</v>
      </c>
      <c r="J11" s="8">
        <v>165</v>
      </c>
      <c r="K11" s="8">
        <f t="shared" si="0"/>
        <v>11097</v>
      </c>
    </row>
    <row r="12" spans="1:17" x14ac:dyDescent="0.3">
      <c r="A12" s="131" t="s">
        <v>315</v>
      </c>
      <c r="B12" s="131" t="s">
        <v>783</v>
      </c>
      <c r="C12" t="s">
        <v>780</v>
      </c>
      <c r="D12" s="8">
        <v>15145031</v>
      </c>
      <c r="E12" t="s">
        <v>756</v>
      </c>
      <c r="F12" t="s">
        <v>784</v>
      </c>
      <c r="G12" s="8">
        <v>2640</v>
      </c>
      <c r="H12" s="8">
        <v>1126</v>
      </c>
      <c r="I12" s="8">
        <v>450</v>
      </c>
      <c r="J12" s="8">
        <v>114</v>
      </c>
      <c r="K12" s="8">
        <f t="shared" si="0"/>
        <v>7696.8</v>
      </c>
    </row>
    <row r="13" spans="1:17" x14ac:dyDescent="0.3">
      <c r="A13" s="141" t="s">
        <v>315</v>
      </c>
      <c r="B13" s="141" t="s">
        <v>335</v>
      </c>
      <c r="C13" s="129" t="s">
        <v>763</v>
      </c>
      <c r="D13" s="130">
        <v>25869904</v>
      </c>
      <c r="E13" s="129" t="s">
        <v>756</v>
      </c>
      <c r="F13" s="129" t="s">
        <v>758</v>
      </c>
      <c r="G13" s="130">
        <v>3340</v>
      </c>
      <c r="H13" s="130">
        <v>1191</v>
      </c>
      <c r="I13" s="130">
        <v>451</v>
      </c>
      <c r="J13" s="130">
        <v>129</v>
      </c>
      <c r="K13" s="130">
        <f t="shared" si="0"/>
        <v>8668</v>
      </c>
    </row>
    <row r="14" spans="1:17" x14ac:dyDescent="0.3">
      <c r="A14" s="131" t="s">
        <v>315</v>
      </c>
      <c r="B14" s="131" t="s">
        <v>320</v>
      </c>
      <c r="C14" t="s">
        <v>763</v>
      </c>
      <c r="D14" s="8">
        <v>14186937</v>
      </c>
      <c r="E14" t="s">
        <v>756</v>
      </c>
      <c r="F14" t="s">
        <v>758</v>
      </c>
      <c r="G14" s="8">
        <v>2282</v>
      </c>
      <c r="H14" s="8">
        <v>824</v>
      </c>
      <c r="I14" s="8">
        <v>312</v>
      </c>
      <c r="J14" s="8">
        <v>89</v>
      </c>
      <c r="K14" s="8">
        <f t="shared" si="0"/>
        <v>5965.6</v>
      </c>
    </row>
    <row r="15" spans="1:17" x14ac:dyDescent="0.3">
      <c r="A15" s="131" t="s">
        <v>315</v>
      </c>
      <c r="B15" s="131" t="s">
        <v>759</v>
      </c>
      <c r="C15" t="s">
        <v>763</v>
      </c>
      <c r="D15" s="8">
        <v>14379325</v>
      </c>
      <c r="E15" t="s">
        <v>756</v>
      </c>
      <c r="F15" t="s">
        <v>758</v>
      </c>
      <c r="G15" s="8">
        <v>2151</v>
      </c>
      <c r="H15" s="8">
        <v>787</v>
      </c>
      <c r="I15" s="8">
        <v>299</v>
      </c>
      <c r="J15" s="8">
        <v>84</v>
      </c>
      <c r="K15" s="8">
        <f t="shared" si="0"/>
        <v>5663.4000000000005</v>
      </c>
    </row>
    <row r="16" spans="1:17" x14ac:dyDescent="0.3">
      <c r="A16" s="131" t="s">
        <v>315</v>
      </c>
      <c r="B16" s="131" t="s">
        <v>760</v>
      </c>
      <c r="C16" t="s">
        <v>763</v>
      </c>
      <c r="D16" s="8">
        <v>14221788</v>
      </c>
      <c r="E16" t="s">
        <v>756</v>
      </c>
      <c r="F16" t="s">
        <v>761</v>
      </c>
      <c r="G16" s="8">
        <v>2160</v>
      </c>
      <c r="H16" s="8">
        <v>789</v>
      </c>
      <c r="I16" s="8">
        <v>300</v>
      </c>
      <c r="J16" s="8">
        <v>84</v>
      </c>
      <c r="K16" s="8">
        <f t="shared" si="0"/>
        <v>5680.2</v>
      </c>
    </row>
    <row r="17" spans="1:16" x14ac:dyDescent="0.3">
      <c r="A17" s="142" t="s">
        <v>730</v>
      </c>
      <c r="B17" s="142" t="s">
        <v>322</v>
      </c>
      <c r="C17" s="122" t="s">
        <v>778</v>
      </c>
      <c r="D17" s="123">
        <v>28008525</v>
      </c>
      <c r="E17" s="122" t="s">
        <v>756</v>
      </c>
      <c r="F17" s="122" t="s">
        <v>761</v>
      </c>
      <c r="G17" s="123">
        <v>5862</v>
      </c>
      <c r="H17" s="123">
        <v>699</v>
      </c>
      <c r="I17" s="123">
        <v>183</v>
      </c>
      <c r="J17" s="123">
        <v>126</v>
      </c>
      <c r="K17" s="123">
        <f t="shared" si="0"/>
        <v>9148.7999999999993</v>
      </c>
    </row>
    <row r="18" spans="1:16" x14ac:dyDescent="0.3">
      <c r="A18" s="142" t="s">
        <v>725</v>
      </c>
      <c r="B18" s="142" t="s">
        <v>322</v>
      </c>
      <c r="C18" s="122" t="s">
        <v>778</v>
      </c>
      <c r="D18" s="123">
        <v>14260398</v>
      </c>
      <c r="E18" s="122" t="s">
        <v>756</v>
      </c>
      <c r="F18" s="122" t="s">
        <v>790</v>
      </c>
      <c r="G18" s="123">
        <v>6082</v>
      </c>
      <c r="H18" s="123">
        <v>519</v>
      </c>
      <c r="I18" s="123">
        <v>110</v>
      </c>
      <c r="J18" s="123">
        <v>117</v>
      </c>
      <c r="K18" s="123">
        <f t="shared" si="0"/>
        <v>8648.2000000000007</v>
      </c>
    </row>
    <row r="19" spans="1:16" x14ac:dyDescent="0.3">
      <c r="A19" s="141" t="s">
        <v>733</v>
      </c>
      <c r="B19" s="141" t="s">
        <v>322</v>
      </c>
      <c r="C19" s="129" t="s">
        <v>778</v>
      </c>
      <c r="D19" s="130">
        <v>154844076</v>
      </c>
      <c r="E19" s="129" t="s">
        <v>756</v>
      </c>
      <c r="F19" s="129" t="s">
        <v>779</v>
      </c>
      <c r="G19" s="130">
        <v>8195</v>
      </c>
      <c r="H19" s="130">
        <v>854</v>
      </c>
      <c r="I19" s="130">
        <v>195</v>
      </c>
      <c r="J19" s="130">
        <v>177</v>
      </c>
      <c r="K19" s="130">
        <f t="shared" si="0"/>
        <v>12321.2</v>
      </c>
      <c r="M19" s="38">
        <f>G19/2</f>
        <v>4097.5</v>
      </c>
      <c r="N19" s="38">
        <f t="shared" ref="N19:P19" si="1">H19/2</f>
        <v>427</v>
      </c>
      <c r="O19" s="38">
        <f t="shared" si="1"/>
        <v>97.5</v>
      </c>
      <c r="P19" s="38">
        <f t="shared" si="1"/>
        <v>88.5</v>
      </c>
    </row>
    <row r="20" spans="1:16" x14ac:dyDescent="0.3">
      <c r="A20" s="142" t="s">
        <v>726</v>
      </c>
      <c r="B20" s="142" t="s">
        <v>322</v>
      </c>
      <c r="C20" s="122" t="s">
        <v>778</v>
      </c>
      <c r="D20" s="123">
        <v>13797241</v>
      </c>
      <c r="E20" s="122" t="s">
        <v>756</v>
      </c>
      <c r="F20" s="122" t="s">
        <v>779</v>
      </c>
      <c r="G20" s="123">
        <v>7075</v>
      </c>
      <c r="H20" s="123">
        <v>593</v>
      </c>
      <c r="I20" s="123">
        <v>116</v>
      </c>
      <c r="J20" s="123">
        <v>138</v>
      </c>
      <c r="K20" s="123">
        <f t="shared" si="0"/>
        <v>10009.6</v>
      </c>
    </row>
    <row r="21" spans="1:16" x14ac:dyDescent="0.3">
      <c r="A21" s="142" t="s">
        <v>315</v>
      </c>
      <c r="B21" s="142" t="s">
        <v>322</v>
      </c>
      <c r="C21" s="122" t="s">
        <v>778</v>
      </c>
      <c r="D21" s="123">
        <v>14091038</v>
      </c>
      <c r="E21" s="122" t="s">
        <v>756</v>
      </c>
      <c r="F21" s="122" t="s">
        <v>779</v>
      </c>
      <c r="G21" s="123">
        <v>4701</v>
      </c>
      <c r="H21" s="123">
        <v>1701</v>
      </c>
      <c r="I21" s="123">
        <v>657</v>
      </c>
      <c r="J21" s="123">
        <v>183</v>
      </c>
      <c r="K21" s="123">
        <f t="shared" si="0"/>
        <v>12352.2</v>
      </c>
    </row>
    <row r="22" spans="1:16" x14ac:dyDescent="0.3">
      <c r="A22" s="131" t="s">
        <v>732</v>
      </c>
      <c r="B22" s="131" t="s">
        <v>322</v>
      </c>
      <c r="C22" t="s">
        <v>778</v>
      </c>
      <c r="D22" s="8">
        <v>171959976</v>
      </c>
      <c r="E22" t="s">
        <v>756</v>
      </c>
      <c r="F22" t="s">
        <v>791</v>
      </c>
      <c r="G22" s="8">
        <v>8258</v>
      </c>
      <c r="H22" s="8">
        <v>861</v>
      </c>
      <c r="I22" s="8">
        <v>196</v>
      </c>
      <c r="J22" s="8">
        <v>177</v>
      </c>
      <c r="K22" s="8">
        <f t="shared" si="0"/>
        <v>12401</v>
      </c>
    </row>
    <row r="23" spans="1:16" x14ac:dyDescent="0.3">
      <c r="A23" s="131" t="s">
        <v>428</v>
      </c>
      <c r="B23" s="131" t="s">
        <v>322</v>
      </c>
      <c r="C23" t="s">
        <v>778</v>
      </c>
      <c r="D23" s="8">
        <v>147619612</v>
      </c>
      <c r="E23" t="s">
        <v>756</v>
      </c>
      <c r="F23" t="s">
        <v>791</v>
      </c>
      <c r="G23" s="8">
        <v>7413</v>
      </c>
      <c r="H23" s="8">
        <v>382</v>
      </c>
      <c r="I23" s="8">
        <v>34</v>
      </c>
      <c r="J23" s="8">
        <v>124</v>
      </c>
      <c r="K23" s="8">
        <f t="shared" si="0"/>
        <v>9483.4</v>
      </c>
    </row>
    <row r="24" spans="1:16" x14ac:dyDescent="0.3">
      <c r="A24" s="131" t="s">
        <v>728</v>
      </c>
      <c r="B24" s="131" t="s">
        <v>322</v>
      </c>
      <c r="C24" t="s">
        <v>778</v>
      </c>
      <c r="D24" s="8">
        <v>12841872</v>
      </c>
      <c r="E24" t="s">
        <v>756</v>
      </c>
      <c r="F24" t="s">
        <v>789</v>
      </c>
      <c r="G24" s="8">
        <v>6340</v>
      </c>
      <c r="H24" s="8">
        <v>489</v>
      </c>
      <c r="I24" s="8">
        <v>90</v>
      </c>
      <c r="J24" s="8">
        <v>117</v>
      </c>
      <c r="K24" s="8">
        <f t="shared" si="0"/>
        <v>8768.2000000000007</v>
      </c>
    </row>
    <row r="25" spans="1:16" x14ac:dyDescent="0.3">
      <c r="A25" s="141" t="s">
        <v>724</v>
      </c>
      <c r="B25" s="141" t="s">
        <v>322</v>
      </c>
      <c r="C25" s="129" t="s">
        <v>778</v>
      </c>
      <c r="D25" s="130">
        <v>12868489</v>
      </c>
      <c r="E25" s="129" t="s">
        <v>756</v>
      </c>
      <c r="F25" s="129" t="s">
        <v>786</v>
      </c>
      <c r="G25" s="130">
        <v>6758</v>
      </c>
      <c r="H25" s="130">
        <v>516</v>
      </c>
      <c r="I25" s="130">
        <v>91</v>
      </c>
      <c r="J25" s="130">
        <v>126</v>
      </c>
      <c r="K25" s="130">
        <f t="shared" si="0"/>
        <v>9329</v>
      </c>
    </row>
    <row r="26" spans="1:16" x14ac:dyDescent="0.3">
      <c r="A26" s="141" t="s">
        <v>733</v>
      </c>
      <c r="B26" s="141" t="s">
        <v>822</v>
      </c>
      <c r="C26" s="129" t="s">
        <v>823</v>
      </c>
      <c r="D26" s="130">
        <v>142963829</v>
      </c>
      <c r="E26" s="129" t="s">
        <v>756</v>
      </c>
      <c r="F26" s="129" t="s">
        <v>824</v>
      </c>
      <c r="G26" s="130">
        <v>3863</v>
      </c>
      <c r="H26" s="130">
        <v>321</v>
      </c>
      <c r="I26" s="130">
        <v>68</v>
      </c>
      <c r="J26" s="130">
        <v>89</v>
      </c>
      <c r="K26" s="130">
        <f t="shared" si="0"/>
        <v>5616.4000000000005</v>
      </c>
      <c r="M26" s="21">
        <f>G26</f>
        <v>3863</v>
      </c>
      <c r="N26" s="21">
        <f t="shared" ref="N26:P26" si="2">H26</f>
        <v>321</v>
      </c>
      <c r="O26" s="21">
        <f t="shared" si="2"/>
        <v>68</v>
      </c>
      <c r="P26" s="21">
        <f t="shared" si="2"/>
        <v>89</v>
      </c>
    </row>
    <row r="27" spans="1:16" x14ac:dyDescent="0.3">
      <c r="A27" s="131" t="s">
        <v>729</v>
      </c>
      <c r="B27" s="131" t="s">
        <v>322</v>
      </c>
      <c r="C27" t="s">
        <v>778</v>
      </c>
      <c r="D27" s="8">
        <v>12721884</v>
      </c>
      <c r="E27" t="s">
        <v>756</v>
      </c>
      <c r="F27" t="s">
        <v>787</v>
      </c>
      <c r="G27" s="8">
        <v>7188</v>
      </c>
      <c r="H27" s="8">
        <v>334</v>
      </c>
      <c r="I27" s="8">
        <v>26</v>
      </c>
      <c r="J27" s="8">
        <v>117</v>
      </c>
      <c r="K27" s="8">
        <f t="shared" si="0"/>
        <v>9068.4</v>
      </c>
    </row>
    <row r="28" spans="1:16" x14ac:dyDescent="0.3">
      <c r="A28" s="131" t="s">
        <v>427</v>
      </c>
      <c r="B28" s="131" t="s">
        <v>322</v>
      </c>
      <c r="C28" t="s">
        <v>778</v>
      </c>
      <c r="D28" s="8">
        <v>209392574</v>
      </c>
      <c r="E28" t="s">
        <v>756</v>
      </c>
      <c r="F28" t="s">
        <v>787</v>
      </c>
      <c r="G28" s="8">
        <v>7859</v>
      </c>
      <c r="H28" s="8">
        <v>612</v>
      </c>
      <c r="I28" s="8">
        <v>102</v>
      </c>
      <c r="J28" s="8">
        <v>150</v>
      </c>
      <c r="K28" s="8">
        <f t="shared" si="0"/>
        <v>10889</v>
      </c>
    </row>
    <row r="29" spans="1:16" x14ac:dyDescent="0.3">
      <c r="A29" s="131" t="s">
        <v>731</v>
      </c>
      <c r="B29" s="131" t="s">
        <v>322</v>
      </c>
      <c r="C29" t="s">
        <v>778</v>
      </c>
      <c r="D29" s="8">
        <v>191172963</v>
      </c>
      <c r="E29" t="s">
        <v>756</v>
      </c>
      <c r="F29" t="s">
        <v>788</v>
      </c>
      <c r="G29" s="8">
        <v>7368</v>
      </c>
      <c r="H29" s="8">
        <v>504</v>
      </c>
      <c r="I29" s="8">
        <v>75</v>
      </c>
      <c r="J29" s="8">
        <v>133</v>
      </c>
      <c r="K29" s="8">
        <f t="shared" si="0"/>
        <v>9920.2000000000007</v>
      </c>
    </row>
    <row r="30" spans="1:16" x14ac:dyDescent="0.3">
      <c r="A30" s="141" t="s">
        <v>727</v>
      </c>
      <c r="B30" s="141" t="s">
        <v>322</v>
      </c>
      <c r="C30" s="129" t="s">
        <v>778</v>
      </c>
      <c r="D30" s="130">
        <v>12283784</v>
      </c>
      <c r="E30" s="129" t="s">
        <v>756</v>
      </c>
      <c r="F30" s="129" t="s">
        <v>788</v>
      </c>
      <c r="G30" s="130">
        <v>7022</v>
      </c>
      <c r="H30" s="130">
        <v>364</v>
      </c>
      <c r="I30" s="130">
        <v>34</v>
      </c>
      <c r="J30" s="130">
        <v>117</v>
      </c>
      <c r="K30" s="130">
        <f t="shared" si="0"/>
        <v>8990</v>
      </c>
    </row>
    <row r="31" spans="1:16" x14ac:dyDescent="0.3">
      <c r="A31" s="141" t="s">
        <v>727</v>
      </c>
      <c r="B31" s="141" t="s">
        <v>773</v>
      </c>
      <c r="C31" s="129" t="s">
        <v>774</v>
      </c>
      <c r="D31" s="130">
        <v>13698016</v>
      </c>
      <c r="E31" s="129" t="s">
        <v>756</v>
      </c>
      <c r="F31" s="129" t="s">
        <v>813</v>
      </c>
      <c r="G31" s="130">
        <v>7168</v>
      </c>
      <c r="H31" s="130">
        <v>370</v>
      </c>
      <c r="I31" s="130">
        <v>35</v>
      </c>
      <c r="J31" s="130">
        <v>119</v>
      </c>
      <c r="K31" s="130">
        <f t="shared" si="0"/>
        <v>9171</v>
      </c>
    </row>
  </sheetData>
  <autoFilter ref="A1:K31" xr:uid="{00000000-0009-0000-0000-000002000000}">
    <sortState xmlns:xlrd2="http://schemas.microsoft.com/office/spreadsheetml/2017/richdata2" ref="A2:K30">
      <sortCondition descending="1" ref="F1:F3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4"/>
  <dimension ref="A2:G308"/>
  <sheetViews>
    <sheetView zoomScale="85" zoomScaleNormal="85" workbookViewId="0">
      <selection activeCell="I13" sqref="I13"/>
    </sheetView>
  </sheetViews>
  <sheetFormatPr baseColWidth="10" defaultRowHeight="14.4" x14ac:dyDescent="0.3"/>
  <sheetData>
    <row r="2" spans="1:7" x14ac:dyDescent="0.3">
      <c r="A2" t="s">
        <v>274</v>
      </c>
      <c r="D2" t="s">
        <v>743</v>
      </c>
    </row>
    <row r="3" spans="1:7" x14ac:dyDescent="0.3">
      <c r="D3" t="s">
        <v>32</v>
      </c>
      <c r="E3" t="s">
        <v>710</v>
      </c>
      <c r="F3" t="s">
        <v>711</v>
      </c>
      <c r="G3" t="s">
        <v>35</v>
      </c>
    </row>
    <row r="4" spans="1:7" x14ac:dyDescent="0.3">
      <c r="A4" t="str">
        <f>DataDemande!N63</f>
        <v/>
      </c>
      <c r="B4" t="str">
        <f>LEFT(A4,3)</f>
        <v/>
      </c>
      <c r="C4" t="str">
        <f>RIGHT(A4,3)</f>
        <v/>
      </c>
      <c r="D4" s="8" t="str">
        <f>IFERROR(IF(FIND("Km",DataDemande!$B63),IF(DataDemande!$B64="",IF(FIND("Pax",DataDemande!C63),VALUE(LEFT(DataDemande!C63,LEN(DataDemande!C63)-4)),))),"")</f>
        <v/>
      </c>
      <c r="E4" s="8" t="str">
        <f>IFERROR(IF(FIND("Km",DataDemande!$B63),IF(DataDemande!$B64="",IF(FIND("Pax",DataDemande!D63),VALUE(LEFT(DataDemande!D63,LEN(DataDemande!D63)-4)),))),"")</f>
        <v/>
      </c>
      <c r="F4" s="8" t="str">
        <f>IFERROR(IF(FIND("Km",DataDemande!$B63),IF(DataDemande!$B64="",IF(FIND("Pax",DataDemande!E63),VALUE(LEFT(DataDemande!E63,LEN(DataDemande!E63)-4)),))),"")</f>
        <v/>
      </c>
      <c r="G4" s="8" t="str">
        <f>IFERROR(IF($D4&lt;&gt;"",VALUE(LEFT(DataDemande!F63,LEN(DataDemande!F63)-7)),""),"")</f>
        <v/>
      </c>
    </row>
    <row r="5" spans="1:7" x14ac:dyDescent="0.3">
      <c r="A5" t="str">
        <f>DataDemande!N64</f>
        <v/>
      </c>
      <c r="B5" t="str">
        <f t="shared" ref="B5:B68" si="0">LEFT(A5,3)</f>
        <v/>
      </c>
      <c r="C5" t="str">
        <f t="shared" ref="C5:C68" si="1">RIGHT(A5,3)</f>
        <v/>
      </c>
      <c r="D5" s="8" t="str">
        <f>IFERROR(IF(FIND("Km",DataDemande!$B64),IF(DataDemande!$B65="",IF(FIND("Pax",DataDemande!C64),VALUE(LEFT(DataDemande!C64,LEN(DataDemande!C64)-4)),))),"")</f>
        <v/>
      </c>
      <c r="E5" s="8" t="str">
        <f>IFERROR(IF(FIND("Km",DataDemande!$B64),IF(DataDemande!$B65="",IF(FIND("Pax",DataDemande!D64),VALUE(LEFT(DataDemande!D64,LEN(DataDemande!D64)-4)),))),"")</f>
        <v/>
      </c>
      <c r="F5" s="8" t="str">
        <f>IFERROR(IF(FIND("Km",DataDemande!$B64),IF(DataDemande!$B65="",IF(FIND("Pax",DataDemande!E64),VALUE(LEFT(DataDemande!E64,LEN(DataDemande!E64)-4)),))),"")</f>
        <v/>
      </c>
      <c r="G5" s="8" t="str">
        <f>IFERROR(IF($D5&lt;&gt;"",VALUE(LEFT(DataDemande!F64,LEN(DataDemande!F64)-7)),""),"")</f>
        <v/>
      </c>
    </row>
    <row r="6" spans="1:7" x14ac:dyDescent="0.3">
      <c r="A6" t="str">
        <f>DataDemande!N65</f>
        <v>DEL/ROB</v>
      </c>
      <c r="B6" t="str">
        <f t="shared" si="0"/>
        <v>DEL</v>
      </c>
      <c r="C6" t="str">
        <f t="shared" si="1"/>
        <v>ROB</v>
      </c>
      <c r="D6" s="8">
        <f>IFERROR(IF(FIND("Km",DataDemande!$B65),IF(DataDemande!$B66="",IF(FIND("Pax",DataDemande!C65),VALUE(LEFT(DataDemande!C65,LEN(DataDemande!C65)-4)),))),"")</f>
        <v>4986</v>
      </c>
      <c r="E6" s="8">
        <f>IFERROR(IF(FIND("Km",DataDemande!$B65),IF(DataDemande!$B66="",IF(FIND("Pax",DataDemande!D65),VALUE(LEFT(DataDemande!D65,LEN(DataDemande!D65)-4)),))),"")</f>
        <v>118</v>
      </c>
      <c r="F6" s="8">
        <f>IFERROR(IF(FIND("Km",DataDemande!$B65),IF(DataDemande!$B66="",IF(FIND("Pax",DataDemande!E65),VALUE(LEFT(DataDemande!E65,LEN(DataDemande!E65)-4)),))),"")</f>
        <v>7</v>
      </c>
      <c r="G6" s="8">
        <f>IFERROR(IF($D6&lt;&gt;"",VALUE(LEFT(DataDemande!F65,LEN(DataDemande!F65)-7)),""),"")</f>
        <v>13</v>
      </c>
    </row>
    <row r="7" spans="1:7" x14ac:dyDescent="0.3">
      <c r="A7" t="str">
        <f>DataDemande!N66</f>
        <v/>
      </c>
      <c r="B7" t="str">
        <f t="shared" si="0"/>
        <v/>
      </c>
      <c r="C7" t="str">
        <f t="shared" si="1"/>
        <v/>
      </c>
      <c r="D7" s="8" t="str">
        <f>IFERROR(IF(FIND("Km",DataDemande!$B66),IF(DataDemande!$B67="",IF(FIND("Pax",DataDemande!C66),VALUE(LEFT(DataDemande!C66,LEN(DataDemande!C66)-4)),))),"")</f>
        <v/>
      </c>
      <c r="E7" s="8" t="str">
        <f>IFERROR(IF(FIND("Km",DataDemande!$B66),IF(DataDemande!$B67="",IF(FIND("Pax",DataDemande!D66),VALUE(LEFT(DataDemande!D66,LEN(DataDemande!D66)-4)),))),"")</f>
        <v/>
      </c>
      <c r="F7" s="8" t="str">
        <f>IFERROR(IF(FIND("Km",DataDemande!$B66),IF(DataDemande!$B67="",IF(FIND("Pax",DataDemande!E66),VALUE(LEFT(DataDemande!E66,LEN(DataDemande!E66)-4)),))),"")</f>
        <v/>
      </c>
      <c r="G7" s="8" t="str">
        <f>IFERROR(IF($D7&lt;&gt;"",VALUE(LEFT(DataDemande!F66,LEN(DataDemande!F66)-7)),""),"")</f>
        <v/>
      </c>
    </row>
    <row r="8" spans="1:7" x14ac:dyDescent="0.3">
      <c r="A8" t="str">
        <f>DataDemande!N67</f>
        <v>DEL/FNA</v>
      </c>
      <c r="B8" t="str">
        <f t="shared" si="0"/>
        <v>DEL</v>
      </c>
      <c r="C8" t="str">
        <f t="shared" si="1"/>
        <v>FNA</v>
      </c>
      <c r="D8" s="8">
        <f>IFERROR(IF(FIND("Km",DataDemande!$B67),IF(DataDemande!$B68="",IF(FIND("Pax",DataDemande!C67),VALUE(LEFT(DataDemande!C67,LEN(DataDemande!C67)-4)),))),"")</f>
        <v>5120</v>
      </c>
      <c r="E8" s="8">
        <f>IFERROR(IF(FIND("Km",DataDemande!$B67),IF(DataDemande!$B68="",IF(FIND("Pax",DataDemande!D67),VALUE(LEFT(DataDemande!D67,LEN(DataDemande!D67)-4)),))),"")</f>
        <v>91</v>
      </c>
      <c r="F8" s="8">
        <f>IFERROR(IF(FIND("Km",DataDemande!$B67),IF(DataDemande!$B68="",IF(FIND("Pax",DataDemande!E67),VALUE(LEFT(DataDemande!E67,LEN(DataDemande!E67)-4)),))),"")</f>
        <v>3</v>
      </c>
      <c r="G8" s="8">
        <f>IFERROR(IF($D8&lt;&gt;"",VALUE(LEFT(DataDemande!F67,LEN(DataDemande!F67)-7)),""),"")</f>
        <v>16</v>
      </c>
    </row>
    <row r="9" spans="1:7" x14ac:dyDescent="0.3">
      <c r="A9" t="str">
        <f>DataDemande!N68</f>
        <v/>
      </c>
      <c r="B9" t="str">
        <f t="shared" si="0"/>
        <v/>
      </c>
      <c r="C9" t="str">
        <f t="shared" si="1"/>
        <v/>
      </c>
      <c r="D9" s="8" t="str">
        <f>IFERROR(IF(FIND("Km",DataDemande!$B68),IF(DataDemande!$B69="",IF(FIND("Pax",DataDemande!C68),VALUE(LEFT(DataDemande!C68,LEN(DataDemande!C68)-4)),))),"")</f>
        <v/>
      </c>
      <c r="E9" s="8" t="str">
        <f>IFERROR(IF(FIND("Km",DataDemande!$B68),IF(DataDemande!$B69="",IF(FIND("Pax",DataDemande!D68),VALUE(LEFT(DataDemande!D68,LEN(DataDemande!D68)-4)),))),"")</f>
        <v/>
      </c>
      <c r="F9" s="8" t="str">
        <f>IFERROR(IF(FIND("Km",DataDemande!$B68),IF(DataDemande!$B69="",IF(FIND("Pax",DataDemande!E68),VALUE(LEFT(DataDemande!E68,LEN(DataDemande!E68)-4)),))),"")</f>
        <v/>
      </c>
      <c r="G9" s="8" t="str">
        <f>IFERROR(IF($D9&lt;&gt;"",VALUE(LEFT(DataDemande!F68,LEN(DataDemande!F68)-7)),""),"")</f>
        <v/>
      </c>
    </row>
    <row r="10" spans="1:7" x14ac:dyDescent="0.3">
      <c r="A10" t="str">
        <f>DataDemande!N69</f>
        <v>FNA/HYD</v>
      </c>
      <c r="B10" t="str">
        <f t="shared" si="0"/>
        <v>FNA</v>
      </c>
      <c r="C10" t="str">
        <f t="shared" si="1"/>
        <v>HYD</v>
      </c>
      <c r="D10" s="8">
        <f>IFERROR(IF(FIND("Km",DataDemande!$B69),IF(DataDemande!$B70="",IF(FIND("Pax",DataDemande!C69),VALUE(LEFT(DataDemande!C69,LEN(DataDemande!C69)-4)),))),"")</f>
        <v>4121</v>
      </c>
      <c r="E10" s="8">
        <f>IFERROR(IF(FIND("Km",DataDemande!$B69),IF(DataDemande!$B70="",IF(FIND("Pax",DataDemande!D69),VALUE(LEFT(DataDemande!D69,LEN(DataDemande!D69)-4)),))),"")</f>
        <v>69</v>
      </c>
      <c r="F10" s="8">
        <f>IFERROR(IF(FIND("Km",DataDemande!$B69),IF(DataDemande!$B70="",IF(FIND("Pax",DataDemande!E69),VALUE(LEFT(DataDemande!E69,LEN(DataDemande!E69)-4)),))),"")</f>
        <v>2</v>
      </c>
      <c r="G10" s="8">
        <f>IFERROR(IF($D10&lt;&gt;"",VALUE(LEFT(DataDemande!F69,LEN(DataDemande!F69)-7)),""),"")</f>
        <v>12</v>
      </c>
    </row>
    <row r="11" spans="1:7" x14ac:dyDescent="0.3">
      <c r="A11" t="str">
        <f>DataDemande!N70</f>
        <v/>
      </c>
      <c r="B11" t="str">
        <f t="shared" si="0"/>
        <v/>
      </c>
      <c r="C11" t="str">
        <f t="shared" si="1"/>
        <v/>
      </c>
      <c r="D11" s="8" t="str">
        <f>IFERROR(IF(FIND("Km",DataDemande!$B70),IF(DataDemande!$B71="",IF(FIND("Pax",DataDemande!C70),VALUE(LEFT(DataDemande!C70,LEN(DataDemande!C70)-4)),))),"")</f>
        <v/>
      </c>
      <c r="E11" s="8" t="str">
        <f>IFERROR(IF(FIND("Km",DataDemande!$B70),IF(DataDemande!$B71="",IF(FIND("Pax",DataDemande!D70),VALUE(LEFT(DataDemande!D70,LEN(DataDemande!D70)-4)),))),"")</f>
        <v/>
      </c>
      <c r="F11" s="8" t="str">
        <f>IFERROR(IF(FIND("Km",DataDemande!$B70),IF(DataDemande!$B71="",IF(FIND("Pax",DataDemande!E70),VALUE(LEFT(DataDemande!E70,LEN(DataDemande!E70)-4)),))),"")</f>
        <v/>
      </c>
      <c r="G11" s="8" t="str">
        <f>IFERROR(IF($D11&lt;&gt;"",VALUE(LEFT(DataDemande!F70,LEN(DataDemande!F70)-7)),""),"")</f>
        <v/>
      </c>
    </row>
    <row r="12" spans="1:7" x14ac:dyDescent="0.3">
      <c r="A12" t="str">
        <f>DataDemande!N71</f>
        <v>LOS/CCU</v>
      </c>
      <c r="B12" t="str">
        <f t="shared" si="0"/>
        <v>LOS</v>
      </c>
      <c r="C12" t="str">
        <f t="shared" si="1"/>
        <v>CCU</v>
      </c>
      <c r="D12" s="8">
        <f>IFERROR(IF(FIND("Km",DataDemande!$B71),IF(DataDemande!$B72="",IF(FIND("Pax",DataDemande!C71),VALUE(LEFT(DataDemande!C71,LEN(DataDemande!C71)-4)),))),"")</f>
        <v>5121</v>
      </c>
      <c r="E12" s="8">
        <f>IFERROR(IF(FIND("Km",DataDemande!$B71),IF(DataDemande!$B72="",IF(FIND("Pax",DataDemande!D71),VALUE(LEFT(DataDemande!D71,LEN(DataDemande!D71)-4)),))),"")</f>
        <v>150</v>
      </c>
      <c r="F12" s="8">
        <f>IFERROR(IF(FIND("Km",DataDemande!$B71),IF(DataDemande!$B72="",IF(FIND("Pax",DataDemande!E71),VALUE(LEFT(DataDemande!E71,LEN(DataDemande!E71)-4)),))),"")</f>
        <v>12</v>
      </c>
      <c r="G12" s="8">
        <f>IFERROR(IF($D12&lt;&gt;"",VALUE(LEFT(DataDemande!F71,LEN(DataDemande!F71)-7)),""),"")</f>
        <v>17</v>
      </c>
    </row>
    <row r="13" spans="1:7" x14ac:dyDescent="0.3">
      <c r="A13" t="str">
        <f>DataDemande!N72</f>
        <v/>
      </c>
      <c r="B13" t="str">
        <f t="shared" si="0"/>
        <v/>
      </c>
      <c r="C13" t="str">
        <f t="shared" si="1"/>
        <v/>
      </c>
      <c r="D13" s="8" t="str">
        <f>IFERROR(IF(FIND("Km",DataDemande!$B72),IF(DataDemande!$B73="",IF(FIND("Pax",DataDemande!C72),VALUE(LEFT(DataDemande!C72,LEN(DataDemande!C72)-4)),))),"")</f>
        <v/>
      </c>
      <c r="E13" s="8" t="str">
        <f>IFERROR(IF(FIND("Km",DataDemande!$B72),IF(DataDemande!$B73="",IF(FIND("Pax",DataDemande!D72),VALUE(LEFT(DataDemande!D72,LEN(DataDemande!D72)-4)),))),"")</f>
        <v/>
      </c>
      <c r="F13" s="8" t="str">
        <f>IFERROR(IF(FIND("Km",DataDemande!$B72),IF(DataDemande!$B73="",IF(FIND("Pax",DataDemande!E72),VALUE(LEFT(DataDemande!E72,LEN(DataDemande!E72)-4)),))),"")</f>
        <v/>
      </c>
      <c r="G13" s="8" t="str">
        <f>IFERROR(IF($D13&lt;&gt;"",VALUE(LEFT(DataDemande!F72,LEN(DataDemande!F72)-7)),""),"")</f>
        <v/>
      </c>
    </row>
    <row r="14" spans="1:7" x14ac:dyDescent="0.3">
      <c r="A14" t="str">
        <f>DataDemande!N73</f>
        <v>WDH/BKK</v>
      </c>
      <c r="B14" t="str">
        <f t="shared" si="0"/>
        <v>WDH</v>
      </c>
      <c r="C14" t="str">
        <f t="shared" si="1"/>
        <v>BKK</v>
      </c>
      <c r="D14" s="8">
        <f>IFERROR(IF(FIND("Km",DataDemande!$B73),IF(DataDemande!$B74="",IF(FIND("Pax",DataDemande!C73),VALUE(LEFT(DataDemande!C73,LEN(DataDemande!C73)-4)),))),"")</f>
        <v>4251</v>
      </c>
      <c r="E14" s="8">
        <f>IFERROR(IF(FIND("Km",DataDemande!$B73),IF(DataDemande!$B74="",IF(FIND("Pax",DataDemande!D73),VALUE(LEFT(DataDemande!D73,LEN(DataDemande!D73)-4)),))),"")</f>
        <v>227</v>
      </c>
      <c r="F14" s="8">
        <f>IFERROR(IF(FIND("Km",DataDemande!$B73),IF(DataDemande!$B74="",IF(FIND("Pax",DataDemande!E73),VALUE(LEFT(DataDemande!E73,LEN(DataDemande!E73)-4)),))),"")</f>
        <v>37</v>
      </c>
      <c r="G14" s="8">
        <f>IFERROR(IF($D14&lt;&gt;"",VALUE(LEFT(DataDemande!F73,LEN(DataDemande!F73)-7)),""),"")</f>
        <v>18</v>
      </c>
    </row>
    <row r="15" spans="1:7" x14ac:dyDescent="0.3">
      <c r="A15" t="str">
        <f>DataDemande!N74</f>
        <v/>
      </c>
      <c r="B15" t="str">
        <f t="shared" si="0"/>
        <v/>
      </c>
      <c r="C15" t="str">
        <f t="shared" si="1"/>
        <v/>
      </c>
      <c r="D15" s="8" t="str">
        <f>IFERROR(IF(FIND("Km",DataDemande!$B74),IF(DataDemande!$B75="",IF(FIND("Pax",DataDemande!C74),VALUE(LEFT(DataDemande!C74,LEN(DataDemande!C74)-4)),))),"")</f>
        <v/>
      </c>
      <c r="E15" s="8" t="str">
        <f>IFERROR(IF(FIND("Km",DataDemande!$B74),IF(DataDemande!$B75="",IF(FIND("Pax",DataDemande!D74),VALUE(LEFT(DataDemande!D74,LEN(DataDemande!D74)-4)),))),"")</f>
        <v/>
      </c>
      <c r="F15" s="8" t="str">
        <f>IFERROR(IF(FIND("Km",DataDemande!$B74),IF(DataDemande!$B75="",IF(FIND("Pax",DataDemande!E74),VALUE(LEFT(DataDemande!E74,LEN(DataDemande!E74)-4)),))),"")</f>
        <v/>
      </c>
      <c r="G15" s="8" t="str">
        <f>IFERROR(IF($D15&lt;&gt;"",VALUE(LEFT(DataDemande!F74,LEN(DataDemande!F74)-7)),""),"")</f>
        <v/>
      </c>
    </row>
    <row r="16" spans="1:7" x14ac:dyDescent="0.3">
      <c r="A16" t="str">
        <f>DataDemande!N75</f>
        <v>WDH/DMK</v>
      </c>
      <c r="B16" t="str">
        <f t="shared" si="0"/>
        <v>WDH</v>
      </c>
      <c r="C16" t="str">
        <f t="shared" si="1"/>
        <v>DMK</v>
      </c>
      <c r="D16" s="8">
        <f>IFERROR(IF(FIND("Km",DataDemande!$B75),IF(DataDemande!$B76="",IF(FIND("Pax",DataDemande!C75),VALUE(LEFT(DataDemande!C75,LEN(DataDemande!C75)-4)),))),"")</f>
        <v>4178</v>
      </c>
      <c r="E16" s="8">
        <f>IFERROR(IF(FIND("Km",DataDemande!$B75),IF(DataDemande!$B76="",IF(FIND("Pax",DataDemande!D75),VALUE(LEFT(DataDemande!D75,LEN(DataDemande!D75)-4)),))),"")</f>
        <v>223</v>
      </c>
      <c r="F16" s="8">
        <f>IFERROR(IF(FIND("Km",DataDemande!$B75),IF(DataDemande!$B76="",IF(FIND("Pax",DataDemande!E75),VALUE(LEFT(DataDemande!E75,LEN(DataDemande!E75)-4)),))),"")</f>
        <v>36</v>
      </c>
      <c r="G16" s="8">
        <f>IFERROR(IF($D16&lt;&gt;"",VALUE(LEFT(DataDemande!F75,LEN(DataDemande!F75)-7)),""),"")</f>
        <v>26</v>
      </c>
    </row>
    <row r="17" spans="1:7" x14ac:dyDescent="0.3">
      <c r="A17" t="str">
        <f>DataDemande!N76</f>
        <v/>
      </c>
      <c r="B17" t="str">
        <f t="shared" si="0"/>
        <v/>
      </c>
      <c r="C17" t="str">
        <f t="shared" si="1"/>
        <v/>
      </c>
      <c r="D17" s="8" t="str">
        <f>IFERROR(IF(FIND("Km",DataDemande!$B76),IF(DataDemande!$B77="",IF(FIND("Pax",DataDemande!C76),VALUE(LEFT(DataDemande!C76,LEN(DataDemande!C76)-4)),))),"")</f>
        <v/>
      </c>
      <c r="E17" s="8" t="str">
        <f>IFERROR(IF(FIND("Km",DataDemande!$B76),IF(DataDemande!$B77="",IF(FIND("Pax",DataDemande!D76),VALUE(LEFT(DataDemande!D76,LEN(DataDemande!D76)-4)),))),"")</f>
        <v/>
      </c>
      <c r="F17" s="8" t="str">
        <f>IFERROR(IF(FIND("Km",DataDemande!$B76),IF(DataDemande!$B77="",IF(FIND("Pax",DataDemande!E76),VALUE(LEFT(DataDemande!E76,LEN(DataDemande!E76)-4)),))),"")</f>
        <v/>
      </c>
      <c r="G17" s="8" t="str">
        <f>IFERROR(IF($D17&lt;&gt;"",VALUE(LEFT(DataDemande!F76,LEN(DataDemande!F76)-7)),""),"")</f>
        <v/>
      </c>
    </row>
    <row r="18" spans="1:7" x14ac:dyDescent="0.3">
      <c r="A18" t="str">
        <f>DataDemande!N77</f>
        <v>BOM/DKR</v>
      </c>
      <c r="B18" t="str">
        <f t="shared" si="0"/>
        <v>BOM</v>
      </c>
      <c r="C18" t="str">
        <f t="shared" si="1"/>
        <v>DKR</v>
      </c>
      <c r="D18" s="8">
        <f>IFERROR(IF(FIND("Km",DataDemande!$B77),IF(DataDemande!$B78="",IF(FIND("Pax",DataDemande!C77),VALUE(LEFT(DataDemande!C77,LEN(DataDemande!C77)-4)),))),"")</f>
        <v>5794</v>
      </c>
      <c r="E18" s="8">
        <f>IFERROR(IF(FIND("Km",DataDemande!$B77),IF(DataDemande!$B78="",IF(FIND("Pax",DataDemande!D77),VALUE(LEFT(DataDemande!D77,LEN(DataDemande!D77)-4)),))),"")</f>
        <v>150</v>
      </c>
      <c r="F18" s="8">
        <f>IFERROR(IF(FIND("Km",DataDemande!$B77),IF(DataDemande!$B78="",IF(FIND("Pax",DataDemande!E77),VALUE(LEFT(DataDemande!E77,LEN(DataDemande!E77)-4)),))),"")</f>
        <v>6</v>
      </c>
      <c r="G18" s="8">
        <f>IFERROR(IF($D18&lt;&gt;"",VALUE(LEFT(DataDemande!F77,LEN(DataDemande!F77)-7)),""),"")</f>
        <v>62</v>
      </c>
    </row>
    <row r="19" spans="1:7" x14ac:dyDescent="0.3">
      <c r="A19" t="str">
        <f>DataDemande!N78</f>
        <v/>
      </c>
      <c r="B19" t="str">
        <f t="shared" si="0"/>
        <v/>
      </c>
      <c r="C19" t="str">
        <f t="shared" si="1"/>
        <v/>
      </c>
      <c r="D19" s="8" t="str">
        <f>IFERROR(IF(FIND("Km",DataDemande!$B78),IF(DataDemande!$B79="",IF(FIND("Pax",DataDemande!C78),VALUE(LEFT(DataDemande!C78,LEN(DataDemande!C78)-4)),))),"")</f>
        <v/>
      </c>
      <c r="E19" s="8" t="str">
        <f>IFERROR(IF(FIND("Km",DataDemande!$B78),IF(DataDemande!$B79="",IF(FIND("Pax",DataDemande!D78),VALUE(LEFT(DataDemande!D78,LEN(DataDemande!D78)-4)),))),"")</f>
        <v/>
      </c>
      <c r="F19" s="8" t="str">
        <f>IFERROR(IF(FIND("Km",DataDemande!$B78),IF(DataDemande!$B79="",IF(FIND("Pax",DataDemande!E78),VALUE(LEFT(DataDemande!E78,LEN(DataDemande!E78)-4)),))),"")</f>
        <v/>
      </c>
      <c r="G19" s="8" t="str">
        <f>IFERROR(IF($D19&lt;&gt;"",VALUE(LEFT(DataDemande!F78,LEN(DataDemande!F78)-7)),""),"")</f>
        <v/>
      </c>
    </row>
    <row r="20" spans="1:7" x14ac:dyDescent="0.3">
      <c r="A20" t="str">
        <f>DataDemande!N79</f>
        <v>FNA/BLR</v>
      </c>
      <c r="B20" t="str">
        <f t="shared" si="0"/>
        <v>FNA</v>
      </c>
      <c r="C20" t="str">
        <f t="shared" si="1"/>
        <v>BLR</v>
      </c>
      <c r="D20" s="8">
        <f>IFERROR(IF(FIND("Km",DataDemande!$B79),IF(DataDemande!$B80="",IF(FIND("Pax",DataDemande!C79),VALUE(LEFT(DataDemande!C79,LEN(DataDemande!C79)-4)),))),"")</f>
        <v>4462</v>
      </c>
      <c r="E20" s="8">
        <f>IFERROR(IF(FIND("Km",DataDemande!$B79),IF(DataDemande!$B80="",IF(FIND("Pax",DataDemande!D79),VALUE(LEFT(DataDemande!D79,LEN(DataDemande!D79)-4)),))),"")</f>
        <v>75</v>
      </c>
      <c r="F20" s="8">
        <f>IFERROR(IF(FIND("Km",DataDemande!$B79),IF(DataDemande!$B80="",IF(FIND("Pax",DataDemande!E79),VALUE(LEFT(DataDemande!E79,LEN(DataDemande!E79)-4)),))),"")</f>
        <v>2</v>
      </c>
      <c r="G20" s="8">
        <f>IFERROR(IF($D20&lt;&gt;"",VALUE(LEFT(DataDemande!F79,LEN(DataDemande!F79)-7)),""),"")</f>
        <v>12</v>
      </c>
    </row>
    <row r="21" spans="1:7" x14ac:dyDescent="0.3">
      <c r="A21" t="str">
        <f>DataDemande!N80</f>
        <v/>
      </c>
      <c r="B21" t="str">
        <f t="shared" si="0"/>
        <v/>
      </c>
      <c r="C21" t="str">
        <f t="shared" si="1"/>
        <v/>
      </c>
      <c r="D21" s="8" t="str">
        <f>IFERROR(IF(FIND("Km",DataDemande!$B80),IF(DataDemande!$B81="",IF(FIND("Pax",DataDemande!C80),VALUE(LEFT(DataDemande!C80,LEN(DataDemande!C80)-4)),))),"")</f>
        <v/>
      </c>
      <c r="E21" s="8" t="str">
        <f>IFERROR(IF(FIND("Km",DataDemande!$B80),IF(DataDemande!$B81="",IF(FIND("Pax",DataDemande!D80),VALUE(LEFT(DataDemande!D80,LEN(DataDemande!D80)-4)),))),"")</f>
        <v/>
      </c>
      <c r="F21" s="8" t="str">
        <f>IFERROR(IF(FIND("Km",DataDemande!$B80),IF(DataDemande!$B81="",IF(FIND("Pax",DataDemande!E80),VALUE(LEFT(DataDemande!E80,LEN(DataDemande!E80)-4)),))),"")</f>
        <v/>
      </c>
      <c r="G21" s="8" t="str">
        <f>IFERROR(IF($D21&lt;&gt;"",VALUE(LEFT(DataDemande!F80,LEN(DataDemande!F80)-7)),""),"")</f>
        <v/>
      </c>
    </row>
    <row r="22" spans="1:7" x14ac:dyDescent="0.3">
      <c r="A22" t="str">
        <f>DataDemande!N81</f>
        <v>BOM/OXB</v>
      </c>
      <c r="B22" t="str">
        <f t="shared" si="0"/>
        <v>BOM</v>
      </c>
      <c r="C22" t="str">
        <f t="shared" si="1"/>
        <v>OXB</v>
      </c>
      <c r="D22" s="8">
        <f>IFERROR(IF(FIND("Km",DataDemande!$B81),IF(DataDemande!$B82="",IF(FIND("Pax",DataDemande!C81),VALUE(LEFT(DataDemande!C81,LEN(DataDemande!C81)-4)),))),"")</f>
        <v>4528</v>
      </c>
      <c r="E22" s="8">
        <f>IFERROR(IF(FIND("Km",DataDemande!$B81),IF(DataDemande!$B82="",IF(FIND("Pax",DataDemande!D81),VALUE(LEFT(DataDemande!D81,LEN(DataDemande!D81)-4)),))),"")</f>
        <v>102</v>
      </c>
      <c r="F22" s="8">
        <f>IFERROR(IF(FIND("Km",DataDemande!$B81),IF(DataDemande!$B82="",IF(FIND("Pax",DataDemande!E81),VALUE(LEFT(DataDemande!E81,LEN(DataDemande!E81)-4)),))),"")</f>
        <v>6</v>
      </c>
      <c r="G22" s="8">
        <f>IFERROR(IF($D22&lt;&gt;"",VALUE(LEFT(DataDemande!F81,LEN(DataDemande!F81)-7)),""),"")</f>
        <v>44</v>
      </c>
    </row>
    <row r="23" spans="1:7" x14ac:dyDescent="0.3">
      <c r="A23" t="str">
        <f>DataDemande!N82</f>
        <v/>
      </c>
      <c r="B23" t="str">
        <f t="shared" si="0"/>
        <v/>
      </c>
      <c r="C23" t="str">
        <f t="shared" si="1"/>
        <v/>
      </c>
      <c r="D23" s="8" t="str">
        <f>IFERROR(IF(FIND("Km",DataDemande!$B82),IF(DataDemande!$B83="",IF(FIND("Pax",DataDemande!C82),VALUE(LEFT(DataDemande!C82,LEN(DataDemande!C82)-4)),))),"")</f>
        <v/>
      </c>
      <c r="E23" s="8" t="str">
        <f>IFERROR(IF(FIND("Km",DataDemande!$B82),IF(DataDemande!$B83="",IF(FIND("Pax",DataDemande!D82),VALUE(LEFT(DataDemande!D82,LEN(DataDemande!D82)-4)),))),"")</f>
        <v/>
      </c>
      <c r="F23" s="8" t="str">
        <f>IFERROR(IF(FIND("Km",DataDemande!$B82),IF(DataDemande!$B83="",IF(FIND("Pax",DataDemande!E82),VALUE(LEFT(DataDemande!E82,LEN(DataDemande!E82)-4)),))),"")</f>
        <v/>
      </c>
      <c r="G23" s="8" t="str">
        <f>IFERROR(IF($D23&lt;&gt;"",VALUE(LEFT(DataDemande!F82,LEN(DataDemande!F82)-7)),""),"")</f>
        <v/>
      </c>
    </row>
    <row r="24" spans="1:7" x14ac:dyDescent="0.3">
      <c r="A24" t="str">
        <f>DataDemande!N83</f>
        <v>BOM/ROB</v>
      </c>
      <c r="B24" t="str">
        <f t="shared" si="0"/>
        <v>BOM</v>
      </c>
      <c r="C24" t="str">
        <f t="shared" si="1"/>
        <v>ROB</v>
      </c>
      <c r="D24" s="8">
        <f>IFERROR(IF(FIND("Km",DataDemande!$B83),IF(DataDemande!$B84="",IF(FIND("Pax",DataDemande!C83),VALUE(LEFT(DataDemande!C83,LEN(DataDemande!C83)-4)),))),"")</f>
        <v>4957</v>
      </c>
      <c r="E24" s="8">
        <f>IFERROR(IF(FIND("Km",DataDemande!$B83),IF(DataDemande!$B84="",IF(FIND("Pax",DataDemande!D83),VALUE(LEFT(DataDemande!D83,LEN(DataDemande!D83)-4)),))),"")</f>
        <v>117</v>
      </c>
      <c r="F24" s="8">
        <f>IFERROR(IF(FIND("Km",DataDemande!$B83),IF(DataDemande!$B84="",IF(FIND("Pax",DataDemande!E83),VALUE(LEFT(DataDemande!E83,LEN(DataDemande!E83)-4)),))),"")</f>
        <v>7</v>
      </c>
      <c r="G24" s="8">
        <f>IFERROR(IF($D24&lt;&gt;"",VALUE(LEFT(DataDemande!F83,LEN(DataDemande!F83)-7)),""),"")</f>
        <v>16</v>
      </c>
    </row>
    <row r="25" spans="1:7" x14ac:dyDescent="0.3">
      <c r="A25" t="str">
        <f>DataDemande!N84</f>
        <v/>
      </c>
      <c r="B25" t="str">
        <f t="shared" si="0"/>
        <v/>
      </c>
      <c r="C25" t="str">
        <f t="shared" si="1"/>
        <v/>
      </c>
      <c r="D25" s="8" t="str">
        <f>IFERROR(IF(FIND("Km",DataDemande!$B84),IF(DataDemande!$B85="",IF(FIND("Pax",DataDemande!C84),VALUE(LEFT(DataDemande!C84,LEN(DataDemande!C84)-4)),))),"")</f>
        <v/>
      </c>
      <c r="E25" s="8" t="str">
        <f>IFERROR(IF(FIND("Km",DataDemande!$B84),IF(DataDemande!$B85="",IF(FIND("Pax",DataDemande!D84),VALUE(LEFT(DataDemande!D84,LEN(DataDemande!D84)-4)),))),"")</f>
        <v/>
      </c>
      <c r="F25" s="8" t="str">
        <f>IFERROR(IF(FIND("Km",DataDemande!$B84),IF(DataDemande!$B85="",IF(FIND("Pax",DataDemande!E84),VALUE(LEFT(DataDemande!E84,LEN(DataDemande!E84)-4)),))),"")</f>
        <v/>
      </c>
      <c r="G25" s="8" t="str">
        <f>IFERROR(IF($D25&lt;&gt;"",VALUE(LEFT(DataDemande!F84,LEN(DataDemande!F84)-7)),""),"")</f>
        <v/>
      </c>
    </row>
    <row r="26" spans="1:7" x14ac:dyDescent="0.3">
      <c r="A26" t="str">
        <f>DataDemande!N85</f>
        <v>BOM/NKC</v>
      </c>
      <c r="B26" t="str">
        <f t="shared" si="0"/>
        <v>BOM</v>
      </c>
      <c r="C26" t="str">
        <f t="shared" si="1"/>
        <v>NKC</v>
      </c>
      <c r="D26" s="8">
        <f>IFERROR(IF(FIND("Km",DataDemande!$B85),IF(DataDemande!$B86="",IF(FIND("Pax",DataDemande!C85),VALUE(LEFT(DataDemande!C85,LEN(DataDemande!C85)-4)),))),"")</f>
        <v>5117</v>
      </c>
      <c r="E26" s="8">
        <f>IFERROR(IF(FIND("Km",DataDemande!$B85),IF(DataDemande!$B86="",IF(FIND("Pax",DataDemande!D85),VALUE(LEFT(DataDemande!D85,LEN(DataDemande!D85)-4)),))),"")</f>
        <v>162</v>
      </c>
      <c r="F26" s="8">
        <f>IFERROR(IF(FIND("Km",DataDemande!$B85),IF(DataDemande!$B86="",IF(FIND("Pax",DataDemande!E85),VALUE(LEFT(DataDemande!E85,LEN(DataDemande!E85)-4)),))),"")</f>
        <v>12</v>
      </c>
      <c r="G26" s="8">
        <f>IFERROR(IF($D26&lt;&gt;"",VALUE(LEFT(DataDemande!F85,LEN(DataDemande!F85)-7)),""),"")</f>
        <v>11</v>
      </c>
    </row>
    <row r="27" spans="1:7" x14ac:dyDescent="0.3">
      <c r="A27" t="str">
        <f>DataDemande!N86</f>
        <v/>
      </c>
      <c r="B27" t="str">
        <f t="shared" si="0"/>
        <v/>
      </c>
      <c r="C27" t="str">
        <f t="shared" si="1"/>
        <v/>
      </c>
      <c r="D27" s="8" t="str">
        <f>IFERROR(IF(FIND("Km",DataDemande!$B86),IF(DataDemande!$B87="",IF(FIND("Pax",DataDemande!C86),VALUE(LEFT(DataDemande!C86,LEN(DataDemande!C86)-4)),))),"")</f>
        <v/>
      </c>
      <c r="E27" s="8" t="str">
        <f>IFERROR(IF(FIND("Km",DataDemande!$B86),IF(DataDemande!$B87="",IF(FIND("Pax",DataDemande!D86),VALUE(LEFT(DataDemande!D86,LEN(DataDemande!D86)-4)),))),"")</f>
        <v/>
      </c>
      <c r="F27" s="8" t="str">
        <f>IFERROR(IF(FIND("Km",DataDemande!$B86),IF(DataDemande!$B87="",IF(FIND("Pax",DataDemande!E86),VALUE(LEFT(DataDemande!E86,LEN(DataDemande!E86)-4)),))),"")</f>
        <v/>
      </c>
      <c r="G27" s="8" t="str">
        <f>IFERROR(IF($D27&lt;&gt;"",VALUE(LEFT(DataDemande!F86,LEN(DataDemande!F86)-7)),""),"")</f>
        <v/>
      </c>
    </row>
    <row r="28" spans="1:7" x14ac:dyDescent="0.3">
      <c r="A28" t="str">
        <f>DataDemande!N87</f>
        <v>BOG/LOS</v>
      </c>
      <c r="B28" t="str">
        <f t="shared" si="0"/>
        <v>BOG</v>
      </c>
      <c r="C28" t="str">
        <f t="shared" si="1"/>
        <v>LOS</v>
      </c>
      <c r="D28" s="8">
        <f>IFERROR(IF(FIND("Km",DataDemande!$B87),IF(DataDemande!$B88="",IF(FIND("Pax",DataDemande!C87),VALUE(LEFT(DataDemande!C87,LEN(DataDemande!C87)-4)),))),"")</f>
        <v>4593</v>
      </c>
      <c r="E28" s="8">
        <f>IFERROR(IF(FIND("Km",DataDemande!$B87),IF(DataDemande!$B88="",IF(FIND("Pax",DataDemande!D87),VALUE(LEFT(DataDemande!D87,LEN(DataDemande!D87)-4)),))),"")</f>
        <v>226</v>
      </c>
      <c r="F28" s="8">
        <f>IFERROR(IF(FIND("Km",DataDemande!$B87),IF(DataDemande!$B88="",IF(FIND("Pax",DataDemande!E87),VALUE(LEFT(DataDemande!E87,LEN(DataDemande!E87)-4)),))),"")</f>
        <v>28</v>
      </c>
      <c r="G28" s="8">
        <f>IFERROR(IF($D28&lt;&gt;"",VALUE(LEFT(DataDemande!F87,LEN(DataDemande!F87)-7)),""),"")</f>
        <v>14</v>
      </c>
    </row>
    <row r="29" spans="1:7" x14ac:dyDescent="0.3">
      <c r="A29" t="str">
        <f>DataDemande!N88</f>
        <v/>
      </c>
      <c r="B29" t="str">
        <f t="shared" si="0"/>
        <v/>
      </c>
      <c r="C29" t="str">
        <f t="shared" si="1"/>
        <v/>
      </c>
      <c r="D29" s="8" t="str">
        <f>IFERROR(IF(FIND("Km",DataDemande!$B88),IF(DataDemande!$B89="",IF(FIND("Pax",DataDemande!C88),VALUE(LEFT(DataDemande!C88,LEN(DataDemande!C88)-4)),))),"")</f>
        <v/>
      </c>
      <c r="E29" s="8" t="str">
        <f>IFERROR(IF(FIND("Km",DataDemande!$B88),IF(DataDemande!$B89="",IF(FIND("Pax",DataDemande!D88),VALUE(LEFT(DataDemande!D88,LEN(DataDemande!D88)-4)),))),"")</f>
        <v/>
      </c>
      <c r="F29" s="8" t="str">
        <f>IFERROR(IF(FIND("Km",DataDemande!$B88),IF(DataDemande!$B89="",IF(FIND("Pax",DataDemande!E88),VALUE(LEFT(DataDemande!E88,LEN(DataDemande!E88)-4)),))),"")</f>
        <v/>
      </c>
      <c r="G29" s="8" t="str">
        <f>IFERROR(IF($D29&lt;&gt;"",VALUE(LEFT(DataDemande!F88,LEN(DataDemande!F88)-7)),""),"")</f>
        <v/>
      </c>
    </row>
    <row r="30" spans="1:7" x14ac:dyDescent="0.3">
      <c r="A30" t="str">
        <f>DataDemande!N89</f>
        <v>BOG/ABV</v>
      </c>
      <c r="B30" t="str">
        <f t="shared" si="0"/>
        <v>BOG</v>
      </c>
      <c r="C30" t="str">
        <f t="shared" si="1"/>
        <v>ABV</v>
      </c>
      <c r="D30" s="8">
        <f>IFERROR(IF(FIND("Km",DataDemande!$B89),IF(DataDemande!$B90="",IF(FIND("Pax",DataDemande!C89),VALUE(LEFT(DataDemande!C89,LEN(DataDemande!C89)-4)),))),"")</f>
        <v>4386</v>
      </c>
      <c r="E30" s="8">
        <f>IFERROR(IF(FIND("Km",DataDemande!$B89),IF(DataDemande!$B90="",IF(FIND("Pax",DataDemande!D89),VALUE(LEFT(DataDemande!D89,LEN(DataDemande!D89)-4)),))),"")</f>
        <v>216</v>
      </c>
      <c r="F30" s="8">
        <f>IFERROR(IF(FIND("Km",DataDemande!$B89),IF(DataDemande!$B90="",IF(FIND("Pax",DataDemande!E89),VALUE(LEFT(DataDemande!E89,LEN(DataDemande!E89)-4)),))),"")</f>
        <v>28</v>
      </c>
      <c r="G30" s="8">
        <f>IFERROR(IF($D30&lt;&gt;"",VALUE(LEFT(DataDemande!F89,LEN(DataDemande!F89)-7)),""),"")</f>
        <v>14</v>
      </c>
    </row>
    <row r="31" spans="1:7" x14ac:dyDescent="0.3">
      <c r="A31" t="str">
        <f>DataDemande!N90</f>
        <v/>
      </c>
      <c r="B31" t="str">
        <f t="shared" si="0"/>
        <v/>
      </c>
      <c r="C31" t="str">
        <f t="shared" si="1"/>
        <v/>
      </c>
      <c r="D31" s="8" t="str">
        <f>IFERROR(IF(FIND("Km",DataDemande!$B90),IF(DataDemande!$B91="",IF(FIND("Pax",DataDemande!C90),VALUE(LEFT(DataDemande!C90,LEN(DataDemande!C90)-4)),))),"")</f>
        <v/>
      </c>
      <c r="E31" s="8" t="str">
        <f>IFERROR(IF(FIND("Km",DataDemande!$B90),IF(DataDemande!$B91="",IF(FIND("Pax",DataDemande!D90),VALUE(LEFT(DataDemande!D90,LEN(DataDemande!D90)-4)),))),"")</f>
        <v/>
      </c>
      <c r="F31" s="8" t="str">
        <f>IFERROR(IF(FIND("Km",DataDemande!$B90),IF(DataDemande!$B91="",IF(FIND("Pax",DataDemande!E90),VALUE(LEFT(DataDemande!E90,LEN(DataDemande!E90)-4)),))),"")</f>
        <v/>
      </c>
      <c r="G31" s="8" t="str">
        <f>IFERROR(IF($D31&lt;&gt;"",VALUE(LEFT(DataDemande!F90,LEN(DataDemande!F90)-7)),""),"")</f>
        <v/>
      </c>
    </row>
    <row r="32" spans="1:7" x14ac:dyDescent="0.3">
      <c r="A32" t="str">
        <f>DataDemande!N91</f>
        <v>DEL/NKC</v>
      </c>
      <c r="B32" t="str">
        <f t="shared" si="0"/>
        <v>DEL</v>
      </c>
      <c r="C32" t="str">
        <f t="shared" si="1"/>
        <v>NKC</v>
      </c>
      <c r="D32" s="8">
        <f>IFERROR(IF(FIND("Km",DataDemande!$B91),IF(DataDemande!$B92="",IF(FIND("Pax",DataDemande!C91),VALUE(LEFT(DataDemande!C91,LEN(DataDemande!C91)-4)),))),"")</f>
        <v>5121</v>
      </c>
      <c r="E32" s="8">
        <f>IFERROR(IF(FIND("Km",DataDemande!$B91),IF(DataDemande!$B92="",IF(FIND("Pax",DataDemande!D91),VALUE(LEFT(DataDemande!D91,LEN(DataDemande!D91)-4)),))),"")</f>
        <v>162</v>
      </c>
      <c r="F32" s="8">
        <f>IFERROR(IF(FIND("Km",DataDemande!$B91),IF(DataDemande!$B92="",IF(FIND("Pax",DataDemande!E91),VALUE(LEFT(DataDemande!E91,LEN(DataDemande!E91)-4)),))),"")</f>
        <v>12</v>
      </c>
      <c r="G32" s="8">
        <f>IFERROR(IF($D32&lt;&gt;"",VALUE(LEFT(DataDemande!F91,LEN(DataDemande!F91)-7)),""),"")</f>
        <v>14</v>
      </c>
    </row>
    <row r="33" spans="1:7" x14ac:dyDescent="0.3">
      <c r="A33" t="str">
        <f>DataDemande!N92</f>
        <v/>
      </c>
      <c r="B33" t="str">
        <f t="shared" si="0"/>
        <v/>
      </c>
      <c r="C33" t="str">
        <f t="shared" si="1"/>
        <v/>
      </c>
      <c r="D33" s="8" t="str">
        <f>IFERROR(IF(FIND("Km",DataDemande!$B92),IF(DataDemande!$B93="",IF(FIND("Pax",DataDemande!C92),VALUE(LEFT(DataDemande!C92,LEN(DataDemande!C92)-4)),))),"")</f>
        <v/>
      </c>
      <c r="E33" s="8" t="str">
        <f>IFERROR(IF(FIND("Km",DataDemande!$B92),IF(DataDemande!$B93="",IF(FIND("Pax",DataDemande!D92),VALUE(LEFT(DataDemande!D92,LEN(DataDemande!D92)-4)),))),"")</f>
        <v/>
      </c>
      <c r="F33" s="8" t="str">
        <f>IFERROR(IF(FIND("Km",DataDemande!$B92),IF(DataDemande!$B93="",IF(FIND("Pax",DataDemande!E92),VALUE(LEFT(DataDemande!E92,LEN(DataDemande!E92)-4)),))),"")</f>
        <v/>
      </c>
      <c r="G33" s="8" t="str">
        <f>IFERROR(IF($D33&lt;&gt;"",VALUE(LEFT(DataDemande!F92,LEN(DataDemande!F92)-7)),""),"")</f>
        <v/>
      </c>
    </row>
    <row r="34" spans="1:7" x14ac:dyDescent="0.3">
      <c r="A34" t="str">
        <f>DataDemande!N93</f>
        <v>DEL/CPT</v>
      </c>
      <c r="B34" t="str">
        <f t="shared" si="0"/>
        <v>DEL</v>
      </c>
      <c r="C34" t="str">
        <f t="shared" si="1"/>
        <v>CPT</v>
      </c>
      <c r="D34" s="8">
        <f>IFERROR(IF(FIND("Km",DataDemande!$B93),IF(DataDemande!$B94="",IF(FIND("Pax",DataDemande!C93),VALUE(LEFT(DataDemande!C93,LEN(DataDemande!C93)-4)),))),"")</f>
        <v>5118</v>
      </c>
      <c r="E34" s="8">
        <f>IFERROR(IF(FIND("Km",DataDemande!$B93),IF(DataDemande!$B94="",IF(FIND("Pax",DataDemande!D93),VALUE(LEFT(DataDemande!D93,LEN(DataDemande!D93)-4)),))),"")</f>
        <v>247</v>
      </c>
      <c r="F34" s="8">
        <f>IFERROR(IF(FIND("Km",DataDemande!$B93),IF(DataDemande!$B94="",IF(FIND("Pax",DataDemande!E93),VALUE(LEFT(DataDemande!E93,LEN(DataDemande!E93)-4)),))),"")</f>
        <v>36</v>
      </c>
      <c r="G34" s="8">
        <f>IFERROR(IF($D34&lt;&gt;"",VALUE(LEFT(DataDemande!F93,LEN(DataDemande!F93)-7)),""),"")</f>
        <v>14</v>
      </c>
    </row>
    <row r="35" spans="1:7" x14ac:dyDescent="0.3">
      <c r="A35" t="str">
        <f>DataDemande!N94</f>
        <v/>
      </c>
      <c r="B35" t="str">
        <f t="shared" si="0"/>
        <v/>
      </c>
      <c r="C35" t="str">
        <f t="shared" si="1"/>
        <v/>
      </c>
      <c r="D35" s="8" t="str">
        <f>IFERROR(IF(FIND("Km",DataDemande!$B94),IF(DataDemande!$B95="",IF(FIND("Pax",DataDemande!C94),VALUE(LEFT(DataDemande!C94,LEN(DataDemande!C94)-4)),))),"")</f>
        <v/>
      </c>
      <c r="E35" s="8" t="str">
        <f>IFERROR(IF(FIND("Km",DataDemande!$B94),IF(DataDemande!$B95="",IF(FIND("Pax",DataDemande!D94),VALUE(LEFT(DataDemande!D94,LEN(DataDemande!D94)-4)),))),"")</f>
        <v/>
      </c>
      <c r="F35" s="8" t="str">
        <f>IFERROR(IF(FIND("Km",DataDemande!$B94),IF(DataDemande!$B95="",IF(FIND("Pax",DataDemande!E94),VALUE(LEFT(DataDemande!E94,LEN(DataDemande!E94)-4)),))),"")</f>
        <v/>
      </c>
      <c r="G35" s="8" t="str">
        <f>IFERROR(IF($D35&lt;&gt;"",VALUE(LEFT(DataDemande!F94,LEN(DataDemande!F94)-7)),""),"")</f>
        <v/>
      </c>
    </row>
    <row r="36" spans="1:7" x14ac:dyDescent="0.3">
      <c r="A36" t="str">
        <f>DataDemande!N95</f>
        <v>DEL/CKY</v>
      </c>
      <c r="B36" t="str">
        <f t="shared" si="0"/>
        <v>DEL</v>
      </c>
      <c r="C36" t="str">
        <f t="shared" si="1"/>
        <v>CKY</v>
      </c>
      <c r="D36" s="8">
        <f>IFERROR(IF(FIND("Km",DataDemande!$B95),IF(DataDemande!$B96="",IF(FIND("Pax",DataDemande!C95),VALUE(LEFT(DataDemande!C95,LEN(DataDemande!C95)-4)),))),"")</f>
        <v>5122</v>
      </c>
      <c r="E36" s="8">
        <f>IFERROR(IF(FIND("Km",DataDemande!$B95),IF(DataDemande!$B96="",IF(FIND("Pax",DataDemande!D95),VALUE(LEFT(DataDemande!D95,LEN(DataDemande!D95)-4)),))),"")</f>
        <v>114</v>
      </c>
      <c r="F36" s="8">
        <f>IFERROR(IF(FIND("Km",DataDemande!$B95),IF(DataDemande!$B96="",IF(FIND("Pax",DataDemande!E95),VALUE(LEFT(DataDemande!E95,LEN(DataDemande!E95)-4)),))),"")</f>
        <v>6</v>
      </c>
      <c r="G36" s="8">
        <f>IFERROR(IF($D36&lt;&gt;"",VALUE(LEFT(DataDemande!F95,LEN(DataDemande!F95)-7)),""),"")</f>
        <v>17</v>
      </c>
    </row>
    <row r="37" spans="1:7" x14ac:dyDescent="0.3">
      <c r="A37" t="str">
        <f>DataDemande!N96</f>
        <v/>
      </c>
      <c r="B37" t="str">
        <f t="shared" si="0"/>
        <v/>
      </c>
      <c r="C37" t="str">
        <f t="shared" si="1"/>
        <v/>
      </c>
      <c r="D37" s="8" t="str">
        <f>IFERROR(IF(FIND("Km",DataDemande!$B96),IF(DataDemande!$B97="",IF(FIND("Pax",DataDemande!C96),VALUE(LEFT(DataDemande!C96,LEN(DataDemande!C96)-4)),))),"")</f>
        <v/>
      </c>
      <c r="E37" s="8" t="str">
        <f>IFERROR(IF(FIND("Km",DataDemande!$B96),IF(DataDemande!$B97="",IF(FIND("Pax",DataDemande!D96),VALUE(LEFT(DataDemande!D96,LEN(DataDemande!D96)-4)),))),"")</f>
        <v/>
      </c>
      <c r="F37" s="8" t="str">
        <f>IFERROR(IF(FIND("Km",DataDemande!$B96),IF(DataDemande!$B97="",IF(FIND("Pax",DataDemande!E96),VALUE(LEFT(DataDemande!E96,LEN(DataDemande!E96)-4)),))),"")</f>
        <v/>
      </c>
      <c r="G37" s="8" t="str">
        <f>IFERROR(IF($D37&lt;&gt;"",VALUE(LEFT(DataDemande!F96,LEN(DataDemande!F96)-7)),""),"")</f>
        <v/>
      </c>
    </row>
    <row r="38" spans="1:7" x14ac:dyDescent="0.3">
      <c r="A38" t="str">
        <f>DataDemande!N97</f>
        <v>DEL/DKR</v>
      </c>
      <c r="B38" t="str">
        <f t="shared" si="0"/>
        <v>DEL</v>
      </c>
      <c r="C38" t="str">
        <f t="shared" si="1"/>
        <v>DKR</v>
      </c>
      <c r="D38" s="8">
        <f>IFERROR(IF(FIND("Km",DataDemande!$B97),IF(DataDemande!$B98="",IF(FIND("Pax",DataDemande!C97),VALUE(LEFT(DataDemande!C97,LEN(DataDemande!C97)-4)),))),"")</f>
        <v>5118</v>
      </c>
      <c r="E38" s="8">
        <f>IFERROR(IF(FIND("Km",DataDemande!$B97),IF(DataDemande!$B98="",IF(FIND("Pax",DataDemande!D97),VALUE(LEFT(DataDemande!D97,LEN(DataDemande!D97)-4)),))),"")</f>
        <v>143</v>
      </c>
      <c r="F38" s="8">
        <f>IFERROR(IF(FIND("Km",DataDemande!$B97),IF(DataDemande!$B98="",IF(FIND("Pax",DataDemande!E97),VALUE(LEFT(DataDemande!E97,LEN(DataDemande!E97)-4)),))),"")</f>
        <v>9</v>
      </c>
      <c r="G38" s="8">
        <f>IFERROR(IF($D38&lt;&gt;"",VALUE(LEFT(DataDemande!F97,LEN(DataDemande!F97)-7)),""),"")</f>
        <v>18</v>
      </c>
    </row>
    <row r="39" spans="1:7" x14ac:dyDescent="0.3">
      <c r="A39" t="str">
        <f>DataDemande!N98</f>
        <v/>
      </c>
      <c r="B39" t="str">
        <f t="shared" si="0"/>
        <v/>
      </c>
      <c r="C39" t="str">
        <f t="shared" si="1"/>
        <v/>
      </c>
      <c r="D39" s="8" t="str">
        <f>IFERROR(IF(FIND("Km",DataDemande!$B98),IF(DataDemande!$B99="",IF(FIND("Pax",DataDemande!C98),VALUE(LEFT(DataDemande!C98,LEN(DataDemande!C98)-4)),))),"")</f>
        <v/>
      </c>
      <c r="E39" s="8" t="str">
        <f>IFERROR(IF(FIND("Km",DataDemande!$B98),IF(DataDemande!$B99="",IF(FIND("Pax",DataDemande!D98),VALUE(LEFT(DataDemande!D98,LEN(DataDemande!D98)-4)),))),"")</f>
        <v/>
      </c>
      <c r="F39" s="8" t="str">
        <f>IFERROR(IF(FIND("Km",DataDemande!$B98),IF(DataDemande!$B99="",IF(FIND("Pax",DataDemande!E98),VALUE(LEFT(DataDemande!E98,LEN(DataDemande!E98)-4)),))),"")</f>
        <v/>
      </c>
      <c r="G39" s="8" t="str">
        <f>IFERROR(IF($D39&lt;&gt;"",VALUE(LEFT(DataDemande!F98,LEN(DataDemande!F98)-7)),""),"")</f>
        <v/>
      </c>
    </row>
    <row r="40" spans="1:7" x14ac:dyDescent="0.3">
      <c r="A40" t="str">
        <f>DataDemande!N99</f>
        <v>DEL/BJL</v>
      </c>
      <c r="B40" t="str">
        <f t="shared" si="0"/>
        <v>DEL</v>
      </c>
      <c r="C40" t="str">
        <f t="shared" si="1"/>
        <v>BJL</v>
      </c>
      <c r="D40" s="8">
        <f>IFERROR(IF(FIND("Km",DataDemande!$B99),IF(DataDemande!$B100="",IF(FIND("Pax",DataDemande!C99),VALUE(LEFT(DataDemande!C99,LEN(DataDemande!C99)-4)),))),"")</f>
        <v>5118</v>
      </c>
      <c r="E40" s="8">
        <f>IFERROR(IF(FIND("Km",DataDemande!$B99),IF(DataDemande!$B100="",IF(FIND("Pax",DataDemande!D99),VALUE(LEFT(DataDemande!D99,LEN(DataDemande!D99)-4)),))),"")</f>
        <v>116</v>
      </c>
      <c r="F40" s="8">
        <f>IFERROR(IF(FIND("Km",DataDemande!$B99),IF(DataDemande!$B100="",IF(FIND("Pax",DataDemande!E99),VALUE(LEFT(DataDemande!E99,LEN(DataDemande!E99)-4)),))),"")</f>
        <v>7</v>
      </c>
      <c r="G40" s="8">
        <f>IFERROR(IF($D40&lt;&gt;"",VALUE(LEFT(DataDemande!F99,LEN(DataDemande!F99)-7)),""),"")</f>
        <v>32</v>
      </c>
    </row>
    <row r="41" spans="1:7" x14ac:dyDescent="0.3">
      <c r="A41" t="str">
        <f>DataDemande!N100</f>
        <v/>
      </c>
      <c r="B41" t="str">
        <f t="shared" si="0"/>
        <v/>
      </c>
      <c r="C41" t="str">
        <f t="shared" si="1"/>
        <v/>
      </c>
      <c r="D41" s="8" t="str">
        <f>IFERROR(IF(FIND("Km",DataDemande!$B100),IF(DataDemande!$B101="",IF(FIND("Pax",DataDemande!C100),VALUE(LEFT(DataDemande!C100,LEN(DataDemande!C100)-4)),))),"")</f>
        <v/>
      </c>
      <c r="E41" s="8" t="str">
        <f>IFERROR(IF(FIND("Km",DataDemande!$B100),IF(DataDemande!$B101="",IF(FIND("Pax",DataDemande!D100),VALUE(LEFT(DataDemande!D100,LEN(DataDemande!D100)-4)),))),"")</f>
        <v/>
      </c>
      <c r="F41" s="8" t="str">
        <f>IFERROR(IF(FIND("Km",DataDemande!$B100),IF(DataDemande!$B101="",IF(FIND("Pax",DataDemande!E100),VALUE(LEFT(DataDemande!E100,LEN(DataDemande!E100)-4)),))),"")</f>
        <v/>
      </c>
      <c r="G41" s="8" t="str">
        <f>IFERROR(IF($D41&lt;&gt;"",VALUE(LEFT(DataDemande!F100,LEN(DataDemande!F100)-7)),""),"")</f>
        <v/>
      </c>
    </row>
    <row r="42" spans="1:7" x14ac:dyDescent="0.3">
      <c r="A42" t="str">
        <f>DataDemande!N101</f>
        <v>DEL/OXB</v>
      </c>
      <c r="B42" t="str">
        <f t="shared" si="0"/>
        <v>DEL</v>
      </c>
      <c r="C42" t="str">
        <f t="shared" si="1"/>
        <v>OXB</v>
      </c>
      <c r="D42" s="8">
        <f>IFERROR(IF(FIND("Km",DataDemande!$B101),IF(DataDemande!$B102="",IF(FIND("Pax",DataDemande!C101),VALUE(LEFT(DataDemande!C101,LEN(DataDemande!C101)-4)),))),"")</f>
        <v>4908</v>
      </c>
      <c r="E42" s="8">
        <f>IFERROR(IF(FIND("Km",DataDemande!$B101),IF(DataDemande!$B102="",IF(FIND("Pax",DataDemande!D101),VALUE(LEFT(DataDemande!D101,LEN(DataDemande!D101)-4)),))),"")</f>
        <v>97</v>
      </c>
      <c r="F42" s="8">
        <f>IFERROR(IF(FIND("Km",DataDemande!$B101),IF(DataDemande!$B102="",IF(FIND("Pax",DataDemande!E101),VALUE(LEFT(DataDemande!E101,LEN(DataDemande!E101)-4)),))),"")</f>
        <v>5</v>
      </c>
      <c r="G42" s="8">
        <f>IFERROR(IF($D42&lt;&gt;"",VALUE(LEFT(DataDemande!F101,LEN(DataDemande!F101)-7)),""),"")</f>
        <v>17</v>
      </c>
    </row>
    <row r="43" spans="1:7" x14ac:dyDescent="0.3">
      <c r="A43" t="str">
        <f>DataDemande!N102</f>
        <v/>
      </c>
      <c r="B43" t="str">
        <f t="shared" si="0"/>
        <v/>
      </c>
      <c r="C43" t="str">
        <f t="shared" si="1"/>
        <v/>
      </c>
      <c r="D43" s="8" t="str">
        <f>IFERROR(IF(FIND("Km",DataDemande!$B102),IF(DataDemande!$B103="",IF(FIND("Pax",DataDemande!C102),VALUE(LEFT(DataDemande!C102,LEN(DataDemande!C102)-4)),))),"")</f>
        <v/>
      </c>
      <c r="E43" s="8" t="str">
        <f>IFERROR(IF(FIND("Km",DataDemande!$B102),IF(DataDemande!$B103="",IF(FIND("Pax",DataDemande!D102),VALUE(LEFT(DataDemande!D102,LEN(DataDemande!D102)-4)),))),"")</f>
        <v/>
      </c>
      <c r="F43" s="8" t="str">
        <f>IFERROR(IF(FIND("Km",DataDemande!$B102),IF(DataDemande!$B103="",IF(FIND("Pax",DataDemande!E102),VALUE(LEFT(DataDemande!E102,LEN(DataDemande!E102)-4)),))),"")</f>
        <v/>
      </c>
      <c r="G43" s="8" t="str">
        <f>IFERROR(IF($D43&lt;&gt;"",VALUE(LEFT(DataDemande!F102,LEN(DataDemande!F102)-7)),""),"")</f>
        <v/>
      </c>
    </row>
    <row r="44" spans="1:7" x14ac:dyDescent="0.3">
      <c r="A44" t="str">
        <f>DataDemande!N103</f>
        <v>BOG/PHC</v>
      </c>
      <c r="B44" t="str">
        <f t="shared" si="0"/>
        <v>BOG</v>
      </c>
      <c r="C44" t="str">
        <f t="shared" si="1"/>
        <v>PHC</v>
      </c>
      <c r="D44" s="8">
        <f>IFERROR(IF(FIND("Km",DataDemande!$B103),IF(DataDemande!$B104="",IF(FIND("Pax",DataDemande!C103),VALUE(LEFT(DataDemande!C103,LEN(DataDemande!C103)-4)),))),"")</f>
        <v>3927</v>
      </c>
      <c r="E44" s="8">
        <f>IFERROR(IF(FIND("Km",DataDemande!$B103),IF(DataDemande!$B104="",IF(FIND("Pax",DataDemande!D103),VALUE(LEFT(DataDemande!D103,LEN(DataDemande!D103)-4)),))),"")</f>
        <v>195</v>
      </c>
      <c r="F44" s="8">
        <f>IFERROR(IF(FIND("Km",DataDemande!$B103),IF(DataDemande!$B104="",IF(FIND("Pax",DataDemande!E103),VALUE(LEFT(DataDemande!E103,LEN(DataDemande!E103)-4)),))),"")</f>
        <v>27</v>
      </c>
      <c r="G44" s="8">
        <f>IFERROR(IF($D44&lt;&gt;"",VALUE(LEFT(DataDemande!F103,LEN(DataDemande!F103)-7)),""),"")</f>
        <v>17</v>
      </c>
    </row>
    <row r="45" spans="1:7" x14ac:dyDescent="0.3">
      <c r="A45" t="str">
        <f>DataDemande!N104</f>
        <v/>
      </c>
      <c r="B45" t="str">
        <f t="shared" si="0"/>
        <v/>
      </c>
      <c r="C45" t="str">
        <f t="shared" si="1"/>
        <v/>
      </c>
      <c r="D45" s="8" t="str">
        <f>IFERROR(IF(FIND("Km",DataDemande!$B104),IF(DataDemande!$B105="",IF(FIND("Pax",DataDemande!C104),VALUE(LEFT(DataDemande!C104,LEN(DataDemande!C104)-4)),))),"")</f>
        <v/>
      </c>
      <c r="E45" s="8" t="str">
        <f>IFERROR(IF(FIND("Km",DataDemande!$B104),IF(DataDemande!$B105="",IF(FIND("Pax",DataDemande!D104),VALUE(LEFT(DataDemande!D104,LEN(DataDemande!D104)-4)),))),"")</f>
        <v/>
      </c>
      <c r="F45" s="8" t="str">
        <f>IFERROR(IF(FIND("Km",DataDemande!$B104),IF(DataDemande!$B105="",IF(FIND("Pax",DataDemande!E104),VALUE(LEFT(DataDemande!E104,LEN(DataDemande!E104)-4)),))),"")</f>
        <v/>
      </c>
      <c r="G45" s="8" t="str">
        <f>IFERROR(IF($D45&lt;&gt;"",VALUE(LEFT(DataDemande!F104,LEN(DataDemande!F104)-7)),""),"")</f>
        <v/>
      </c>
    </row>
    <row r="46" spans="1:7" x14ac:dyDescent="0.3">
      <c r="A46" t="str">
        <f>DataDemande!N105</f>
        <v>BOG/KAN</v>
      </c>
      <c r="B46" t="str">
        <f t="shared" si="0"/>
        <v>BOG</v>
      </c>
      <c r="C46" t="str">
        <f t="shared" si="1"/>
        <v>KAN</v>
      </c>
      <c r="D46" s="8">
        <f>IFERROR(IF(FIND("Km",DataDemande!$B105),IF(DataDemande!$B106="",IF(FIND("Pax",DataDemande!C105),VALUE(LEFT(DataDemande!C105,LEN(DataDemande!C105)-4)),))),"")</f>
        <v>4604</v>
      </c>
      <c r="E46" s="8">
        <f>IFERROR(IF(FIND("Km",DataDemande!$B105),IF(DataDemande!$B106="",IF(FIND("Pax",DataDemande!D105),VALUE(LEFT(DataDemande!D105,LEN(DataDemande!D105)-4)),))),"")</f>
        <v>227</v>
      </c>
      <c r="F46" s="8">
        <f>IFERROR(IF(FIND("Km",DataDemande!$B105),IF(DataDemande!$B106="",IF(FIND("Pax",DataDemande!E105),VALUE(LEFT(DataDemande!E105,LEN(DataDemande!E105)-4)),))),"")</f>
        <v>29</v>
      </c>
      <c r="G46" s="8">
        <f>IFERROR(IF($D46&lt;&gt;"",VALUE(LEFT(DataDemande!F105,LEN(DataDemande!F105)-7)),""),"")</f>
        <v>14</v>
      </c>
    </row>
    <row r="47" spans="1:7" x14ac:dyDescent="0.3">
      <c r="A47" t="str">
        <f>DataDemande!N106</f>
        <v/>
      </c>
      <c r="B47" t="str">
        <f t="shared" si="0"/>
        <v/>
      </c>
      <c r="C47" t="str">
        <f t="shared" si="1"/>
        <v/>
      </c>
      <c r="D47" s="8" t="str">
        <f>IFERROR(IF(FIND("Km",DataDemande!$B106),IF(DataDemande!$B107="",IF(FIND("Pax",DataDemande!C106),VALUE(LEFT(DataDemande!C106,LEN(DataDemande!C106)-4)),))),"")</f>
        <v/>
      </c>
      <c r="E47" s="8" t="str">
        <f>IFERROR(IF(FIND("Km",DataDemande!$B106),IF(DataDemande!$B107="",IF(FIND("Pax",DataDemande!D106),VALUE(LEFT(DataDemande!D106,LEN(DataDemande!D106)-4)),))),"")</f>
        <v/>
      </c>
      <c r="F47" s="8" t="str">
        <f>IFERROR(IF(FIND("Km",DataDemande!$B106),IF(DataDemande!$B107="",IF(FIND("Pax",DataDemande!E106),VALUE(LEFT(DataDemande!E106,LEN(DataDemande!E106)-4)),))),"")</f>
        <v/>
      </c>
      <c r="G47" s="8" t="str">
        <f>IFERROR(IF($D47&lt;&gt;"",VALUE(LEFT(DataDemande!F106,LEN(DataDemande!F106)-7)),""),"")</f>
        <v/>
      </c>
    </row>
    <row r="48" spans="1:7" x14ac:dyDescent="0.3">
      <c r="A48" t="str">
        <f>DataDemande!N107</f>
        <v>BOG/NDJ</v>
      </c>
      <c r="B48" t="str">
        <f t="shared" si="0"/>
        <v>BOG</v>
      </c>
      <c r="C48" t="str">
        <f t="shared" si="1"/>
        <v>NDJ</v>
      </c>
      <c r="D48" s="8">
        <f>IFERROR(IF(FIND("Km",DataDemande!$B107),IF(DataDemande!$B108="",IF(FIND("Pax",DataDemande!C107),VALUE(LEFT(DataDemande!C107,LEN(DataDemande!C107)-4)),))),"")</f>
        <v>3933</v>
      </c>
      <c r="E48" s="8">
        <f>IFERROR(IF(FIND("Km",DataDemande!$B107),IF(DataDemande!$B108="",IF(FIND("Pax",DataDemande!D107),VALUE(LEFT(DataDemande!D107,LEN(DataDemande!D107)-4)),))),"")</f>
        <v>129</v>
      </c>
      <c r="F48" s="8">
        <f>IFERROR(IF(FIND("Km",DataDemande!$B107),IF(DataDemande!$B108="",IF(FIND("Pax",DataDemande!E107),VALUE(LEFT(DataDemande!E107,LEN(DataDemande!E107)-4)),))),"")</f>
        <v>9</v>
      </c>
      <c r="G48" s="8">
        <f>IFERROR(IF($D48&lt;&gt;"",VALUE(LEFT(DataDemande!F107,LEN(DataDemande!F107)-7)),""),"")</f>
        <v>12</v>
      </c>
    </row>
    <row r="49" spans="1:7" x14ac:dyDescent="0.3">
      <c r="A49" t="str">
        <f>DataDemande!N108</f>
        <v/>
      </c>
      <c r="B49" t="str">
        <f t="shared" si="0"/>
        <v/>
      </c>
      <c r="C49" t="str">
        <f t="shared" si="1"/>
        <v/>
      </c>
      <c r="D49" s="8" t="str">
        <f>IFERROR(IF(FIND("Km",DataDemande!$B108),IF(DataDemande!$B109="",IF(FIND("Pax",DataDemande!C108),VALUE(LEFT(DataDemande!C108,LEN(DataDemande!C108)-4)),))),"")</f>
        <v/>
      </c>
      <c r="E49" s="8" t="str">
        <f>IFERROR(IF(FIND("Km",DataDemande!$B108),IF(DataDemande!$B109="",IF(FIND("Pax",DataDemande!D108),VALUE(LEFT(DataDemande!D108,LEN(DataDemande!D108)-4)),))),"")</f>
        <v/>
      </c>
      <c r="F49" s="8" t="str">
        <f>IFERROR(IF(FIND("Km",DataDemande!$B108),IF(DataDemande!$B109="",IF(FIND("Pax",DataDemande!E108),VALUE(LEFT(DataDemande!E108,LEN(DataDemande!E108)-4)),))),"")</f>
        <v/>
      </c>
      <c r="G49" s="8" t="str">
        <f>IFERROR(IF($D49&lt;&gt;"",VALUE(LEFT(DataDemande!F108,LEN(DataDemande!F108)-7)),""),"")</f>
        <v/>
      </c>
    </row>
    <row r="50" spans="1:7" x14ac:dyDescent="0.3">
      <c r="A50" t="str">
        <f>DataDemande!N109</f>
        <v>BOG/LAD</v>
      </c>
      <c r="B50" t="str">
        <f t="shared" si="0"/>
        <v>BOG</v>
      </c>
      <c r="C50" t="str">
        <f t="shared" si="1"/>
        <v>LAD</v>
      </c>
      <c r="D50" s="8">
        <f>IFERROR(IF(FIND("Km",DataDemande!$B109),IF(DataDemande!$B110="",IF(FIND("Pax",DataDemande!C109),VALUE(LEFT(DataDemande!C109,LEN(DataDemande!C109)-4)),))),"")</f>
        <v>4085</v>
      </c>
      <c r="E50" s="8">
        <f>IFERROR(IF(FIND("Km",DataDemande!$B109),IF(DataDemande!$B110="",IF(FIND("Pax",DataDemande!D109),VALUE(LEFT(DataDemande!D109,LEN(DataDemande!D109)-4)),))),"")</f>
        <v>216</v>
      </c>
      <c r="F50" s="8">
        <f>IFERROR(IF(FIND("Km",DataDemande!$B109),IF(DataDemande!$B110="",IF(FIND("Pax",DataDemande!E109),VALUE(LEFT(DataDemande!E109,LEN(DataDemande!E109)-4)),))),"")</f>
        <v>34</v>
      </c>
      <c r="G50" s="8">
        <f>IFERROR(IF($D50&lt;&gt;"",VALUE(LEFT(DataDemande!F109,LEN(DataDemande!F109)-7)),""),"")</f>
        <v>63</v>
      </c>
    </row>
    <row r="51" spans="1:7" x14ac:dyDescent="0.3">
      <c r="A51" t="str">
        <f>DataDemande!N110</f>
        <v/>
      </c>
      <c r="B51" t="str">
        <f t="shared" si="0"/>
        <v/>
      </c>
      <c r="C51" t="str">
        <f t="shared" si="1"/>
        <v/>
      </c>
      <c r="D51" s="8" t="str">
        <f>IFERROR(IF(FIND("Km",DataDemande!$B110),IF(DataDemande!$B111="",IF(FIND("Pax",DataDemande!C110),VALUE(LEFT(DataDemande!C110,LEN(DataDemande!C110)-4)),))),"")</f>
        <v/>
      </c>
      <c r="E51" s="8" t="str">
        <f>IFERROR(IF(FIND("Km",DataDemande!$B110),IF(DataDemande!$B111="",IF(FIND("Pax",DataDemande!D110),VALUE(LEFT(DataDemande!D110,LEN(DataDemande!D110)-4)),))),"")</f>
        <v/>
      </c>
      <c r="F51" s="8" t="str">
        <f>IFERROR(IF(FIND("Km",DataDemande!$B110),IF(DataDemande!$B111="",IF(FIND("Pax",DataDemande!E110),VALUE(LEFT(DataDemande!E110,LEN(DataDemande!E110)-4)),))),"")</f>
        <v/>
      </c>
      <c r="G51" s="8" t="str">
        <f>IFERROR(IF($D51&lt;&gt;"",VALUE(LEFT(DataDemande!F110,LEN(DataDemande!F110)-7)),""),"")</f>
        <v/>
      </c>
    </row>
    <row r="52" spans="1:7" x14ac:dyDescent="0.3">
      <c r="A52" t="str">
        <f>DataDemande!N111</f>
        <v>BOM/CKY</v>
      </c>
      <c r="B52" t="str">
        <f t="shared" si="0"/>
        <v>BOM</v>
      </c>
      <c r="C52" t="str">
        <f t="shared" si="1"/>
        <v>CKY</v>
      </c>
      <c r="D52" s="8">
        <f>IFERROR(IF(FIND("Km",DataDemande!$B111),IF(DataDemande!$B112="",IF(FIND("Pax",DataDemande!C111),VALUE(LEFT(DataDemande!C111,LEN(DataDemande!C111)-4)),))),"")</f>
        <v>5120</v>
      </c>
      <c r="E52" s="8">
        <f>IFERROR(IF(FIND("Km",DataDemande!$B111),IF(DataDemande!$B112="",IF(FIND("Pax",DataDemande!D111),VALUE(LEFT(DataDemande!D111,LEN(DataDemande!D111)-4)),))),"")</f>
        <v>113</v>
      </c>
      <c r="F52" s="8">
        <f>IFERROR(IF(FIND("Km",DataDemande!$B111),IF(DataDemande!$B112="",IF(FIND("Pax",DataDemande!E111),VALUE(LEFT(DataDemande!E111,LEN(DataDemande!E111)-4)),))),"")</f>
        <v>6</v>
      </c>
      <c r="G52" s="8">
        <f>IFERROR(IF($D52&lt;&gt;"",VALUE(LEFT(DataDemande!F111,LEN(DataDemande!F111)-7)),""),"")</f>
        <v>18</v>
      </c>
    </row>
    <row r="53" spans="1:7" x14ac:dyDescent="0.3">
      <c r="A53" t="str">
        <f>DataDemande!N112</f>
        <v/>
      </c>
      <c r="B53" t="str">
        <f t="shared" si="0"/>
        <v/>
      </c>
      <c r="C53" t="str">
        <f t="shared" si="1"/>
        <v/>
      </c>
      <c r="D53" s="8" t="str">
        <f>IFERROR(IF(FIND("Km",DataDemande!$B112),IF(DataDemande!$B113="",IF(FIND("Pax",DataDemande!C112),VALUE(LEFT(DataDemande!C112,LEN(DataDemande!C112)-4)),))),"")</f>
        <v/>
      </c>
      <c r="E53" s="8" t="str">
        <f>IFERROR(IF(FIND("Km",DataDemande!$B112),IF(DataDemande!$B113="",IF(FIND("Pax",DataDemande!D112),VALUE(LEFT(DataDemande!D112,LEN(DataDemande!D112)-4)),))),"")</f>
        <v/>
      </c>
      <c r="F53" s="8" t="str">
        <f>IFERROR(IF(FIND("Km",DataDemande!$B112),IF(DataDemande!$B113="",IF(FIND("Pax",DataDemande!E112),VALUE(LEFT(DataDemande!E112,LEN(DataDemande!E112)-4)),))),"")</f>
        <v/>
      </c>
      <c r="G53" s="8" t="str">
        <f>IFERROR(IF($D53&lt;&gt;"",VALUE(LEFT(DataDemande!F112,LEN(DataDemande!F112)-7)),""),"")</f>
        <v/>
      </c>
    </row>
    <row r="54" spans="1:7" x14ac:dyDescent="0.3">
      <c r="A54" t="str">
        <f>DataDemande!N113</f>
        <v>BOM/FNA</v>
      </c>
      <c r="B54" t="str">
        <f t="shared" si="0"/>
        <v>BOM</v>
      </c>
      <c r="C54" t="str">
        <f t="shared" si="1"/>
        <v>FNA</v>
      </c>
      <c r="D54" s="8">
        <f>IFERROR(IF(FIND("Km",DataDemande!$B113),IF(DataDemande!$B114="",IF(FIND("Pax",DataDemande!C113),VALUE(LEFT(DataDemande!C113,LEN(DataDemande!C113)-4)),))),"")</f>
        <v>5123</v>
      </c>
      <c r="E54" s="8">
        <f>IFERROR(IF(FIND("Km",DataDemande!$B113),IF(DataDemande!$B114="",IF(FIND("Pax",DataDemande!D113),VALUE(LEFT(DataDemande!D113,LEN(DataDemande!D113)-4)),))),"")</f>
        <v>90</v>
      </c>
      <c r="F54" s="8">
        <f>IFERROR(IF(FIND("Km",DataDemande!$B113),IF(DataDemande!$B114="",IF(FIND("Pax",DataDemande!E113),VALUE(LEFT(DataDemande!E113,LEN(DataDemande!E113)-4)),))),"")</f>
        <v>3</v>
      </c>
      <c r="G54" s="8">
        <f>IFERROR(IF($D54&lt;&gt;"",VALUE(LEFT(DataDemande!F113,LEN(DataDemande!F113)-7)),""),"")</f>
        <v>18</v>
      </c>
    </row>
    <row r="55" spans="1:7" x14ac:dyDescent="0.3">
      <c r="A55" t="str">
        <f>DataDemande!N114</f>
        <v/>
      </c>
      <c r="B55" t="str">
        <f t="shared" si="0"/>
        <v/>
      </c>
      <c r="C55" t="str">
        <f t="shared" si="1"/>
        <v/>
      </c>
      <c r="D55" s="8" t="str">
        <f>IFERROR(IF(FIND("Km",DataDemande!$B114),IF(DataDemande!$B115="",IF(FIND("Pax",DataDemande!C114),VALUE(LEFT(DataDemande!C114,LEN(DataDemande!C114)-4)),))),"")</f>
        <v/>
      </c>
      <c r="E55" s="8" t="str">
        <f>IFERROR(IF(FIND("Km",DataDemande!$B114),IF(DataDemande!$B115="",IF(FIND("Pax",DataDemande!D114),VALUE(LEFT(DataDemande!D114,LEN(DataDemande!D114)-4)),))),"")</f>
        <v/>
      </c>
      <c r="F55" s="8" t="str">
        <f>IFERROR(IF(FIND("Km",DataDemande!$B114),IF(DataDemande!$B115="",IF(FIND("Pax",DataDemande!E114),VALUE(LEFT(DataDemande!E114,LEN(DataDemande!E114)-4)),))),"")</f>
        <v/>
      </c>
      <c r="G55" s="8" t="str">
        <f>IFERROR(IF($D55&lt;&gt;"",VALUE(LEFT(DataDemande!F114,LEN(DataDemande!F114)-7)),""),"")</f>
        <v/>
      </c>
    </row>
    <row r="56" spans="1:7" x14ac:dyDescent="0.3">
      <c r="A56" t="str">
        <f>DataDemande!N115</f>
        <v>BOM/BJL</v>
      </c>
      <c r="B56" t="str">
        <f t="shared" si="0"/>
        <v>BOM</v>
      </c>
      <c r="C56" t="str">
        <f t="shared" si="1"/>
        <v>BJL</v>
      </c>
      <c r="D56" s="8">
        <f>IFERROR(IF(FIND("Km",DataDemande!$B115),IF(DataDemande!$B116="",IF(FIND("Pax",DataDemande!C115),VALUE(LEFT(DataDemande!C115,LEN(DataDemande!C115)-4)),))),"")</f>
        <v>5117</v>
      </c>
      <c r="E56" s="8">
        <f>IFERROR(IF(FIND("Km",DataDemande!$B115),IF(DataDemande!$B116="",IF(FIND("Pax",DataDemande!D115),VALUE(LEFT(DataDemande!D115,LEN(DataDemande!D115)-4)),))),"")</f>
        <v>115</v>
      </c>
      <c r="F56" s="8">
        <f>IFERROR(IF(FIND("Km",DataDemande!$B115),IF(DataDemande!$B116="",IF(FIND("Pax",DataDemande!E115),VALUE(LEFT(DataDemande!E115,LEN(DataDemande!E115)-4)),))),"")</f>
        <v>7</v>
      </c>
      <c r="G56" s="8">
        <f>IFERROR(IF($D56&lt;&gt;"",VALUE(LEFT(DataDemande!F115,LEN(DataDemande!F115)-7)),""),"")</f>
        <v>17</v>
      </c>
    </row>
    <row r="57" spans="1:7" x14ac:dyDescent="0.3">
      <c r="A57" t="str">
        <f>DataDemande!N116</f>
        <v/>
      </c>
      <c r="B57" t="str">
        <f t="shared" si="0"/>
        <v/>
      </c>
      <c r="C57" t="str">
        <f t="shared" si="1"/>
        <v/>
      </c>
      <c r="D57" s="8" t="str">
        <f>IFERROR(IF(FIND("Km",DataDemande!$B116),IF(DataDemande!$B117="",IF(FIND("Pax",DataDemande!C116),VALUE(LEFT(DataDemande!C116,LEN(DataDemande!C116)-4)),))),"")</f>
        <v/>
      </c>
      <c r="E57" s="8" t="str">
        <f>IFERROR(IF(FIND("Km",DataDemande!$B116),IF(DataDemande!$B117="",IF(FIND("Pax",DataDemande!D116),VALUE(LEFT(DataDemande!D116,LEN(DataDemande!D116)-4)),))),"")</f>
        <v/>
      </c>
      <c r="F57" s="8" t="str">
        <f>IFERROR(IF(FIND("Km",DataDemande!$B116),IF(DataDemande!$B117="",IF(FIND("Pax",DataDemande!E116),VALUE(LEFT(DataDemande!E116,LEN(DataDemande!E116)-4)),))),"")</f>
        <v/>
      </c>
      <c r="G57" s="8" t="str">
        <f>IFERROR(IF($D57&lt;&gt;"",VALUE(LEFT(DataDemande!F116,LEN(DataDemande!F116)-7)),""),"")</f>
        <v/>
      </c>
    </row>
    <row r="58" spans="1:7" x14ac:dyDescent="0.3">
      <c r="A58" t="str">
        <f>DataDemande!N117</f>
        <v/>
      </c>
      <c r="B58" t="str">
        <f t="shared" si="0"/>
        <v/>
      </c>
      <c r="C58" t="str">
        <f t="shared" si="1"/>
        <v/>
      </c>
      <c r="D58" s="8" t="str">
        <f>IFERROR(IF(FIND("Km",DataDemande!$B117),IF(DataDemande!$B118="",IF(FIND("Pax",DataDemande!C117),VALUE(LEFT(DataDemande!C117,LEN(DataDemande!C117)-4)),))),"")</f>
        <v/>
      </c>
      <c r="E58" s="8" t="str">
        <f>IFERROR(IF(FIND("Km",DataDemande!$B117),IF(DataDemande!$B118="",IF(FIND("Pax",DataDemande!D117),VALUE(LEFT(DataDemande!D117,LEN(DataDemande!D117)-4)),))),"")</f>
        <v/>
      </c>
      <c r="F58" s="8" t="str">
        <f>IFERROR(IF(FIND("Km",DataDemande!$B117),IF(DataDemande!$B118="",IF(FIND("Pax",DataDemande!E117),VALUE(LEFT(DataDemande!E117,LEN(DataDemande!E117)-4)),))),"")</f>
        <v/>
      </c>
      <c r="G58" s="8" t="str">
        <f>IFERROR(IF($D58&lt;&gt;"",VALUE(LEFT(DataDemande!F117,LEN(DataDemande!F117)-7)),""),"")</f>
        <v/>
      </c>
    </row>
    <row r="59" spans="1:7" x14ac:dyDescent="0.3">
      <c r="A59" t="str">
        <f>DataDemande!N118</f>
        <v/>
      </c>
      <c r="B59" t="str">
        <f t="shared" si="0"/>
        <v/>
      </c>
      <c r="C59" t="str">
        <f t="shared" si="1"/>
        <v/>
      </c>
      <c r="D59" s="8" t="str">
        <f>IFERROR(IF(FIND("Km",DataDemande!$B118),IF(DataDemande!$B119="",IF(FIND("Pax",DataDemande!C118),VALUE(LEFT(DataDemande!C118,LEN(DataDemande!C118)-4)),))),"")</f>
        <v/>
      </c>
      <c r="E59" s="8" t="str">
        <f>IFERROR(IF(FIND("Km",DataDemande!$B118),IF(DataDemande!$B119="",IF(FIND("Pax",DataDemande!D118),VALUE(LEFT(DataDemande!D118,LEN(DataDemande!D118)-4)),))),"")</f>
        <v/>
      </c>
      <c r="F59" s="8" t="str">
        <f>IFERROR(IF(FIND("Km",DataDemande!$B118),IF(DataDemande!$B119="",IF(FIND("Pax",DataDemande!E118),VALUE(LEFT(DataDemande!E118,LEN(DataDemande!E118)-4)),))),"")</f>
        <v/>
      </c>
      <c r="G59" s="8" t="str">
        <f>IFERROR(IF($D59&lt;&gt;"",VALUE(LEFT(DataDemande!F118,LEN(DataDemande!F118)-7)),""),"")</f>
        <v/>
      </c>
    </row>
    <row r="60" spans="1:7" x14ac:dyDescent="0.3">
      <c r="A60" t="str">
        <f>DataDemande!N119</f>
        <v/>
      </c>
      <c r="B60" t="str">
        <f t="shared" si="0"/>
        <v/>
      </c>
      <c r="C60" t="str">
        <f t="shared" si="1"/>
        <v/>
      </c>
      <c r="D60" s="8" t="str">
        <f>IFERROR(IF(FIND("Km",DataDemande!$B119),IF(DataDemande!$B120="",IF(FIND("Pax",DataDemande!C119),VALUE(LEFT(DataDemande!C119,LEN(DataDemande!C119)-4)),))),"")</f>
        <v/>
      </c>
      <c r="E60" s="8" t="str">
        <f>IFERROR(IF(FIND("Km",DataDemande!$B119),IF(DataDemande!$B120="",IF(FIND("Pax",DataDemande!D119),VALUE(LEFT(DataDemande!D119,LEN(DataDemande!D119)-4)),))),"")</f>
        <v/>
      </c>
      <c r="F60" s="8" t="str">
        <f>IFERROR(IF(FIND("Km",DataDemande!$B119),IF(DataDemande!$B120="",IF(FIND("Pax",DataDemande!E119),VALUE(LEFT(DataDemande!E119,LEN(DataDemande!E119)-4)),))),"")</f>
        <v/>
      </c>
      <c r="G60" s="8" t="str">
        <f>IFERROR(IF($D60&lt;&gt;"",VALUE(LEFT(DataDemande!F119,LEN(DataDemande!F119)-7)),""),"")</f>
        <v/>
      </c>
    </row>
    <row r="61" spans="1:7" x14ac:dyDescent="0.3">
      <c r="A61" t="str">
        <f>DataDemande!N120</f>
        <v/>
      </c>
      <c r="B61" t="str">
        <f t="shared" si="0"/>
        <v/>
      </c>
      <c r="C61" t="str">
        <f t="shared" si="1"/>
        <v/>
      </c>
      <c r="D61" s="8" t="str">
        <f>IFERROR(IF(FIND("Km",DataDemande!$B120),IF(DataDemande!$B121="",IF(FIND("Pax",DataDemande!C120),VALUE(LEFT(DataDemande!C120,LEN(DataDemande!C120)-4)),))),"")</f>
        <v/>
      </c>
      <c r="E61" s="8" t="str">
        <f>IFERROR(IF(FIND("Km",DataDemande!$B120),IF(DataDemande!$B121="",IF(FIND("Pax",DataDemande!D120),VALUE(LEFT(DataDemande!D120,LEN(DataDemande!D120)-4)),))),"")</f>
        <v/>
      </c>
      <c r="F61" s="8" t="str">
        <f>IFERROR(IF(FIND("Km",DataDemande!$B120),IF(DataDemande!$B121="",IF(FIND("Pax",DataDemande!E120),VALUE(LEFT(DataDemande!E120,LEN(DataDemande!E120)-4)),))),"")</f>
        <v/>
      </c>
      <c r="G61" s="8" t="str">
        <f>IFERROR(IF($D61&lt;&gt;"",VALUE(LEFT(DataDemande!F120,LEN(DataDemande!F120)-7)),""),"")</f>
        <v/>
      </c>
    </row>
    <row r="62" spans="1:7" x14ac:dyDescent="0.3">
      <c r="A62" t="str">
        <f>DataDemande!N121</f>
        <v/>
      </c>
      <c r="B62" t="str">
        <f t="shared" si="0"/>
        <v/>
      </c>
      <c r="C62" t="str">
        <f t="shared" si="1"/>
        <v/>
      </c>
      <c r="D62" s="8" t="str">
        <f>IFERROR(IF(FIND("Km",DataDemande!$B121),IF(DataDemande!$B122="",IF(FIND("Pax",DataDemande!C121),VALUE(LEFT(DataDemande!C121,LEN(DataDemande!C121)-4)),))),"")</f>
        <v/>
      </c>
      <c r="E62" s="8" t="str">
        <f>IFERROR(IF(FIND("Km",DataDemande!$B121),IF(DataDemande!$B122="",IF(FIND("Pax",DataDemande!D121),VALUE(LEFT(DataDemande!D121,LEN(DataDemande!D121)-4)),))),"")</f>
        <v/>
      </c>
      <c r="F62" s="8" t="str">
        <f>IFERROR(IF(FIND("Km",DataDemande!$B121),IF(DataDemande!$B122="",IF(FIND("Pax",DataDemande!E121),VALUE(LEFT(DataDemande!E121,LEN(DataDemande!E121)-4)),))),"")</f>
        <v/>
      </c>
      <c r="G62" s="8" t="str">
        <f>IFERROR(IF($D62&lt;&gt;"",VALUE(LEFT(DataDemande!F121,LEN(DataDemande!F121)-7)),""),"")</f>
        <v/>
      </c>
    </row>
    <row r="63" spans="1:7" x14ac:dyDescent="0.3">
      <c r="A63" t="str">
        <f>DataDemande!N122</f>
        <v/>
      </c>
      <c r="B63" t="str">
        <f t="shared" si="0"/>
        <v/>
      </c>
      <c r="C63" t="str">
        <f t="shared" si="1"/>
        <v/>
      </c>
      <c r="D63" s="8" t="str">
        <f>IFERROR(IF(FIND("Km",DataDemande!$B122),IF(DataDemande!$B123="",IF(FIND("Pax",DataDemande!C122),VALUE(LEFT(DataDemande!C122,LEN(DataDemande!C122)-4)),))),"")</f>
        <v/>
      </c>
      <c r="E63" s="8" t="str">
        <f>IFERROR(IF(FIND("Km",DataDemande!$B122),IF(DataDemande!$B123="",IF(FIND("Pax",DataDemande!D122),VALUE(LEFT(DataDemande!D122,LEN(DataDemande!D122)-4)),))),"")</f>
        <v/>
      </c>
      <c r="F63" s="8" t="str">
        <f>IFERROR(IF(FIND("Km",DataDemande!$B122),IF(DataDemande!$B123="",IF(FIND("Pax",DataDemande!E122),VALUE(LEFT(DataDemande!E122,LEN(DataDemande!E122)-4)),))),"")</f>
        <v/>
      </c>
      <c r="G63" s="8" t="str">
        <f>IFERROR(IF($D63&lt;&gt;"",VALUE(LEFT(DataDemande!F122,LEN(DataDemande!F122)-7)),""),"")</f>
        <v/>
      </c>
    </row>
    <row r="64" spans="1:7" x14ac:dyDescent="0.3">
      <c r="A64" t="str">
        <f>DataDemande!N123</f>
        <v/>
      </c>
      <c r="B64" t="str">
        <f t="shared" si="0"/>
        <v/>
      </c>
      <c r="C64" t="str">
        <f t="shared" si="1"/>
        <v/>
      </c>
      <c r="D64" s="8" t="str">
        <f>IFERROR(IF(FIND("Km",DataDemande!$B123),IF(DataDemande!$B124="",IF(FIND("Pax",DataDemande!C123),VALUE(LEFT(DataDemande!C123,LEN(DataDemande!C123)-4)),))),"")</f>
        <v/>
      </c>
      <c r="E64" s="8" t="str">
        <f>IFERROR(IF(FIND("Km",DataDemande!$B123),IF(DataDemande!$B124="",IF(FIND("Pax",DataDemande!D123),VALUE(LEFT(DataDemande!D123,LEN(DataDemande!D123)-4)),))),"")</f>
        <v/>
      </c>
      <c r="F64" s="8" t="str">
        <f>IFERROR(IF(FIND("Km",DataDemande!$B123),IF(DataDemande!$B124="",IF(FIND("Pax",DataDemande!E123),VALUE(LEFT(DataDemande!E123,LEN(DataDemande!E123)-4)),))),"")</f>
        <v/>
      </c>
      <c r="G64" s="8" t="str">
        <f>IFERROR(IF($D64&lt;&gt;"",VALUE(LEFT(DataDemande!F123,LEN(DataDemande!F123)-7)),""),"")</f>
        <v/>
      </c>
    </row>
    <row r="65" spans="1:7" x14ac:dyDescent="0.3">
      <c r="A65" t="str">
        <f>DataDemande!N124</f>
        <v/>
      </c>
      <c r="B65" t="str">
        <f t="shared" si="0"/>
        <v/>
      </c>
      <c r="C65" t="str">
        <f t="shared" si="1"/>
        <v/>
      </c>
      <c r="D65" s="8" t="str">
        <f>IFERROR(IF(FIND("Km",DataDemande!$B124),IF(DataDemande!$B125="",IF(FIND("Pax",DataDemande!C124),VALUE(LEFT(DataDemande!C124,LEN(DataDemande!C124)-4)),))),"")</f>
        <v/>
      </c>
      <c r="E65" s="8" t="str">
        <f>IFERROR(IF(FIND("Km",DataDemande!$B124),IF(DataDemande!$B125="",IF(FIND("Pax",DataDemande!D124),VALUE(LEFT(DataDemande!D124,LEN(DataDemande!D124)-4)),))),"")</f>
        <v/>
      </c>
      <c r="F65" s="8" t="str">
        <f>IFERROR(IF(FIND("Km",DataDemande!$B124),IF(DataDemande!$B125="",IF(FIND("Pax",DataDemande!E124),VALUE(LEFT(DataDemande!E124,LEN(DataDemande!E124)-4)),))),"")</f>
        <v/>
      </c>
      <c r="G65" s="8" t="str">
        <f>IFERROR(IF($D65&lt;&gt;"",VALUE(LEFT(DataDemande!F124,LEN(DataDemande!F124)-7)),""),"")</f>
        <v/>
      </c>
    </row>
    <row r="66" spans="1:7" x14ac:dyDescent="0.3">
      <c r="A66" t="str">
        <f>DataDemande!N125</f>
        <v/>
      </c>
      <c r="B66" t="str">
        <f t="shared" si="0"/>
        <v/>
      </c>
      <c r="C66" t="str">
        <f t="shared" si="1"/>
        <v/>
      </c>
      <c r="D66" s="8" t="str">
        <f>IFERROR(IF(FIND("Km",DataDemande!$B125),IF(DataDemande!$B126="",IF(FIND("Pax",DataDemande!C125),VALUE(LEFT(DataDemande!C125,LEN(DataDemande!C125)-4)),))),"")</f>
        <v/>
      </c>
      <c r="E66" s="8" t="str">
        <f>IFERROR(IF(FIND("Km",DataDemande!$B125),IF(DataDemande!$B126="",IF(FIND("Pax",DataDemande!D125),VALUE(LEFT(DataDemande!D125,LEN(DataDemande!D125)-4)),))),"")</f>
        <v/>
      </c>
      <c r="F66" s="8" t="str">
        <f>IFERROR(IF(FIND("Km",DataDemande!$B125),IF(DataDemande!$B126="",IF(FIND("Pax",DataDemande!E125),VALUE(LEFT(DataDemande!E125,LEN(DataDemande!E125)-4)),))),"")</f>
        <v/>
      </c>
      <c r="G66" s="8" t="str">
        <f>IFERROR(IF($D66&lt;&gt;"",VALUE(LEFT(DataDemande!F125,LEN(DataDemande!F125)-7)),""),"")</f>
        <v/>
      </c>
    </row>
    <row r="67" spans="1:7" x14ac:dyDescent="0.3">
      <c r="A67" t="str">
        <f>DataDemande!N126</f>
        <v/>
      </c>
      <c r="B67" t="str">
        <f t="shared" si="0"/>
        <v/>
      </c>
      <c r="C67" t="str">
        <f t="shared" si="1"/>
        <v/>
      </c>
      <c r="D67" s="8" t="str">
        <f>IFERROR(IF(FIND("Km",DataDemande!$B126),IF(DataDemande!$B127="",IF(FIND("Pax",DataDemande!C126),VALUE(LEFT(DataDemande!C126,LEN(DataDemande!C126)-4)),))),"")</f>
        <v/>
      </c>
      <c r="E67" s="8" t="str">
        <f>IFERROR(IF(FIND("Km",DataDemande!$B126),IF(DataDemande!$B127="",IF(FIND("Pax",DataDemande!D126),VALUE(LEFT(DataDemande!D126,LEN(DataDemande!D126)-4)),))),"")</f>
        <v/>
      </c>
      <c r="F67" s="8" t="str">
        <f>IFERROR(IF(FIND("Km",DataDemande!$B126),IF(DataDemande!$B127="",IF(FIND("Pax",DataDemande!E126),VALUE(LEFT(DataDemande!E126,LEN(DataDemande!E126)-4)),))),"")</f>
        <v/>
      </c>
      <c r="G67" s="8" t="str">
        <f>IFERROR(IF($D67&lt;&gt;"",VALUE(LEFT(DataDemande!F126,LEN(DataDemande!F126)-7)),""),"")</f>
        <v/>
      </c>
    </row>
    <row r="68" spans="1:7" x14ac:dyDescent="0.3">
      <c r="A68" t="str">
        <f>DataDemande!N127</f>
        <v/>
      </c>
      <c r="B68" t="str">
        <f t="shared" si="0"/>
        <v/>
      </c>
      <c r="C68" t="str">
        <f t="shared" si="1"/>
        <v/>
      </c>
      <c r="D68" s="8" t="str">
        <f>IFERROR(IF(FIND("Km",DataDemande!$B127),IF(DataDemande!$B128="",IF(FIND("Pax",DataDemande!C127),VALUE(LEFT(DataDemande!C127,LEN(DataDemande!C127)-4)),))),"")</f>
        <v/>
      </c>
      <c r="E68" s="8" t="str">
        <f>IFERROR(IF(FIND("Km",DataDemande!$B127),IF(DataDemande!$B128="",IF(FIND("Pax",DataDemande!D127),VALUE(LEFT(DataDemande!D127,LEN(DataDemande!D127)-4)),))),"")</f>
        <v/>
      </c>
      <c r="F68" s="8" t="str">
        <f>IFERROR(IF(FIND("Km",DataDemande!$B127),IF(DataDemande!$B128="",IF(FIND("Pax",DataDemande!E127),VALUE(LEFT(DataDemande!E127,LEN(DataDemande!E127)-4)),))),"")</f>
        <v/>
      </c>
      <c r="G68" s="8" t="str">
        <f>IFERROR(IF($D68&lt;&gt;"",VALUE(LEFT(DataDemande!F127,LEN(DataDemande!F127)-7)),""),"")</f>
        <v/>
      </c>
    </row>
    <row r="69" spans="1:7" x14ac:dyDescent="0.3">
      <c r="A69" t="str">
        <f>DataDemande!N128</f>
        <v/>
      </c>
      <c r="B69" t="str">
        <f t="shared" ref="B69:B132" si="2">LEFT(A69,3)</f>
        <v/>
      </c>
      <c r="C69" t="str">
        <f t="shared" ref="C69:C132" si="3">RIGHT(A69,3)</f>
        <v/>
      </c>
      <c r="D69" s="8" t="str">
        <f>IFERROR(IF(FIND("Km",DataDemande!$B128),IF(DataDemande!$B129="",IF(FIND("Pax",DataDemande!C128),VALUE(LEFT(DataDemande!C128,LEN(DataDemande!C128)-4)),))),"")</f>
        <v/>
      </c>
      <c r="E69" s="8" t="str">
        <f>IFERROR(IF(FIND("Km",DataDemande!$B128),IF(DataDemande!$B129="",IF(FIND("Pax",DataDemande!D128),VALUE(LEFT(DataDemande!D128,LEN(DataDemande!D128)-4)),))),"")</f>
        <v/>
      </c>
      <c r="F69" s="8" t="str">
        <f>IFERROR(IF(FIND("Km",DataDemande!$B128),IF(DataDemande!$B129="",IF(FIND("Pax",DataDemande!E128),VALUE(LEFT(DataDemande!E128,LEN(DataDemande!E128)-4)),))),"")</f>
        <v/>
      </c>
      <c r="G69" s="8" t="str">
        <f>IFERROR(IF($D69&lt;&gt;"",VALUE(LEFT(DataDemande!F128,LEN(DataDemande!F128)-7)),""),"")</f>
        <v/>
      </c>
    </row>
    <row r="70" spans="1:7" x14ac:dyDescent="0.3">
      <c r="A70" t="str">
        <f>DataDemande!N129</f>
        <v/>
      </c>
      <c r="B70" t="str">
        <f t="shared" si="2"/>
        <v/>
      </c>
      <c r="C70" t="str">
        <f t="shared" si="3"/>
        <v/>
      </c>
      <c r="D70" s="8" t="str">
        <f>IFERROR(IF(FIND("Km",DataDemande!$B129),IF(DataDemande!$B130="",IF(FIND("Pax",DataDemande!C129),VALUE(LEFT(DataDemande!C129,LEN(DataDemande!C129)-4)),))),"")</f>
        <v/>
      </c>
      <c r="E70" s="8" t="str">
        <f>IFERROR(IF(FIND("Km",DataDemande!$B129),IF(DataDemande!$B130="",IF(FIND("Pax",DataDemande!D129),VALUE(LEFT(DataDemande!D129,LEN(DataDemande!D129)-4)),))),"")</f>
        <v/>
      </c>
      <c r="F70" s="8" t="str">
        <f>IFERROR(IF(FIND("Km",DataDemande!$B129),IF(DataDemande!$B130="",IF(FIND("Pax",DataDemande!E129),VALUE(LEFT(DataDemande!E129,LEN(DataDemande!E129)-4)),))),"")</f>
        <v/>
      </c>
      <c r="G70" s="8" t="str">
        <f>IFERROR(IF($D70&lt;&gt;"",VALUE(LEFT(DataDemande!F129,LEN(DataDemande!F129)-7)),""),"")</f>
        <v/>
      </c>
    </row>
    <row r="71" spans="1:7" x14ac:dyDescent="0.3">
      <c r="A71" t="str">
        <f>DataDemande!N130</f>
        <v/>
      </c>
      <c r="B71" t="str">
        <f t="shared" si="2"/>
        <v/>
      </c>
      <c r="C71" t="str">
        <f t="shared" si="3"/>
        <v/>
      </c>
      <c r="D71" s="8" t="str">
        <f>IFERROR(IF(FIND("Km",DataDemande!$B130),IF(DataDemande!$B131="",IF(FIND("Pax",DataDemande!C130),VALUE(LEFT(DataDemande!C130,LEN(DataDemande!C130)-4)),))),"")</f>
        <v/>
      </c>
      <c r="E71" s="8" t="str">
        <f>IFERROR(IF(FIND("Km",DataDemande!$B130),IF(DataDemande!$B131="",IF(FIND("Pax",DataDemande!D130),VALUE(LEFT(DataDemande!D130,LEN(DataDemande!D130)-4)),))),"")</f>
        <v/>
      </c>
      <c r="F71" s="8" t="str">
        <f>IFERROR(IF(FIND("Km",DataDemande!$B130),IF(DataDemande!$B131="",IF(FIND("Pax",DataDemande!E130),VALUE(LEFT(DataDemande!E130,LEN(DataDemande!E130)-4)),))),"")</f>
        <v/>
      </c>
      <c r="G71" s="8" t="str">
        <f>IFERROR(IF($D71&lt;&gt;"",VALUE(LEFT(DataDemande!F130,LEN(DataDemande!F130)-7)),""),"")</f>
        <v/>
      </c>
    </row>
    <row r="72" spans="1:7" x14ac:dyDescent="0.3">
      <c r="A72" t="str">
        <f>DataDemande!N131</f>
        <v/>
      </c>
      <c r="B72" t="str">
        <f t="shared" si="2"/>
        <v/>
      </c>
      <c r="C72" t="str">
        <f t="shared" si="3"/>
        <v/>
      </c>
      <c r="D72" s="8" t="str">
        <f>IFERROR(IF(FIND("Km",DataDemande!$B131),IF(DataDemande!$B132="",IF(FIND("Pax",DataDemande!C131),VALUE(LEFT(DataDemande!C131,LEN(DataDemande!C131)-4)),))),"")</f>
        <v/>
      </c>
      <c r="E72" s="8" t="str">
        <f>IFERROR(IF(FIND("Km",DataDemande!$B131),IF(DataDemande!$B132="",IF(FIND("Pax",DataDemande!D131),VALUE(LEFT(DataDemande!D131,LEN(DataDemande!D131)-4)),))),"")</f>
        <v/>
      </c>
      <c r="F72" s="8" t="str">
        <f>IFERROR(IF(FIND("Km",DataDemande!$B131),IF(DataDemande!$B132="",IF(FIND("Pax",DataDemande!E131),VALUE(LEFT(DataDemande!E131,LEN(DataDemande!E131)-4)),))),"")</f>
        <v/>
      </c>
      <c r="G72" s="8" t="str">
        <f>IFERROR(IF($D72&lt;&gt;"",VALUE(LEFT(DataDemande!F131,LEN(DataDemande!F131)-7)),""),"")</f>
        <v/>
      </c>
    </row>
    <row r="73" spans="1:7" x14ac:dyDescent="0.3">
      <c r="A73" t="str">
        <f>DataDemande!N132</f>
        <v/>
      </c>
      <c r="B73" t="str">
        <f t="shared" si="2"/>
        <v/>
      </c>
      <c r="C73" t="str">
        <f t="shared" si="3"/>
        <v/>
      </c>
      <c r="D73" s="8" t="str">
        <f>IFERROR(IF(FIND("Km",DataDemande!$B132),IF(DataDemande!$B133="",IF(FIND("Pax",DataDemande!C132),VALUE(LEFT(DataDemande!C132,LEN(DataDemande!C132)-4)),))),"")</f>
        <v/>
      </c>
      <c r="E73" s="8" t="str">
        <f>IFERROR(IF(FIND("Km",DataDemande!$B132),IF(DataDemande!$B133="",IF(FIND("Pax",DataDemande!D132),VALUE(LEFT(DataDemande!D132,LEN(DataDemande!D132)-4)),))),"")</f>
        <v/>
      </c>
      <c r="F73" s="8" t="str">
        <f>IFERROR(IF(FIND("Km",DataDemande!$B132),IF(DataDemande!$B133="",IF(FIND("Pax",DataDemande!E132),VALUE(LEFT(DataDemande!E132,LEN(DataDemande!E132)-4)),))),"")</f>
        <v/>
      </c>
      <c r="G73" s="8" t="str">
        <f>IFERROR(IF($D73&lt;&gt;"",VALUE(LEFT(DataDemande!F132,LEN(DataDemande!F132)-7)),""),"")</f>
        <v/>
      </c>
    </row>
    <row r="74" spans="1:7" x14ac:dyDescent="0.3">
      <c r="A74" t="str">
        <f>DataDemande!N133</f>
        <v/>
      </c>
      <c r="B74" t="str">
        <f t="shared" si="2"/>
        <v/>
      </c>
      <c r="C74" t="str">
        <f t="shared" si="3"/>
        <v/>
      </c>
      <c r="D74" s="8" t="str">
        <f>IFERROR(IF(FIND("Km",DataDemande!$B133),IF(DataDemande!$B134="",IF(FIND("Pax",DataDemande!C133),VALUE(LEFT(DataDemande!C133,LEN(DataDemande!C133)-4)),))),"")</f>
        <v/>
      </c>
      <c r="E74" s="8" t="str">
        <f>IFERROR(IF(FIND("Km",DataDemande!$B133),IF(DataDemande!$B134="",IF(FIND("Pax",DataDemande!D133),VALUE(LEFT(DataDemande!D133,LEN(DataDemande!D133)-4)),))),"")</f>
        <v/>
      </c>
      <c r="F74" s="8" t="str">
        <f>IFERROR(IF(FIND("Km",DataDemande!$B133),IF(DataDemande!$B134="",IF(FIND("Pax",DataDemande!E133),VALUE(LEFT(DataDemande!E133,LEN(DataDemande!E133)-4)),))),"")</f>
        <v/>
      </c>
      <c r="G74" s="8" t="str">
        <f>IFERROR(IF($D74&lt;&gt;"",VALUE(LEFT(DataDemande!F133,LEN(DataDemande!F133)-7)),""),"")</f>
        <v/>
      </c>
    </row>
    <row r="75" spans="1:7" x14ac:dyDescent="0.3">
      <c r="A75" t="str">
        <f>DataDemande!N134</f>
        <v/>
      </c>
      <c r="B75" t="str">
        <f t="shared" si="2"/>
        <v/>
      </c>
      <c r="C75" t="str">
        <f t="shared" si="3"/>
        <v/>
      </c>
      <c r="D75" s="8" t="str">
        <f>IFERROR(IF(FIND("Km",DataDemande!$B134),IF(DataDemande!$B135="",IF(FIND("Pax",DataDemande!C134),VALUE(LEFT(DataDemande!C134,LEN(DataDemande!C134)-4)),))),"")</f>
        <v/>
      </c>
      <c r="E75" s="8" t="str">
        <f>IFERROR(IF(FIND("Km",DataDemande!$B134),IF(DataDemande!$B135="",IF(FIND("Pax",DataDemande!D134),VALUE(LEFT(DataDemande!D134,LEN(DataDemande!D134)-4)),))),"")</f>
        <v/>
      </c>
      <c r="F75" s="8" t="str">
        <f>IFERROR(IF(FIND("Km",DataDemande!$B134),IF(DataDemande!$B135="",IF(FIND("Pax",DataDemande!E134),VALUE(LEFT(DataDemande!E134,LEN(DataDemande!E134)-4)),))),"")</f>
        <v/>
      </c>
      <c r="G75" s="8" t="str">
        <f>IFERROR(IF($D75&lt;&gt;"",VALUE(LEFT(DataDemande!F134,LEN(DataDemande!F134)-7)),""),"")</f>
        <v/>
      </c>
    </row>
    <row r="76" spans="1:7" x14ac:dyDescent="0.3">
      <c r="A76" t="str">
        <f>DataDemande!N135</f>
        <v/>
      </c>
      <c r="B76" t="str">
        <f t="shared" si="2"/>
        <v/>
      </c>
      <c r="C76" t="str">
        <f t="shared" si="3"/>
        <v/>
      </c>
      <c r="D76" s="8" t="str">
        <f>IFERROR(IF(FIND("Km",DataDemande!$B135),IF(DataDemande!$B136="",IF(FIND("Pax",DataDemande!C135),VALUE(LEFT(DataDemande!C135,LEN(DataDemande!C135)-4)),))),"")</f>
        <v/>
      </c>
      <c r="E76" s="8" t="str">
        <f>IFERROR(IF(FIND("Km",DataDemande!$B135),IF(DataDemande!$B136="",IF(FIND("Pax",DataDemande!D135),VALUE(LEFT(DataDemande!D135,LEN(DataDemande!D135)-4)),))),"")</f>
        <v/>
      </c>
      <c r="F76" s="8" t="str">
        <f>IFERROR(IF(FIND("Km",DataDemande!$B135),IF(DataDemande!$B136="",IF(FIND("Pax",DataDemande!E135),VALUE(LEFT(DataDemande!E135,LEN(DataDemande!E135)-4)),))),"")</f>
        <v/>
      </c>
      <c r="G76" s="8" t="str">
        <f>IFERROR(IF($D76&lt;&gt;"",VALUE(LEFT(DataDemande!F135,LEN(DataDemande!F135)-7)),""),"")</f>
        <v/>
      </c>
    </row>
    <row r="77" spans="1:7" x14ac:dyDescent="0.3">
      <c r="A77" t="str">
        <f>DataDemande!N136</f>
        <v/>
      </c>
      <c r="B77" t="str">
        <f t="shared" si="2"/>
        <v/>
      </c>
      <c r="C77" t="str">
        <f t="shared" si="3"/>
        <v/>
      </c>
      <c r="D77" s="8" t="str">
        <f>IFERROR(IF(FIND("Km",DataDemande!$B136),IF(DataDemande!$B137="",IF(FIND("Pax",DataDemande!C136),VALUE(LEFT(DataDemande!C136,LEN(DataDemande!C136)-4)),))),"")</f>
        <v/>
      </c>
      <c r="E77" s="8" t="str">
        <f>IFERROR(IF(FIND("Km",DataDemande!$B136),IF(DataDemande!$B137="",IF(FIND("Pax",DataDemande!D136),VALUE(LEFT(DataDemande!D136,LEN(DataDemande!D136)-4)),))),"")</f>
        <v/>
      </c>
      <c r="F77" s="8" t="str">
        <f>IFERROR(IF(FIND("Km",DataDemande!$B136),IF(DataDemande!$B137="",IF(FIND("Pax",DataDemande!E136),VALUE(LEFT(DataDemande!E136,LEN(DataDemande!E136)-4)),))),"")</f>
        <v/>
      </c>
      <c r="G77" s="8" t="str">
        <f>IFERROR(IF($D77&lt;&gt;"",VALUE(LEFT(DataDemande!F136,LEN(DataDemande!F136)-7)),""),"")</f>
        <v/>
      </c>
    </row>
    <row r="78" spans="1:7" x14ac:dyDescent="0.3">
      <c r="A78" t="str">
        <f>DataDemande!N137</f>
        <v/>
      </c>
      <c r="B78" t="str">
        <f t="shared" si="2"/>
        <v/>
      </c>
      <c r="C78" t="str">
        <f t="shared" si="3"/>
        <v/>
      </c>
      <c r="D78" s="8" t="str">
        <f>IFERROR(IF(FIND("Km",DataDemande!$B137),IF(DataDemande!$B138="",IF(FIND("Pax",DataDemande!C137),VALUE(LEFT(DataDemande!C137,LEN(DataDemande!C137)-4)),))),"")</f>
        <v/>
      </c>
      <c r="E78" s="8" t="str">
        <f>IFERROR(IF(FIND("Km",DataDemande!$B137),IF(DataDemande!$B138="",IF(FIND("Pax",DataDemande!D137),VALUE(LEFT(DataDemande!D137,LEN(DataDemande!D137)-4)),))),"")</f>
        <v/>
      </c>
      <c r="F78" s="8" t="str">
        <f>IFERROR(IF(FIND("Km",DataDemande!$B137),IF(DataDemande!$B138="",IF(FIND("Pax",DataDemande!E137),VALUE(LEFT(DataDemande!E137,LEN(DataDemande!E137)-4)),))),"")</f>
        <v/>
      </c>
      <c r="G78" s="8" t="str">
        <f>IFERROR(IF($D78&lt;&gt;"",VALUE(LEFT(DataDemande!F137,LEN(DataDemande!F137)-7)),""),"")</f>
        <v/>
      </c>
    </row>
    <row r="79" spans="1:7" x14ac:dyDescent="0.3">
      <c r="A79" t="str">
        <f>DataDemande!N138</f>
        <v/>
      </c>
      <c r="B79" t="str">
        <f t="shared" si="2"/>
        <v/>
      </c>
      <c r="C79" t="str">
        <f t="shared" si="3"/>
        <v/>
      </c>
      <c r="D79" s="8" t="str">
        <f>IFERROR(IF(FIND("Km",DataDemande!$B138),IF(DataDemande!$B139="",IF(FIND("Pax",DataDemande!C138),VALUE(LEFT(DataDemande!C138,LEN(DataDemande!C138)-4)),))),"")</f>
        <v/>
      </c>
      <c r="E79" s="8" t="str">
        <f>IFERROR(IF(FIND("Km",DataDemande!$B138),IF(DataDemande!$B139="",IF(FIND("Pax",DataDemande!D138),VALUE(LEFT(DataDemande!D138,LEN(DataDemande!D138)-4)),))),"")</f>
        <v/>
      </c>
      <c r="F79" s="8" t="str">
        <f>IFERROR(IF(FIND("Km",DataDemande!$B138),IF(DataDemande!$B139="",IF(FIND("Pax",DataDemande!E138),VALUE(LEFT(DataDemande!E138,LEN(DataDemande!E138)-4)),))),"")</f>
        <v/>
      </c>
      <c r="G79" s="8" t="str">
        <f>IFERROR(IF($D79&lt;&gt;"",VALUE(LEFT(DataDemande!F138,LEN(DataDemande!F138)-7)),""),"")</f>
        <v/>
      </c>
    </row>
    <row r="80" spans="1:7" x14ac:dyDescent="0.3">
      <c r="A80" t="str">
        <f>DataDemande!N139</f>
        <v/>
      </c>
      <c r="B80" t="str">
        <f t="shared" si="2"/>
        <v/>
      </c>
      <c r="C80" t="str">
        <f t="shared" si="3"/>
        <v/>
      </c>
      <c r="D80" s="8" t="str">
        <f>IFERROR(IF(FIND("Km",DataDemande!$B139),IF(DataDemande!$B140="",IF(FIND("Pax",DataDemande!C139),VALUE(LEFT(DataDemande!C139,LEN(DataDemande!C139)-4)),))),"")</f>
        <v/>
      </c>
      <c r="E80" s="8" t="str">
        <f>IFERROR(IF(FIND("Km",DataDemande!$B139),IF(DataDemande!$B140="",IF(FIND("Pax",DataDemande!D139),VALUE(LEFT(DataDemande!D139,LEN(DataDemande!D139)-4)),))),"")</f>
        <v/>
      </c>
      <c r="F80" s="8" t="str">
        <f>IFERROR(IF(FIND("Km",DataDemande!$B139),IF(DataDemande!$B140="",IF(FIND("Pax",DataDemande!E139),VALUE(LEFT(DataDemande!E139,LEN(DataDemande!E139)-4)),))),"")</f>
        <v/>
      </c>
      <c r="G80" s="8" t="str">
        <f>IFERROR(IF($D80&lt;&gt;"",VALUE(LEFT(DataDemande!F139,LEN(DataDemande!F139)-7)),""),"")</f>
        <v/>
      </c>
    </row>
    <row r="81" spans="1:7" x14ac:dyDescent="0.3">
      <c r="A81" t="str">
        <f>DataDemande!N140</f>
        <v/>
      </c>
      <c r="B81" t="str">
        <f t="shared" si="2"/>
        <v/>
      </c>
      <c r="C81" t="str">
        <f t="shared" si="3"/>
        <v/>
      </c>
      <c r="D81" s="8" t="str">
        <f>IFERROR(IF(FIND("Km",DataDemande!$B140),IF(DataDemande!$B141="",IF(FIND("Pax",DataDemande!C140),VALUE(LEFT(DataDemande!C140,LEN(DataDemande!C140)-4)),))),"")</f>
        <v/>
      </c>
      <c r="E81" s="8" t="str">
        <f>IFERROR(IF(FIND("Km",DataDemande!$B140),IF(DataDemande!$B141="",IF(FIND("Pax",DataDemande!D140),VALUE(LEFT(DataDemande!D140,LEN(DataDemande!D140)-4)),))),"")</f>
        <v/>
      </c>
      <c r="F81" s="8" t="str">
        <f>IFERROR(IF(FIND("Km",DataDemande!$B140),IF(DataDemande!$B141="",IF(FIND("Pax",DataDemande!E140),VALUE(LEFT(DataDemande!E140,LEN(DataDemande!E140)-4)),))),"")</f>
        <v/>
      </c>
      <c r="G81" s="8" t="str">
        <f>IFERROR(IF($D81&lt;&gt;"",VALUE(LEFT(DataDemande!F140,LEN(DataDemande!F140)-7)),""),"")</f>
        <v/>
      </c>
    </row>
    <row r="82" spans="1:7" x14ac:dyDescent="0.3">
      <c r="A82" t="str">
        <f>DataDemande!N141</f>
        <v/>
      </c>
      <c r="B82" t="str">
        <f t="shared" si="2"/>
        <v/>
      </c>
      <c r="C82" t="str">
        <f t="shared" si="3"/>
        <v/>
      </c>
      <c r="D82" s="8" t="str">
        <f>IFERROR(IF(FIND("Km",DataDemande!$B141),IF(DataDemande!$B142="",IF(FIND("Pax",DataDemande!C141),VALUE(LEFT(DataDemande!C141,LEN(DataDemande!C141)-4)),))),"")</f>
        <v/>
      </c>
      <c r="E82" s="8" t="str">
        <f>IFERROR(IF(FIND("Km",DataDemande!$B141),IF(DataDemande!$B142="",IF(FIND("Pax",DataDemande!D141),VALUE(LEFT(DataDemande!D141,LEN(DataDemande!D141)-4)),))),"")</f>
        <v/>
      </c>
      <c r="F82" s="8" t="str">
        <f>IFERROR(IF(FIND("Km",DataDemande!$B141),IF(DataDemande!$B142="",IF(FIND("Pax",DataDemande!E141),VALUE(LEFT(DataDemande!E141,LEN(DataDemande!E141)-4)),))),"")</f>
        <v/>
      </c>
      <c r="G82" s="8" t="str">
        <f>IFERROR(IF($D82&lt;&gt;"",VALUE(LEFT(DataDemande!F141,LEN(DataDemande!F141)-7)),""),"")</f>
        <v/>
      </c>
    </row>
    <row r="83" spans="1:7" x14ac:dyDescent="0.3">
      <c r="A83" t="str">
        <f>DataDemande!N142</f>
        <v/>
      </c>
      <c r="B83" t="str">
        <f t="shared" si="2"/>
        <v/>
      </c>
      <c r="C83" t="str">
        <f t="shared" si="3"/>
        <v/>
      </c>
      <c r="D83" s="8" t="str">
        <f>IFERROR(IF(FIND("Km",DataDemande!$B142),IF(DataDemande!$B143="",IF(FIND("Pax",DataDemande!C142),VALUE(LEFT(DataDemande!C142,LEN(DataDemande!C142)-4)),))),"")</f>
        <v/>
      </c>
      <c r="E83" s="8" t="str">
        <f>IFERROR(IF(FIND("Km",DataDemande!$B142),IF(DataDemande!$B143="",IF(FIND("Pax",DataDemande!D142),VALUE(LEFT(DataDemande!D142,LEN(DataDemande!D142)-4)),))),"")</f>
        <v/>
      </c>
      <c r="F83" s="8" t="str">
        <f>IFERROR(IF(FIND("Km",DataDemande!$B142),IF(DataDemande!$B143="",IF(FIND("Pax",DataDemande!E142),VALUE(LEFT(DataDemande!E142,LEN(DataDemande!E142)-4)),))),"")</f>
        <v/>
      </c>
      <c r="G83" s="8" t="str">
        <f>IFERROR(IF($D83&lt;&gt;"",VALUE(LEFT(DataDemande!F142,LEN(DataDemande!F142)-7)),""),"")</f>
        <v/>
      </c>
    </row>
    <row r="84" spans="1:7" x14ac:dyDescent="0.3">
      <c r="A84" t="str">
        <f>DataDemande!N143</f>
        <v/>
      </c>
      <c r="B84" t="str">
        <f t="shared" si="2"/>
        <v/>
      </c>
      <c r="C84" t="str">
        <f t="shared" si="3"/>
        <v/>
      </c>
      <c r="D84" s="8" t="str">
        <f>IFERROR(IF(FIND("Km",DataDemande!$B143),IF(DataDemande!$B144="",IF(FIND("Pax",DataDemande!C143),VALUE(LEFT(DataDemande!C143,LEN(DataDemande!C143)-4)),))),"")</f>
        <v/>
      </c>
      <c r="E84" s="8" t="str">
        <f>IFERROR(IF(FIND("Km",DataDemande!$B143),IF(DataDemande!$B144="",IF(FIND("Pax",DataDemande!D143),VALUE(LEFT(DataDemande!D143,LEN(DataDemande!D143)-4)),))),"")</f>
        <v/>
      </c>
      <c r="F84" s="8" t="str">
        <f>IFERROR(IF(FIND("Km",DataDemande!$B143),IF(DataDemande!$B144="",IF(FIND("Pax",DataDemande!E143),VALUE(LEFT(DataDemande!E143,LEN(DataDemande!E143)-4)),))),"")</f>
        <v/>
      </c>
      <c r="G84" s="8" t="str">
        <f>IFERROR(IF($D84&lt;&gt;"",VALUE(LEFT(DataDemande!F143,LEN(DataDemande!F143)-7)),""),"")</f>
        <v/>
      </c>
    </row>
    <row r="85" spans="1:7" x14ac:dyDescent="0.3">
      <c r="A85" t="str">
        <f>DataDemande!N144</f>
        <v/>
      </c>
      <c r="B85" t="str">
        <f t="shared" si="2"/>
        <v/>
      </c>
      <c r="C85" t="str">
        <f t="shared" si="3"/>
        <v/>
      </c>
      <c r="D85" s="8" t="str">
        <f>IFERROR(IF(FIND("Km",DataDemande!$B144),IF(DataDemande!$B145="",IF(FIND("Pax",DataDemande!C144),VALUE(LEFT(DataDemande!C144,LEN(DataDemande!C144)-4)),))),"")</f>
        <v/>
      </c>
      <c r="E85" s="8" t="str">
        <f>IFERROR(IF(FIND("Km",DataDemande!$B144),IF(DataDemande!$B145="",IF(FIND("Pax",DataDemande!D144),VALUE(LEFT(DataDemande!D144,LEN(DataDemande!D144)-4)),))),"")</f>
        <v/>
      </c>
      <c r="F85" s="8" t="str">
        <f>IFERROR(IF(FIND("Km",DataDemande!$B144),IF(DataDemande!$B145="",IF(FIND("Pax",DataDemande!E144),VALUE(LEFT(DataDemande!E144,LEN(DataDemande!E144)-4)),))),"")</f>
        <v/>
      </c>
      <c r="G85" s="8" t="str">
        <f>IFERROR(IF($D85&lt;&gt;"",VALUE(LEFT(DataDemande!F144,LEN(DataDemande!F144)-7)),""),"")</f>
        <v/>
      </c>
    </row>
    <row r="86" spans="1:7" x14ac:dyDescent="0.3">
      <c r="A86" t="str">
        <f>DataDemande!N145</f>
        <v/>
      </c>
      <c r="B86" t="str">
        <f t="shared" si="2"/>
        <v/>
      </c>
      <c r="C86" t="str">
        <f t="shared" si="3"/>
        <v/>
      </c>
      <c r="D86" s="8" t="str">
        <f>IFERROR(IF(FIND("Km",DataDemande!$B145),IF(DataDemande!$B146="",IF(FIND("Pax",DataDemande!C145),VALUE(LEFT(DataDemande!C145,LEN(DataDemande!C145)-4)),))),"")</f>
        <v/>
      </c>
      <c r="E86" s="8" t="str">
        <f>IFERROR(IF(FIND("Km",DataDemande!$B145),IF(DataDemande!$B146="",IF(FIND("Pax",DataDemande!D145),VALUE(LEFT(DataDemande!D145,LEN(DataDemande!D145)-4)),))),"")</f>
        <v/>
      </c>
      <c r="F86" s="8" t="str">
        <f>IFERROR(IF(FIND("Km",DataDemande!$B145),IF(DataDemande!$B146="",IF(FIND("Pax",DataDemande!E145),VALUE(LEFT(DataDemande!E145,LEN(DataDemande!E145)-4)),))),"")</f>
        <v/>
      </c>
      <c r="G86" s="8" t="str">
        <f>IFERROR(IF($D86&lt;&gt;"",VALUE(LEFT(DataDemande!F145,LEN(DataDemande!F145)-7)),""),"")</f>
        <v/>
      </c>
    </row>
    <row r="87" spans="1:7" x14ac:dyDescent="0.3">
      <c r="A87" t="str">
        <f>DataDemande!N146</f>
        <v/>
      </c>
      <c r="B87" t="str">
        <f t="shared" si="2"/>
        <v/>
      </c>
      <c r="C87" t="str">
        <f t="shared" si="3"/>
        <v/>
      </c>
      <c r="D87" s="8" t="str">
        <f>IFERROR(IF(FIND("Km",DataDemande!$B146),IF(DataDemande!$B147="",IF(FIND("Pax",DataDemande!C146),VALUE(LEFT(DataDemande!C146,LEN(DataDemande!C146)-4)),))),"")</f>
        <v/>
      </c>
      <c r="E87" s="8" t="str">
        <f>IFERROR(IF(FIND("Km",DataDemande!$B146),IF(DataDemande!$B147="",IF(FIND("Pax",DataDemande!D146),VALUE(LEFT(DataDemande!D146,LEN(DataDemande!D146)-4)),))),"")</f>
        <v/>
      </c>
      <c r="F87" s="8" t="str">
        <f>IFERROR(IF(FIND("Km",DataDemande!$B146),IF(DataDemande!$B147="",IF(FIND("Pax",DataDemande!E146),VALUE(LEFT(DataDemande!E146,LEN(DataDemande!E146)-4)),))),"")</f>
        <v/>
      </c>
      <c r="G87" s="8" t="str">
        <f>IFERROR(IF($D87&lt;&gt;"",VALUE(LEFT(DataDemande!F146,LEN(DataDemande!F146)-7)),""),"")</f>
        <v/>
      </c>
    </row>
    <row r="88" spans="1:7" x14ac:dyDescent="0.3">
      <c r="A88" t="str">
        <f>DataDemande!N147</f>
        <v/>
      </c>
      <c r="B88" t="str">
        <f t="shared" si="2"/>
        <v/>
      </c>
      <c r="C88" t="str">
        <f t="shared" si="3"/>
        <v/>
      </c>
      <c r="D88" s="8" t="str">
        <f>IFERROR(IF(FIND("Km",DataDemande!$B147),IF(DataDemande!$B148="",IF(FIND("Pax",DataDemande!C147),VALUE(LEFT(DataDemande!C147,LEN(DataDemande!C147)-4)),))),"")</f>
        <v/>
      </c>
      <c r="E88" s="8" t="str">
        <f>IFERROR(IF(FIND("Km",DataDemande!$B147),IF(DataDemande!$B148="",IF(FIND("Pax",DataDemande!D147),VALUE(LEFT(DataDemande!D147,LEN(DataDemande!D147)-4)),))),"")</f>
        <v/>
      </c>
      <c r="F88" s="8" t="str">
        <f>IFERROR(IF(FIND("Km",DataDemande!$B147),IF(DataDemande!$B148="",IF(FIND("Pax",DataDemande!E147),VALUE(LEFT(DataDemande!E147,LEN(DataDemande!E147)-4)),))),"")</f>
        <v/>
      </c>
      <c r="G88" s="8" t="str">
        <f>IFERROR(IF($D88&lt;&gt;"",VALUE(LEFT(DataDemande!F147,LEN(DataDemande!F147)-7)),""),"")</f>
        <v/>
      </c>
    </row>
    <row r="89" spans="1:7" x14ac:dyDescent="0.3">
      <c r="A89" t="str">
        <f>DataDemande!N148</f>
        <v/>
      </c>
      <c r="B89" t="str">
        <f t="shared" si="2"/>
        <v/>
      </c>
      <c r="C89" t="str">
        <f t="shared" si="3"/>
        <v/>
      </c>
      <c r="D89" s="8" t="str">
        <f>IFERROR(IF(FIND("Km",DataDemande!$B148),IF(DataDemande!$B149="",IF(FIND("Pax",DataDemande!C148),VALUE(LEFT(DataDemande!C148,LEN(DataDemande!C148)-4)),))),"")</f>
        <v/>
      </c>
      <c r="E89" s="8" t="str">
        <f>IFERROR(IF(FIND("Km",DataDemande!$B148),IF(DataDemande!$B149="",IF(FIND("Pax",DataDemande!D148),VALUE(LEFT(DataDemande!D148,LEN(DataDemande!D148)-4)),))),"")</f>
        <v/>
      </c>
      <c r="F89" s="8" t="str">
        <f>IFERROR(IF(FIND("Km",DataDemande!$B148),IF(DataDemande!$B149="",IF(FIND("Pax",DataDemande!E148),VALUE(LEFT(DataDemande!E148,LEN(DataDemande!E148)-4)),))),"")</f>
        <v/>
      </c>
      <c r="G89" s="8" t="str">
        <f>IFERROR(IF($D89&lt;&gt;"",VALUE(LEFT(DataDemande!F148,LEN(DataDemande!F148)-7)),""),"")</f>
        <v/>
      </c>
    </row>
    <row r="90" spans="1:7" x14ac:dyDescent="0.3">
      <c r="A90" t="str">
        <f>DataDemande!N149</f>
        <v/>
      </c>
      <c r="B90" t="str">
        <f t="shared" si="2"/>
        <v/>
      </c>
      <c r="C90" t="str">
        <f t="shared" si="3"/>
        <v/>
      </c>
      <c r="D90" s="8" t="str">
        <f>IFERROR(IF(FIND("Km",DataDemande!$B149),IF(DataDemande!$B150="",IF(FIND("Pax",DataDemande!C149),VALUE(LEFT(DataDemande!C149,LEN(DataDemande!C149)-4)),))),"")</f>
        <v/>
      </c>
      <c r="E90" s="8" t="str">
        <f>IFERROR(IF(FIND("Km",DataDemande!$B149),IF(DataDemande!$B150="",IF(FIND("Pax",DataDemande!D149),VALUE(LEFT(DataDemande!D149,LEN(DataDemande!D149)-4)),))),"")</f>
        <v/>
      </c>
      <c r="F90" s="8" t="str">
        <f>IFERROR(IF(FIND("Km",DataDemande!$B149),IF(DataDemande!$B150="",IF(FIND("Pax",DataDemande!E149),VALUE(LEFT(DataDemande!E149,LEN(DataDemande!E149)-4)),))),"")</f>
        <v/>
      </c>
      <c r="G90" s="8" t="str">
        <f>IFERROR(IF($D90&lt;&gt;"",VALUE(LEFT(DataDemande!F149,LEN(DataDemande!F149)-7)),""),"")</f>
        <v/>
      </c>
    </row>
    <row r="91" spans="1:7" x14ac:dyDescent="0.3">
      <c r="A91" t="str">
        <f>DataDemande!N150</f>
        <v/>
      </c>
      <c r="B91" t="str">
        <f t="shared" si="2"/>
        <v/>
      </c>
      <c r="C91" t="str">
        <f t="shared" si="3"/>
        <v/>
      </c>
      <c r="D91" s="8" t="str">
        <f>IFERROR(IF(FIND("Km",DataDemande!$B150),IF(DataDemande!$B151="",IF(FIND("Pax",DataDemande!C150),VALUE(LEFT(DataDemande!C150,LEN(DataDemande!C150)-4)),))),"")</f>
        <v/>
      </c>
      <c r="E91" s="8" t="str">
        <f>IFERROR(IF(FIND("Km",DataDemande!$B150),IF(DataDemande!$B151="",IF(FIND("Pax",DataDemande!D150),VALUE(LEFT(DataDemande!D150,LEN(DataDemande!D150)-4)),))),"")</f>
        <v/>
      </c>
      <c r="F91" s="8" t="str">
        <f>IFERROR(IF(FIND("Km",DataDemande!$B150),IF(DataDemande!$B151="",IF(FIND("Pax",DataDemande!E150),VALUE(LEFT(DataDemande!E150,LEN(DataDemande!E150)-4)),))),"")</f>
        <v/>
      </c>
      <c r="G91" s="8" t="str">
        <f>IFERROR(IF($D91&lt;&gt;"",VALUE(LEFT(DataDemande!F150,LEN(DataDemande!F150)-7)),""),"")</f>
        <v/>
      </c>
    </row>
    <row r="92" spans="1:7" x14ac:dyDescent="0.3">
      <c r="A92" t="str">
        <f>DataDemande!N151</f>
        <v/>
      </c>
      <c r="B92" t="str">
        <f t="shared" si="2"/>
        <v/>
      </c>
      <c r="C92" t="str">
        <f t="shared" si="3"/>
        <v/>
      </c>
      <c r="D92" s="8" t="str">
        <f>IFERROR(IF(FIND("Km",DataDemande!$B151),IF(DataDemande!$B152="",IF(FIND("Pax",DataDemande!C151),VALUE(LEFT(DataDemande!C151,LEN(DataDemande!C151)-4)),))),"")</f>
        <v/>
      </c>
      <c r="E92" s="8" t="str">
        <f>IFERROR(IF(FIND("Km",DataDemande!$B151),IF(DataDemande!$B152="",IF(FIND("Pax",DataDemande!D151),VALUE(LEFT(DataDemande!D151,LEN(DataDemande!D151)-4)),))),"")</f>
        <v/>
      </c>
      <c r="F92" s="8" t="str">
        <f>IFERROR(IF(FIND("Km",DataDemande!$B151),IF(DataDemande!$B152="",IF(FIND("Pax",DataDemande!E151),VALUE(LEFT(DataDemande!E151,LEN(DataDemande!E151)-4)),))),"")</f>
        <v/>
      </c>
      <c r="G92" s="8" t="str">
        <f>IFERROR(IF($D92&lt;&gt;"",VALUE(LEFT(DataDemande!F151,LEN(DataDemande!F151)-7)),""),"")</f>
        <v/>
      </c>
    </row>
    <row r="93" spans="1:7" x14ac:dyDescent="0.3">
      <c r="A93" t="str">
        <f>DataDemande!N152</f>
        <v/>
      </c>
      <c r="B93" t="str">
        <f t="shared" si="2"/>
        <v/>
      </c>
      <c r="C93" t="str">
        <f t="shared" si="3"/>
        <v/>
      </c>
      <c r="D93" s="8" t="str">
        <f>IFERROR(IF(FIND("Km",DataDemande!$B152),IF(DataDemande!$B153="",IF(FIND("Pax",DataDemande!C152),VALUE(LEFT(DataDemande!C152,LEN(DataDemande!C152)-4)),))),"")</f>
        <v/>
      </c>
      <c r="E93" s="8" t="str">
        <f>IFERROR(IF(FIND("Km",DataDemande!$B152),IF(DataDemande!$B153="",IF(FIND("Pax",DataDemande!D152),VALUE(LEFT(DataDemande!D152,LEN(DataDemande!D152)-4)),))),"")</f>
        <v/>
      </c>
      <c r="F93" s="8" t="str">
        <f>IFERROR(IF(FIND("Km",DataDemande!$B152),IF(DataDemande!$B153="",IF(FIND("Pax",DataDemande!E152),VALUE(LEFT(DataDemande!E152,LEN(DataDemande!E152)-4)),))),"")</f>
        <v/>
      </c>
      <c r="G93" s="8" t="str">
        <f>IFERROR(IF($D93&lt;&gt;"",VALUE(LEFT(DataDemande!F152,LEN(DataDemande!F152)-7)),""),"")</f>
        <v/>
      </c>
    </row>
    <row r="94" spans="1:7" x14ac:dyDescent="0.3">
      <c r="A94" t="str">
        <f>DataDemande!N153</f>
        <v/>
      </c>
      <c r="B94" t="str">
        <f t="shared" si="2"/>
        <v/>
      </c>
      <c r="C94" t="str">
        <f t="shared" si="3"/>
        <v/>
      </c>
      <c r="D94" s="8" t="str">
        <f>IFERROR(IF(FIND("Km",DataDemande!$B153),IF(DataDemande!$B154="",IF(FIND("Pax",DataDemande!C153),VALUE(LEFT(DataDemande!C153,LEN(DataDemande!C153)-4)),))),"")</f>
        <v/>
      </c>
      <c r="E94" s="8" t="str">
        <f>IFERROR(IF(FIND("Km",DataDemande!$B153),IF(DataDemande!$B154="",IF(FIND("Pax",DataDemande!D153),VALUE(LEFT(DataDemande!D153,LEN(DataDemande!D153)-4)),))),"")</f>
        <v/>
      </c>
      <c r="F94" s="8" t="str">
        <f>IFERROR(IF(FIND("Km",DataDemande!$B153),IF(DataDemande!$B154="",IF(FIND("Pax",DataDemande!E153),VALUE(LEFT(DataDemande!E153,LEN(DataDemande!E153)-4)),))),"")</f>
        <v/>
      </c>
      <c r="G94" s="8" t="str">
        <f>IFERROR(IF($D94&lt;&gt;"",VALUE(LEFT(DataDemande!F153,LEN(DataDemande!F153)-7)),""),"")</f>
        <v/>
      </c>
    </row>
    <row r="95" spans="1:7" x14ac:dyDescent="0.3">
      <c r="A95" t="str">
        <f>DataDemande!N154</f>
        <v/>
      </c>
      <c r="B95" t="str">
        <f t="shared" si="2"/>
        <v/>
      </c>
      <c r="C95" t="str">
        <f t="shared" si="3"/>
        <v/>
      </c>
      <c r="D95" s="8" t="str">
        <f>IFERROR(IF(FIND("Km",DataDemande!$B154),IF(DataDemande!$B155="",IF(FIND("Pax",DataDemande!C154),VALUE(LEFT(DataDemande!C154,LEN(DataDemande!C154)-4)),))),"")</f>
        <v/>
      </c>
      <c r="E95" s="8" t="str">
        <f>IFERROR(IF(FIND("Km",DataDemande!$B154),IF(DataDemande!$B155="",IF(FIND("Pax",DataDemande!D154),VALUE(LEFT(DataDemande!D154,LEN(DataDemande!D154)-4)),))),"")</f>
        <v/>
      </c>
      <c r="F95" s="8" t="str">
        <f>IFERROR(IF(FIND("Km",DataDemande!$B154),IF(DataDemande!$B155="",IF(FIND("Pax",DataDemande!E154),VALUE(LEFT(DataDemande!E154,LEN(DataDemande!E154)-4)),))),"")</f>
        <v/>
      </c>
      <c r="G95" s="8" t="str">
        <f>IFERROR(IF($D95&lt;&gt;"",VALUE(LEFT(DataDemande!F154,LEN(DataDemande!F154)-7)),""),"")</f>
        <v/>
      </c>
    </row>
    <row r="96" spans="1:7" x14ac:dyDescent="0.3">
      <c r="A96" t="str">
        <f>DataDemande!N155</f>
        <v/>
      </c>
      <c r="B96" t="str">
        <f t="shared" si="2"/>
        <v/>
      </c>
      <c r="C96" t="str">
        <f t="shared" si="3"/>
        <v/>
      </c>
      <c r="D96" s="8" t="str">
        <f>IFERROR(IF(FIND("Km",DataDemande!$B155),IF(DataDemande!$B156="",IF(FIND("Pax",DataDemande!C155),VALUE(LEFT(DataDemande!C155,LEN(DataDemande!C155)-4)),))),"")</f>
        <v/>
      </c>
      <c r="E96" s="8" t="str">
        <f>IFERROR(IF(FIND("Km",DataDemande!$B155),IF(DataDemande!$B156="",IF(FIND("Pax",DataDemande!D155),VALUE(LEFT(DataDemande!D155,LEN(DataDemande!D155)-4)),))),"")</f>
        <v/>
      </c>
      <c r="F96" s="8" t="str">
        <f>IFERROR(IF(FIND("Km",DataDemande!$B155),IF(DataDemande!$B156="",IF(FIND("Pax",DataDemande!E155),VALUE(LEFT(DataDemande!E155,LEN(DataDemande!E155)-4)),))),"")</f>
        <v/>
      </c>
      <c r="G96" s="8" t="str">
        <f>IFERROR(IF($D96&lt;&gt;"",VALUE(LEFT(DataDemande!F155,LEN(DataDemande!F155)-7)),""),"")</f>
        <v/>
      </c>
    </row>
    <row r="97" spans="1:7" x14ac:dyDescent="0.3">
      <c r="A97" t="str">
        <f>DataDemande!N156</f>
        <v/>
      </c>
      <c r="B97" t="str">
        <f t="shared" si="2"/>
        <v/>
      </c>
      <c r="C97" t="str">
        <f t="shared" si="3"/>
        <v/>
      </c>
      <c r="D97" s="8" t="str">
        <f>IFERROR(IF(FIND("Km",DataDemande!$B156),IF(DataDemande!$B157="",IF(FIND("Pax",DataDemande!C156),VALUE(LEFT(DataDemande!C156,LEN(DataDemande!C156)-4)),))),"")</f>
        <v/>
      </c>
      <c r="E97" s="8" t="str">
        <f>IFERROR(IF(FIND("Km",DataDemande!$B156),IF(DataDemande!$B157="",IF(FIND("Pax",DataDemande!D156),VALUE(LEFT(DataDemande!D156,LEN(DataDemande!D156)-4)),))),"")</f>
        <v/>
      </c>
      <c r="F97" s="8" t="str">
        <f>IFERROR(IF(FIND("Km",DataDemande!$B156),IF(DataDemande!$B157="",IF(FIND("Pax",DataDemande!E156),VALUE(LEFT(DataDemande!E156,LEN(DataDemande!E156)-4)),))),"")</f>
        <v/>
      </c>
      <c r="G97" s="8" t="str">
        <f>IFERROR(IF($D97&lt;&gt;"",VALUE(LEFT(DataDemande!F156,LEN(DataDemande!F156)-7)),""),"")</f>
        <v/>
      </c>
    </row>
    <row r="98" spans="1:7" x14ac:dyDescent="0.3">
      <c r="A98" t="str">
        <f>DataDemande!N157</f>
        <v/>
      </c>
      <c r="B98" t="str">
        <f t="shared" si="2"/>
        <v/>
      </c>
      <c r="C98" t="str">
        <f t="shared" si="3"/>
        <v/>
      </c>
      <c r="D98" s="8" t="str">
        <f>IFERROR(IF(FIND("Km",DataDemande!$B157),IF(DataDemande!$B158="",IF(FIND("Pax",DataDemande!C157),VALUE(LEFT(DataDemande!C157,LEN(DataDemande!C157)-4)),))),"")</f>
        <v/>
      </c>
      <c r="E98" s="8" t="str">
        <f>IFERROR(IF(FIND("Km",DataDemande!$B157),IF(DataDemande!$B158="",IF(FIND("Pax",DataDemande!D157),VALUE(LEFT(DataDemande!D157,LEN(DataDemande!D157)-4)),))),"")</f>
        <v/>
      </c>
      <c r="F98" s="8" t="str">
        <f>IFERROR(IF(FIND("Km",DataDemande!$B157),IF(DataDemande!$B158="",IF(FIND("Pax",DataDemande!E157),VALUE(LEFT(DataDemande!E157,LEN(DataDemande!E157)-4)),))),"")</f>
        <v/>
      </c>
      <c r="G98" s="8" t="str">
        <f>IFERROR(IF($D98&lt;&gt;"",VALUE(LEFT(DataDemande!F157,LEN(DataDemande!F157)-7)),""),"")</f>
        <v/>
      </c>
    </row>
    <row r="99" spans="1:7" x14ac:dyDescent="0.3">
      <c r="A99" t="str">
        <f>DataDemande!N158</f>
        <v/>
      </c>
      <c r="B99" t="str">
        <f t="shared" si="2"/>
        <v/>
      </c>
      <c r="C99" t="str">
        <f t="shared" si="3"/>
        <v/>
      </c>
      <c r="D99" s="8" t="str">
        <f>IFERROR(IF(FIND("Km",DataDemande!$B158),IF(DataDemande!$B159="",IF(FIND("Pax",DataDemande!C158),VALUE(LEFT(DataDemande!C158,LEN(DataDemande!C158)-4)),))),"")</f>
        <v/>
      </c>
      <c r="E99" s="8" t="str">
        <f>IFERROR(IF(FIND("Km",DataDemande!$B158),IF(DataDemande!$B159="",IF(FIND("Pax",DataDemande!D158),VALUE(LEFT(DataDemande!D158,LEN(DataDemande!D158)-4)),))),"")</f>
        <v/>
      </c>
      <c r="F99" s="8" t="str">
        <f>IFERROR(IF(FIND("Km",DataDemande!$B158),IF(DataDemande!$B159="",IF(FIND("Pax",DataDemande!E158),VALUE(LEFT(DataDemande!E158,LEN(DataDemande!E158)-4)),))),"")</f>
        <v/>
      </c>
      <c r="G99" s="8" t="str">
        <f>IFERROR(IF($D99&lt;&gt;"",VALUE(LEFT(DataDemande!F158,LEN(DataDemande!F158)-7)),""),"")</f>
        <v/>
      </c>
    </row>
    <row r="100" spans="1:7" x14ac:dyDescent="0.3">
      <c r="A100" t="str">
        <f>DataDemande!N159</f>
        <v/>
      </c>
      <c r="B100" t="str">
        <f t="shared" si="2"/>
        <v/>
      </c>
      <c r="C100" t="str">
        <f t="shared" si="3"/>
        <v/>
      </c>
      <c r="D100" s="8" t="str">
        <f>IFERROR(IF(FIND("Km",DataDemande!$B159),IF(DataDemande!$B160="",IF(FIND("Pax",DataDemande!C159),VALUE(LEFT(DataDemande!C159,LEN(DataDemande!C159)-4)),))),"")</f>
        <v/>
      </c>
      <c r="E100" s="8" t="str">
        <f>IFERROR(IF(FIND("Km",DataDemande!$B159),IF(DataDemande!$B160="",IF(FIND("Pax",DataDemande!D159),VALUE(LEFT(DataDemande!D159,LEN(DataDemande!D159)-4)),))),"")</f>
        <v/>
      </c>
      <c r="F100" s="8" t="str">
        <f>IFERROR(IF(FIND("Km",DataDemande!$B159),IF(DataDemande!$B160="",IF(FIND("Pax",DataDemande!E159),VALUE(LEFT(DataDemande!E159,LEN(DataDemande!E159)-4)),))),"")</f>
        <v/>
      </c>
      <c r="G100" s="8" t="str">
        <f>IFERROR(IF($D100&lt;&gt;"",VALUE(LEFT(DataDemande!F159,LEN(DataDemande!F159)-7)),""),"")</f>
        <v/>
      </c>
    </row>
    <row r="101" spans="1:7" x14ac:dyDescent="0.3">
      <c r="A101" t="str">
        <f>DataDemande!N160</f>
        <v/>
      </c>
      <c r="B101" t="str">
        <f t="shared" si="2"/>
        <v/>
      </c>
      <c r="C101" t="str">
        <f t="shared" si="3"/>
        <v/>
      </c>
      <c r="D101" s="8" t="str">
        <f>IFERROR(IF(FIND("Km",DataDemande!$B160),IF(DataDemande!$B161="",IF(FIND("Pax",DataDemande!C160),VALUE(LEFT(DataDemande!C160,LEN(DataDemande!C160)-4)),))),"")</f>
        <v/>
      </c>
      <c r="E101" s="8" t="str">
        <f>IFERROR(IF(FIND("Km",DataDemande!$B160),IF(DataDemande!$B161="",IF(FIND("Pax",DataDemande!D160),VALUE(LEFT(DataDemande!D160,LEN(DataDemande!D160)-4)),))),"")</f>
        <v/>
      </c>
      <c r="F101" s="8" t="str">
        <f>IFERROR(IF(FIND("Km",DataDemande!$B160),IF(DataDemande!$B161="",IF(FIND("Pax",DataDemande!E160),VALUE(LEFT(DataDemande!E160,LEN(DataDemande!E160)-4)),))),"")</f>
        <v/>
      </c>
      <c r="G101" s="8" t="str">
        <f>IFERROR(IF($D101&lt;&gt;"",VALUE(LEFT(DataDemande!F160,LEN(DataDemande!F160)-7)),""),"")</f>
        <v/>
      </c>
    </row>
    <row r="102" spans="1:7" x14ac:dyDescent="0.3">
      <c r="A102" t="str">
        <f>DataDemande!N161</f>
        <v/>
      </c>
      <c r="B102" t="str">
        <f t="shared" si="2"/>
        <v/>
      </c>
      <c r="C102" t="str">
        <f t="shared" si="3"/>
        <v/>
      </c>
      <c r="D102" s="8" t="str">
        <f>IFERROR(IF(FIND("Km",DataDemande!$B161),IF(DataDemande!$B162="",IF(FIND("Pax",DataDemande!C161),VALUE(LEFT(DataDemande!C161,LEN(DataDemande!C161)-4)),))),"")</f>
        <v/>
      </c>
      <c r="E102" s="8" t="str">
        <f>IFERROR(IF(FIND("Km",DataDemande!$B161),IF(DataDemande!$B162="",IF(FIND("Pax",DataDemande!D161),VALUE(LEFT(DataDemande!D161,LEN(DataDemande!D161)-4)),))),"")</f>
        <v/>
      </c>
      <c r="F102" s="8" t="str">
        <f>IFERROR(IF(FIND("Km",DataDemande!$B161),IF(DataDemande!$B162="",IF(FIND("Pax",DataDemande!E161),VALUE(LEFT(DataDemande!E161,LEN(DataDemande!E161)-4)),))),"")</f>
        <v/>
      </c>
      <c r="G102" s="8" t="str">
        <f>IFERROR(IF($D102&lt;&gt;"",VALUE(LEFT(DataDemande!F161,LEN(DataDemande!F161)-7)),""),"")</f>
        <v/>
      </c>
    </row>
    <row r="103" spans="1:7" x14ac:dyDescent="0.3">
      <c r="A103" t="str">
        <f>DataDemande!N162</f>
        <v/>
      </c>
      <c r="B103" t="str">
        <f t="shared" si="2"/>
        <v/>
      </c>
      <c r="C103" t="str">
        <f t="shared" si="3"/>
        <v/>
      </c>
      <c r="D103" s="8" t="str">
        <f>IFERROR(IF(FIND("Km",DataDemande!$B162),IF(DataDemande!$B163="",IF(FIND("Pax",DataDemande!C162),VALUE(LEFT(DataDemande!C162,LEN(DataDemande!C162)-4)),))),"")</f>
        <v/>
      </c>
      <c r="E103" s="8" t="str">
        <f>IFERROR(IF(FIND("Km",DataDemande!$B162),IF(DataDemande!$B163="",IF(FIND("Pax",DataDemande!D162),VALUE(LEFT(DataDemande!D162,LEN(DataDemande!D162)-4)),))),"")</f>
        <v/>
      </c>
      <c r="F103" s="8" t="str">
        <f>IFERROR(IF(FIND("Km",DataDemande!$B162),IF(DataDemande!$B163="",IF(FIND("Pax",DataDemande!E162),VALUE(LEFT(DataDemande!E162,LEN(DataDemande!E162)-4)),))),"")</f>
        <v/>
      </c>
      <c r="G103" s="8" t="str">
        <f>IFERROR(IF($D103&lt;&gt;"",VALUE(LEFT(DataDemande!F162,LEN(DataDemande!F162)-7)),""),"")</f>
        <v/>
      </c>
    </row>
    <row r="104" spans="1:7" x14ac:dyDescent="0.3">
      <c r="A104" t="str">
        <f>DataDemande!N163</f>
        <v/>
      </c>
      <c r="B104" t="str">
        <f t="shared" si="2"/>
        <v/>
      </c>
      <c r="C104" t="str">
        <f t="shared" si="3"/>
        <v/>
      </c>
      <c r="D104" s="8" t="str">
        <f>IFERROR(IF(FIND("Km",DataDemande!$B163),IF(DataDemande!$B164="",IF(FIND("Pax",DataDemande!C163),VALUE(LEFT(DataDemande!C163,LEN(DataDemande!C163)-4)),))),"")</f>
        <v/>
      </c>
      <c r="E104" s="8" t="str">
        <f>IFERROR(IF(FIND("Km",DataDemande!$B163),IF(DataDemande!$B164="",IF(FIND("Pax",DataDemande!D163),VALUE(LEFT(DataDemande!D163,LEN(DataDemande!D163)-4)),))),"")</f>
        <v/>
      </c>
      <c r="F104" s="8" t="str">
        <f>IFERROR(IF(FIND("Km",DataDemande!$B163),IF(DataDemande!$B164="",IF(FIND("Pax",DataDemande!E163),VALUE(LEFT(DataDemande!E163,LEN(DataDemande!E163)-4)),))),"")</f>
        <v/>
      </c>
      <c r="G104" s="8" t="str">
        <f>IFERROR(IF($D104&lt;&gt;"",VALUE(LEFT(DataDemande!F163,LEN(DataDemande!F163)-7)),""),"")</f>
        <v/>
      </c>
    </row>
    <row r="105" spans="1:7" x14ac:dyDescent="0.3">
      <c r="A105" t="str">
        <f>DataDemande!N164</f>
        <v/>
      </c>
      <c r="B105" t="str">
        <f t="shared" si="2"/>
        <v/>
      </c>
      <c r="C105" t="str">
        <f t="shared" si="3"/>
        <v/>
      </c>
      <c r="D105" s="8" t="str">
        <f>IFERROR(IF(FIND("Km",DataDemande!$B164),IF(DataDemande!$B165="",IF(FIND("Pax",DataDemande!C164),VALUE(LEFT(DataDemande!C164,LEN(DataDemande!C164)-4)),))),"")</f>
        <v/>
      </c>
      <c r="E105" s="8" t="str">
        <f>IFERROR(IF(FIND("Km",DataDemande!$B164),IF(DataDemande!$B165="",IF(FIND("Pax",DataDemande!D164),VALUE(LEFT(DataDemande!D164,LEN(DataDemande!D164)-4)),))),"")</f>
        <v/>
      </c>
      <c r="F105" s="8" t="str">
        <f>IFERROR(IF(FIND("Km",DataDemande!$B164),IF(DataDemande!$B165="",IF(FIND("Pax",DataDemande!E164),VALUE(LEFT(DataDemande!E164,LEN(DataDemande!E164)-4)),))),"")</f>
        <v/>
      </c>
      <c r="G105" s="8" t="str">
        <f>IFERROR(IF($D105&lt;&gt;"",VALUE(LEFT(DataDemande!F164,LEN(DataDemande!F164)-7)),""),"")</f>
        <v/>
      </c>
    </row>
    <row r="106" spans="1:7" x14ac:dyDescent="0.3">
      <c r="A106" t="str">
        <f>DataDemande!N165</f>
        <v/>
      </c>
      <c r="B106" t="str">
        <f t="shared" si="2"/>
        <v/>
      </c>
      <c r="C106" t="str">
        <f t="shared" si="3"/>
        <v/>
      </c>
      <c r="D106" s="8" t="str">
        <f>IFERROR(IF(FIND("Km",DataDemande!$B165),IF(DataDemande!$B166="",IF(FIND("Pax",DataDemande!C165),VALUE(LEFT(DataDemande!C165,LEN(DataDemande!C165)-4)),))),"")</f>
        <v/>
      </c>
      <c r="E106" s="8" t="str">
        <f>IFERROR(IF(FIND("Km",DataDemande!$B165),IF(DataDemande!$B166="",IF(FIND("Pax",DataDemande!D165),VALUE(LEFT(DataDemande!D165,LEN(DataDemande!D165)-4)),))),"")</f>
        <v/>
      </c>
      <c r="F106" s="8" t="str">
        <f>IFERROR(IF(FIND("Km",DataDemande!$B165),IF(DataDemande!$B166="",IF(FIND("Pax",DataDemande!E165),VALUE(LEFT(DataDemande!E165,LEN(DataDemande!E165)-4)),))),"")</f>
        <v/>
      </c>
      <c r="G106" s="8" t="str">
        <f>IFERROR(IF($D106&lt;&gt;"",VALUE(LEFT(DataDemande!F165,LEN(DataDemande!F165)-7)),""),"")</f>
        <v/>
      </c>
    </row>
    <row r="107" spans="1:7" x14ac:dyDescent="0.3">
      <c r="A107" t="str">
        <f>DataDemande!N166</f>
        <v/>
      </c>
      <c r="B107" t="str">
        <f t="shared" si="2"/>
        <v/>
      </c>
      <c r="C107" t="str">
        <f t="shared" si="3"/>
        <v/>
      </c>
      <c r="D107" s="8" t="str">
        <f>IFERROR(IF(FIND("Km",DataDemande!$B166),IF(DataDemande!$B167="",IF(FIND("Pax",DataDemande!C166),VALUE(LEFT(DataDemande!C166,LEN(DataDemande!C166)-4)),))),"")</f>
        <v/>
      </c>
      <c r="E107" s="8" t="str">
        <f>IFERROR(IF(FIND("Km",DataDemande!$B166),IF(DataDemande!$B167="",IF(FIND("Pax",DataDemande!D166),VALUE(LEFT(DataDemande!D166,LEN(DataDemande!D166)-4)),))),"")</f>
        <v/>
      </c>
      <c r="F107" s="8" t="str">
        <f>IFERROR(IF(FIND("Km",DataDemande!$B166),IF(DataDemande!$B167="",IF(FIND("Pax",DataDemande!E166),VALUE(LEFT(DataDemande!E166,LEN(DataDemande!E166)-4)),))),"")</f>
        <v/>
      </c>
      <c r="G107" s="8" t="str">
        <f>IFERROR(IF($D107&lt;&gt;"",VALUE(LEFT(DataDemande!F166,LEN(DataDemande!F166)-7)),""),"")</f>
        <v/>
      </c>
    </row>
    <row r="108" spans="1:7" x14ac:dyDescent="0.3">
      <c r="A108" t="str">
        <f>DataDemande!N167</f>
        <v/>
      </c>
      <c r="B108" t="str">
        <f t="shared" si="2"/>
        <v/>
      </c>
      <c r="C108" t="str">
        <f t="shared" si="3"/>
        <v/>
      </c>
      <c r="D108" s="8" t="str">
        <f>IFERROR(IF(FIND("Km",DataDemande!$B167),IF(DataDemande!$B168="",IF(FIND("Pax",DataDemande!C167),VALUE(LEFT(DataDemande!C167,LEN(DataDemande!C167)-4)),))),"")</f>
        <v/>
      </c>
      <c r="E108" s="8" t="str">
        <f>IFERROR(IF(FIND("Km",DataDemande!$B167),IF(DataDemande!$B168="",IF(FIND("Pax",DataDemande!D167),VALUE(LEFT(DataDemande!D167,LEN(DataDemande!D167)-4)),))),"")</f>
        <v/>
      </c>
      <c r="F108" s="8" t="str">
        <f>IFERROR(IF(FIND("Km",DataDemande!$B167),IF(DataDemande!$B168="",IF(FIND("Pax",DataDemande!E167),VALUE(LEFT(DataDemande!E167,LEN(DataDemande!E167)-4)),))),"")</f>
        <v/>
      </c>
      <c r="G108" s="8" t="str">
        <f>IFERROR(IF($D108&lt;&gt;"",VALUE(LEFT(DataDemande!F167,LEN(DataDemande!F167)-7)),""),"")</f>
        <v/>
      </c>
    </row>
    <row r="109" spans="1:7" x14ac:dyDescent="0.3">
      <c r="A109" t="str">
        <f>DataDemande!N168</f>
        <v/>
      </c>
      <c r="B109" t="str">
        <f t="shared" si="2"/>
        <v/>
      </c>
      <c r="C109" t="str">
        <f t="shared" si="3"/>
        <v/>
      </c>
      <c r="D109" s="8" t="str">
        <f>IFERROR(IF(FIND("Km",DataDemande!$B168),IF(DataDemande!$B169="",IF(FIND("Pax",DataDemande!C168),VALUE(LEFT(DataDemande!C168,LEN(DataDemande!C168)-4)),))),"")</f>
        <v/>
      </c>
      <c r="E109" s="8" t="str">
        <f>IFERROR(IF(FIND("Km",DataDemande!$B168),IF(DataDemande!$B169="",IF(FIND("Pax",DataDemande!D168),VALUE(LEFT(DataDemande!D168,LEN(DataDemande!D168)-4)),))),"")</f>
        <v/>
      </c>
      <c r="F109" s="8" t="str">
        <f>IFERROR(IF(FIND("Km",DataDemande!$B168),IF(DataDemande!$B169="",IF(FIND("Pax",DataDemande!E168),VALUE(LEFT(DataDemande!E168,LEN(DataDemande!E168)-4)),))),"")</f>
        <v/>
      </c>
      <c r="G109" s="8" t="str">
        <f>IFERROR(IF($D109&lt;&gt;"",VALUE(LEFT(DataDemande!F168,LEN(DataDemande!F168)-7)),""),"")</f>
        <v/>
      </c>
    </row>
    <row r="110" spans="1:7" x14ac:dyDescent="0.3">
      <c r="A110" t="str">
        <f>DataDemande!N169</f>
        <v/>
      </c>
      <c r="B110" t="str">
        <f t="shared" si="2"/>
        <v/>
      </c>
      <c r="C110" t="str">
        <f t="shared" si="3"/>
        <v/>
      </c>
      <c r="D110" s="8" t="str">
        <f>IFERROR(IF(FIND("Km",DataDemande!$B169),IF(DataDemande!$B170="",IF(FIND("Pax",DataDemande!C169),VALUE(LEFT(DataDemande!C169,LEN(DataDemande!C169)-4)),))),"")</f>
        <v/>
      </c>
      <c r="E110" s="8" t="str">
        <f>IFERROR(IF(FIND("Km",DataDemande!$B169),IF(DataDemande!$B170="",IF(FIND("Pax",DataDemande!D169),VALUE(LEFT(DataDemande!D169,LEN(DataDemande!D169)-4)),))),"")</f>
        <v/>
      </c>
      <c r="F110" s="8" t="str">
        <f>IFERROR(IF(FIND("Km",DataDemande!$B169),IF(DataDemande!$B170="",IF(FIND("Pax",DataDemande!E169),VALUE(LEFT(DataDemande!E169,LEN(DataDemande!E169)-4)),))),"")</f>
        <v/>
      </c>
      <c r="G110" s="8" t="str">
        <f>IFERROR(IF($D110&lt;&gt;"",VALUE(LEFT(DataDemande!F169,LEN(DataDemande!F169)-7)),""),"")</f>
        <v/>
      </c>
    </row>
    <row r="111" spans="1:7" x14ac:dyDescent="0.3">
      <c r="A111" t="str">
        <f>DataDemande!N170</f>
        <v/>
      </c>
      <c r="B111" t="str">
        <f t="shared" si="2"/>
        <v/>
      </c>
      <c r="C111" t="str">
        <f t="shared" si="3"/>
        <v/>
      </c>
      <c r="D111" s="8" t="str">
        <f>IFERROR(IF(FIND("Km",DataDemande!$B170),IF(DataDemande!$B171="",IF(FIND("Pax",DataDemande!C170),VALUE(LEFT(DataDemande!C170,LEN(DataDemande!C170)-4)),))),"")</f>
        <v/>
      </c>
      <c r="E111" s="8" t="str">
        <f>IFERROR(IF(FIND("Km",DataDemande!$B170),IF(DataDemande!$B171="",IF(FIND("Pax",DataDemande!D170),VALUE(LEFT(DataDemande!D170,LEN(DataDemande!D170)-4)),))),"")</f>
        <v/>
      </c>
      <c r="F111" s="8" t="str">
        <f>IFERROR(IF(FIND("Km",DataDemande!$B170),IF(DataDemande!$B171="",IF(FIND("Pax",DataDemande!E170),VALUE(LEFT(DataDemande!E170,LEN(DataDemande!E170)-4)),))),"")</f>
        <v/>
      </c>
      <c r="G111" s="8" t="str">
        <f>IFERROR(IF($D111&lt;&gt;"",VALUE(LEFT(DataDemande!F170,LEN(DataDemande!F170)-7)),""),"")</f>
        <v/>
      </c>
    </row>
    <row r="112" spans="1:7" x14ac:dyDescent="0.3">
      <c r="A112" t="str">
        <f>DataDemande!N171</f>
        <v/>
      </c>
      <c r="B112" t="str">
        <f t="shared" si="2"/>
        <v/>
      </c>
      <c r="C112" t="str">
        <f t="shared" si="3"/>
        <v/>
      </c>
      <c r="D112" s="8" t="str">
        <f>IFERROR(IF(FIND("Km",DataDemande!$B171),IF(DataDemande!$B172="",IF(FIND("Pax",DataDemande!C171),VALUE(LEFT(DataDemande!C171,LEN(DataDemande!C171)-4)),))),"")</f>
        <v/>
      </c>
      <c r="E112" s="8" t="str">
        <f>IFERROR(IF(FIND("Km",DataDemande!$B171),IF(DataDemande!$B172="",IF(FIND("Pax",DataDemande!D171),VALUE(LEFT(DataDemande!D171,LEN(DataDemande!D171)-4)),))),"")</f>
        <v/>
      </c>
      <c r="F112" s="8" t="str">
        <f>IFERROR(IF(FIND("Km",DataDemande!$B171),IF(DataDemande!$B172="",IF(FIND("Pax",DataDemande!E171),VALUE(LEFT(DataDemande!E171,LEN(DataDemande!E171)-4)),))),"")</f>
        <v/>
      </c>
      <c r="G112" s="8" t="str">
        <f>IFERROR(IF($D112&lt;&gt;"",VALUE(LEFT(DataDemande!F171,LEN(DataDemande!F171)-7)),""),"")</f>
        <v/>
      </c>
    </row>
    <row r="113" spans="1:7" x14ac:dyDescent="0.3">
      <c r="A113" t="str">
        <f>DataDemande!N172</f>
        <v/>
      </c>
      <c r="B113" t="str">
        <f t="shared" si="2"/>
        <v/>
      </c>
      <c r="C113" t="str">
        <f t="shared" si="3"/>
        <v/>
      </c>
      <c r="D113" s="8" t="str">
        <f>IFERROR(IF(FIND("Km",DataDemande!$B172),IF(DataDemande!$B173="",IF(FIND("Pax",DataDemande!C172),VALUE(LEFT(DataDemande!C172,LEN(DataDemande!C172)-4)),))),"")</f>
        <v/>
      </c>
      <c r="E113" s="8" t="str">
        <f>IFERROR(IF(FIND("Km",DataDemande!$B172),IF(DataDemande!$B173="",IF(FIND("Pax",DataDemande!D172),VALUE(LEFT(DataDemande!D172,LEN(DataDemande!D172)-4)),))),"")</f>
        <v/>
      </c>
      <c r="F113" s="8" t="str">
        <f>IFERROR(IF(FIND("Km",DataDemande!$B172),IF(DataDemande!$B173="",IF(FIND("Pax",DataDemande!E172),VALUE(LEFT(DataDemande!E172,LEN(DataDemande!E172)-4)),))),"")</f>
        <v/>
      </c>
      <c r="G113" s="8" t="str">
        <f>IFERROR(IF($D113&lt;&gt;"",VALUE(LEFT(DataDemande!F172,LEN(DataDemande!F172)-7)),""),"")</f>
        <v/>
      </c>
    </row>
    <row r="114" spans="1:7" x14ac:dyDescent="0.3">
      <c r="A114" t="str">
        <f>DataDemande!N173</f>
        <v/>
      </c>
      <c r="B114" t="str">
        <f t="shared" si="2"/>
        <v/>
      </c>
      <c r="C114" t="str">
        <f t="shared" si="3"/>
        <v/>
      </c>
      <c r="D114" s="8" t="str">
        <f>IFERROR(IF(FIND("Km",DataDemande!$B173),IF(DataDemande!$B174="",IF(FIND("Pax",DataDemande!C173),VALUE(LEFT(DataDemande!C173,LEN(DataDemande!C173)-4)),))),"")</f>
        <v/>
      </c>
      <c r="E114" s="8" t="str">
        <f>IFERROR(IF(FIND("Km",DataDemande!$B173),IF(DataDemande!$B174="",IF(FIND("Pax",DataDemande!D173),VALUE(LEFT(DataDemande!D173,LEN(DataDemande!D173)-4)),))),"")</f>
        <v/>
      </c>
      <c r="F114" s="8" t="str">
        <f>IFERROR(IF(FIND("Km",DataDemande!$B173),IF(DataDemande!$B174="",IF(FIND("Pax",DataDemande!E173),VALUE(LEFT(DataDemande!E173,LEN(DataDemande!E173)-4)),))),"")</f>
        <v/>
      </c>
      <c r="G114" s="8" t="str">
        <f>IFERROR(IF($D114&lt;&gt;"",VALUE(LEFT(DataDemande!F173,LEN(DataDemande!F173)-7)),""),"")</f>
        <v/>
      </c>
    </row>
    <row r="115" spans="1:7" x14ac:dyDescent="0.3">
      <c r="A115" t="str">
        <f>DataDemande!N174</f>
        <v/>
      </c>
      <c r="B115" t="str">
        <f t="shared" si="2"/>
        <v/>
      </c>
      <c r="C115" t="str">
        <f t="shared" si="3"/>
        <v/>
      </c>
      <c r="D115" s="8" t="str">
        <f>IFERROR(IF(FIND("Km",DataDemande!$B174),IF(DataDemande!$B175="",IF(FIND("Pax",DataDemande!C174),VALUE(LEFT(DataDemande!C174,LEN(DataDemande!C174)-4)),))),"")</f>
        <v/>
      </c>
      <c r="E115" s="8" t="str">
        <f>IFERROR(IF(FIND("Km",DataDemande!$B174),IF(DataDemande!$B175="",IF(FIND("Pax",DataDemande!D174),VALUE(LEFT(DataDemande!D174,LEN(DataDemande!D174)-4)),))),"")</f>
        <v/>
      </c>
      <c r="F115" s="8" t="str">
        <f>IFERROR(IF(FIND("Km",DataDemande!$B174),IF(DataDemande!$B175="",IF(FIND("Pax",DataDemande!E174),VALUE(LEFT(DataDemande!E174,LEN(DataDemande!E174)-4)),))),"")</f>
        <v/>
      </c>
      <c r="G115" s="8" t="str">
        <f>IFERROR(IF($D115&lt;&gt;"",VALUE(LEFT(DataDemande!F174,LEN(DataDemande!F174)-7)),""),"")</f>
        <v/>
      </c>
    </row>
    <row r="116" spans="1:7" x14ac:dyDescent="0.3">
      <c r="A116" t="str">
        <f>DataDemande!N175</f>
        <v/>
      </c>
      <c r="B116" t="str">
        <f t="shared" si="2"/>
        <v/>
      </c>
      <c r="C116" t="str">
        <f t="shared" si="3"/>
        <v/>
      </c>
      <c r="D116" s="8" t="str">
        <f>IFERROR(IF(FIND("Km",DataDemande!$B175),IF(DataDemande!$B176="",IF(FIND("Pax",DataDemande!C175),VALUE(LEFT(DataDemande!C175,LEN(DataDemande!C175)-4)),))),"")</f>
        <v/>
      </c>
      <c r="E116" s="8" t="str">
        <f>IFERROR(IF(FIND("Km",DataDemande!$B175),IF(DataDemande!$B176="",IF(FIND("Pax",DataDemande!D175),VALUE(LEFT(DataDemande!D175,LEN(DataDemande!D175)-4)),))),"")</f>
        <v/>
      </c>
      <c r="F116" s="8" t="str">
        <f>IFERROR(IF(FIND("Km",DataDemande!$B175),IF(DataDemande!$B176="",IF(FIND("Pax",DataDemande!E175),VALUE(LEFT(DataDemande!E175,LEN(DataDemande!E175)-4)),))),"")</f>
        <v/>
      </c>
      <c r="G116" s="8" t="str">
        <f>IFERROR(IF($D116&lt;&gt;"",VALUE(LEFT(DataDemande!F175,LEN(DataDemande!F175)-7)),""),"")</f>
        <v/>
      </c>
    </row>
    <row r="117" spans="1:7" x14ac:dyDescent="0.3">
      <c r="A117" t="str">
        <f>DataDemande!N176</f>
        <v/>
      </c>
      <c r="B117" t="str">
        <f t="shared" si="2"/>
        <v/>
      </c>
      <c r="C117" t="str">
        <f t="shared" si="3"/>
        <v/>
      </c>
      <c r="D117" s="8" t="str">
        <f>IFERROR(IF(FIND("Km",DataDemande!$B176),IF(DataDemande!$B177="",IF(FIND("Pax",DataDemande!C176),VALUE(LEFT(DataDemande!C176,LEN(DataDemande!C176)-4)),))),"")</f>
        <v/>
      </c>
      <c r="E117" s="8" t="str">
        <f>IFERROR(IF(FIND("Km",DataDemande!$B176),IF(DataDemande!$B177="",IF(FIND("Pax",DataDemande!D176),VALUE(LEFT(DataDemande!D176,LEN(DataDemande!D176)-4)),))),"")</f>
        <v/>
      </c>
      <c r="F117" s="8" t="str">
        <f>IFERROR(IF(FIND("Km",DataDemande!$B176),IF(DataDemande!$B177="",IF(FIND("Pax",DataDemande!E176),VALUE(LEFT(DataDemande!E176,LEN(DataDemande!E176)-4)),))),"")</f>
        <v/>
      </c>
      <c r="G117" s="8" t="str">
        <f>IFERROR(IF($D117&lt;&gt;"",VALUE(LEFT(DataDemande!F176,LEN(DataDemande!F176)-7)),""),"")</f>
        <v/>
      </c>
    </row>
    <row r="118" spans="1:7" x14ac:dyDescent="0.3">
      <c r="A118" t="str">
        <f>DataDemande!N177</f>
        <v/>
      </c>
      <c r="B118" t="str">
        <f t="shared" si="2"/>
        <v/>
      </c>
      <c r="C118" t="str">
        <f t="shared" si="3"/>
        <v/>
      </c>
      <c r="D118" s="8" t="str">
        <f>IFERROR(IF(FIND("Km",DataDemande!$B177),IF(DataDemande!$B178="",IF(FIND("Pax",DataDemande!C177),VALUE(LEFT(DataDemande!C177,LEN(DataDemande!C177)-4)),))),"")</f>
        <v/>
      </c>
      <c r="E118" s="8" t="str">
        <f>IFERROR(IF(FIND("Km",DataDemande!$B177),IF(DataDemande!$B178="",IF(FIND("Pax",DataDemande!D177),VALUE(LEFT(DataDemande!D177,LEN(DataDemande!D177)-4)),))),"")</f>
        <v/>
      </c>
      <c r="F118" s="8" t="str">
        <f>IFERROR(IF(FIND("Km",DataDemande!$B177),IF(DataDemande!$B178="",IF(FIND("Pax",DataDemande!E177),VALUE(LEFT(DataDemande!E177,LEN(DataDemande!E177)-4)),))),"")</f>
        <v/>
      </c>
      <c r="G118" s="8" t="str">
        <f>IFERROR(IF($D118&lt;&gt;"",VALUE(LEFT(DataDemande!F177,LEN(DataDemande!F177)-7)),""),"")</f>
        <v/>
      </c>
    </row>
    <row r="119" spans="1:7" x14ac:dyDescent="0.3">
      <c r="A119" t="str">
        <f>DataDemande!N178</f>
        <v/>
      </c>
      <c r="B119" t="str">
        <f t="shared" si="2"/>
        <v/>
      </c>
      <c r="C119" t="str">
        <f t="shared" si="3"/>
        <v/>
      </c>
      <c r="D119" s="8" t="str">
        <f>IFERROR(IF(FIND("Km",DataDemande!$B178),IF(DataDemande!$B179="",IF(FIND("Pax",DataDemande!C178),VALUE(LEFT(DataDemande!C178,LEN(DataDemande!C178)-4)),))),"")</f>
        <v/>
      </c>
      <c r="E119" s="8" t="str">
        <f>IFERROR(IF(FIND("Km",DataDemande!$B178),IF(DataDemande!$B179="",IF(FIND("Pax",DataDemande!D178),VALUE(LEFT(DataDemande!D178,LEN(DataDemande!D178)-4)),))),"")</f>
        <v/>
      </c>
      <c r="F119" s="8" t="str">
        <f>IFERROR(IF(FIND("Km",DataDemande!$B178),IF(DataDemande!$B179="",IF(FIND("Pax",DataDemande!E178),VALUE(LEFT(DataDemande!E178,LEN(DataDemande!E178)-4)),))),"")</f>
        <v/>
      </c>
      <c r="G119" s="8" t="str">
        <f>IFERROR(IF($D119&lt;&gt;"",VALUE(LEFT(DataDemande!F178,LEN(DataDemande!F178)-7)),""),"")</f>
        <v/>
      </c>
    </row>
    <row r="120" spans="1:7" x14ac:dyDescent="0.3">
      <c r="A120" t="str">
        <f>DataDemande!N179</f>
        <v/>
      </c>
      <c r="B120" t="str">
        <f t="shared" si="2"/>
        <v/>
      </c>
      <c r="C120" t="str">
        <f t="shared" si="3"/>
        <v/>
      </c>
      <c r="D120" s="8" t="str">
        <f>IFERROR(IF(FIND("Km",DataDemande!$B179),IF(DataDemande!$B180="",IF(FIND("Pax",DataDemande!C179),VALUE(LEFT(DataDemande!C179,LEN(DataDemande!C179)-4)),))),"")</f>
        <v/>
      </c>
      <c r="E120" s="8" t="str">
        <f>IFERROR(IF(FIND("Km",DataDemande!$B179),IF(DataDemande!$B180="",IF(FIND("Pax",DataDemande!D179),VALUE(LEFT(DataDemande!D179,LEN(DataDemande!D179)-4)),))),"")</f>
        <v/>
      </c>
      <c r="F120" s="8" t="str">
        <f>IFERROR(IF(FIND("Km",DataDemande!$B179),IF(DataDemande!$B180="",IF(FIND("Pax",DataDemande!E179),VALUE(LEFT(DataDemande!E179,LEN(DataDemande!E179)-4)),))),"")</f>
        <v/>
      </c>
      <c r="G120" s="8" t="str">
        <f>IFERROR(IF($D120&lt;&gt;"",VALUE(LEFT(DataDemande!F179,LEN(DataDemande!F179)-7)),""),"")</f>
        <v/>
      </c>
    </row>
    <row r="121" spans="1:7" x14ac:dyDescent="0.3">
      <c r="A121" t="str">
        <f>DataDemande!N180</f>
        <v/>
      </c>
      <c r="B121" t="str">
        <f t="shared" si="2"/>
        <v/>
      </c>
      <c r="C121" t="str">
        <f t="shared" si="3"/>
        <v/>
      </c>
      <c r="D121" s="8" t="str">
        <f>IFERROR(IF(FIND("Km",DataDemande!$B180),IF(DataDemande!$B181="",IF(FIND("Pax",DataDemande!C180),VALUE(LEFT(DataDemande!C180,LEN(DataDemande!C180)-4)),))),"")</f>
        <v/>
      </c>
      <c r="E121" s="8" t="str">
        <f>IFERROR(IF(FIND("Km",DataDemande!$B180),IF(DataDemande!$B181="",IF(FIND("Pax",DataDemande!D180),VALUE(LEFT(DataDemande!D180,LEN(DataDemande!D180)-4)),))),"")</f>
        <v/>
      </c>
      <c r="F121" s="8" t="str">
        <f>IFERROR(IF(FIND("Km",DataDemande!$B180),IF(DataDemande!$B181="",IF(FIND("Pax",DataDemande!E180),VALUE(LEFT(DataDemande!E180,LEN(DataDemande!E180)-4)),))),"")</f>
        <v/>
      </c>
      <c r="G121" s="8" t="str">
        <f>IFERROR(IF($D121&lt;&gt;"",VALUE(LEFT(DataDemande!F180,LEN(DataDemande!F180)-7)),""),"")</f>
        <v/>
      </c>
    </row>
    <row r="122" spans="1:7" x14ac:dyDescent="0.3">
      <c r="A122" t="str">
        <f>DataDemande!N181</f>
        <v/>
      </c>
      <c r="B122" t="str">
        <f t="shared" si="2"/>
        <v/>
      </c>
      <c r="C122" t="str">
        <f t="shared" si="3"/>
        <v/>
      </c>
      <c r="D122" s="8" t="str">
        <f>IFERROR(IF(FIND("Km",DataDemande!$B181),IF(DataDemande!$B182="",IF(FIND("Pax",DataDemande!C181),VALUE(LEFT(DataDemande!C181,LEN(DataDemande!C181)-4)),))),"")</f>
        <v/>
      </c>
      <c r="E122" s="8" t="str">
        <f>IFERROR(IF(FIND("Km",DataDemande!$B181),IF(DataDemande!$B182="",IF(FIND("Pax",DataDemande!D181),VALUE(LEFT(DataDemande!D181,LEN(DataDemande!D181)-4)),))),"")</f>
        <v/>
      </c>
      <c r="F122" s="8" t="str">
        <f>IFERROR(IF(FIND("Km",DataDemande!$B181),IF(DataDemande!$B182="",IF(FIND("Pax",DataDemande!E181),VALUE(LEFT(DataDemande!E181,LEN(DataDemande!E181)-4)),))),"")</f>
        <v/>
      </c>
      <c r="G122" s="8" t="str">
        <f>IFERROR(IF($D122&lt;&gt;"",VALUE(LEFT(DataDemande!F181,LEN(DataDemande!F181)-7)),""),"")</f>
        <v/>
      </c>
    </row>
    <row r="123" spans="1:7" x14ac:dyDescent="0.3">
      <c r="A123" t="str">
        <f>DataDemande!N182</f>
        <v/>
      </c>
      <c r="B123" t="str">
        <f t="shared" si="2"/>
        <v/>
      </c>
      <c r="C123" t="str">
        <f t="shared" si="3"/>
        <v/>
      </c>
      <c r="D123" s="8" t="str">
        <f>IFERROR(IF(FIND("Km",DataDemande!$B182),IF(DataDemande!$B183="",IF(FIND("Pax",DataDemande!C182),VALUE(LEFT(DataDemande!C182,LEN(DataDemande!C182)-4)),))),"")</f>
        <v/>
      </c>
      <c r="E123" s="8" t="str">
        <f>IFERROR(IF(FIND("Km",DataDemande!$B182),IF(DataDemande!$B183="",IF(FIND("Pax",DataDemande!D182),VALUE(LEFT(DataDemande!D182,LEN(DataDemande!D182)-4)),))),"")</f>
        <v/>
      </c>
      <c r="F123" s="8" t="str">
        <f>IFERROR(IF(FIND("Km",DataDemande!$B182),IF(DataDemande!$B183="",IF(FIND("Pax",DataDemande!E182),VALUE(LEFT(DataDemande!E182,LEN(DataDemande!E182)-4)),))),"")</f>
        <v/>
      </c>
      <c r="G123" s="8" t="str">
        <f>IFERROR(IF($D123&lt;&gt;"",VALUE(LEFT(DataDemande!F182,LEN(DataDemande!F182)-7)),""),"")</f>
        <v/>
      </c>
    </row>
    <row r="124" spans="1:7" x14ac:dyDescent="0.3">
      <c r="A124" t="str">
        <f>DataDemande!N183</f>
        <v/>
      </c>
      <c r="B124" t="str">
        <f t="shared" si="2"/>
        <v/>
      </c>
      <c r="C124" t="str">
        <f t="shared" si="3"/>
        <v/>
      </c>
      <c r="D124" s="8" t="str">
        <f>IFERROR(IF(FIND("Km",DataDemande!$B183),IF(DataDemande!$B184="",IF(FIND("Pax",DataDemande!C183),VALUE(LEFT(DataDemande!C183,LEN(DataDemande!C183)-4)),))),"")</f>
        <v/>
      </c>
      <c r="E124" s="8" t="str">
        <f>IFERROR(IF(FIND("Km",DataDemande!$B183),IF(DataDemande!$B184="",IF(FIND("Pax",DataDemande!D183),VALUE(LEFT(DataDemande!D183,LEN(DataDemande!D183)-4)),))),"")</f>
        <v/>
      </c>
      <c r="F124" s="8" t="str">
        <f>IFERROR(IF(FIND("Km",DataDemande!$B183),IF(DataDemande!$B184="",IF(FIND("Pax",DataDemande!E183),VALUE(LEFT(DataDemande!E183,LEN(DataDemande!E183)-4)),))),"")</f>
        <v/>
      </c>
      <c r="G124" s="8" t="str">
        <f>IFERROR(IF($D124&lt;&gt;"",VALUE(LEFT(DataDemande!F183,LEN(DataDemande!F183)-7)),""),"")</f>
        <v/>
      </c>
    </row>
    <row r="125" spans="1:7" x14ac:dyDescent="0.3">
      <c r="A125" t="str">
        <f>DataDemande!N184</f>
        <v/>
      </c>
      <c r="B125" t="str">
        <f t="shared" si="2"/>
        <v/>
      </c>
      <c r="C125" t="str">
        <f t="shared" si="3"/>
        <v/>
      </c>
      <c r="D125" s="8" t="str">
        <f>IFERROR(IF(FIND("Km",DataDemande!$B184),IF(DataDemande!$B185="",IF(FIND("Pax",DataDemande!C184),VALUE(LEFT(DataDemande!C184,LEN(DataDemande!C184)-4)),))),"")</f>
        <v/>
      </c>
      <c r="E125" s="8" t="str">
        <f>IFERROR(IF(FIND("Km",DataDemande!$B184),IF(DataDemande!$B185="",IF(FIND("Pax",DataDemande!D184),VALUE(LEFT(DataDemande!D184,LEN(DataDemande!D184)-4)),))),"")</f>
        <v/>
      </c>
      <c r="F125" s="8" t="str">
        <f>IFERROR(IF(FIND("Km",DataDemande!$B184),IF(DataDemande!$B185="",IF(FIND("Pax",DataDemande!E184),VALUE(LEFT(DataDemande!E184,LEN(DataDemande!E184)-4)),))),"")</f>
        <v/>
      </c>
      <c r="G125" s="8" t="str">
        <f>IFERROR(IF($D125&lt;&gt;"",VALUE(LEFT(DataDemande!F184,LEN(DataDemande!F184)-7)),""),"")</f>
        <v/>
      </c>
    </row>
    <row r="126" spans="1:7" x14ac:dyDescent="0.3">
      <c r="A126" t="str">
        <f>DataDemande!N185</f>
        <v/>
      </c>
      <c r="B126" t="str">
        <f t="shared" si="2"/>
        <v/>
      </c>
      <c r="C126" t="str">
        <f t="shared" si="3"/>
        <v/>
      </c>
      <c r="D126" s="8" t="str">
        <f>IFERROR(IF(FIND("Km",DataDemande!$B185),IF(DataDemande!$B186="",IF(FIND("Pax",DataDemande!C185),VALUE(LEFT(DataDemande!C185,LEN(DataDemande!C185)-4)),))),"")</f>
        <v/>
      </c>
      <c r="E126" s="8" t="str">
        <f>IFERROR(IF(FIND("Km",DataDemande!$B185),IF(DataDemande!$B186="",IF(FIND("Pax",DataDemande!D185),VALUE(LEFT(DataDemande!D185,LEN(DataDemande!D185)-4)),))),"")</f>
        <v/>
      </c>
      <c r="F126" s="8" t="str">
        <f>IFERROR(IF(FIND("Km",DataDemande!$B185),IF(DataDemande!$B186="",IF(FIND("Pax",DataDemande!E185),VALUE(LEFT(DataDemande!E185,LEN(DataDemande!E185)-4)),))),"")</f>
        <v/>
      </c>
      <c r="G126" s="8" t="str">
        <f>IFERROR(IF($D126&lt;&gt;"",VALUE(LEFT(DataDemande!F185,LEN(DataDemande!F185)-7)),""),"")</f>
        <v/>
      </c>
    </row>
    <row r="127" spans="1:7" x14ac:dyDescent="0.3">
      <c r="A127" t="str">
        <f>DataDemande!N186</f>
        <v/>
      </c>
      <c r="B127" t="str">
        <f t="shared" si="2"/>
        <v/>
      </c>
      <c r="C127" t="str">
        <f t="shared" si="3"/>
        <v/>
      </c>
      <c r="D127" s="8" t="str">
        <f>IFERROR(IF(FIND("Km",DataDemande!$B186),IF(DataDemande!$B187="",IF(FIND("Pax",DataDemande!C186),VALUE(LEFT(DataDemande!C186,LEN(DataDemande!C186)-4)),))),"")</f>
        <v/>
      </c>
      <c r="E127" s="8" t="str">
        <f>IFERROR(IF(FIND("Km",DataDemande!$B186),IF(DataDemande!$B187="",IF(FIND("Pax",DataDemande!D186),VALUE(LEFT(DataDemande!D186,LEN(DataDemande!D186)-4)),))),"")</f>
        <v/>
      </c>
      <c r="F127" s="8" t="str">
        <f>IFERROR(IF(FIND("Km",DataDemande!$B186),IF(DataDemande!$B187="",IF(FIND("Pax",DataDemande!E186),VALUE(LEFT(DataDemande!E186,LEN(DataDemande!E186)-4)),))),"")</f>
        <v/>
      </c>
      <c r="G127" s="8" t="str">
        <f>IFERROR(IF($D127&lt;&gt;"",VALUE(LEFT(DataDemande!F186,LEN(DataDemande!F186)-7)),""),"")</f>
        <v/>
      </c>
    </row>
    <row r="128" spans="1:7" x14ac:dyDescent="0.3">
      <c r="A128" t="str">
        <f>DataDemande!N187</f>
        <v/>
      </c>
      <c r="B128" t="str">
        <f t="shared" si="2"/>
        <v/>
      </c>
      <c r="C128" t="str">
        <f t="shared" si="3"/>
        <v/>
      </c>
      <c r="D128" s="8" t="str">
        <f>IFERROR(IF(FIND("Km",DataDemande!$B187),IF(DataDemande!$B188="",IF(FIND("Pax",DataDemande!C187),VALUE(LEFT(DataDemande!C187,LEN(DataDemande!C187)-4)),))),"")</f>
        <v/>
      </c>
      <c r="E128" s="8" t="str">
        <f>IFERROR(IF(FIND("Km",DataDemande!$B187),IF(DataDemande!$B188="",IF(FIND("Pax",DataDemande!D187),VALUE(LEFT(DataDemande!D187,LEN(DataDemande!D187)-4)),))),"")</f>
        <v/>
      </c>
      <c r="F128" s="8" t="str">
        <f>IFERROR(IF(FIND("Km",DataDemande!$B187),IF(DataDemande!$B188="",IF(FIND("Pax",DataDemande!E187),VALUE(LEFT(DataDemande!E187,LEN(DataDemande!E187)-4)),))),"")</f>
        <v/>
      </c>
      <c r="G128" s="8" t="str">
        <f>IFERROR(IF($D128&lt;&gt;"",VALUE(LEFT(DataDemande!F187,LEN(DataDemande!F187)-7)),""),"")</f>
        <v/>
      </c>
    </row>
    <row r="129" spans="1:7" x14ac:dyDescent="0.3">
      <c r="A129" t="str">
        <f>DataDemande!N188</f>
        <v/>
      </c>
      <c r="B129" t="str">
        <f t="shared" si="2"/>
        <v/>
      </c>
      <c r="C129" t="str">
        <f t="shared" si="3"/>
        <v/>
      </c>
      <c r="D129" s="8" t="str">
        <f>IFERROR(IF(FIND("Km",DataDemande!$B188),IF(DataDemande!$B189="",IF(FIND("Pax",DataDemande!C188),VALUE(LEFT(DataDemande!C188,LEN(DataDemande!C188)-4)),))),"")</f>
        <v/>
      </c>
      <c r="E129" s="8" t="str">
        <f>IFERROR(IF(FIND("Km",DataDemande!$B188),IF(DataDemande!$B189="",IF(FIND("Pax",DataDemande!D188),VALUE(LEFT(DataDemande!D188,LEN(DataDemande!D188)-4)),))),"")</f>
        <v/>
      </c>
      <c r="F129" s="8" t="str">
        <f>IFERROR(IF(FIND("Km",DataDemande!$B188),IF(DataDemande!$B189="",IF(FIND("Pax",DataDemande!E188),VALUE(LEFT(DataDemande!E188,LEN(DataDemande!E188)-4)),))),"")</f>
        <v/>
      </c>
      <c r="G129" s="8" t="str">
        <f>IFERROR(IF($D129&lt;&gt;"",VALUE(LEFT(DataDemande!F188,LEN(DataDemande!F188)-7)),""),"")</f>
        <v/>
      </c>
    </row>
    <row r="130" spans="1:7" x14ac:dyDescent="0.3">
      <c r="A130" t="str">
        <f>DataDemande!N189</f>
        <v/>
      </c>
      <c r="B130" t="str">
        <f t="shared" si="2"/>
        <v/>
      </c>
      <c r="C130" t="str">
        <f t="shared" si="3"/>
        <v/>
      </c>
      <c r="D130" s="8" t="str">
        <f>IFERROR(IF(FIND("Km",DataDemande!$B189),IF(DataDemande!$B190="",IF(FIND("Pax",DataDemande!C189),VALUE(LEFT(DataDemande!C189,LEN(DataDemande!C189)-4)),))),"")</f>
        <v/>
      </c>
      <c r="E130" s="8" t="str">
        <f>IFERROR(IF(FIND("Km",DataDemande!$B189),IF(DataDemande!$B190="",IF(FIND("Pax",DataDemande!D189),VALUE(LEFT(DataDemande!D189,LEN(DataDemande!D189)-4)),))),"")</f>
        <v/>
      </c>
      <c r="F130" s="8" t="str">
        <f>IFERROR(IF(FIND("Km",DataDemande!$B189),IF(DataDemande!$B190="",IF(FIND("Pax",DataDemande!E189),VALUE(LEFT(DataDemande!E189,LEN(DataDemande!E189)-4)),))),"")</f>
        <v/>
      </c>
      <c r="G130" s="8" t="str">
        <f>IFERROR(IF($D130&lt;&gt;"",VALUE(LEFT(DataDemande!F189,LEN(DataDemande!F189)-7)),""),"")</f>
        <v/>
      </c>
    </row>
    <row r="131" spans="1:7" x14ac:dyDescent="0.3">
      <c r="A131" t="str">
        <f>DataDemande!N190</f>
        <v/>
      </c>
      <c r="B131" t="str">
        <f t="shared" si="2"/>
        <v/>
      </c>
      <c r="C131" t="str">
        <f t="shared" si="3"/>
        <v/>
      </c>
      <c r="D131" s="8" t="str">
        <f>IFERROR(IF(FIND("Km",DataDemande!$B190),IF(DataDemande!$B191="",IF(FIND("Pax",DataDemande!C190),VALUE(LEFT(DataDemande!C190,LEN(DataDemande!C190)-4)),))),"")</f>
        <v/>
      </c>
      <c r="E131" s="8" t="str">
        <f>IFERROR(IF(FIND("Km",DataDemande!$B190),IF(DataDemande!$B191="",IF(FIND("Pax",DataDemande!D190),VALUE(LEFT(DataDemande!D190,LEN(DataDemande!D190)-4)),))),"")</f>
        <v/>
      </c>
      <c r="F131" s="8" t="str">
        <f>IFERROR(IF(FIND("Km",DataDemande!$B190),IF(DataDemande!$B191="",IF(FIND("Pax",DataDemande!E190),VALUE(LEFT(DataDemande!E190,LEN(DataDemande!E190)-4)),))),"")</f>
        <v/>
      </c>
      <c r="G131" s="8" t="str">
        <f>IFERROR(IF($D131&lt;&gt;"",VALUE(LEFT(DataDemande!F190,LEN(DataDemande!F190)-7)),""),"")</f>
        <v/>
      </c>
    </row>
    <row r="132" spans="1:7" x14ac:dyDescent="0.3">
      <c r="A132" t="str">
        <f>DataDemande!N191</f>
        <v/>
      </c>
      <c r="B132" t="str">
        <f t="shared" si="2"/>
        <v/>
      </c>
      <c r="C132" t="str">
        <f t="shared" si="3"/>
        <v/>
      </c>
      <c r="D132" s="8" t="str">
        <f>IFERROR(IF(FIND("Km",DataDemande!$B191),IF(DataDemande!$B192="",IF(FIND("Pax",DataDemande!C191),VALUE(LEFT(DataDemande!C191,LEN(DataDemande!C191)-4)),))),"")</f>
        <v/>
      </c>
      <c r="E132" s="8" t="str">
        <f>IFERROR(IF(FIND("Km",DataDemande!$B191),IF(DataDemande!$B192="",IF(FIND("Pax",DataDemande!D191),VALUE(LEFT(DataDemande!D191,LEN(DataDemande!D191)-4)),))),"")</f>
        <v/>
      </c>
      <c r="F132" s="8" t="str">
        <f>IFERROR(IF(FIND("Km",DataDemande!$B191),IF(DataDemande!$B192="",IF(FIND("Pax",DataDemande!E191),VALUE(LEFT(DataDemande!E191,LEN(DataDemande!E191)-4)),))),"")</f>
        <v/>
      </c>
      <c r="G132" s="8" t="str">
        <f>IFERROR(IF($D132&lt;&gt;"",VALUE(LEFT(DataDemande!F191,LEN(DataDemande!F191)-7)),""),"")</f>
        <v/>
      </c>
    </row>
    <row r="133" spans="1:7" x14ac:dyDescent="0.3">
      <c r="A133" t="str">
        <f>DataDemande!N192</f>
        <v/>
      </c>
      <c r="B133" t="str">
        <f t="shared" ref="B133:B196" si="4">LEFT(A133,3)</f>
        <v/>
      </c>
      <c r="C133" t="str">
        <f t="shared" ref="C133:C196" si="5">RIGHT(A133,3)</f>
        <v/>
      </c>
      <c r="D133" s="8" t="str">
        <f>IFERROR(IF(FIND("Km",DataDemande!$B192),IF(DataDemande!$B193="",IF(FIND("Pax",DataDemande!C192),VALUE(LEFT(DataDemande!C192,LEN(DataDemande!C192)-4)),))),"")</f>
        <v/>
      </c>
      <c r="E133" s="8" t="str">
        <f>IFERROR(IF(FIND("Km",DataDemande!$B192),IF(DataDemande!$B193="",IF(FIND("Pax",DataDemande!D192),VALUE(LEFT(DataDemande!D192,LEN(DataDemande!D192)-4)),))),"")</f>
        <v/>
      </c>
      <c r="F133" s="8" t="str">
        <f>IFERROR(IF(FIND("Km",DataDemande!$B192),IF(DataDemande!$B193="",IF(FIND("Pax",DataDemande!E192),VALUE(LEFT(DataDemande!E192,LEN(DataDemande!E192)-4)),))),"")</f>
        <v/>
      </c>
      <c r="G133" s="8" t="str">
        <f>IFERROR(IF($D133&lt;&gt;"",VALUE(LEFT(DataDemande!F192,LEN(DataDemande!F192)-7)),""),"")</f>
        <v/>
      </c>
    </row>
    <row r="134" spans="1:7" x14ac:dyDescent="0.3">
      <c r="A134" t="str">
        <f>DataDemande!N193</f>
        <v/>
      </c>
      <c r="B134" t="str">
        <f t="shared" si="4"/>
        <v/>
      </c>
      <c r="C134" t="str">
        <f t="shared" si="5"/>
        <v/>
      </c>
      <c r="D134" s="8" t="str">
        <f>IFERROR(IF(FIND("Km",DataDemande!$B193),IF(DataDemande!$B194="",IF(FIND("Pax",DataDemande!C193),VALUE(LEFT(DataDemande!C193,LEN(DataDemande!C193)-4)),))),"")</f>
        <v/>
      </c>
      <c r="E134" s="8" t="str">
        <f>IFERROR(IF(FIND("Km",DataDemande!$B193),IF(DataDemande!$B194="",IF(FIND("Pax",DataDemande!D193),VALUE(LEFT(DataDemande!D193,LEN(DataDemande!D193)-4)),))),"")</f>
        <v/>
      </c>
      <c r="F134" s="8" t="str">
        <f>IFERROR(IF(FIND("Km",DataDemande!$B193),IF(DataDemande!$B194="",IF(FIND("Pax",DataDemande!E193),VALUE(LEFT(DataDemande!E193,LEN(DataDemande!E193)-4)),))),"")</f>
        <v/>
      </c>
      <c r="G134" s="8" t="str">
        <f>IFERROR(IF($D134&lt;&gt;"",VALUE(LEFT(DataDemande!F193,LEN(DataDemande!F193)-7)),""),"")</f>
        <v/>
      </c>
    </row>
    <row r="135" spans="1:7" x14ac:dyDescent="0.3">
      <c r="A135" t="str">
        <f>DataDemande!N194</f>
        <v/>
      </c>
      <c r="B135" t="str">
        <f t="shared" si="4"/>
        <v/>
      </c>
      <c r="C135" t="str">
        <f t="shared" si="5"/>
        <v/>
      </c>
      <c r="D135" s="8" t="str">
        <f>IFERROR(IF(FIND("Km",DataDemande!$B194),IF(DataDemande!$B195="",IF(FIND("Pax",DataDemande!C194),VALUE(LEFT(DataDemande!C194,LEN(DataDemande!C194)-4)),))),"")</f>
        <v/>
      </c>
      <c r="E135" s="8" t="str">
        <f>IFERROR(IF(FIND("Km",DataDemande!$B194),IF(DataDemande!$B195="",IF(FIND("Pax",DataDemande!D194),VALUE(LEFT(DataDemande!D194,LEN(DataDemande!D194)-4)),))),"")</f>
        <v/>
      </c>
      <c r="F135" s="8" t="str">
        <f>IFERROR(IF(FIND("Km",DataDemande!$B194),IF(DataDemande!$B195="",IF(FIND("Pax",DataDemande!E194),VALUE(LEFT(DataDemande!E194,LEN(DataDemande!E194)-4)),))),"")</f>
        <v/>
      </c>
      <c r="G135" s="8" t="str">
        <f>IFERROR(IF($D135&lt;&gt;"",VALUE(LEFT(DataDemande!F194,LEN(DataDemande!F194)-7)),""),"")</f>
        <v/>
      </c>
    </row>
    <row r="136" spans="1:7" x14ac:dyDescent="0.3">
      <c r="A136" t="str">
        <f>DataDemande!N195</f>
        <v/>
      </c>
      <c r="B136" t="str">
        <f t="shared" si="4"/>
        <v/>
      </c>
      <c r="C136" t="str">
        <f t="shared" si="5"/>
        <v/>
      </c>
      <c r="D136" s="8" t="str">
        <f>IFERROR(IF(FIND("Km",DataDemande!$B195),IF(DataDemande!$B196="",IF(FIND("Pax",DataDemande!C195),VALUE(LEFT(DataDemande!C195,LEN(DataDemande!C195)-4)),))),"")</f>
        <v/>
      </c>
      <c r="E136" s="8" t="str">
        <f>IFERROR(IF(FIND("Km",DataDemande!$B195),IF(DataDemande!$B196="",IF(FIND("Pax",DataDemande!D195),VALUE(LEFT(DataDemande!D195,LEN(DataDemande!D195)-4)),))),"")</f>
        <v/>
      </c>
      <c r="F136" s="8" t="str">
        <f>IFERROR(IF(FIND("Km",DataDemande!$B195),IF(DataDemande!$B196="",IF(FIND("Pax",DataDemande!E195),VALUE(LEFT(DataDemande!E195,LEN(DataDemande!E195)-4)),))),"")</f>
        <v/>
      </c>
      <c r="G136" s="8" t="str">
        <f>IFERROR(IF($D136&lt;&gt;"",VALUE(LEFT(DataDemande!F195,LEN(DataDemande!F195)-7)),""),"")</f>
        <v/>
      </c>
    </row>
    <row r="137" spans="1:7" x14ac:dyDescent="0.3">
      <c r="A137" t="str">
        <f>DataDemande!N196</f>
        <v/>
      </c>
      <c r="B137" t="str">
        <f t="shared" si="4"/>
        <v/>
      </c>
      <c r="C137" t="str">
        <f t="shared" si="5"/>
        <v/>
      </c>
      <c r="D137" s="8" t="str">
        <f>IFERROR(IF(FIND("Km",DataDemande!$B196),IF(DataDemande!$B197="",IF(FIND("Pax",DataDemande!C196),VALUE(LEFT(DataDemande!C196,LEN(DataDemande!C196)-4)),))),"")</f>
        <v/>
      </c>
      <c r="E137" s="8" t="str">
        <f>IFERROR(IF(FIND("Km",DataDemande!$B196),IF(DataDemande!$B197="",IF(FIND("Pax",DataDemande!D196),VALUE(LEFT(DataDemande!D196,LEN(DataDemande!D196)-4)),))),"")</f>
        <v/>
      </c>
      <c r="F137" s="8" t="str">
        <f>IFERROR(IF(FIND("Km",DataDemande!$B196),IF(DataDemande!$B197="",IF(FIND("Pax",DataDemande!E196),VALUE(LEFT(DataDemande!E196,LEN(DataDemande!E196)-4)),))),"")</f>
        <v/>
      </c>
      <c r="G137" s="8" t="str">
        <f>IFERROR(IF($D137&lt;&gt;"",VALUE(LEFT(DataDemande!F196,LEN(DataDemande!F196)-7)),""),"")</f>
        <v/>
      </c>
    </row>
    <row r="138" spans="1:7" x14ac:dyDescent="0.3">
      <c r="A138" t="str">
        <f>DataDemande!N197</f>
        <v/>
      </c>
      <c r="B138" t="str">
        <f t="shared" si="4"/>
        <v/>
      </c>
      <c r="C138" t="str">
        <f t="shared" si="5"/>
        <v/>
      </c>
      <c r="D138" s="8" t="str">
        <f>IFERROR(IF(FIND("Km",DataDemande!$B197),IF(DataDemande!$B198="",IF(FIND("Pax",DataDemande!C197),VALUE(LEFT(DataDemande!C197,LEN(DataDemande!C197)-4)),))),"")</f>
        <v/>
      </c>
      <c r="E138" s="8" t="str">
        <f>IFERROR(IF(FIND("Km",DataDemande!$B197),IF(DataDemande!$B198="",IF(FIND("Pax",DataDemande!D197),VALUE(LEFT(DataDemande!D197,LEN(DataDemande!D197)-4)),))),"")</f>
        <v/>
      </c>
      <c r="F138" s="8" t="str">
        <f>IFERROR(IF(FIND("Km",DataDemande!$B197),IF(DataDemande!$B198="",IF(FIND("Pax",DataDemande!E197),VALUE(LEFT(DataDemande!E197,LEN(DataDemande!E197)-4)),))),"")</f>
        <v/>
      </c>
      <c r="G138" s="8" t="str">
        <f>IFERROR(IF($D138&lt;&gt;"",VALUE(LEFT(DataDemande!F197,LEN(DataDemande!F197)-7)),""),"")</f>
        <v/>
      </c>
    </row>
    <row r="139" spans="1:7" x14ac:dyDescent="0.3">
      <c r="A139" t="str">
        <f>DataDemande!N198</f>
        <v/>
      </c>
      <c r="B139" t="str">
        <f t="shared" si="4"/>
        <v/>
      </c>
      <c r="C139" t="str">
        <f t="shared" si="5"/>
        <v/>
      </c>
      <c r="D139" s="8" t="str">
        <f>IFERROR(IF(FIND("Km",DataDemande!$B198),IF(DataDemande!$B199="",IF(FIND("Pax",DataDemande!C198),VALUE(LEFT(DataDemande!C198,LEN(DataDemande!C198)-4)),))),"")</f>
        <v/>
      </c>
      <c r="E139" s="8" t="str">
        <f>IFERROR(IF(FIND("Km",DataDemande!$B198),IF(DataDemande!$B199="",IF(FIND("Pax",DataDemande!D198),VALUE(LEFT(DataDemande!D198,LEN(DataDemande!D198)-4)),))),"")</f>
        <v/>
      </c>
      <c r="F139" s="8" t="str">
        <f>IFERROR(IF(FIND("Km",DataDemande!$B198),IF(DataDemande!$B199="",IF(FIND("Pax",DataDemande!E198),VALUE(LEFT(DataDemande!E198,LEN(DataDemande!E198)-4)),))),"")</f>
        <v/>
      </c>
      <c r="G139" s="8" t="str">
        <f>IFERROR(IF($D139&lt;&gt;"",VALUE(LEFT(DataDemande!F198,LEN(DataDemande!F198)-7)),""),"")</f>
        <v/>
      </c>
    </row>
    <row r="140" spans="1:7" x14ac:dyDescent="0.3">
      <c r="A140" t="str">
        <f>DataDemande!N199</f>
        <v/>
      </c>
      <c r="B140" t="str">
        <f t="shared" si="4"/>
        <v/>
      </c>
      <c r="C140" t="str">
        <f t="shared" si="5"/>
        <v/>
      </c>
      <c r="D140" s="8" t="str">
        <f>IFERROR(IF(FIND("Km",DataDemande!$B199),IF(DataDemande!$B200="",IF(FIND("Pax",DataDemande!C199),VALUE(LEFT(DataDemande!C199,LEN(DataDemande!C199)-4)),))),"")</f>
        <v/>
      </c>
      <c r="E140" s="8" t="str">
        <f>IFERROR(IF(FIND("Km",DataDemande!$B199),IF(DataDemande!$B200="",IF(FIND("Pax",DataDemande!D199),VALUE(LEFT(DataDemande!D199,LEN(DataDemande!D199)-4)),))),"")</f>
        <v/>
      </c>
      <c r="F140" s="8" t="str">
        <f>IFERROR(IF(FIND("Km",DataDemande!$B199),IF(DataDemande!$B200="",IF(FIND("Pax",DataDemande!E199),VALUE(LEFT(DataDemande!E199,LEN(DataDemande!E199)-4)),))),"")</f>
        <v/>
      </c>
      <c r="G140" s="8" t="str">
        <f>IFERROR(IF($D140&lt;&gt;"",VALUE(LEFT(DataDemande!F199,LEN(DataDemande!F199)-7)),""),"")</f>
        <v/>
      </c>
    </row>
    <row r="141" spans="1:7" x14ac:dyDescent="0.3">
      <c r="A141" t="str">
        <f>DataDemande!N200</f>
        <v/>
      </c>
      <c r="B141" t="str">
        <f t="shared" si="4"/>
        <v/>
      </c>
      <c r="C141" t="str">
        <f t="shared" si="5"/>
        <v/>
      </c>
      <c r="D141" s="8" t="str">
        <f>IFERROR(IF(FIND("Km",DataDemande!$B200),IF(DataDemande!$B201="",IF(FIND("Pax",DataDemande!C200),VALUE(LEFT(DataDemande!C200,LEN(DataDemande!C200)-4)),))),"")</f>
        <v/>
      </c>
      <c r="E141" s="8" t="str">
        <f>IFERROR(IF(FIND("Km",DataDemande!$B200),IF(DataDemande!$B201="",IF(FIND("Pax",DataDemande!D200),VALUE(LEFT(DataDemande!D200,LEN(DataDemande!D200)-4)),))),"")</f>
        <v/>
      </c>
      <c r="F141" s="8" t="str">
        <f>IFERROR(IF(FIND("Km",DataDemande!$B200),IF(DataDemande!$B201="",IF(FIND("Pax",DataDemande!E200),VALUE(LEFT(DataDemande!E200,LEN(DataDemande!E200)-4)),))),"")</f>
        <v/>
      </c>
      <c r="G141" s="8" t="str">
        <f>IFERROR(IF($D141&lt;&gt;"",VALUE(LEFT(DataDemande!F200,LEN(DataDemande!F200)-7)),""),"")</f>
        <v/>
      </c>
    </row>
    <row r="142" spans="1:7" x14ac:dyDescent="0.3">
      <c r="A142" t="str">
        <f>DataDemande!N201</f>
        <v/>
      </c>
      <c r="B142" t="str">
        <f t="shared" si="4"/>
        <v/>
      </c>
      <c r="C142" t="str">
        <f t="shared" si="5"/>
        <v/>
      </c>
      <c r="D142" s="8" t="str">
        <f>IFERROR(IF(FIND("Km",DataDemande!$B201),IF(DataDemande!$B202="",IF(FIND("Pax",DataDemande!C201),VALUE(LEFT(DataDemande!C201,LEN(DataDemande!C201)-4)),))),"")</f>
        <v/>
      </c>
      <c r="E142" s="8" t="str">
        <f>IFERROR(IF(FIND("Km",DataDemande!$B201),IF(DataDemande!$B202="",IF(FIND("Pax",DataDemande!D201),VALUE(LEFT(DataDemande!D201,LEN(DataDemande!D201)-4)),))),"")</f>
        <v/>
      </c>
      <c r="F142" s="8" t="str">
        <f>IFERROR(IF(FIND("Km",DataDemande!$B201),IF(DataDemande!$B202="",IF(FIND("Pax",DataDemande!E201),VALUE(LEFT(DataDemande!E201,LEN(DataDemande!E201)-4)),))),"")</f>
        <v/>
      </c>
      <c r="G142" s="8" t="str">
        <f>IFERROR(IF($D142&lt;&gt;"",VALUE(LEFT(DataDemande!F201,LEN(DataDemande!F201)-7)),""),"")</f>
        <v/>
      </c>
    </row>
    <row r="143" spans="1:7" x14ac:dyDescent="0.3">
      <c r="A143" t="str">
        <f>DataDemande!N202</f>
        <v/>
      </c>
      <c r="B143" t="str">
        <f t="shared" si="4"/>
        <v/>
      </c>
      <c r="C143" t="str">
        <f t="shared" si="5"/>
        <v/>
      </c>
      <c r="D143" s="8" t="str">
        <f>IFERROR(IF(FIND("Km",DataDemande!$B202),IF(DataDemande!$B203="",IF(FIND("Pax",DataDemande!C202),VALUE(LEFT(DataDemande!C202,LEN(DataDemande!C202)-4)),))),"")</f>
        <v/>
      </c>
      <c r="E143" s="8" t="str">
        <f>IFERROR(IF(FIND("Km",DataDemande!$B202),IF(DataDemande!$B203="",IF(FIND("Pax",DataDemande!D202),VALUE(LEFT(DataDemande!D202,LEN(DataDemande!D202)-4)),))),"")</f>
        <v/>
      </c>
      <c r="F143" s="8" t="str">
        <f>IFERROR(IF(FIND("Km",DataDemande!$B202),IF(DataDemande!$B203="",IF(FIND("Pax",DataDemande!E202),VALUE(LEFT(DataDemande!E202,LEN(DataDemande!E202)-4)),))),"")</f>
        <v/>
      </c>
      <c r="G143" s="8" t="str">
        <f>IFERROR(IF($D143&lt;&gt;"",VALUE(LEFT(DataDemande!F202,LEN(DataDemande!F202)-7)),""),"")</f>
        <v/>
      </c>
    </row>
    <row r="144" spans="1:7" x14ac:dyDescent="0.3">
      <c r="A144" t="str">
        <f>DataDemande!N203</f>
        <v/>
      </c>
      <c r="B144" t="str">
        <f t="shared" si="4"/>
        <v/>
      </c>
      <c r="C144" t="str">
        <f t="shared" si="5"/>
        <v/>
      </c>
      <c r="D144" s="8" t="str">
        <f>IFERROR(IF(FIND("Km",DataDemande!$B203),IF(DataDemande!$B204="",IF(FIND("Pax",DataDemande!C203),VALUE(LEFT(DataDemande!C203,LEN(DataDemande!C203)-4)),))),"")</f>
        <v/>
      </c>
      <c r="E144" s="8" t="str">
        <f>IFERROR(IF(FIND("Km",DataDemande!$B203),IF(DataDemande!$B204="",IF(FIND("Pax",DataDemande!D203),VALUE(LEFT(DataDemande!D203,LEN(DataDemande!D203)-4)),))),"")</f>
        <v/>
      </c>
      <c r="F144" s="8" t="str">
        <f>IFERROR(IF(FIND("Km",DataDemande!$B203),IF(DataDemande!$B204="",IF(FIND("Pax",DataDemande!E203),VALUE(LEFT(DataDemande!E203,LEN(DataDemande!E203)-4)),))),"")</f>
        <v/>
      </c>
      <c r="G144" s="8" t="str">
        <f>IFERROR(IF($D144&lt;&gt;"",VALUE(LEFT(DataDemande!F203,LEN(DataDemande!F203)-7)),""),"")</f>
        <v/>
      </c>
    </row>
    <row r="145" spans="1:7" x14ac:dyDescent="0.3">
      <c r="A145" t="str">
        <f>DataDemande!N204</f>
        <v/>
      </c>
      <c r="B145" t="str">
        <f t="shared" si="4"/>
        <v/>
      </c>
      <c r="C145" t="str">
        <f t="shared" si="5"/>
        <v/>
      </c>
      <c r="D145" s="8" t="str">
        <f>IFERROR(IF(FIND("Km",DataDemande!$B204),IF(DataDemande!$B205="",IF(FIND("Pax",DataDemande!C204),VALUE(LEFT(DataDemande!C204,LEN(DataDemande!C204)-4)),))),"")</f>
        <v/>
      </c>
      <c r="E145" s="8" t="str">
        <f>IFERROR(IF(FIND("Km",DataDemande!$B204),IF(DataDemande!$B205="",IF(FIND("Pax",DataDemande!D204),VALUE(LEFT(DataDemande!D204,LEN(DataDemande!D204)-4)),))),"")</f>
        <v/>
      </c>
      <c r="F145" s="8" t="str">
        <f>IFERROR(IF(FIND("Km",DataDemande!$B204),IF(DataDemande!$B205="",IF(FIND("Pax",DataDemande!E204),VALUE(LEFT(DataDemande!E204,LEN(DataDemande!E204)-4)),))),"")</f>
        <v/>
      </c>
      <c r="G145" s="8" t="str">
        <f>IFERROR(IF($D145&lt;&gt;"",VALUE(LEFT(DataDemande!F204,LEN(DataDemande!F204)-7)),""),"")</f>
        <v/>
      </c>
    </row>
    <row r="146" spans="1:7" x14ac:dyDescent="0.3">
      <c r="A146" t="str">
        <f>DataDemande!N205</f>
        <v/>
      </c>
      <c r="B146" t="str">
        <f t="shared" si="4"/>
        <v/>
      </c>
      <c r="C146" t="str">
        <f t="shared" si="5"/>
        <v/>
      </c>
      <c r="D146" s="8" t="str">
        <f>IFERROR(IF(FIND("Km",DataDemande!$B205),IF(DataDemande!$B206="",IF(FIND("Pax",DataDemande!C205),VALUE(LEFT(DataDemande!C205,LEN(DataDemande!C205)-4)),))),"")</f>
        <v/>
      </c>
      <c r="E146" s="8" t="str">
        <f>IFERROR(IF(FIND("Km",DataDemande!$B205),IF(DataDemande!$B206="",IF(FIND("Pax",DataDemande!D205),VALUE(LEFT(DataDemande!D205,LEN(DataDemande!D205)-4)),))),"")</f>
        <v/>
      </c>
      <c r="F146" s="8" t="str">
        <f>IFERROR(IF(FIND("Km",DataDemande!$B205),IF(DataDemande!$B206="",IF(FIND("Pax",DataDemande!E205),VALUE(LEFT(DataDemande!E205,LEN(DataDemande!E205)-4)),))),"")</f>
        <v/>
      </c>
      <c r="G146" s="8" t="str">
        <f>IFERROR(IF($D146&lt;&gt;"",VALUE(LEFT(DataDemande!F205,LEN(DataDemande!F205)-7)),""),"")</f>
        <v/>
      </c>
    </row>
    <row r="147" spans="1:7" x14ac:dyDescent="0.3">
      <c r="A147" t="str">
        <f>DataDemande!N206</f>
        <v/>
      </c>
      <c r="B147" t="str">
        <f t="shared" si="4"/>
        <v/>
      </c>
      <c r="C147" t="str">
        <f t="shared" si="5"/>
        <v/>
      </c>
      <c r="D147" s="8" t="str">
        <f>IFERROR(IF(FIND("Km",DataDemande!$B206),IF(DataDemande!$B207="",IF(FIND("Pax",DataDemande!C206),VALUE(LEFT(DataDemande!C206,LEN(DataDemande!C206)-4)),))),"")</f>
        <v/>
      </c>
      <c r="E147" s="8" t="str">
        <f>IFERROR(IF(FIND("Km",DataDemande!$B206),IF(DataDemande!$B207="",IF(FIND("Pax",DataDemande!D206),VALUE(LEFT(DataDemande!D206,LEN(DataDemande!D206)-4)),))),"")</f>
        <v/>
      </c>
      <c r="F147" s="8" t="str">
        <f>IFERROR(IF(FIND("Km",DataDemande!$B206),IF(DataDemande!$B207="",IF(FIND("Pax",DataDemande!E206),VALUE(LEFT(DataDemande!E206,LEN(DataDemande!E206)-4)),))),"")</f>
        <v/>
      </c>
      <c r="G147" s="8" t="str">
        <f>IFERROR(IF($D147&lt;&gt;"",VALUE(LEFT(DataDemande!F206,LEN(DataDemande!F206)-7)),""),"")</f>
        <v/>
      </c>
    </row>
    <row r="148" spans="1:7" x14ac:dyDescent="0.3">
      <c r="A148" t="str">
        <f>DataDemande!N207</f>
        <v/>
      </c>
      <c r="B148" t="str">
        <f t="shared" si="4"/>
        <v/>
      </c>
      <c r="C148" t="str">
        <f t="shared" si="5"/>
        <v/>
      </c>
      <c r="D148" s="8" t="str">
        <f>IFERROR(IF(FIND("Km",DataDemande!$B207),IF(DataDemande!$B208="",IF(FIND("Pax",DataDemande!C207),VALUE(LEFT(DataDemande!C207,LEN(DataDemande!C207)-4)),))),"")</f>
        <v/>
      </c>
      <c r="E148" s="8" t="str">
        <f>IFERROR(IF(FIND("Km",DataDemande!$B207),IF(DataDemande!$B208="",IF(FIND("Pax",DataDemande!D207),VALUE(LEFT(DataDemande!D207,LEN(DataDemande!D207)-4)),))),"")</f>
        <v/>
      </c>
      <c r="F148" s="8" t="str">
        <f>IFERROR(IF(FIND("Km",DataDemande!$B207),IF(DataDemande!$B208="",IF(FIND("Pax",DataDemande!E207),VALUE(LEFT(DataDemande!E207,LEN(DataDemande!E207)-4)),))),"")</f>
        <v/>
      </c>
      <c r="G148" s="8" t="str">
        <f>IFERROR(IF($D148&lt;&gt;"",VALUE(LEFT(DataDemande!F207,LEN(DataDemande!F207)-7)),""),"")</f>
        <v/>
      </c>
    </row>
    <row r="149" spans="1:7" x14ac:dyDescent="0.3">
      <c r="A149" t="str">
        <f>DataDemande!N208</f>
        <v/>
      </c>
      <c r="B149" t="str">
        <f t="shared" si="4"/>
        <v/>
      </c>
      <c r="C149" t="str">
        <f t="shared" si="5"/>
        <v/>
      </c>
      <c r="D149" s="8" t="str">
        <f>IFERROR(IF(FIND("Km",DataDemande!$B208),IF(DataDemande!$B209="",IF(FIND("Pax",DataDemande!C208),VALUE(LEFT(DataDemande!C208,LEN(DataDemande!C208)-4)),))),"")</f>
        <v/>
      </c>
      <c r="E149" s="8" t="str">
        <f>IFERROR(IF(FIND("Km",DataDemande!$B208),IF(DataDemande!$B209="",IF(FIND("Pax",DataDemande!D208),VALUE(LEFT(DataDemande!D208,LEN(DataDemande!D208)-4)),))),"")</f>
        <v/>
      </c>
      <c r="F149" s="8" t="str">
        <f>IFERROR(IF(FIND("Km",DataDemande!$B208),IF(DataDemande!$B209="",IF(FIND("Pax",DataDemande!E208),VALUE(LEFT(DataDemande!E208,LEN(DataDemande!E208)-4)),))),"")</f>
        <v/>
      </c>
      <c r="G149" s="8" t="str">
        <f>IFERROR(IF($D149&lt;&gt;"",VALUE(LEFT(DataDemande!F208,LEN(DataDemande!F208)-7)),""),"")</f>
        <v/>
      </c>
    </row>
    <row r="150" spans="1:7" x14ac:dyDescent="0.3">
      <c r="A150" t="str">
        <f>DataDemande!N209</f>
        <v/>
      </c>
      <c r="B150" t="str">
        <f t="shared" si="4"/>
        <v/>
      </c>
      <c r="C150" t="str">
        <f t="shared" si="5"/>
        <v/>
      </c>
      <c r="D150" s="8" t="str">
        <f>IFERROR(IF(FIND("Km",DataDemande!$B209),IF(DataDemande!$B210="",IF(FIND("Pax",DataDemande!C209),VALUE(LEFT(DataDemande!C209,LEN(DataDemande!C209)-4)),))),"")</f>
        <v/>
      </c>
      <c r="E150" s="8" t="str">
        <f>IFERROR(IF(FIND("Km",DataDemande!$B209),IF(DataDemande!$B210="",IF(FIND("Pax",DataDemande!D209),VALUE(LEFT(DataDemande!D209,LEN(DataDemande!D209)-4)),))),"")</f>
        <v/>
      </c>
      <c r="F150" s="8" t="str">
        <f>IFERROR(IF(FIND("Km",DataDemande!$B209),IF(DataDemande!$B210="",IF(FIND("Pax",DataDemande!E209),VALUE(LEFT(DataDemande!E209,LEN(DataDemande!E209)-4)),))),"")</f>
        <v/>
      </c>
      <c r="G150" s="8" t="str">
        <f>IFERROR(IF($D150&lt;&gt;"",VALUE(LEFT(DataDemande!F209,LEN(DataDemande!F209)-7)),""),"")</f>
        <v/>
      </c>
    </row>
    <row r="151" spans="1:7" x14ac:dyDescent="0.3">
      <c r="A151" t="str">
        <f>DataDemande!N210</f>
        <v/>
      </c>
      <c r="B151" t="str">
        <f t="shared" si="4"/>
        <v/>
      </c>
      <c r="C151" t="str">
        <f t="shared" si="5"/>
        <v/>
      </c>
      <c r="D151" s="8" t="str">
        <f>IFERROR(IF(FIND("Km",DataDemande!$B210),IF(DataDemande!$B211="",IF(FIND("Pax",DataDemande!C210),VALUE(LEFT(DataDemande!C210,LEN(DataDemande!C210)-4)),))),"")</f>
        <v/>
      </c>
      <c r="E151" s="8" t="str">
        <f>IFERROR(IF(FIND("Km",DataDemande!$B210),IF(DataDemande!$B211="",IF(FIND("Pax",DataDemande!D210),VALUE(LEFT(DataDemande!D210,LEN(DataDemande!D210)-4)),))),"")</f>
        <v/>
      </c>
      <c r="F151" s="8" t="str">
        <f>IFERROR(IF(FIND("Km",DataDemande!$B210),IF(DataDemande!$B211="",IF(FIND("Pax",DataDemande!E210),VALUE(LEFT(DataDemande!E210,LEN(DataDemande!E210)-4)),))),"")</f>
        <v/>
      </c>
      <c r="G151" s="8" t="str">
        <f>IFERROR(IF($D151&lt;&gt;"",VALUE(LEFT(DataDemande!F210,LEN(DataDemande!F210)-7)),""),"")</f>
        <v/>
      </c>
    </row>
    <row r="152" spans="1:7" x14ac:dyDescent="0.3">
      <c r="A152" t="str">
        <f>DataDemande!N211</f>
        <v/>
      </c>
      <c r="B152" t="str">
        <f t="shared" si="4"/>
        <v/>
      </c>
      <c r="C152" t="str">
        <f t="shared" si="5"/>
        <v/>
      </c>
      <c r="D152" s="8" t="str">
        <f>IFERROR(IF(FIND("Km",DataDemande!$B211),IF(DataDemande!$B212="",IF(FIND("Pax",DataDemande!C211),VALUE(LEFT(DataDemande!C211,LEN(DataDemande!C211)-4)),))),"")</f>
        <v/>
      </c>
      <c r="E152" s="8" t="str">
        <f>IFERROR(IF(FIND("Km",DataDemande!$B211),IF(DataDemande!$B212="",IF(FIND("Pax",DataDemande!D211),VALUE(LEFT(DataDemande!D211,LEN(DataDemande!D211)-4)),))),"")</f>
        <v/>
      </c>
      <c r="F152" s="8" t="str">
        <f>IFERROR(IF(FIND("Km",DataDemande!$B211),IF(DataDemande!$B212="",IF(FIND("Pax",DataDemande!E211),VALUE(LEFT(DataDemande!E211,LEN(DataDemande!E211)-4)),))),"")</f>
        <v/>
      </c>
      <c r="G152" s="8" t="str">
        <f>IFERROR(IF($D152&lt;&gt;"",VALUE(LEFT(DataDemande!F211,LEN(DataDemande!F211)-7)),""),"")</f>
        <v/>
      </c>
    </row>
    <row r="153" spans="1:7" x14ac:dyDescent="0.3">
      <c r="A153" t="str">
        <f>DataDemande!N212</f>
        <v/>
      </c>
      <c r="B153" t="str">
        <f t="shared" si="4"/>
        <v/>
      </c>
      <c r="C153" t="str">
        <f t="shared" si="5"/>
        <v/>
      </c>
      <c r="D153" s="8" t="str">
        <f>IFERROR(IF(FIND("Km",DataDemande!$B212),IF(DataDemande!$B213="",IF(FIND("Pax",DataDemande!C212),VALUE(LEFT(DataDemande!C212,LEN(DataDemande!C212)-4)),))),"")</f>
        <v/>
      </c>
      <c r="E153" s="8" t="str">
        <f>IFERROR(IF(FIND("Km",DataDemande!$B212),IF(DataDemande!$B213="",IF(FIND("Pax",DataDemande!D212),VALUE(LEFT(DataDemande!D212,LEN(DataDemande!D212)-4)),))),"")</f>
        <v/>
      </c>
      <c r="F153" s="8" t="str">
        <f>IFERROR(IF(FIND("Km",DataDemande!$B212),IF(DataDemande!$B213="",IF(FIND("Pax",DataDemande!E212),VALUE(LEFT(DataDemande!E212,LEN(DataDemande!E212)-4)),))),"")</f>
        <v/>
      </c>
      <c r="G153" s="8" t="str">
        <f>IFERROR(IF($D153&lt;&gt;"",VALUE(LEFT(DataDemande!F212,LEN(DataDemande!F212)-7)),""),"")</f>
        <v/>
      </c>
    </row>
    <row r="154" spans="1:7" x14ac:dyDescent="0.3">
      <c r="A154" t="str">
        <f>DataDemande!N213</f>
        <v/>
      </c>
      <c r="B154" t="str">
        <f t="shared" si="4"/>
        <v/>
      </c>
      <c r="C154" t="str">
        <f t="shared" si="5"/>
        <v/>
      </c>
      <c r="D154" s="8" t="str">
        <f>IFERROR(IF(FIND("Km",DataDemande!$B213),IF(DataDemande!$B214="",IF(FIND("Pax",DataDemande!C213),VALUE(LEFT(DataDemande!C213,LEN(DataDemande!C213)-4)),))),"")</f>
        <v/>
      </c>
      <c r="E154" s="8" t="str">
        <f>IFERROR(IF(FIND("Km",DataDemande!$B213),IF(DataDemande!$B214="",IF(FIND("Pax",DataDemande!D213),VALUE(LEFT(DataDemande!D213,LEN(DataDemande!D213)-4)),))),"")</f>
        <v/>
      </c>
      <c r="F154" s="8" t="str">
        <f>IFERROR(IF(FIND("Km",DataDemande!$B213),IF(DataDemande!$B214="",IF(FIND("Pax",DataDemande!E213),VALUE(LEFT(DataDemande!E213,LEN(DataDemande!E213)-4)),))),"")</f>
        <v/>
      </c>
      <c r="G154" s="8" t="str">
        <f>IFERROR(IF($D154&lt;&gt;"",VALUE(LEFT(DataDemande!F213,LEN(DataDemande!F213)-7)),""),"")</f>
        <v/>
      </c>
    </row>
    <row r="155" spans="1:7" x14ac:dyDescent="0.3">
      <c r="A155" t="str">
        <f>DataDemande!N214</f>
        <v/>
      </c>
      <c r="B155" t="str">
        <f t="shared" si="4"/>
        <v/>
      </c>
      <c r="C155" t="str">
        <f t="shared" si="5"/>
        <v/>
      </c>
      <c r="D155" s="8" t="str">
        <f>IFERROR(IF(FIND("Km",DataDemande!$B214),IF(DataDemande!$B215="",IF(FIND("Pax",DataDemande!C214),VALUE(LEFT(DataDemande!C214,LEN(DataDemande!C214)-4)),))),"")</f>
        <v/>
      </c>
      <c r="E155" s="8" t="str">
        <f>IFERROR(IF(FIND("Km",DataDemande!$B214),IF(DataDemande!$B215="",IF(FIND("Pax",DataDemande!D214),VALUE(LEFT(DataDemande!D214,LEN(DataDemande!D214)-4)),))),"")</f>
        <v/>
      </c>
      <c r="F155" s="8" t="str">
        <f>IFERROR(IF(FIND("Km",DataDemande!$B214),IF(DataDemande!$B215="",IF(FIND("Pax",DataDemande!E214),VALUE(LEFT(DataDemande!E214,LEN(DataDemande!E214)-4)),))),"")</f>
        <v/>
      </c>
      <c r="G155" s="8" t="str">
        <f>IFERROR(IF($D155&lt;&gt;"",VALUE(LEFT(DataDemande!F214,LEN(DataDemande!F214)-7)),""),"")</f>
        <v/>
      </c>
    </row>
    <row r="156" spans="1:7" x14ac:dyDescent="0.3">
      <c r="A156" t="str">
        <f>DataDemande!N215</f>
        <v/>
      </c>
      <c r="B156" t="str">
        <f t="shared" si="4"/>
        <v/>
      </c>
      <c r="C156" t="str">
        <f t="shared" si="5"/>
        <v/>
      </c>
      <c r="D156" s="8" t="str">
        <f>IFERROR(IF(FIND("Km",DataDemande!$B215),IF(DataDemande!$B216="",IF(FIND("Pax",DataDemande!C215),VALUE(LEFT(DataDemande!C215,LEN(DataDemande!C215)-4)),))),"")</f>
        <v/>
      </c>
      <c r="E156" s="8" t="str">
        <f>IFERROR(IF(FIND("Km",DataDemande!$B215),IF(DataDemande!$B216="",IF(FIND("Pax",DataDemande!D215),VALUE(LEFT(DataDemande!D215,LEN(DataDemande!D215)-4)),))),"")</f>
        <v/>
      </c>
      <c r="F156" s="8" t="str">
        <f>IFERROR(IF(FIND("Km",DataDemande!$B215),IF(DataDemande!$B216="",IF(FIND("Pax",DataDemande!E215),VALUE(LEFT(DataDemande!E215,LEN(DataDemande!E215)-4)),))),"")</f>
        <v/>
      </c>
      <c r="G156" s="8" t="str">
        <f>IFERROR(IF($D156&lt;&gt;"",VALUE(LEFT(DataDemande!F215,LEN(DataDemande!F215)-7)),""),"")</f>
        <v/>
      </c>
    </row>
    <row r="157" spans="1:7" x14ac:dyDescent="0.3">
      <c r="A157" t="str">
        <f>DataDemande!N216</f>
        <v/>
      </c>
      <c r="B157" t="str">
        <f t="shared" si="4"/>
        <v/>
      </c>
      <c r="C157" t="str">
        <f t="shared" si="5"/>
        <v/>
      </c>
      <c r="D157" s="8" t="str">
        <f>IFERROR(IF(FIND("Km",DataDemande!$B216),IF(DataDemande!$B217="",IF(FIND("Pax",DataDemande!C216),VALUE(LEFT(DataDemande!C216,LEN(DataDemande!C216)-4)),))),"")</f>
        <v/>
      </c>
      <c r="E157" s="8" t="str">
        <f>IFERROR(IF(FIND("Km",DataDemande!$B216),IF(DataDemande!$B217="",IF(FIND("Pax",DataDemande!D216),VALUE(LEFT(DataDemande!D216,LEN(DataDemande!D216)-4)),))),"")</f>
        <v/>
      </c>
      <c r="F157" s="8" t="str">
        <f>IFERROR(IF(FIND("Km",DataDemande!$B216),IF(DataDemande!$B217="",IF(FIND("Pax",DataDemande!E216),VALUE(LEFT(DataDemande!E216,LEN(DataDemande!E216)-4)),))),"")</f>
        <v/>
      </c>
      <c r="G157" s="8" t="str">
        <f>IFERROR(IF($D157&lt;&gt;"",VALUE(LEFT(DataDemande!F216,LEN(DataDemande!F216)-7)),""),"")</f>
        <v/>
      </c>
    </row>
    <row r="158" spans="1:7" x14ac:dyDescent="0.3">
      <c r="A158" t="str">
        <f>DataDemande!N217</f>
        <v/>
      </c>
      <c r="B158" t="str">
        <f t="shared" si="4"/>
        <v/>
      </c>
      <c r="C158" t="str">
        <f t="shared" si="5"/>
        <v/>
      </c>
      <c r="D158" s="8" t="str">
        <f>IFERROR(IF(FIND("Km",DataDemande!$B217),IF(DataDemande!$B218="",IF(FIND("Pax",DataDemande!C217),VALUE(LEFT(DataDemande!C217,LEN(DataDemande!C217)-4)),))),"")</f>
        <v/>
      </c>
      <c r="E158" s="8" t="str">
        <f>IFERROR(IF(FIND("Km",DataDemande!$B217),IF(DataDemande!$B218="",IF(FIND("Pax",DataDemande!D217),VALUE(LEFT(DataDemande!D217,LEN(DataDemande!D217)-4)),))),"")</f>
        <v/>
      </c>
      <c r="F158" s="8" t="str">
        <f>IFERROR(IF(FIND("Km",DataDemande!$B217),IF(DataDemande!$B218="",IF(FIND("Pax",DataDemande!E217),VALUE(LEFT(DataDemande!E217,LEN(DataDemande!E217)-4)),))),"")</f>
        <v/>
      </c>
      <c r="G158" s="8" t="str">
        <f>IFERROR(IF($D158&lt;&gt;"",VALUE(LEFT(DataDemande!F217,LEN(DataDemande!F217)-7)),""),"")</f>
        <v/>
      </c>
    </row>
    <row r="159" spans="1:7" x14ac:dyDescent="0.3">
      <c r="A159" t="str">
        <f>DataDemande!N218</f>
        <v/>
      </c>
      <c r="B159" t="str">
        <f t="shared" si="4"/>
        <v/>
      </c>
      <c r="C159" t="str">
        <f t="shared" si="5"/>
        <v/>
      </c>
      <c r="D159" s="8" t="str">
        <f>IFERROR(IF(FIND("Km",DataDemande!$B218),IF(DataDemande!$B219="",IF(FIND("Pax",DataDemande!C218),VALUE(LEFT(DataDemande!C218,LEN(DataDemande!C218)-4)),))),"")</f>
        <v/>
      </c>
      <c r="E159" s="8" t="str">
        <f>IFERROR(IF(FIND("Km",DataDemande!$B218),IF(DataDemande!$B219="",IF(FIND("Pax",DataDemande!D218),VALUE(LEFT(DataDemande!D218,LEN(DataDemande!D218)-4)),))),"")</f>
        <v/>
      </c>
      <c r="F159" s="8" t="str">
        <f>IFERROR(IF(FIND("Km",DataDemande!$B218),IF(DataDemande!$B219="",IF(FIND("Pax",DataDemande!E218),VALUE(LEFT(DataDemande!E218,LEN(DataDemande!E218)-4)),))),"")</f>
        <v/>
      </c>
      <c r="G159" s="8" t="str">
        <f>IFERROR(IF($D159&lt;&gt;"",VALUE(LEFT(DataDemande!F218,LEN(DataDemande!F218)-7)),""),"")</f>
        <v/>
      </c>
    </row>
    <row r="160" spans="1:7" x14ac:dyDescent="0.3">
      <c r="A160" t="str">
        <f>DataDemande!N219</f>
        <v/>
      </c>
      <c r="B160" t="str">
        <f t="shared" si="4"/>
        <v/>
      </c>
      <c r="C160" t="str">
        <f t="shared" si="5"/>
        <v/>
      </c>
      <c r="D160" s="8" t="str">
        <f>IFERROR(IF(FIND("Km",DataDemande!$B219),IF(DataDemande!$B220="",IF(FIND("Pax",DataDemande!C219),VALUE(LEFT(DataDemande!C219,LEN(DataDemande!C219)-4)),))),"")</f>
        <v/>
      </c>
      <c r="E160" s="8" t="str">
        <f>IFERROR(IF(FIND("Km",DataDemande!$B219),IF(DataDemande!$B220="",IF(FIND("Pax",DataDemande!D219),VALUE(LEFT(DataDemande!D219,LEN(DataDemande!D219)-4)),))),"")</f>
        <v/>
      </c>
      <c r="F160" s="8" t="str">
        <f>IFERROR(IF(FIND("Km",DataDemande!$B219),IF(DataDemande!$B220="",IF(FIND("Pax",DataDemande!E219),VALUE(LEFT(DataDemande!E219,LEN(DataDemande!E219)-4)),))),"")</f>
        <v/>
      </c>
      <c r="G160" s="8" t="str">
        <f>IFERROR(IF($D160&lt;&gt;"",VALUE(LEFT(DataDemande!F219,LEN(DataDemande!F219)-7)),""),"")</f>
        <v/>
      </c>
    </row>
    <row r="161" spans="1:7" x14ac:dyDescent="0.3">
      <c r="A161" t="str">
        <f>DataDemande!N220</f>
        <v/>
      </c>
      <c r="B161" t="str">
        <f t="shared" si="4"/>
        <v/>
      </c>
      <c r="C161" t="str">
        <f t="shared" si="5"/>
        <v/>
      </c>
      <c r="D161" s="8" t="str">
        <f>IFERROR(IF(FIND("Km",DataDemande!$B220),IF(DataDemande!$B221="",IF(FIND("Pax",DataDemande!C220),VALUE(LEFT(DataDemande!C220,LEN(DataDemande!C220)-4)),))),"")</f>
        <v/>
      </c>
      <c r="E161" s="8" t="str">
        <f>IFERROR(IF(FIND("Km",DataDemande!$B220),IF(DataDemande!$B221="",IF(FIND("Pax",DataDemande!D220),VALUE(LEFT(DataDemande!D220,LEN(DataDemande!D220)-4)),))),"")</f>
        <v/>
      </c>
      <c r="F161" s="8" t="str">
        <f>IFERROR(IF(FIND("Km",DataDemande!$B220),IF(DataDemande!$B221="",IF(FIND("Pax",DataDemande!E220),VALUE(LEFT(DataDemande!E220,LEN(DataDemande!E220)-4)),))),"")</f>
        <v/>
      </c>
      <c r="G161" s="8" t="str">
        <f>IFERROR(IF($D161&lt;&gt;"",VALUE(LEFT(DataDemande!F220,LEN(DataDemande!F220)-7)),""),"")</f>
        <v/>
      </c>
    </row>
    <row r="162" spans="1:7" x14ac:dyDescent="0.3">
      <c r="A162" t="str">
        <f>DataDemande!N221</f>
        <v/>
      </c>
      <c r="B162" t="str">
        <f t="shared" si="4"/>
        <v/>
      </c>
      <c r="C162" t="str">
        <f t="shared" si="5"/>
        <v/>
      </c>
      <c r="D162" s="8" t="str">
        <f>IFERROR(IF(FIND("Km",DataDemande!$B221),IF(DataDemande!$B222="",IF(FIND("Pax",DataDemande!C221),VALUE(LEFT(DataDemande!C221,LEN(DataDemande!C221)-4)),))),"")</f>
        <v/>
      </c>
      <c r="E162" s="8" t="str">
        <f>IFERROR(IF(FIND("Km",DataDemande!$B221),IF(DataDemande!$B222="",IF(FIND("Pax",DataDemande!D221),VALUE(LEFT(DataDemande!D221,LEN(DataDemande!D221)-4)),))),"")</f>
        <v/>
      </c>
      <c r="F162" s="8" t="str">
        <f>IFERROR(IF(FIND("Km",DataDemande!$B221),IF(DataDemande!$B222="",IF(FIND("Pax",DataDemande!E221),VALUE(LEFT(DataDemande!E221,LEN(DataDemande!E221)-4)),))),"")</f>
        <v/>
      </c>
      <c r="G162" s="8" t="str">
        <f>IFERROR(IF($D162&lt;&gt;"",VALUE(LEFT(DataDemande!F221,LEN(DataDemande!F221)-7)),""),"")</f>
        <v/>
      </c>
    </row>
    <row r="163" spans="1:7" x14ac:dyDescent="0.3">
      <c r="A163" t="str">
        <f>DataDemande!N222</f>
        <v/>
      </c>
      <c r="B163" t="str">
        <f t="shared" si="4"/>
        <v/>
      </c>
      <c r="C163" t="str">
        <f t="shared" si="5"/>
        <v/>
      </c>
      <c r="D163" s="8" t="str">
        <f>IFERROR(IF(FIND("Km",DataDemande!$B222),IF(DataDemande!$B223="",IF(FIND("Pax",DataDemande!C222),VALUE(LEFT(DataDemande!C222,LEN(DataDemande!C222)-4)),))),"")</f>
        <v/>
      </c>
      <c r="E163" s="8" t="str">
        <f>IFERROR(IF(FIND("Km",DataDemande!$B222),IF(DataDemande!$B223="",IF(FIND("Pax",DataDemande!D222),VALUE(LEFT(DataDemande!D222,LEN(DataDemande!D222)-4)),))),"")</f>
        <v/>
      </c>
      <c r="F163" s="8" t="str">
        <f>IFERROR(IF(FIND("Km",DataDemande!$B222),IF(DataDemande!$B223="",IF(FIND("Pax",DataDemande!E222),VALUE(LEFT(DataDemande!E222,LEN(DataDemande!E222)-4)),))),"")</f>
        <v/>
      </c>
      <c r="G163" s="8" t="str">
        <f>IFERROR(IF($D163&lt;&gt;"",VALUE(LEFT(DataDemande!F222,LEN(DataDemande!F222)-7)),""),"")</f>
        <v/>
      </c>
    </row>
    <row r="164" spans="1:7" x14ac:dyDescent="0.3">
      <c r="A164" t="str">
        <f>DataDemande!N223</f>
        <v/>
      </c>
      <c r="B164" t="str">
        <f t="shared" si="4"/>
        <v/>
      </c>
      <c r="C164" t="str">
        <f t="shared" si="5"/>
        <v/>
      </c>
      <c r="D164" s="8" t="str">
        <f>IFERROR(IF(FIND("Km",DataDemande!$B223),IF(DataDemande!$B224="",IF(FIND("Pax",DataDemande!C223),VALUE(LEFT(DataDemande!C223,LEN(DataDemande!C223)-4)),))),"")</f>
        <v/>
      </c>
      <c r="E164" s="8" t="str">
        <f>IFERROR(IF(FIND("Km",DataDemande!$B223),IF(DataDemande!$B224="",IF(FIND("Pax",DataDemande!D223),VALUE(LEFT(DataDemande!D223,LEN(DataDemande!D223)-4)),))),"")</f>
        <v/>
      </c>
      <c r="F164" s="8" t="str">
        <f>IFERROR(IF(FIND("Km",DataDemande!$B223),IF(DataDemande!$B224="",IF(FIND("Pax",DataDemande!E223),VALUE(LEFT(DataDemande!E223,LEN(DataDemande!E223)-4)),))),"")</f>
        <v/>
      </c>
      <c r="G164" s="8" t="str">
        <f>IFERROR(IF($D164&lt;&gt;"",VALUE(LEFT(DataDemande!F223,LEN(DataDemande!F223)-7)),""),"")</f>
        <v/>
      </c>
    </row>
    <row r="165" spans="1:7" x14ac:dyDescent="0.3">
      <c r="A165" t="str">
        <f>DataDemande!N224</f>
        <v/>
      </c>
      <c r="B165" t="str">
        <f t="shared" si="4"/>
        <v/>
      </c>
      <c r="C165" t="str">
        <f t="shared" si="5"/>
        <v/>
      </c>
      <c r="D165" s="8" t="str">
        <f>IFERROR(IF(FIND("Km",DataDemande!$B224),IF(DataDemande!$B225="",IF(FIND("Pax",DataDemande!C224),VALUE(LEFT(DataDemande!C224,LEN(DataDemande!C224)-4)),))),"")</f>
        <v/>
      </c>
      <c r="E165" s="8" t="str">
        <f>IFERROR(IF(FIND("Km",DataDemande!$B224),IF(DataDemande!$B225="",IF(FIND("Pax",DataDemande!D224),VALUE(LEFT(DataDemande!D224,LEN(DataDemande!D224)-4)),))),"")</f>
        <v/>
      </c>
      <c r="F165" s="8" t="str">
        <f>IFERROR(IF(FIND("Km",DataDemande!$B224),IF(DataDemande!$B225="",IF(FIND("Pax",DataDemande!E224),VALUE(LEFT(DataDemande!E224,LEN(DataDemande!E224)-4)),))),"")</f>
        <v/>
      </c>
      <c r="G165" s="8" t="str">
        <f>IFERROR(IF($D165&lt;&gt;"",VALUE(LEFT(DataDemande!F224,LEN(DataDemande!F224)-7)),""),"")</f>
        <v/>
      </c>
    </row>
    <row r="166" spans="1:7" x14ac:dyDescent="0.3">
      <c r="A166" t="str">
        <f>DataDemande!N225</f>
        <v/>
      </c>
      <c r="B166" t="str">
        <f t="shared" si="4"/>
        <v/>
      </c>
      <c r="C166" t="str">
        <f t="shared" si="5"/>
        <v/>
      </c>
      <c r="D166" s="8" t="str">
        <f>IFERROR(IF(FIND("Km",DataDemande!$B225),IF(DataDemande!$B226="",IF(FIND("Pax",DataDemande!C225),VALUE(LEFT(DataDemande!C225,LEN(DataDemande!C225)-4)),))),"")</f>
        <v/>
      </c>
      <c r="E166" s="8" t="str">
        <f>IFERROR(IF(FIND("Km",DataDemande!$B225),IF(DataDemande!$B226="",IF(FIND("Pax",DataDemande!D225),VALUE(LEFT(DataDemande!D225,LEN(DataDemande!D225)-4)),))),"")</f>
        <v/>
      </c>
      <c r="F166" s="8" t="str">
        <f>IFERROR(IF(FIND("Km",DataDemande!$B225),IF(DataDemande!$B226="",IF(FIND("Pax",DataDemande!E225),VALUE(LEFT(DataDemande!E225,LEN(DataDemande!E225)-4)),))),"")</f>
        <v/>
      </c>
      <c r="G166" s="8" t="str">
        <f>IFERROR(IF($D166&lt;&gt;"",VALUE(LEFT(DataDemande!F225,LEN(DataDemande!F225)-7)),""),"")</f>
        <v/>
      </c>
    </row>
    <row r="167" spans="1:7" x14ac:dyDescent="0.3">
      <c r="A167" t="str">
        <f>DataDemande!N226</f>
        <v/>
      </c>
      <c r="B167" t="str">
        <f t="shared" si="4"/>
        <v/>
      </c>
      <c r="C167" t="str">
        <f t="shared" si="5"/>
        <v/>
      </c>
      <c r="D167" s="8" t="str">
        <f>IFERROR(IF(FIND("Km",DataDemande!$B226),IF(DataDemande!$B227="",IF(FIND("Pax",DataDemande!C226),VALUE(LEFT(DataDemande!C226,LEN(DataDemande!C226)-4)),))),"")</f>
        <v/>
      </c>
      <c r="E167" s="8" t="str">
        <f>IFERROR(IF(FIND("Km",DataDemande!$B226),IF(DataDemande!$B227="",IF(FIND("Pax",DataDemande!D226),VALUE(LEFT(DataDemande!D226,LEN(DataDemande!D226)-4)),))),"")</f>
        <v/>
      </c>
      <c r="F167" s="8" t="str">
        <f>IFERROR(IF(FIND("Km",DataDemande!$B226),IF(DataDemande!$B227="",IF(FIND("Pax",DataDemande!E226),VALUE(LEFT(DataDemande!E226,LEN(DataDemande!E226)-4)),))),"")</f>
        <v/>
      </c>
      <c r="G167" s="8" t="str">
        <f>IFERROR(IF($D167&lt;&gt;"",VALUE(LEFT(DataDemande!F226,LEN(DataDemande!F226)-7)),""),"")</f>
        <v/>
      </c>
    </row>
    <row r="168" spans="1:7" x14ac:dyDescent="0.3">
      <c r="A168" t="str">
        <f>DataDemande!N227</f>
        <v/>
      </c>
      <c r="B168" t="str">
        <f t="shared" si="4"/>
        <v/>
      </c>
      <c r="C168" t="str">
        <f t="shared" si="5"/>
        <v/>
      </c>
      <c r="D168" s="8" t="str">
        <f>IFERROR(IF(FIND("Km",DataDemande!$B227),IF(DataDemande!$B228="",IF(FIND("Pax",DataDemande!C227),VALUE(LEFT(DataDemande!C227,LEN(DataDemande!C227)-4)),))),"")</f>
        <v/>
      </c>
      <c r="E168" s="8" t="str">
        <f>IFERROR(IF(FIND("Km",DataDemande!$B227),IF(DataDemande!$B228="",IF(FIND("Pax",DataDemande!D227),VALUE(LEFT(DataDemande!D227,LEN(DataDemande!D227)-4)),))),"")</f>
        <v/>
      </c>
      <c r="F168" s="8" t="str">
        <f>IFERROR(IF(FIND("Km",DataDemande!$B227),IF(DataDemande!$B228="",IF(FIND("Pax",DataDemande!E227),VALUE(LEFT(DataDemande!E227,LEN(DataDemande!E227)-4)),))),"")</f>
        <v/>
      </c>
      <c r="G168" s="8" t="str">
        <f>IFERROR(IF($D168&lt;&gt;"",VALUE(LEFT(DataDemande!F227,LEN(DataDemande!F227)-7)),""),"")</f>
        <v/>
      </c>
    </row>
    <row r="169" spans="1:7" x14ac:dyDescent="0.3">
      <c r="A169" t="str">
        <f>DataDemande!N228</f>
        <v/>
      </c>
      <c r="B169" t="str">
        <f t="shared" si="4"/>
        <v/>
      </c>
      <c r="C169" t="str">
        <f t="shared" si="5"/>
        <v/>
      </c>
      <c r="D169" s="8" t="str">
        <f>IFERROR(IF(FIND("Km",DataDemande!$B228),IF(DataDemande!$B229="",IF(FIND("Pax",DataDemande!C228),VALUE(LEFT(DataDemande!C228,LEN(DataDemande!C228)-4)),))),"")</f>
        <v/>
      </c>
      <c r="E169" s="8" t="str">
        <f>IFERROR(IF(FIND("Km",DataDemande!$B228),IF(DataDemande!$B229="",IF(FIND("Pax",DataDemande!D228),VALUE(LEFT(DataDemande!D228,LEN(DataDemande!D228)-4)),))),"")</f>
        <v/>
      </c>
      <c r="F169" s="8" t="str">
        <f>IFERROR(IF(FIND("Km",DataDemande!$B228),IF(DataDemande!$B229="",IF(FIND("Pax",DataDemande!E228),VALUE(LEFT(DataDemande!E228,LEN(DataDemande!E228)-4)),))),"")</f>
        <v/>
      </c>
      <c r="G169" s="8" t="str">
        <f>IFERROR(IF($D169&lt;&gt;"",VALUE(LEFT(DataDemande!F228,LEN(DataDemande!F228)-7)),""),"")</f>
        <v/>
      </c>
    </row>
    <row r="170" spans="1:7" x14ac:dyDescent="0.3">
      <c r="A170" t="str">
        <f>DataDemande!N229</f>
        <v/>
      </c>
      <c r="B170" t="str">
        <f t="shared" si="4"/>
        <v/>
      </c>
      <c r="C170" t="str">
        <f t="shared" si="5"/>
        <v/>
      </c>
      <c r="D170" s="8" t="str">
        <f>IFERROR(IF(FIND("Km",DataDemande!$B229),IF(DataDemande!$B230="",IF(FIND("Pax",DataDemande!C229),VALUE(LEFT(DataDemande!C229,LEN(DataDemande!C229)-4)),))),"")</f>
        <v/>
      </c>
      <c r="E170" s="8" t="str">
        <f>IFERROR(IF(FIND("Km",DataDemande!$B229),IF(DataDemande!$B230="",IF(FIND("Pax",DataDemande!D229),VALUE(LEFT(DataDemande!D229,LEN(DataDemande!D229)-4)),))),"")</f>
        <v/>
      </c>
      <c r="F170" s="8" t="str">
        <f>IFERROR(IF(FIND("Km",DataDemande!$B229),IF(DataDemande!$B230="",IF(FIND("Pax",DataDemande!E229),VALUE(LEFT(DataDemande!E229,LEN(DataDemande!E229)-4)),))),"")</f>
        <v/>
      </c>
      <c r="G170" s="8" t="str">
        <f>IFERROR(IF($D170&lt;&gt;"",VALUE(LEFT(DataDemande!F229,LEN(DataDemande!F229)-7)),""),"")</f>
        <v/>
      </c>
    </row>
    <row r="171" spans="1:7" x14ac:dyDescent="0.3">
      <c r="A171" t="str">
        <f>DataDemande!N230</f>
        <v/>
      </c>
      <c r="B171" t="str">
        <f t="shared" si="4"/>
        <v/>
      </c>
      <c r="C171" t="str">
        <f t="shared" si="5"/>
        <v/>
      </c>
      <c r="D171" s="8" t="str">
        <f>IFERROR(IF(FIND("Km",DataDemande!$B230),IF(DataDemande!$B231="",IF(FIND("Pax",DataDemande!C230),VALUE(LEFT(DataDemande!C230,LEN(DataDemande!C230)-4)),))),"")</f>
        <v/>
      </c>
      <c r="E171" s="8" t="str">
        <f>IFERROR(IF(FIND("Km",DataDemande!$B230),IF(DataDemande!$B231="",IF(FIND("Pax",DataDemande!D230),VALUE(LEFT(DataDemande!D230,LEN(DataDemande!D230)-4)),))),"")</f>
        <v/>
      </c>
      <c r="F171" s="8" t="str">
        <f>IFERROR(IF(FIND("Km",DataDemande!$B230),IF(DataDemande!$B231="",IF(FIND("Pax",DataDemande!E230),VALUE(LEFT(DataDemande!E230,LEN(DataDemande!E230)-4)),))),"")</f>
        <v/>
      </c>
      <c r="G171" s="8" t="str">
        <f>IFERROR(IF($D171&lt;&gt;"",VALUE(LEFT(DataDemande!F230,LEN(DataDemande!F230)-7)),""),"")</f>
        <v/>
      </c>
    </row>
    <row r="172" spans="1:7" x14ac:dyDescent="0.3">
      <c r="A172" t="str">
        <f>DataDemande!N231</f>
        <v/>
      </c>
      <c r="B172" t="str">
        <f t="shared" si="4"/>
        <v/>
      </c>
      <c r="C172" t="str">
        <f t="shared" si="5"/>
        <v/>
      </c>
      <c r="D172" s="8" t="str">
        <f>IFERROR(IF(FIND("Km",DataDemande!$B231),IF(DataDemande!$B232="",IF(FIND("Pax",DataDemande!C231),VALUE(LEFT(DataDemande!C231,LEN(DataDemande!C231)-4)),))),"")</f>
        <v/>
      </c>
      <c r="E172" s="8" t="str">
        <f>IFERROR(IF(FIND("Km",DataDemande!$B231),IF(DataDemande!$B232="",IF(FIND("Pax",DataDemande!D231),VALUE(LEFT(DataDemande!D231,LEN(DataDemande!D231)-4)),))),"")</f>
        <v/>
      </c>
      <c r="F172" s="8" t="str">
        <f>IFERROR(IF(FIND("Km",DataDemande!$B231),IF(DataDemande!$B232="",IF(FIND("Pax",DataDemande!E231),VALUE(LEFT(DataDemande!E231,LEN(DataDemande!E231)-4)),))),"")</f>
        <v/>
      </c>
      <c r="G172" s="8" t="str">
        <f>IFERROR(IF($D172&lt;&gt;"",VALUE(LEFT(DataDemande!F231,LEN(DataDemande!F231)-7)),""),"")</f>
        <v/>
      </c>
    </row>
    <row r="173" spans="1:7" x14ac:dyDescent="0.3">
      <c r="A173" t="str">
        <f>DataDemande!N232</f>
        <v/>
      </c>
      <c r="B173" t="str">
        <f t="shared" si="4"/>
        <v/>
      </c>
      <c r="C173" t="str">
        <f t="shared" si="5"/>
        <v/>
      </c>
      <c r="D173" s="8" t="str">
        <f>IFERROR(IF(FIND("Km",DataDemande!$B232),IF(DataDemande!$B233="",IF(FIND("Pax",DataDemande!C232),VALUE(LEFT(DataDemande!C232,LEN(DataDemande!C232)-4)),))),"")</f>
        <v/>
      </c>
      <c r="E173" s="8" t="str">
        <f>IFERROR(IF(FIND("Km",DataDemande!$B232),IF(DataDemande!$B233="",IF(FIND("Pax",DataDemande!D232),VALUE(LEFT(DataDemande!D232,LEN(DataDemande!D232)-4)),))),"")</f>
        <v/>
      </c>
      <c r="F173" s="8" t="str">
        <f>IFERROR(IF(FIND("Km",DataDemande!$B232),IF(DataDemande!$B233="",IF(FIND("Pax",DataDemande!E232),VALUE(LEFT(DataDemande!E232,LEN(DataDemande!E232)-4)),))),"")</f>
        <v/>
      </c>
      <c r="G173" s="8" t="str">
        <f>IFERROR(IF($D173&lt;&gt;"",VALUE(LEFT(DataDemande!F232,LEN(DataDemande!F232)-7)),""),"")</f>
        <v/>
      </c>
    </row>
    <row r="174" spans="1:7" x14ac:dyDescent="0.3">
      <c r="A174" t="str">
        <f>DataDemande!N233</f>
        <v/>
      </c>
      <c r="B174" t="str">
        <f t="shared" si="4"/>
        <v/>
      </c>
      <c r="C174" t="str">
        <f t="shared" si="5"/>
        <v/>
      </c>
      <c r="D174" s="8" t="str">
        <f>IFERROR(IF(FIND("Km",DataDemande!$B233),IF(DataDemande!$B234="",IF(FIND("Pax",DataDemande!C233),VALUE(LEFT(DataDemande!C233,LEN(DataDemande!C233)-4)),))),"")</f>
        <v/>
      </c>
      <c r="E174" s="8" t="str">
        <f>IFERROR(IF(FIND("Km",DataDemande!$B233),IF(DataDemande!$B234="",IF(FIND("Pax",DataDemande!D233),VALUE(LEFT(DataDemande!D233,LEN(DataDemande!D233)-4)),))),"")</f>
        <v/>
      </c>
      <c r="F174" s="8" t="str">
        <f>IFERROR(IF(FIND("Km",DataDemande!$B233),IF(DataDemande!$B234="",IF(FIND("Pax",DataDemande!E233),VALUE(LEFT(DataDemande!E233,LEN(DataDemande!E233)-4)),))),"")</f>
        <v/>
      </c>
      <c r="G174" s="8" t="str">
        <f>IFERROR(IF($D174&lt;&gt;"",VALUE(LEFT(DataDemande!F233,LEN(DataDemande!F233)-7)),""),"")</f>
        <v/>
      </c>
    </row>
    <row r="175" spans="1:7" x14ac:dyDescent="0.3">
      <c r="A175" t="str">
        <f>DataDemande!N234</f>
        <v/>
      </c>
      <c r="B175" t="str">
        <f t="shared" si="4"/>
        <v/>
      </c>
      <c r="C175" t="str">
        <f t="shared" si="5"/>
        <v/>
      </c>
      <c r="D175" s="8" t="str">
        <f>IFERROR(IF(FIND("Km",DataDemande!$B234),IF(DataDemande!$B235="",IF(FIND("Pax",DataDemande!C234),VALUE(LEFT(DataDemande!C234,LEN(DataDemande!C234)-4)),))),"")</f>
        <v/>
      </c>
      <c r="E175" s="8" t="str">
        <f>IFERROR(IF(FIND("Km",DataDemande!$B234),IF(DataDemande!$B235="",IF(FIND("Pax",DataDemande!D234),VALUE(LEFT(DataDemande!D234,LEN(DataDemande!D234)-4)),))),"")</f>
        <v/>
      </c>
      <c r="F175" s="8" t="str">
        <f>IFERROR(IF(FIND("Km",DataDemande!$B234),IF(DataDemande!$B235="",IF(FIND("Pax",DataDemande!E234),VALUE(LEFT(DataDemande!E234,LEN(DataDemande!E234)-4)),))),"")</f>
        <v/>
      </c>
      <c r="G175" s="8" t="str">
        <f>IFERROR(IF($D175&lt;&gt;"",VALUE(LEFT(DataDemande!F234,LEN(DataDemande!F234)-7)),""),"")</f>
        <v/>
      </c>
    </row>
    <row r="176" spans="1:7" x14ac:dyDescent="0.3">
      <c r="A176" t="str">
        <f>DataDemande!N235</f>
        <v/>
      </c>
      <c r="B176" t="str">
        <f t="shared" si="4"/>
        <v/>
      </c>
      <c r="C176" t="str">
        <f t="shared" si="5"/>
        <v/>
      </c>
      <c r="D176" s="8" t="str">
        <f>IFERROR(IF(FIND("Km",DataDemande!$B235),IF(DataDemande!$B236="",IF(FIND("Pax",DataDemande!C235),VALUE(LEFT(DataDemande!C235,LEN(DataDemande!C235)-4)),))),"")</f>
        <v/>
      </c>
      <c r="E176" s="8" t="str">
        <f>IFERROR(IF(FIND("Km",DataDemande!$B235),IF(DataDemande!$B236="",IF(FIND("Pax",DataDemande!D235),VALUE(LEFT(DataDemande!D235,LEN(DataDemande!D235)-4)),))),"")</f>
        <v/>
      </c>
      <c r="F176" s="8" t="str">
        <f>IFERROR(IF(FIND("Km",DataDemande!$B235),IF(DataDemande!$B236="",IF(FIND("Pax",DataDemande!E235),VALUE(LEFT(DataDemande!E235,LEN(DataDemande!E235)-4)),))),"")</f>
        <v/>
      </c>
      <c r="G176" s="8" t="str">
        <f>IFERROR(IF($D176&lt;&gt;"",VALUE(LEFT(DataDemande!F235,LEN(DataDemande!F235)-7)),""),"")</f>
        <v/>
      </c>
    </row>
    <row r="177" spans="1:7" x14ac:dyDescent="0.3">
      <c r="A177" t="str">
        <f>DataDemande!N236</f>
        <v/>
      </c>
      <c r="B177" t="str">
        <f t="shared" si="4"/>
        <v/>
      </c>
      <c r="C177" t="str">
        <f t="shared" si="5"/>
        <v/>
      </c>
      <c r="D177" s="8" t="str">
        <f>IFERROR(IF(FIND("Km",DataDemande!$B236),IF(DataDemande!$B237="",IF(FIND("Pax",DataDemande!C236),VALUE(LEFT(DataDemande!C236,LEN(DataDemande!C236)-4)),))),"")</f>
        <v/>
      </c>
      <c r="E177" s="8" t="str">
        <f>IFERROR(IF(FIND("Km",DataDemande!$B236),IF(DataDemande!$B237="",IF(FIND("Pax",DataDemande!D236),VALUE(LEFT(DataDemande!D236,LEN(DataDemande!D236)-4)),))),"")</f>
        <v/>
      </c>
      <c r="F177" s="8" t="str">
        <f>IFERROR(IF(FIND("Km",DataDemande!$B236),IF(DataDemande!$B237="",IF(FIND("Pax",DataDemande!E236),VALUE(LEFT(DataDemande!E236,LEN(DataDemande!E236)-4)),))),"")</f>
        <v/>
      </c>
      <c r="G177" s="8" t="str">
        <f>IFERROR(IF($D177&lt;&gt;"",VALUE(LEFT(DataDemande!F236,LEN(DataDemande!F236)-7)),""),"")</f>
        <v/>
      </c>
    </row>
    <row r="178" spans="1:7" x14ac:dyDescent="0.3">
      <c r="A178" t="str">
        <f>DataDemande!N237</f>
        <v/>
      </c>
      <c r="B178" t="str">
        <f t="shared" si="4"/>
        <v/>
      </c>
      <c r="C178" t="str">
        <f t="shared" si="5"/>
        <v/>
      </c>
      <c r="D178" s="8" t="str">
        <f>IFERROR(IF(FIND("Km",DataDemande!$B237),IF(DataDemande!$B238="",IF(FIND("Pax",DataDemande!C237),VALUE(LEFT(DataDemande!C237,LEN(DataDemande!C237)-4)),))),"")</f>
        <v/>
      </c>
      <c r="E178" s="8" t="str">
        <f>IFERROR(IF(FIND("Km",DataDemande!$B237),IF(DataDemande!$B238="",IF(FIND("Pax",DataDemande!D237),VALUE(LEFT(DataDemande!D237,LEN(DataDemande!D237)-4)),))),"")</f>
        <v/>
      </c>
      <c r="F178" s="8" t="str">
        <f>IFERROR(IF(FIND("Km",DataDemande!$B237),IF(DataDemande!$B238="",IF(FIND("Pax",DataDemande!E237),VALUE(LEFT(DataDemande!E237,LEN(DataDemande!E237)-4)),))),"")</f>
        <v/>
      </c>
      <c r="G178" s="8" t="str">
        <f>IFERROR(IF($D178&lt;&gt;"",VALUE(LEFT(DataDemande!F237,LEN(DataDemande!F237)-7)),""),"")</f>
        <v/>
      </c>
    </row>
    <row r="179" spans="1:7" x14ac:dyDescent="0.3">
      <c r="A179" t="str">
        <f>DataDemande!N238</f>
        <v/>
      </c>
      <c r="B179" t="str">
        <f t="shared" si="4"/>
        <v/>
      </c>
      <c r="C179" t="str">
        <f t="shared" si="5"/>
        <v/>
      </c>
      <c r="D179" s="8" t="str">
        <f>IFERROR(IF(FIND("Km",DataDemande!$B238),IF(DataDemande!$B239="",IF(FIND("Pax",DataDemande!C238),VALUE(LEFT(DataDemande!C238,LEN(DataDemande!C238)-4)),))),"")</f>
        <v/>
      </c>
      <c r="E179" s="8" t="str">
        <f>IFERROR(IF(FIND("Km",DataDemande!$B238),IF(DataDemande!$B239="",IF(FIND("Pax",DataDemande!D238),VALUE(LEFT(DataDemande!D238,LEN(DataDemande!D238)-4)),))),"")</f>
        <v/>
      </c>
      <c r="F179" s="8" t="str">
        <f>IFERROR(IF(FIND("Km",DataDemande!$B238),IF(DataDemande!$B239="",IF(FIND("Pax",DataDemande!E238),VALUE(LEFT(DataDemande!E238,LEN(DataDemande!E238)-4)),))),"")</f>
        <v/>
      </c>
      <c r="G179" s="8" t="str">
        <f>IFERROR(IF($D179&lt;&gt;"",VALUE(LEFT(DataDemande!F238,LEN(DataDemande!F238)-7)),""),"")</f>
        <v/>
      </c>
    </row>
    <row r="180" spans="1:7" x14ac:dyDescent="0.3">
      <c r="A180" t="str">
        <f>DataDemande!N239</f>
        <v/>
      </c>
      <c r="B180" t="str">
        <f t="shared" si="4"/>
        <v/>
      </c>
      <c r="C180" t="str">
        <f t="shared" si="5"/>
        <v/>
      </c>
      <c r="D180" s="8" t="str">
        <f>IFERROR(IF(FIND("Km",DataDemande!$B239),IF(DataDemande!$B240="",IF(FIND("Pax",DataDemande!C239),VALUE(LEFT(DataDemande!C239,LEN(DataDemande!C239)-4)),))),"")</f>
        <v/>
      </c>
      <c r="E180" s="8" t="str">
        <f>IFERROR(IF(FIND("Km",DataDemande!$B239),IF(DataDemande!$B240="",IF(FIND("Pax",DataDemande!D239),VALUE(LEFT(DataDemande!D239,LEN(DataDemande!D239)-4)),))),"")</f>
        <v/>
      </c>
      <c r="F180" s="8" t="str">
        <f>IFERROR(IF(FIND("Km",DataDemande!$B239),IF(DataDemande!$B240="",IF(FIND("Pax",DataDemande!E239),VALUE(LEFT(DataDemande!E239,LEN(DataDemande!E239)-4)),))),"")</f>
        <v/>
      </c>
      <c r="G180" s="8" t="str">
        <f>IFERROR(IF($D180&lt;&gt;"",VALUE(LEFT(DataDemande!F239,LEN(DataDemande!F239)-7)),""),"")</f>
        <v/>
      </c>
    </row>
    <row r="181" spans="1:7" x14ac:dyDescent="0.3">
      <c r="A181" t="str">
        <f>DataDemande!N240</f>
        <v/>
      </c>
      <c r="B181" t="str">
        <f t="shared" si="4"/>
        <v/>
      </c>
      <c r="C181" t="str">
        <f t="shared" si="5"/>
        <v/>
      </c>
      <c r="D181" s="8" t="str">
        <f>IFERROR(IF(FIND("Km",DataDemande!$B240),IF(DataDemande!$B241="",IF(FIND("Pax",DataDemande!C240),VALUE(LEFT(DataDemande!C240,LEN(DataDemande!C240)-4)),))),"")</f>
        <v/>
      </c>
      <c r="E181" s="8" t="str">
        <f>IFERROR(IF(FIND("Km",DataDemande!$B240),IF(DataDemande!$B241="",IF(FIND("Pax",DataDemande!D240),VALUE(LEFT(DataDemande!D240,LEN(DataDemande!D240)-4)),))),"")</f>
        <v/>
      </c>
      <c r="F181" s="8" t="str">
        <f>IFERROR(IF(FIND("Km",DataDemande!$B240),IF(DataDemande!$B241="",IF(FIND("Pax",DataDemande!E240),VALUE(LEFT(DataDemande!E240,LEN(DataDemande!E240)-4)),))),"")</f>
        <v/>
      </c>
      <c r="G181" s="8" t="str">
        <f>IFERROR(IF($D181&lt;&gt;"",VALUE(LEFT(DataDemande!F240,LEN(DataDemande!F240)-7)),""),"")</f>
        <v/>
      </c>
    </row>
    <row r="182" spans="1:7" x14ac:dyDescent="0.3">
      <c r="A182" t="str">
        <f>DataDemande!N241</f>
        <v/>
      </c>
      <c r="B182" t="str">
        <f t="shared" si="4"/>
        <v/>
      </c>
      <c r="C182" t="str">
        <f t="shared" si="5"/>
        <v/>
      </c>
      <c r="D182" s="8" t="str">
        <f>IFERROR(IF(FIND("Km",DataDemande!$B241),IF(DataDemande!$B242="",IF(FIND("Pax",DataDemande!C241),VALUE(LEFT(DataDemande!C241,LEN(DataDemande!C241)-4)),))),"")</f>
        <v/>
      </c>
      <c r="E182" s="8" t="str">
        <f>IFERROR(IF(FIND("Km",DataDemande!$B241),IF(DataDemande!$B242="",IF(FIND("Pax",DataDemande!D241),VALUE(LEFT(DataDemande!D241,LEN(DataDemande!D241)-4)),))),"")</f>
        <v/>
      </c>
      <c r="F182" s="8" t="str">
        <f>IFERROR(IF(FIND("Km",DataDemande!$B241),IF(DataDemande!$B242="",IF(FIND("Pax",DataDemande!E241),VALUE(LEFT(DataDemande!E241,LEN(DataDemande!E241)-4)),))),"")</f>
        <v/>
      </c>
      <c r="G182" s="8" t="str">
        <f>IFERROR(IF($D182&lt;&gt;"",VALUE(LEFT(DataDemande!F241,LEN(DataDemande!F241)-7)),""),"")</f>
        <v/>
      </c>
    </row>
    <row r="183" spans="1:7" x14ac:dyDescent="0.3">
      <c r="A183" t="str">
        <f>DataDemande!N242</f>
        <v/>
      </c>
      <c r="B183" t="str">
        <f t="shared" si="4"/>
        <v/>
      </c>
      <c r="C183" t="str">
        <f t="shared" si="5"/>
        <v/>
      </c>
      <c r="D183" s="8" t="str">
        <f>IFERROR(IF(FIND("Km",DataDemande!$B242),IF(DataDemande!$B243="",IF(FIND("Pax",DataDemande!C242),VALUE(LEFT(DataDemande!C242,LEN(DataDemande!C242)-4)),))),"")</f>
        <v/>
      </c>
      <c r="E183" s="8" t="str">
        <f>IFERROR(IF(FIND("Km",DataDemande!$B242),IF(DataDemande!$B243="",IF(FIND("Pax",DataDemande!D242),VALUE(LEFT(DataDemande!D242,LEN(DataDemande!D242)-4)),))),"")</f>
        <v/>
      </c>
      <c r="F183" s="8" t="str">
        <f>IFERROR(IF(FIND("Km",DataDemande!$B242),IF(DataDemande!$B243="",IF(FIND("Pax",DataDemande!E242),VALUE(LEFT(DataDemande!E242,LEN(DataDemande!E242)-4)),))),"")</f>
        <v/>
      </c>
      <c r="G183" s="8" t="str">
        <f>IFERROR(IF($D183&lt;&gt;"",VALUE(LEFT(DataDemande!F242,LEN(DataDemande!F242)-7)),""),"")</f>
        <v/>
      </c>
    </row>
    <row r="184" spans="1:7" x14ac:dyDescent="0.3">
      <c r="A184" t="str">
        <f>DataDemande!N243</f>
        <v/>
      </c>
      <c r="B184" t="str">
        <f t="shared" si="4"/>
        <v/>
      </c>
      <c r="C184" t="str">
        <f t="shared" si="5"/>
        <v/>
      </c>
      <c r="D184" s="8" t="str">
        <f>IFERROR(IF(FIND("Km",DataDemande!$B243),IF(DataDemande!$B244="",IF(FIND("Pax",DataDemande!C243),VALUE(LEFT(DataDemande!C243,LEN(DataDemande!C243)-4)),))),"")</f>
        <v/>
      </c>
      <c r="E184" s="8" t="str">
        <f>IFERROR(IF(FIND("Km",DataDemande!$B243),IF(DataDemande!$B244="",IF(FIND("Pax",DataDemande!D243),VALUE(LEFT(DataDemande!D243,LEN(DataDemande!D243)-4)),))),"")</f>
        <v/>
      </c>
      <c r="F184" s="8" t="str">
        <f>IFERROR(IF(FIND("Km",DataDemande!$B243),IF(DataDemande!$B244="",IF(FIND("Pax",DataDemande!E243),VALUE(LEFT(DataDemande!E243,LEN(DataDemande!E243)-4)),))),"")</f>
        <v/>
      </c>
      <c r="G184" s="8" t="str">
        <f>IFERROR(IF($D184&lt;&gt;"",VALUE(LEFT(DataDemande!F243,LEN(DataDemande!F243)-7)),""),"")</f>
        <v/>
      </c>
    </row>
    <row r="185" spans="1:7" ht="14.25" customHeight="1" x14ac:dyDescent="0.3">
      <c r="A185" t="str">
        <f>DataDemande!N244</f>
        <v/>
      </c>
      <c r="B185" t="str">
        <f t="shared" si="4"/>
        <v/>
      </c>
      <c r="C185" t="str">
        <f t="shared" si="5"/>
        <v/>
      </c>
      <c r="D185" s="8" t="str">
        <f>IFERROR(IF(FIND("Km",DataDemande!$B244),IF(DataDemande!$B245="",IF(FIND("Pax",DataDemande!C244),VALUE(LEFT(DataDemande!C244,LEN(DataDemande!C244)-4)),))),"")</f>
        <v/>
      </c>
      <c r="E185" s="8" t="str">
        <f>IFERROR(IF(FIND("Km",DataDemande!$B244),IF(DataDemande!$B245="",IF(FIND("Pax",DataDemande!D244),VALUE(LEFT(DataDemande!D244,LEN(DataDemande!D244)-4)),))),"")</f>
        <v/>
      </c>
      <c r="F185" s="8" t="str">
        <f>IFERROR(IF(FIND("Km",DataDemande!$B244),IF(DataDemande!$B245="",IF(FIND("Pax",DataDemande!E244),VALUE(LEFT(DataDemande!E244,LEN(DataDemande!E244)-4)),))),"")</f>
        <v/>
      </c>
      <c r="G185" s="8" t="str">
        <f>IFERROR(IF($D185&lt;&gt;"",VALUE(LEFT(DataDemande!F244,LEN(DataDemande!F244)-7)),""),"")</f>
        <v/>
      </c>
    </row>
    <row r="186" spans="1:7" x14ac:dyDescent="0.3">
      <c r="A186" t="str">
        <f>DataDemande!N245</f>
        <v/>
      </c>
      <c r="B186" t="str">
        <f t="shared" si="4"/>
        <v/>
      </c>
      <c r="C186" t="str">
        <f t="shared" si="5"/>
        <v/>
      </c>
      <c r="D186" s="8" t="str">
        <f>IFERROR(IF(FIND("Km",DataDemande!$B245),IF(DataDemande!$B246="",IF(FIND("Pax",DataDemande!C245),VALUE(LEFT(DataDemande!C245,LEN(DataDemande!C245)-4)),))),"")</f>
        <v/>
      </c>
      <c r="E186" s="8" t="str">
        <f>IFERROR(IF(FIND("Km",DataDemande!$B245),IF(DataDemande!$B246="",IF(FIND("Pax",DataDemande!D245),VALUE(LEFT(DataDemande!D245,LEN(DataDemande!D245)-4)),))),"")</f>
        <v/>
      </c>
      <c r="F186" s="8" t="str">
        <f>IFERROR(IF(FIND("Km",DataDemande!$B245),IF(DataDemande!$B246="",IF(FIND("Pax",DataDemande!E245),VALUE(LEFT(DataDemande!E245,LEN(DataDemande!E245)-4)),))),"")</f>
        <v/>
      </c>
      <c r="G186" s="8" t="str">
        <f>IFERROR(IF($D186&lt;&gt;"",VALUE(LEFT(DataDemande!F245,LEN(DataDemande!F245)-7)),""),"")</f>
        <v/>
      </c>
    </row>
    <row r="187" spans="1:7" x14ac:dyDescent="0.3">
      <c r="A187" t="str">
        <f>DataDemande!N246</f>
        <v/>
      </c>
      <c r="B187" t="str">
        <f t="shared" si="4"/>
        <v/>
      </c>
      <c r="C187" t="str">
        <f t="shared" si="5"/>
        <v/>
      </c>
      <c r="D187" s="8" t="str">
        <f>IFERROR(IF(FIND("Km",DataDemande!$B246),IF(DataDemande!$B247="",IF(FIND("Pax",DataDemande!C246),VALUE(LEFT(DataDemande!C246,LEN(DataDemande!C246)-4)),))),"")</f>
        <v/>
      </c>
      <c r="E187" s="8" t="str">
        <f>IFERROR(IF(FIND("Km",DataDemande!$B246),IF(DataDemande!$B247="",IF(FIND("Pax",DataDemande!D246),VALUE(LEFT(DataDemande!D246,LEN(DataDemande!D246)-4)),))),"")</f>
        <v/>
      </c>
      <c r="F187" s="8" t="str">
        <f>IFERROR(IF(FIND("Km",DataDemande!$B246),IF(DataDemande!$B247="",IF(FIND("Pax",DataDemande!E246),VALUE(LEFT(DataDemande!E246,LEN(DataDemande!E246)-4)),))),"")</f>
        <v/>
      </c>
      <c r="G187" s="8" t="str">
        <f>IFERROR(IF($D187&lt;&gt;"",VALUE(LEFT(DataDemande!F246,LEN(DataDemande!F246)-7)),""),"")</f>
        <v/>
      </c>
    </row>
    <row r="188" spans="1:7" x14ac:dyDescent="0.3">
      <c r="A188" t="str">
        <f>DataDemande!N247</f>
        <v/>
      </c>
      <c r="B188" t="str">
        <f t="shared" si="4"/>
        <v/>
      </c>
      <c r="C188" t="str">
        <f t="shared" si="5"/>
        <v/>
      </c>
      <c r="D188" s="8" t="str">
        <f>IFERROR(IF(FIND("Km",DataDemande!$B247),IF(DataDemande!$B248="",IF(FIND("Pax",DataDemande!C247),VALUE(LEFT(DataDemande!C247,LEN(DataDemande!C247)-4)),))),"")</f>
        <v/>
      </c>
      <c r="E188" s="8" t="str">
        <f>IFERROR(IF(FIND("Km",DataDemande!$B247),IF(DataDemande!$B248="",IF(FIND("Pax",DataDemande!D247),VALUE(LEFT(DataDemande!D247,LEN(DataDemande!D247)-4)),))),"")</f>
        <v/>
      </c>
      <c r="F188" s="8" t="str">
        <f>IFERROR(IF(FIND("Km",DataDemande!$B247),IF(DataDemande!$B248="",IF(FIND("Pax",DataDemande!E247),VALUE(LEFT(DataDemande!E247,LEN(DataDemande!E247)-4)),))),"")</f>
        <v/>
      </c>
      <c r="G188" s="8" t="str">
        <f>IFERROR(IF($D188&lt;&gt;"",VALUE(LEFT(DataDemande!F247,LEN(DataDemande!F247)-7)),""),"")</f>
        <v/>
      </c>
    </row>
    <row r="189" spans="1:7" x14ac:dyDescent="0.3">
      <c r="A189" t="str">
        <f>DataDemande!N248</f>
        <v/>
      </c>
      <c r="B189" t="str">
        <f t="shared" si="4"/>
        <v/>
      </c>
      <c r="C189" t="str">
        <f t="shared" si="5"/>
        <v/>
      </c>
      <c r="D189" s="8" t="str">
        <f>IFERROR(IF(FIND("Km",DataDemande!$B248),IF(DataDemande!$B249="",IF(FIND("Pax",DataDemande!C248),VALUE(LEFT(DataDemande!C248,LEN(DataDemande!C248)-4)),))),"")</f>
        <v/>
      </c>
      <c r="E189" s="8" t="str">
        <f>IFERROR(IF(FIND("Km",DataDemande!$B248),IF(DataDemande!$B249="",IF(FIND("Pax",DataDemande!D248),VALUE(LEFT(DataDemande!D248,LEN(DataDemande!D248)-4)),))),"")</f>
        <v/>
      </c>
      <c r="F189" s="8" t="str">
        <f>IFERROR(IF(FIND("Km",DataDemande!$B248),IF(DataDemande!$B249="",IF(FIND("Pax",DataDemande!E248),VALUE(LEFT(DataDemande!E248,LEN(DataDemande!E248)-4)),))),"")</f>
        <v/>
      </c>
      <c r="G189" s="8" t="str">
        <f>IFERROR(IF($D189&lt;&gt;"",VALUE(LEFT(DataDemande!F248,LEN(DataDemande!F248)-7)),""),"")</f>
        <v/>
      </c>
    </row>
    <row r="190" spans="1:7" x14ac:dyDescent="0.3">
      <c r="A190" t="str">
        <f>DataDemande!N249</f>
        <v/>
      </c>
      <c r="B190" t="str">
        <f t="shared" si="4"/>
        <v/>
      </c>
      <c r="C190" t="str">
        <f t="shared" si="5"/>
        <v/>
      </c>
      <c r="D190" s="8" t="str">
        <f>IFERROR(IF(FIND("Km",DataDemande!$B249),IF(DataDemande!$B250="",IF(FIND("Pax",DataDemande!C249),VALUE(LEFT(DataDemande!C249,LEN(DataDemande!C249)-4)),))),"")</f>
        <v/>
      </c>
      <c r="E190" s="8" t="str">
        <f>IFERROR(IF(FIND("Km",DataDemande!$B249),IF(DataDemande!$B250="",IF(FIND("Pax",DataDemande!D249),VALUE(LEFT(DataDemande!D249,LEN(DataDemande!D249)-4)),))),"")</f>
        <v/>
      </c>
      <c r="F190" s="8" t="str">
        <f>IFERROR(IF(FIND("Km",DataDemande!$B249),IF(DataDemande!$B250="",IF(FIND("Pax",DataDemande!E249),VALUE(LEFT(DataDemande!E249,LEN(DataDemande!E249)-4)),))),"")</f>
        <v/>
      </c>
      <c r="G190" s="8" t="str">
        <f>IFERROR(IF($D190&lt;&gt;"",VALUE(LEFT(DataDemande!F249,LEN(DataDemande!F249)-7)),""),"")</f>
        <v/>
      </c>
    </row>
    <row r="191" spans="1:7" x14ac:dyDescent="0.3">
      <c r="A191" t="str">
        <f>DataDemande!N250</f>
        <v/>
      </c>
      <c r="B191" t="str">
        <f t="shared" si="4"/>
        <v/>
      </c>
      <c r="C191" t="str">
        <f t="shared" si="5"/>
        <v/>
      </c>
      <c r="D191" s="8" t="str">
        <f>IFERROR(IF(FIND("Km",DataDemande!$B250),IF(DataDemande!$B251="",IF(FIND("Pax",DataDemande!C250),VALUE(LEFT(DataDemande!C250,LEN(DataDemande!C250)-4)),))),"")</f>
        <v/>
      </c>
      <c r="E191" s="8" t="str">
        <f>IFERROR(IF(FIND("Km",DataDemande!$B250),IF(DataDemande!$B251="",IF(FIND("Pax",DataDemande!D250),VALUE(LEFT(DataDemande!D250,LEN(DataDemande!D250)-4)),))),"")</f>
        <v/>
      </c>
      <c r="F191" s="8" t="str">
        <f>IFERROR(IF(FIND("Km",DataDemande!$B250),IF(DataDemande!$B251="",IF(FIND("Pax",DataDemande!E250),VALUE(LEFT(DataDemande!E250,LEN(DataDemande!E250)-4)),))),"")</f>
        <v/>
      </c>
      <c r="G191" s="8" t="str">
        <f>IFERROR(IF($D191&lt;&gt;"",VALUE(LEFT(DataDemande!F250,LEN(DataDemande!F250)-7)),""),"")</f>
        <v/>
      </c>
    </row>
    <row r="192" spans="1:7" x14ac:dyDescent="0.3">
      <c r="A192" t="str">
        <f>DataDemande!N251</f>
        <v/>
      </c>
      <c r="B192" t="str">
        <f t="shared" si="4"/>
        <v/>
      </c>
      <c r="C192" t="str">
        <f t="shared" si="5"/>
        <v/>
      </c>
      <c r="D192" s="8" t="str">
        <f>IFERROR(IF(FIND("Km",DataDemande!$B251),IF(DataDemande!$B252="",IF(FIND("Pax",DataDemande!C251),VALUE(LEFT(DataDemande!C251,LEN(DataDemande!C251)-4)),))),"")</f>
        <v/>
      </c>
      <c r="E192" s="8" t="str">
        <f>IFERROR(IF(FIND("Km",DataDemande!$B251),IF(DataDemande!$B252="",IF(FIND("Pax",DataDemande!D251),VALUE(LEFT(DataDemande!D251,LEN(DataDemande!D251)-4)),))),"")</f>
        <v/>
      </c>
      <c r="F192" s="8" t="str">
        <f>IFERROR(IF(FIND("Km",DataDemande!$B251),IF(DataDemande!$B252="",IF(FIND("Pax",DataDemande!E251),VALUE(LEFT(DataDemande!E251,LEN(DataDemande!E251)-4)),))),"")</f>
        <v/>
      </c>
      <c r="G192" s="8" t="str">
        <f>IFERROR(IF($D192&lt;&gt;"",VALUE(LEFT(DataDemande!F251,LEN(DataDemande!F251)-7)),""),"")</f>
        <v/>
      </c>
    </row>
    <row r="193" spans="1:7" x14ac:dyDescent="0.3">
      <c r="A193" t="str">
        <f>DataDemande!N252</f>
        <v/>
      </c>
      <c r="B193" t="str">
        <f t="shared" si="4"/>
        <v/>
      </c>
      <c r="C193" t="str">
        <f t="shared" si="5"/>
        <v/>
      </c>
      <c r="D193" s="8" t="str">
        <f>IFERROR(IF(FIND("Km",DataDemande!$B252),IF(DataDemande!$B253="",IF(FIND("Pax",DataDemande!C252),VALUE(LEFT(DataDemande!C252,LEN(DataDemande!C252)-4)),))),"")</f>
        <v/>
      </c>
      <c r="E193" s="8" t="str">
        <f>IFERROR(IF(FIND("Km",DataDemande!$B252),IF(DataDemande!$B253="",IF(FIND("Pax",DataDemande!D252),VALUE(LEFT(DataDemande!D252,LEN(DataDemande!D252)-4)),))),"")</f>
        <v/>
      </c>
      <c r="F193" s="8" t="str">
        <f>IFERROR(IF(FIND("Km",DataDemande!$B252),IF(DataDemande!$B253="",IF(FIND("Pax",DataDemande!E252),VALUE(LEFT(DataDemande!E252,LEN(DataDemande!E252)-4)),))),"")</f>
        <v/>
      </c>
      <c r="G193" s="8" t="str">
        <f>IFERROR(IF($D193&lt;&gt;"",VALUE(LEFT(DataDemande!F252,LEN(DataDemande!F252)-7)),""),"")</f>
        <v/>
      </c>
    </row>
    <row r="194" spans="1:7" x14ac:dyDescent="0.3">
      <c r="A194" t="str">
        <f>DataDemande!N253</f>
        <v/>
      </c>
      <c r="B194" t="str">
        <f t="shared" si="4"/>
        <v/>
      </c>
      <c r="C194" t="str">
        <f t="shared" si="5"/>
        <v/>
      </c>
      <c r="D194" s="8" t="str">
        <f>IFERROR(IF(FIND("Km",DataDemande!$B253),IF(DataDemande!$B254="",IF(FIND("Pax",DataDemande!C253),VALUE(LEFT(DataDemande!C253,LEN(DataDemande!C253)-4)),))),"")</f>
        <v/>
      </c>
      <c r="E194" s="8" t="str">
        <f>IFERROR(IF(FIND("Km",DataDemande!$B253),IF(DataDemande!$B254="",IF(FIND("Pax",DataDemande!D253),VALUE(LEFT(DataDemande!D253,LEN(DataDemande!D253)-4)),))),"")</f>
        <v/>
      </c>
      <c r="F194" s="8" t="str">
        <f>IFERROR(IF(FIND("Km",DataDemande!$B253),IF(DataDemande!$B254="",IF(FIND("Pax",DataDemande!E253),VALUE(LEFT(DataDemande!E253,LEN(DataDemande!E253)-4)),))),"")</f>
        <v/>
      </c>
      <c r="G194" s="8" t="str">
        <f>IFERROR(IF($D194&lt;&gt;"",VALUE(LEFT(DataDemande!F253,LEN(DataDemande!F253)-7)),""),"")</f>
        <v/>
      </c>
    </row>
    <row r="195" spans="1:7" x14ac:dyDescent="0.3">
      <c r="A195" t="str">
        <f>DataDemande!N254</f>
        <v/>
      </c>
      <c r="B195" t="str">
        <f t="shared" si="4"/>
        <v/>
      </c>
      <c r="C195" t="str">
        <f t="shared" si="5"/>
        <v/>
      </c>
      <c r="D195" s="8" t="str">
        <f>IFERROR(IF(FIND("Km",DataDemande!$B254),IF(DataDemande!$B255="",IF(FIND("Pax",DataDemande!C254),VALUE(LEFT(DataDemande!C254,LEN(DataDemande!C254)-4)),))),"")</f>
        <v/>
      </c>
      <c r="E195" s="8" t="str">
        <f>IFERROR(IF(FIND("Km",DataDemande!$B254),IF(DataDemande!$B255="",IF(FIND("Pax",DataDemande!D254),VALUE(LEFT(DataDemande!D254,LEN(DataDemande!D254)-4)),))),"")</f>
        <v/>
      </c>
      <c r="F195" s="8" t="str">
        <f>IFERROR(IF(FIND("Km",DataDemande!$B254),IF(DataDemande!$B255="",IF(FIND("Pax",DataDemande!E254),VALUE(LEFT(DataDemande!E254,LEN(DataDemande!E254)-4)),))),"")</f>
        <v/>
      </c>
      <c r="G195" s="8" t="str">
        <f>IFERROR(IF($D195&lt;&gt;"",VALUE(LEFT(DataDemande!F254,LEN(DataDemande!F254)-7)),""),"")</f>
        <v/>
      </c>
    </row>
    <row r="196" spans="1:7" x14ac:dyDescent="0.3">
      <c r="A196" t="str">
        <f>DataDemande!N255</f>
        <v/>
      </c>
      <c r="B196" t="str">
        <f t="shared" si="4"/>
        <v/>
      </c>
      <c r="C196" t="str">
        <f t="shared" si="5"/>
        <v/>
      </c>
      <c r="D196" s="8" t="str">
        <f>IFERROR(IF(FIND("Km",DataDemande!$B255),IF(DataDemande!$B256="",IF(FIND("Pax",DataDemande!C255),VALUE(LEFT(DataDemande!C255,LEN(DataDemande!C255)-4)),))),"")</f>
        <v/>
      </c>
      <c r="E196" s="8" t="str">
        <f>IFERROR(IF(FIND("Km",DataDemande!$B255),IF(DataDemande!$B256="",IF(FIND("Pax",DataDemande!D255),VALUE(LEFT(DataDemande!D255,LEN(DataDemande!D255)-4)),))),"")</f>
        <v/>
      </c>
      <c r="F196" s="8" t="str">
        <f>IFERROR(IF(FIND("Km",DataDemande!$B255),IF(DataDemande!$B256="",IF(FIND("Pax",DataDemande!E255),VALUE(LEFT(DataDemande!E255,LEN(DataDemande!E255)-4)),))),"")</f>
        <v/>
      </c>
      <c r="G196" s="8" t="str">
        <f>IFERROR(IF($D196&lt;&gt;"",VALUE(LEFT(DataDemande!F255,LEN(DataDemande!F255)-7)),""),"")</f>
        <v/>
      </c>
    </row>
    <row r="197" spans="1:7" x14ac:dyDescent="0.3">
      <c r="A197" t="str">
        <f>DataDemande!N256</f>
        <v/>
      </c>
      <c r="B197" t="str">
        <f t="shared" ref="B197:B224" si="6">LEFT(A197,3)</f>
        <v/>
      </c>
      <c r="C197" t="str">
        <f t="shared" ref="C197:C224" si="7">RIGHT(A197,3)</f>
        <v/>
      </c>
      <c r="D197" s="8" t="str">
        <f>IFERROR(IF(FIND("Km",DataDemande!$B256),IF(DataDemande!$B257="",IF(FIND("Pax",DataDemande!C256),VALUE(LEFT(DataDemande!C256,LEN(DataDemande!C256)-4)),))),"")</f>
        <v/>
      </c>
      <c r="E197" s="8" t="str">
        <f>IFERROR(IF(FIND("Km",DataDemande!$B256),IF(DataDemande!$B257="",IF(FIND("Pax",DataDemande!D256),VALUE(LEFT(DataDemande!D256,LEN(DataDemande!D256)-4)),))),"")</f>
        <v/>
      </c>
      <c r="F197" s="8" t="str">
        <f>IFERROR(IF(FIND("Km",DataDemande!$B256),IF(DataDemande!$B257="",IF(FIND("Pax",DataDemande!E256),VALUE(LEFT(DataDemande!E256,LEN(DataDemande!E256)-4)),))),"")</f>
        <v/>
      </c>
      <c r="G197" s="8" t="str">
        <f>IFERROR(IF($D197&lt;&gt;"",VALUE(LEFT(DataDemande!F256,LEN(DataDemande!F256)-7)),""),"")</f>
        <v/>
      </c>
    </row>
    <row r="198" spans="1:7" x14ac:dyDescent="0.3">
      <c r="A198" t="str">
        <f>DataDemande!N257</f>
        <v/>
      </c>
      <c r="B198" t="str">
        <f t="shared" si="6"/>
        <v/>
      </c>
      <c r="C198" t="str">
        <f t="shared" si="7"/>
        <v/>
      </c>
      <c r="D198" s="8" t="str">
        <f>IFERROR(IF(FIND("Km",DataDemande!$B257),IF(DataDemande!$B258="",IF(FIND("Pax",DataDemande!C257),VALUE(LEFT(DataDemande!C257,LEN(DataDemande!C257)-4)),))),"")</f>
        <v/>
      </c>
      <c r="E198" s="8" t="str">
        <f>IFERROR(IF(FIND("Km",DataDemande!$B257),IF(DataDemande!$B258="",IF(FIND("Pax",DataDemande!D257),VALUE(LEFT(DataDemande!D257,LEN(DataDemande!D257)-4)),))),"")</f>
        <v/>
      </c>
      <c r="F198" s="8" t="str">
        <f>IFERROR(IF(FIND("Km",DataDemande!$B257),IF(DataDemande!$B258="",IF(FIND("Pax",DataDemande!E257),VALUE(LEFT(DataDemande!E257,LEN(DataDemande!E257)-4)),))),"")</f>
        <v/>
      </c>
      <c r="G198" s="8" t="str">
        <f>IFERROR(IF($D198&lt;&gt;"",VALUE(LEFT(DataDemande!F257,LEN(DataDemande!F257)-7)),""),"")</f>
        <v/>
      </c>
    </row>
    <row r="199" spans="1:7" x14ac:dyDescent="0.3">
      <c r="A199" t="str">
        <f>DataDemande!N258</f>
        <v/>
      </c>
      <c r="B199" t="str">
        <f t="shared" si="6"/>
        <v/>
      </c>
      <c r="C199" t="str">
        <f t="shared" si="7"/>
        <v/>
      </c>
      <c r="D199" s="8" t="str">
        <f>IFERROR(IF(FIND("Km",DataDemande!$B258),IF(DataDemande!$B259="",IF(FIND("Pax",DataDemande!C258),VALUE(LEFT(DataDemande!C258,LEN(DataDemande!C258)-4)),))),"")</f>
        <v/>
      </c>
      <c r="E199" s="8" t="str">
        <f>IFERROR(IF(FIND("Km",DataDemande!$B258),IF(DataDemande!$B259="",IF(FIND("Pax",DataDemande!D258),VALUE(LEFT(DataDemande!D258,LEN(DataDemande!D258)-4)),))),"")</f>
        <v/>
      </c>
      <c r="F199" s="8" t="str">
        <f>IFERROR(IF(FIND("Km",DataDemande!$B258),IF(DataDemande!$B259="",IF(FIND("Pax",DataDemande!E258),VALUE(LEFT(DataDemande!E258,LEN(DataDemande!E258)-4)),))),"")</f>
        <v/>
      </c>
      <c r="G199" s="8" t="str">
        <f>IFERROR(IF($D199&lt;&gt;"",VALUE(LEFT(DataDemande!F258,LEN(DataDemande!F258)-7)),""),"")</f>
        <v/>
      </c>
    </row>
    <row r="200" spans="1:7" x14ac:dyDescent="0.3">
      <c r="A200" t="str">
        <f>DataDemande!N259</f>
        <v/>
      </c>
      <c r="B200" t="str">
        <f t="shared" si="6"/>
        <v/>
      </c>
      <c r="C200" t="str">
        <f t="shared" si="7"/>
        <v/>
      </c>
      <c r="D200" s="8" t="str">
        <f>IFERROR(IF(FIND("Km",DataDemande!$B259),IF(DataDemande!$B260="",IF(FIND("Pax",DataDemande!C259),VALUE(LEFT(DataDemande!C259,LEN(DataDemande!C259)-4)),))),"")</f>
        <v/>
      </c>
      <c r="E200" s="8" t="str">
        <f>IFERROR(IF(FIND("Km",DataDemande!$B259),IF(DataDemande!$B260="",IF(FIND("Pax",DataDemande!D259),VALUE(LEFT(DataDemande!D259,LEN(DataDemande!D259)-4)),))),"")</f>
        <v/>
      </c>
      <c r="F200" s="8" t="str">
        <f>IFERROR(IF(FIND("Km",DataDemande!$B259),IF(DataDemande!$B260="",IF(FIND("Pax",DataDemande!E259),VALUE(LEFT(DataDemande!E259,LEN(DataDemande!E259)-4)),))),"")</f>
        <v/>
      </c>
      <c r="G200" s="8" t="str">
        <f>IFERROR(IF($D200&lt;&gt;"",VALUE(LEFT(DataDemande!F259,LEN(DataDemande!F259)-7)),""),"")</f>
        <v/>
      </c>
    </row>
    <row r="201" spans="1:7" x14ac:dyDescent="0.3">
      <c r="A201" t="str">
        <f>DataDemande!N260</f>
        <v/>
      </c>
      <c r="B201" t="str">
        <f t="shared" si="6"/>
        <v/>
      </c>
      <c r="C201" t="str">
        <f t="shared" si="7"/>
        <v/>
      </c>
      <c r="D201" s="8" t="str">
        <f>IFERROR(IF(FIND("Km",DataDemande!$B260),IF(DataDemande!$B261="",IF(FIND("Pax",DataDemande!C260),VALUE(LEFT(DataDemande!C260,LEN(DataDemande!C260)-4)),))),"")</f>
        <v/>
      </c>
      <c r="E201" s="8" t="str">
        <f>IFERROR(IF(FIND("Km",DataDemande!$B260),IF(DataDemande!$B261="",IF(FIND("Pax",DataDemande!D260),VALUE(LEFT(DataDemande!D260,LEN(DataDemande!D260)-4)),))),"")</f>
        <v/>
      </c>
      <c r="F201" s="8" t="str">
        <f>IFERROR(IF(FIND("Km",DataDemande!$B260),IF(DataDemande!$B261="",IF(FIND("Pax",DataDemande!E260),VALUE(LEFT(DataDemande!E260,LEN(DataDemande!E260)-4)),))),"")</f>
        <v/>
      </c>
      <c r="G201" s="8" t="str">
        <f>IFERROR(IF($D201&lt;&gt;"",VALUE(LEFT(DataDemande!F260,LEN(DataDemande!F260)-7)),""),"")</f>
        <v/>
      </c>
    </row>
    <row r="202" spans="1:7" x14ac:dyDescent="0.3">
      <c r="A202" t="str">
        <f>DataDemande!N261</f>
        <v/>
      </c>
      <c r="B202" t="str">
        <f t="shared" si="6"/>
        <v/>
      </c>
      <c r="C202" t="str">
        <f t="shared" si="7"/>
        <v/>
      </c>
      <c r="D202" s="8" t="str">
        <f>IFERROR(IF(FIND("Km",DataDemande!$B261),IF(DataDemande!$B262="",IF(FIND("Pax",DataDemande!C261),VALUE(LEFT(DataDemande!C261,LEN(DataDemande!C261)-4)),))),"")</f>
        <v/>
      </c>
      <c r="E202" s="8" t="str">
        <f>IFERROR(IF(FIND("Km",DataDemande!$B261),IF(DataDemande!$B262="",IF(FIND("Pax",DataDemande!D261),VALUE(LEFT(DataDemande!D261,LEN(DataDemande!D261)-4)),))),"")</f>
        <v/>
      </c>
      <c r="F202" s="8" t="str">
        <f>IFERROR(IF(FIND("Km",DataDemande!$B261),IF(DataDemande!$B262="",IF(FIND("Pax",DataDemande!E261),VALUE(LEFT(DataDemande!E261,LEN(DataDemande!E261)-4)),))),"")</f>
        <v/>
      </c>
      <c r="G202" s="8" t="str">
        <f>IFERROR(IF($D202&lt;&gt;"",VALUE(LEFT(DataDemande!F261,LEN(DataDemande!F261)-7)),""),"")</f>
        <v/>
      </c>
    </row>
    <row r="203" spans="1:7" x14ac:dyDescent="0.3">
      <c r="A203" t="str">
        <f>DataDemande!N262</f>
        <v/>
      </c>
      <c r="B203" t="str">
        <f t="shared" si="6"/>
        <v/>
      </c>
      <c r="C203" t="str">
        <f t="shared" si="7"/>
        <v/>
      </c>
      <c r="D203" s="8" t="str">
        <f>IFERROR(IF(FIND("Km",DataDemande!$B262),IF(DataDemande!$B263="",IF(FIND("Pax",DataDemande!C262),VALUE(LEFT(DataDemande!C262,LEN(DataDemande!C262)-4)),))),"")</f>
        <v/>
      </c>
      <c r="E203" s="8" t="str">
        <f>IFERROR(IF(FIND("Km",DataDemande!$B262),IF(DataDemande!$B263="",IF(FIND("Pax",DataDemande!D262),VALUE(LEFT(DataDemande!D262,LEN(DataDemande!D262)-4)),))),"")</f>
        <v/>
      </c>
      <c r="F203" s="8" t="str">
        <f>IFERROR(IF(FIND("Km",DataDemande!$B262),IF(DataDemande!$B263="",IF(FIND("Pax",DataDemande!E262),VALUE(LEFT(DataDemande!E262,LEN(DataDemande!E262)-4)),))),"")</f>
        <v/>
      </c>
      <c r="G203" s="8" t="str">
        <f>IFERROR(IF($D203&lt;&gt;"",VALUE(LEFT(DataDemande!F262,LEN(DataDemande!F262)-7)),""),"")</f>
        <v/>
      </c>
    </row>
    <row r="204" spans="1:7" x14ac:dyDescent="0.3">
      <c r="A204" t="str">
        <f>DataDemande!N263</f>
        <v/>
      </c>
      <c r="B204" t="str">
        <f t="shared" si="6"/>
        <v/>
      </c>
      <c r="C204" t="str">
        <f t="shared" si="7"/>
        <v/>
      </c>
      <c r="D204" s="8" t="str">
        <f>IFERROR(IF(FIND("Km",DataDemande!$B263),IF(DataDemande!$B264="",IF(FIND("Pax",DataDemande!C263),VALUE(LEFT(DataDemande!C263,LEN(DataDemande!C263)-4)),))),"")</f>
        <v/>
      </c>
      <c r="E204" s="8" t="str">
        <f>IFERROR(IF(FIND("Km",DataDemande!$B263),IF(DataDemande!$B264="",IF(FIND("Pax",DataDemande!D263),VALUE(LEFT(DataDemande!D263,LEN(DataDemande!D263)-4)),))),"")</f>
        <v/>
      </c>
      <c r="F204" s="8" t="str">
        <f>IFERROR(IF(FIND("Km",DataDemande!$B263),IF(DataDemande!$B264="",IF(FIND("Pax",DataDemande!E263),VALUE(LEFT(DataDemande!E263,LEN(DataDemande!E263)-4)),))),"")</f>
        <v/>
      </c>
      <c r="G204" s="8" t="str">
        <f>IFERROR(IF($D204&lt;&gt;"",VALUE(LEFT(DataDemande!F263,LEN(DataDemande!F263)-7)),""),"")</f>
        <v/>
      </c>
    </row>
    <row r="205" spans="1:7" x14ac:dyDescent="0.3">
      <c r="A205" t="str">
        <f>DataDemande!N264</f>
        <v/>
      </c>
      <c r="B205" t="str">
        <f t="shared" si="6"/>
        <v/>
      </c>
      <c r="C205" t="str">
        <f t="shared" si="7"/>
        <v/>
      </c>
      <c r="D205" s="8" t="str">
        <f>IFERROR(IF(FIND("Km",DataDemande!$B264),IF(DataDemande!$B265="",IF(FIND("Pax",DataDemande!C264),VALUE(LEFT(DataDemande!C264,LEN(DataDemande!C264)-4)),))),"")</f>
        <v/>
      </c>
      <c r="E205" s="8" t="str">
        <f>IFERROR(IF(FIND("Km",DataDemande!$B264),IF(DataDemande!$B265="",IF(FIND("Pax",DataDemande!D264),VALUE(LEFT(DataDemande!D264,LEN(DataDemande!D264)-4)),))),"")</f>
        <v/>
      </c>
      <c r="F205" s="8" t="str">
        <f>IFERROR(IF(FIND("Km",DataDemande!$B264),IF(DataDemande!$B265="",IF(FIND("Pax",DataDemande!E264),VALUE(LEFT(DataDemande!E264,LEN(DataDemande!E264)-4)),))),"")</f>
        <v/>
      </c>
      <c r="G205" s="8" t="str">
        <f>IFERROR(IF($D205&lt;&gt;"",VALUE(LEFT(DataDemande!F264,LEN(DataDemande!F264)-7)),""),"")</f>
        <v/>
      </c>
    </row>
    <row r="206" spans="1:7" x14ac:dyDescent="0.3">
      <c r="A206" t="str">
        <f>DataDemande!N265</f>
        <v/>
      </c>
      <c r="B206" t="str">
        <f t="shared" si="6"/>
        <v/>
      </c>
      <c r="C206" t="str">
        <f t="shared" si="7"/>
        <v/>
      </c>
      <c r="D206" s="8" t="str">
        <f>IFERROR(IF(FIND("Km",DataDemande!$B265),IF(DataDemande!$B266="",IF(FIND("Pax",DataDemande!C265),VALUE(LEFT(DataDemande!C265,LEN(DataDemande!C265)-4)),))),"")</f>
        <v/>
      </c>
      <c r="E206" s="8" t="str">
        <f>IFERROR(IF(FIND("Km",DataDemande!$B265),IF(DataDemande!$B266="",IF(FIND("Pax",DataDemande!D265),VALUE(LEFT(DataDemande!D265,LEN(DataDemande!D265)-4)),))),"")</f>
        <v/>
      </c>
      <c r="F206" s="8" t="str">
        <f>IFERROR(IF(FIND("Km",DataDemande!$B265),IF(DataDemande!$B266="",IF(FIND("Pax",DataDemande!E265),VALUE(LEFT(DataDemande!E265,LEN(DataDemande!E265)-4)),))),"")</f>
        <v/>
      </c>
      <c r="G206" s="8" t="str">
        <f>IFERROR(IF($D206&lt;&gt;"",VALUE(LEFT(DataDemande!F265,LEN(DataDemande!F265)-7)),""),"")</f>
        <v/>
      </c>
    </row>
    <row r="207" spans="1:7" x14ac:dyDescent="0.3">
      <c r="A207" t="str">
        <f>DataDemande!N266</f>
        <v/>
      </c>
      <c r="B207" t="str">
        <f t="shared" si="6"/>
        <v/>
      </c>
      <c r="C207" t="str">
        <f t="shared" si="7"/>
        <v/>
      </c>
      <c r="D207" s="8" t="str">
        <f>IFERROR(IF(FIND("Km",DataDemande!$B266),IF(DataDemande!$B267="",IF(FIND("Pax",DataDemande!C266),VALUE(LEFT(DataDemande!C266,LEN(DataDemande!C266)-4)),))),"")</f>
        <v/>
      </c>
      <c r="E207" s="8" t="str">
        <f>IFERROR(IF(FIND("Km",DataDemande!$B266),IF(DataDemande!$B267="",IF(FIND("Pax",DataDemande!D266),VALUE(LEFT(DataDemande!D266,LEN(DataDemande!D266)-4)),))),"")</f>
        <v/>
      </c>
      <c r="F207" s="8" t="str">
        <f>IFERROR(IF(FIND("Km",DataDemande!$B266),IF(DataDemande!$B267="",IF(FIND("Pax",DataDemande!E266),VALUE(LEFT(DataDemande!E266,LEN(DataDemande!E266)-4)),))),"")</f>
        <v/>
      </c>
      <c r="G207" s="8" t="str">
        <f>IFERROR(IF($D207&lt;&gt;"",VALUE(LEFT(DataDemande!F266,LEN(DataDemande!F266)-7)),""),"")</f>
        <v/>
      </c>
    </row>
    <row r="208" spans="1:7" x14ac:dyDescent="0.3">
      <c r="A208" t="str">
        <f>DataDemande!N267</f>
        <v/>
      </c>
      <c r="B208" t="str">
        <f t="shared" si="6"/>
        <v/>
      </c>
      <c r="C208" t="str">
        <f t="shared" si="7"/>
        <v/>
      </c>
      <c r="D208" s="8" t="str">
        <f>IFERROR(IF(FIND("Km",DataDemande!$B267),IF(DataDemande!$B268="",IF(FIND("Pax",DataDemande!C267),VALUE(LEFT(DataDemande!C267,LEN(DataDemande!C267)-4)),))),"")</f>
        <v/>
      </c>
      <c r="E208" s="8" t="str">
        <f>IFERROR(IF(FIND("Km",DataDemande!$B267),IF(DataDemande!$B268="",IF(FIND("Pax",DataDemande!D267),VALUE(LEFT(DataDemande!D267,LEN(DataDemande!D267)-4)),))),"")</f>
        <v/>
      </c>
      <c r="F208" s="8" t="str">
        <f>IFERROR(IF(FIND("Km",DataDemande!$B267),IF(DataDemande!$B268="",IF(FIND("Pax",DataDemande!E267),VALUE(LEFT(DataDemande!E267,LEN(DataDemande!E267)-4)),))),"")</f>
        <v/>
      </c>
      <c r="G208" s="8" t="str">
        <f>IFERROR(IF($D208&lt;&gt;"",VALUE(LEFT(DataDemande!F267,LEN(DataDemande!F267)-7)),""),"")</f>
        <v/>
      </c>
    </row>
    <row r="209" spans="1:7" x14ac:dyDescent="0.3">
      <c r="A209" t="str">
        <f>DataDemande!N268</f>
        <v/>
      </c>
      <c r="B209" t="str">
        <f t="shared" si="6"/>
        <v/>
      </c>
      <c r="C209" t="str">
        <f t="shared" si="7"/>
        <v/>
      </c>
      <c r="D209" s="8" t="str">
        <f>IFERROR(IF(FIND("Km",DataDemande!$B268),IF(DataDemande!$B269="",IF(FIND("Pax",DataDemande!C268),VALUE(LEFT(DataDemande!C268,LEN(DataDemande!C268)-4)),))),"")</f>
        <v/>
      </c>
      <c r="E209" s="8" t="str">
        <f>IFERROR(IF(FIND("Km",DataDemande!$B268),IF(DataDemande!$B269="",IF(FIND("Pax",DataDemande!D268),VALUE(LEFT(DataDemande!D268,LEN(DataDemande!D268)-4)),))),"")</f>
        <v/>
      </c>
      <c r="F209" s="8" t="str">
        <f>IFERROR(IF(FIND("Km",DataDemande!$B268),IF(DataDemande!$B269="",IF(FIND("Pax",DataDemande!E268),VALUE(LEFT(DataDemande!E268,LEN(DataDemande!E268)-4)),))),"")</f>
        <v/>
      </c>
      <c r="G209" s="8" t="str">
        <f>IFERROR(IF($D209&lt;&gt;"",VALUE(LEFT(DataDemande!F268,LEN(DataDemande!F268)-7)),""),"")</f>
        <v/>
      </c>
    </row>
    <row r="210" spans="1:7" x14ac:dyDescent="0.3">
      <c r="A210" t="str">
        <f>DataDemande!N269</f>
        <v/>
      </c>
      <c r="B210" t="str">
        <f t="shared" si="6"/>
        <v/>
      </c>
      <c r="C210" t="str">
        <f t="shared" si="7"/>
        <v/>
      </c>
      <c r="D210" s="8" t="str">
        <f>IFERROR(IF(FIND("Km",DataDemande!$B269),IF(DataDemande!$B270="",IF(FIND("Pax",DataDemande!C269),VALUE(LEFT(DataDemande!C269,LEN(DataDemande!C269)-4)),))),"")</f>
        <v/>
      </c>
      <c r="E210" s="8" t="str">
        <f>IFERROR(IF(FIND("Km",DataDemande!$B269),IF(DataDemande!$B270="",IF(FIND("Pax",DataDemande!D269),VALUE(LEFT(DataDemande!D269,LEN(DataDemande!D269)-4)),))),"")</f>
        <v/>
      </c>
      <c r="F210" s="8" t="str">
        <f>IFERROR(IF(FIND("Km",DataDemande!$B269),IF(DataDemande!$B270="",IF(FIND("Pax",DataDemande!E269),VALUE(LEFT(DataDemande!E269,LEN(DataDemande!E269)-4)),))),"")</f>
        <v/>
      </c>
      <c r="G210" s="8" t="str">
        <f>IFERROR(IF($D210&lt;&gt;"",VALUE(LEFT(DataDemande!F269,LEN(DataDemande!F269)-7)),""),"")</f>
        <v/>
      </c>
    </row>
    <row r="211" spans="1:7" x14ac:dyDescent="0.3">
      <c r="A211" t="str">
        <f>DataDemande!N270</f>
        <v/>
      </c>
      <c r="B211" t="str">
        <f t="shared" si="6"/>
        <v/>
      </c>
      <c r="C211" t="str">
        <f t="shared" si="7"/>
        <v/>
      </c>
      <c r="D211" s="8" t="str">
        <f>IFERROR(IF(FIND("Km",DataDemande!$B270),IF(DataDemande!$B271="",IF(FIND("Pax",DataDemande!C270),VALUE(LEFT(DataDemande!C270,LEN(DataDemande!C270)-4)),))),"")</f>
        <v/>
      </c>
      <c r="E211" s="8" t="str">
        <f>IFERROR(IF(FIND("Km",DataDemande!$B270),IF(DataDemande!$B271="",IF(FIND("Pax",DataDemande!D270),VALUE(LEFT(DataDemande!D270,LEN(DataDemande!D270)-4)),))),"")</f>
        <v/>
      </c>
      <c r="F211" s="8" t="str">
        <f>IFERROR(IF(FIND("Km",DataDemande!$B270),IF(DataDemande!$B271="",IF(FIND("Pax",DataDemande!E270),VALUE(LEFT(DataDemande!E270,LEN(DataDemande!E270)-4)),))),"")</f>
        <v/>
      </c>
      <c r="G211" s="8" t="str">
        <f>IFERROR(IF($D211&lt;&gt;"",VALUE(LEFT(DataDemande!F270,LEN(DataDemande!F270)-7)),""),"")</f>
        <v/>
      </c>
    </row>
    <row r="212" spans="1:7" x14ac:dyDescent="0.3">
      <c r="A212" t="str">
        <f>DataDemande!N271</f>
        <v/>
      </c>
      <c r="B212" t="str">
        <f t="shared" si="6"/>
        <v/>
      </c>
      <c r="C212" t="str">
        <f t="shared" si="7"/>
        <v/>
      </c>
      <c r="D212" s="8" t="str">
        <f>IFERROR(IF(FIND("Km",DataDemande!$B271),IF(DataDemande!$B272="",IF(FIND("Pax",DataDemande!C271),VALUE(LEFT(DataDemande!C271,LEN(DataDemande!C271)-4)),))),"")</f>
        <v/>
      </c>
      <c r="E212" s="8" t="str">
        <f>IFERROR(IF(FIND("Km",DataDemande!$B271),IF(DataDemande!$B272="",IF(FIND("Pax",DataDemande!D271),VALUE(LEFT(DataDemande!D271,LEN(DataDemande!D271)-4)),))),"")</f>
        <v/>
      </c>
      <c r="F212" s="8" t="str">
        <f>IFERROR(IF(FIND("Km",DataDemande!$B271),IF(DataDemande!$B272="",IF(FIND("Pax",DataDemande!E271),VALUE(LEFT(DataDemande!E271,LEN(DataDemande!E271)-4)),))),"")</f>
        <v/>
      </c>
      <c r="G212" s="8" t="str">
        <f>IFERROR(IF($D212&lt;&gt;"",VALUE(LEFT(DataDemande!F271,LEN(DataDemande!F271)-7)),""),"")</f>
        <v/>
      </c>
    </row>
    <row r="213" spans="1:7" x14ac:dyDescent="0.3">
      <c r="A213" t="str">
        <f>DataDemande!N272</f>
        <v/>
      </c>
      <c r="B213" t="str">
        <f t="shared" si="6"/>
        <v/>
      </c>
      <c r="C213" t="str">
        <f t="shared" si="7"/>
        <v/>
      </c>
      <c r="D213" s="8" t="str">
        <f>IFERROR(IF(FIND("Km",DataDemande!$B272),IF(DataDemande!$B273="",IF(FIND("Pax",DataDemande!C272),VALUE(LEFT(DataDemande!C272,LEN(DataDemande!C272)-4)),))),"")</f>
        <v/>
      </c>
      <c r="E213" s="8" t="str">
        <f>IFERROR(IF(FIND("Km",DataDemande!$B272),IF(DataDemande!$B273="",IF(FIND("Pax",DataDemande!D272),VALUE(LEFT(DataDemande!D272,LEN(DataDemande!D272)-4)),))),"")</f>
        <v/>
      </c>
      <c r="F213" s="8" t="str">
        <f>IFERROR(IF(FIND("Km",DataDemande!$B272),IF(DataDemande!$B273="",IF(FIND("Pax",DataDemande!E272),VALUE(LEFT(DataDemande!E272,LEN(DataDemande!E272)-4)),))),"")</f>
        <v/>
      </c>
      <c r="G213" s="8" t="str">
        <f>IFERROR(IF($D213&lt;&gt;"",VALUE(LEFT(DataDemande!F272,LEN(DataDemande!F272)-7)),""),"")</f>
        <v/>
      </c>
    </row>
    <row r="214" spans="1:7" x14ac:dyDescent="0.3">
      <c r="A214" t="str">
        <f>DataDemande!N273</f>
        <v/>
      </c>
      <c r="B214" t="str">
        <f t="shared" si="6"/>
        <v/>
      </c>
      <c r="C214" t="str">
        <f t="shared" si="7"/>
        <v/>
      </c>
      <c r="D214" s="8" t="str">
        <f>IFERROR(IF(FIND("Km",DataDemande!$B273),IF(DataDemande!$B274="",IF(FIND("Pax",DataDemande!C273),VALUE(LEFT(DataDemande!C273,LEN(DataDemande!C273)-4)),))),"")</f>
        <v/>
      </c>
      <c r="E214" s="8" t="str">
        <f>IFERROR(IF(FIND("Km",DataDemande!$B273),IF(DataDemande!$B274="",IF(FIND("Pax",DataDemande!D273),VALUE(LEFT(DataDemande!D273,LEN(DataDemande!D273)-4)),))),"")</f>
        <v/>
      </c>
      <c r="F214" s="8" t="str">
        <f>IFERROR(IF(FIND("Km",DataDemande!$B273),IF(DataDemande!$B274="",IF(FIND("Pax",DataDemande!E273),VALUE(LEFT(DataDemande!E273,LEN(DataDemande!E273)-4)),))),"")</f>
        <v/>
      </c>
      <c r="G214" s="8" t="str">
        <f>IFERROR(IF($D214&lt;&gt;"",VALUE(LEFT(DataDemande!F273,LEN(DataDemande!F273)-7)),""),"")</f>
        <v/>
      </c>
    </row>
    <row r="215" spans="1:7" x14ac:dyDescent="0.3">
      <c r="A215" t="str">
        <f>DataDemande!N274</f>
        <v/>
      </c>
      <c r="B215" t="str">
        <f t="shared" si="6"/>
        <v/>
      </c>
      <c r="C215" t="str">
        <f t="shared" si="7"/>
        <v/>
      </c>
      <c r="D215" s="8" t="str">
        <f>IFERROR(IF(FIND("Km",DataDemande!$B274),IF(DataDemande!$B275="",IF(FIND("Pax",DataDemande!C274),VALUE(LEFT(DataDemande!C274,LEN(DataDemande!C274)-4)),))),"")</f>
        <v/>
      </c>
      <c r="E215" s="8" t="str">
        <f>IFERROR(IF(FIND("Km",DataDemande!$B274),IF(DataDemande!$B275="",IF(FIND("Pax",DataDemande!D274),VALUE(LEFT(DataDemande!D274,LEN(DataDemande!D274)-4)),))),"")</f>
        <v/>
      </c>
      <c r="F215" s="8" t="str">
        <f>IFERROR(IF(FIND("Km",DataDemande!$B274),IF(DataDemande!$B275="",IF(FIND("Pax",DataDemande!E274),VALUE(LEFT(DataDemande!E274,LEN(DataDemande!E274)-4)),))),"")</f>
        <v/>
      </c>
      <c r="G215" s="8" t="str">
        <f>IFERROR(IF($D215&lt;&gt;"",VALUE(LEFT(DataDemande!F274,LEN(DataDemande!F274)-7)),""),"")</f>
        <v/>
      </c>
    </row>
    <row r="216" spans="1:7" x14ac:dyDescent="0.3">
      <c r="A216" t="str">
        <f>DataDemande!N275</f>
        <v/>
      </c>
      <c r="B216" t="str">
        <f t="shared" si="6"/>
        <v/>
      </c>
      <c r="C216" t="str">
        <f t="shared" si="7"/>
        <v/>
      </c>
      <c r="D216" s="8" t="str">
        <f>IFERROR(IF(FIND("Km",DataDemande!$B275),IF(DataDemande!$B276="",IF(FIND("Pax",DataDemande!C275),VALUE(LEFT(DataDemande!C275,LEN(DataDemande!C275)-4)),))),"")</f>
        <v/>
      </c>
      <c r="E216" s="8" t="str">
        <f>IFERROR(IF(FIND("Km",DataDemande!$B275),IF(DataDemande!$B276="",IF(FIND("Pax",DataDemande!D275),VALUE(LEFT(DataDemande!D275,LEN(DataDemande!D275)-4)),))),"")</f>
        <v/>
      </c>
      <c r="F216" s="8" t="str">
        <f>IFERROR(IF(FIND("Km",DataDemande!$B275),IF(DataDemande!$B276="",IF(FIND("Pax",DataDemande!E275),VALUE(LEFT(DataDemande!E275,LEN(DataDemande!E275)-4)),))),"")</f>
        <v/>
      </c>
      <c r="G216" s="8" t="str">
        <f>IFERROR(IF($D216&lt;&gt;"",VALUE(LEFT(DataDemande!F275,LEN(DataDemande!F275)-7)),""),"")</f>
        <v/>
      </c>
    </row>
    <row r="217" spans="1:7" x14ac:dyDescent="0.3">
      <c r="A217" t="str">
        <f>DataDemande!N276</f>
        <v/>
      </c>
      <c r="B217" t="str">
        <f t="shared" si="6"/>
        <v/>
      </c>
      <c r="C217" t="str">
        <f t="shared" si="7"/>
        <v/>
      </c>
      <c r="D217" s="8" t="str">
        <f>IFERROR(IF(FIND("Km",DataDemande!$B276),IF(DataDemande!$B277="",IF(FIND("Pax",DataDemande!C276),VALUE(LEFT(DataDemande!C276,LEN(DataDemande!C276)-4)),))),"")</f>
        <v/>
      </c>
      <c r="E217" s="8" t="str">
        <f>IFERROR(IF(FIND("Km",DataDemande!$B276),IF(DataDemande!$B277="",IF(FIND("Pax",DataDemande!D276),VALUE(LEFT(DataDemande!D276,LEN(DataDemande!D276)-4)),))),"")</f>
        <v/>
      </c>
      <c r="F217" s="8" t="str">
        <f>IFERROR(IF(FIND("Km",DataDemande!$B276),IF(DataDemande!$B277="",IF(FIND("Pax",DataDemande!E276),VALUE(LEFT(DataDemande!E276,LEN(DataDemande!E276)-4)),))),"")</f>
        <v/>
      </c>
      <c r="G217" s="8" t="str">
        <f>IFERROR(IF($D217&lt;&gt;"",VALUE(LEFT(DataDemande!F276,LEN(DataDemande!F276)-7)),""),"")</f>
        <v/>
      </c>
    </row>
    <row r="218" spans="1:7" x14ac:dyDescent="0.3">
      <c r="A218" t="str">
        <f>DataDemande!N277</f>
        <v/>
      </c>
      <c r="B218" t="str">
        <f t="shared" si="6"/>
        <v/>
      </c>
      <c r="C218" t="str">
        <f t="shared" si="7"/>
        <v/>
      </c>
      <c r="D218" s="8" t="str">
        <f>IFERROR(IF(FIND("Km",DataDemande!$B277),IF(DataDemande!$B278="",IF(FIND("Pax",DataDemande!C277),VALUE(LEFT(DataDemande!C277,LEN(DataDemande!C277)-4)),))),"")</f>
        <v/>
      </c>
      <c r="E218" s="8" t="str">
        <f>IFERROR(IF(FIND("Km",DataDemande!$B277),IF(DataDemande!$B278="",IF(FIND("Pax",DataDemande!D277),VALUE(LEFT(DataDemande!D277,LEN(DataDemande!D277)-4)),))),"")</f>
        <v/>
      </c>
      <c r="F218" s="8" t="str">
        <f>IFERROR(IF(FIND("Km",DataDemande!$B277),IF(DataDemande!$B278="",IF(FIND("Pax",DataDemande!E277),VALUE(LEFT(DataDemande!E277,LEN(DataDemande!E277)-4)),))),"")</f>
        <v/>
      </c>
      <c r="G218" s="8" t="str">
        <f>IFERROR(IF($D218&lt;&gt;"",VALUE(LEFT(DataDemande!F277,LEN(DataDemande!F277)-7)),""),"")</f>
        <v/>
      </c>
    </row>
    <row r="219" spans="1:7" x14ac:dyDescent="0.3">
      <c r="A219" t="str">
        <f>DataDemande!N278</f>
        <v/>
      </c>
      <c r="B219" t="str">
        <f t="shared" si="6"/>
        <v/>
      </c>
      <c r="C219" t="str">
        <f t="shared" si="7"/>
        <v/>
      </c>
      <c r="D219" s="8" t="str">
        <f>IFERROR(IF(FIND("Km",DataDemande!$B278),IF(DataDemande!$B279="",IF(FIND("Pax",DataDemande!C278),VALUE(LEFT(DataDemande!C278,LEN(DataDemande!C278)-4)),))),"")</f>
        <v/>
      </c>
      <c r="E219" s="8" t="str">
        <f>IFERROR(IF(FIND("Km",DataDemande!$B278),IF(DataDemande!$B279="",IF(FIND("Pax",DataDemande!D278),VALUE(LEFT(DataDemande!D278,LEN(DataDemande!D278)-4)),))),"")</f>
        <v/>
      </c>
      <c r="F219" s="8" t="str">
        <f>IFERROR(IF(FIND("Km",DataDemande!$B278),IF(DataDemande!$B279="",IF(FIND("Pax",DataDemande!E278),VALUE(LEFT(DataDemande!E278,LEN(DataDemande!E278)-4)),))),"")</f>
        <v/>
      </c>
      <c r="G219" s="8" t="str">
        <f>IFERROR(IF($D219&lt;&gt;"",VALUE(LEFT(DataDemande!F278,LEN(DataDemande!F278)-7)),""),"")</f>
        <v/>
      </c>
    </row>
    <row r="220" spans="1:7" x14ac:dyDescent="0.3">
      <c r="A220" t="str">
        <f>DataDemande!N279</f>
        <v/>
      </c>
      <c r="B220" t="str">
        <f t="shared" si="6"/>
        <v/>
      </c>
      <c r="C220" t="str">
        <f t="shared" si="7"/>
        <v/>
      </c>
      <c r="D220" s="8" t="str">
        <f>IFERROR(IF(FIND("Km",DataDemande!$B279),IF(DataDemande!$B280="",IF(FIND("Pax",DataDemande!C279),VALUE(LEFT(DataDemande!C279,LEN(DataDemande!C279)-4)),))),"")</f>
        <v/>
      </c>
      <c r="E220" s="8" t="str">
        <f>IFERROR(IF(FIND("Km",DataDemande!$B279),IF(DataDemande!$B280="",IF(FIND("Pax",DataDemande!D279),VALUE(LEFT(DataDemande!D279,LEN(DataDemande!D279)-4)),))),"")</f>
        <v/>
      </c>
      <c r="F220" s="8" t="str">
        <f>IFERROR(IF(FIND("Km",DataDemande!$B279),IF(DataDemande!$B280="",IF(FIND("Pax",DataDemande!E279),VALUE(LEFT(DataDemande!E279,LEN(DataDemande!E279)-4)),))),"")</f>
        <v/>
      </c>
      <c r="G220" s="8" t="str">
        <f>IFERROR(IF($D220&lt;&gt;"",VALUE(LEFT(DataDemande!F279,LEN(DataDemande!F279)-7)),""),"")</f>
        <v/>
      </c>
    </row>
    <row r="221" spans="1:7" x14ac:dyDescent="0.3">
      <c r="A221" t="str">
        <f>DataDemande!N280</f>
        <v/>
      </c>
      <c r="B221" t="str">
        <f t="shared" si="6"/>
        <v/>
      </c>
      <c r="C221" t="str">
        <f t="shared" si="7"/>
        <v/>
      </c>
      <c r="D221" s="8" t="str">
        <f>IFERROR(IF(FIND("Km",DataDemande!$B280),IF(DataDemande!$B281="",IF(FIND("Pax",DataDemande!C280),VALUE(LEFT(DataDemande!C280,LEN(DataDemande!C280)-4)),))),"")</f>
        <v/>
      </c>
      <c r="E221" s="8" t="str">
        <f>IFERROR(IF(FIND("Km",DataDemande!$B280),IF(DataDemande!$B281="",IF(FIND("Pax",DataDemande!D280),VALUE(LEFT(DataDemande!D280,LEN(DataDemande!D280)-4)),))),"")</f>
        <v/>
      </c>
      <c r="F221" s="8" t="str">
        <f>IFERROR(IF(FIND("Km",DataDemande!$B280),IF(DataDemande!$B281="",IF(FIND("Pax",DataDemande!E280),VALUE(LEFT(DataDemande!E280,LEN(DataDemande!E280)-4)),))),"")</f>
        <v/>
      </c>
      <c r="G221" s="8" t="str">
        <f>IFERROR(IF($D221&lt;&gt;"",VALUE(LEFT(DataDemande!F280,LEN(DataDemande!F280)-7)),""),"")</f>
        <v/>
      </c>
    </row>
    <row r="222" spans="1:7" x14ac:dyDescent="0.3">
      <c r="A222" t="str">
        <f>DataDemande!N281</f>
        <v/>
      </c>
      <c r="B222" t="str">
        <f t="shared" si="6"/>
        <v/>
      </c>
      <c r="C222" t="str">
        <f t="shared" si="7"/>
        <v/>
      </c>
      <c r="D222" s="8" t="str">
        <f>IFERROR(IF(FIND("Km",DataDemande!$B281),IF(DataDemande!$B282="",IF(FIND("Pax",DataDemande!C281),VALUE(LEFT(DataDemande!C281,LEN(DataDemande!C281)-4)),))),"")</f>
        <v/>
      </c>
      <c r="E222" s="8" t="str">
        <f>IFERROR(IF(FIND("Km",DataDemande!$B281),IF(DataDemande!$B282="",IF(FIND("Pax",DataDemande!D281),VALUE(LEFT(DataDemande!D281,LEN(DataDemande!D281)-4)),))),"")</f>
        <v/>
      </c>
      <c r="F222" s="8" t="str">
        <f>IFERROR(IF(FIND("Km",DataDemande!$B281),IF(DataDemande!$B282="",IF(FIND("Pax",DataDemande!E281),VALUE(LEFT(DataDemande!E281,LEN(DataDemande!E281)-4)),))),"")</f>
        <v/>
      </c>
      <c r="G222" s="8" t="str">
        <f>IFERROR(IF($D222&lt;&gt;"",VALUE(LEFT(DataDemande!F281,LEN(DataDemande!F281)-7)),""),"")</f>
        <v/>
      </c>
    </row>
    <row r="223" spans="1:7" x14ac:dyDescent="0.3">
      <c r="A223" t="str">
        <f>DataDemande!N282</f>
        <v/>
      </c>
      <c r="B223" t="str">
        <f t="shared" si="6"/>
        <v/>
      </c>
      <c r="C223" t="str">
        <f t="shared" si="7"/>
        <v/>
      </c>
      <c r="D223" s="8" t="str">
        <f>IFERROR(IF(FIND("Km",DataDemande!$B282),IF(DataDemande!$B283="",IF(FIND("Pax",DataDemande!C282),VALUE(LEFT(DataDemande!C282,LEN(DataDemande!C282)-4)),))),"")</f>
        <v/>
      </c>
      <c r="E223" s="8" t="str">
        <f>IFERROR(IF(FIND("Km",DataDemande!$B282),IF(DataDemande!$B283="",IF(FIND("Pax",DataDemande!D282),VALUE(LEFT(DataDemande!D282,LEN(DataDemande!D282)-4)),))),"")</f>
        <v/>
      </c>
      <c r="F223" s="8" t="str">
        <f>IFERROR(IF(FIND("Km",DataDemande!$B282),IF(DataDemande!$B283="",IF(FIND("Pax",DataDemande!E282),VALUE(LEFT(DataDemande!E282,LEN(DataDemande!E282)-4)),))),"")</f>
        <v/>
      </c>
      <c r="G223" s="8" t="str">
        <f>IFERROR(IF($D223&lt;&gt;"",VALUE(LEFT(DataDemande!F282,LEN(DataDemande!F282)-7)),""),"")</f>
        <v/>
      </c>
    </row>
    <row r="224" spans="1:7" x14ac:dyDescent="0.3">
      <c r="A224" t="str">
        <f>DataDemande!N283</f>
        <v/>
      </c>
      <c r="B224" t="str">
        <f t="shared" si="6"/>
        <v/>
      </c>
      <c r="C224" t="str">
        <f t="shared" si="7"/>
        <v/>
      </c>
      <c r="D224" s="8" t="str">
        <f>IFERROR(IF(FIND("Km",DataDemande!$B283),IF(DataDemande!$B284="",IF(FIND("Pax",DataDemande!C283),VALUE(LEFT(DataDemande!C283,LEN(DataDemande!C283)-4)),))),"")</f>
        <v/>
      </c>
      <c r="E224" s="8" t="str">
        <f>IFERROR(IF(FIND("Km",DataDemande!$B283),IF(DataDemande!$B284="",IF(FIND("Pax",DataDemande!D283),VALUE(LEFT(DataDemande!D283,LEN(DataDemande!D283)-4)),))),"")</f>
        <v/>
      </c>
      <c r="F224" s="8" t="str">
        <f>IFERROR(IF(FIND("Km",DataDemande!$B283),IF(DataDemande!$B284="",IF(FIND("Pax",DataDemande!E283),VALUE(LEFT(DataDemande!E283,LEN(DataDemande!E283)-4)),))),"")</f>
        <v/>
      </c>
      <c r="G224" s="8" t="str">
        <f>IFERROR(IF($D224&lt;&gt;"",VALUE(LEFT(DataDemande!F283,LEN(DataDemande!F283)-7)),""),"")</f>
        <v/>
      </c>
    </row>
    <row r="225" spans="1:7" x14ac:dyDescent="0.3">
      <c r="A225" s="189" t="str">
        <f>DataDemande!N284</f>
        <v/>
      </c>
      <c r="B225" s="189" t="str">
        <f t="shared" ref="B225:B288" si="8">LEFT(A225,3)</f>
        <v/>
      </c>
      <c r="C225" s="189" t="str">
        <f t="shared" ref="C225:C288" si="9">RIGHT(A225,3)</f>
        <v/>
      </c>
      <c r="D225" s="8" t="str">
        <f>IFERROR(IF(FIND("Km",DataDemande!$B284),IF(DataDemande!$B285="",IF(FIND("Pax",DataDemande!C284),VALUE(LEFT(DataDemande!C284,LEN(DataDemande!C284)-4)),))),"")</f>
        <v/>
      </c>
      <c r="E225" s="8" t="str">
        <f>IFERROR(IF(FIND("Km",DataDemande!$B284),IF(DataDemande!$B285="",IF(FIND("Pax",DataDemande!D284),VALUE(LEFT(DataDemande!D284,LEN(DataDemande!D284)-4)),))),"")</f>
        <v/>
      </c>
      <c r="F225" s="8" t="str">
        <f>IFERROR(IF(FIND("Km",DataDemande!$B284),IF(DataDemande!$B285="",IF(FIND("Pax",DataDemande!E284),VALUE(LEFT(DataDemande!E284,LEN(DataDemande!E284)-4)),))),"")</f>
        <v/>
      </c>
      <c r="G225" s="8" t="str">
        <f>IFERROR(IF($D225&lt;&gt;"",VALUE(LEFT(DataDemande!F284,LEN(DataDemande!F284)-7)),""),"")</f>
        <v/>
      </c>
    </row>
    <row r="226" spans="1:7" x14ac:dyDescent="0.3">
      <c r="A226" s="189" t="str">
        <f>DataDemande!N285</f>
        <v/>
      </c>
      <c r="B226" s="189" t="str">
        <f t="shared" si="8"/>
        <v/>
      </c>
      <c r="C226" s="189" t="str">
        <f t="shared" si="9"/>
        <v/>
      </c>
      <c r="D226" s="8" t="str">
        <f>IFERROR(IF(FIND("Km",DataDemande!$B285),IF(DataDemande!$B286="",IF(FIND("Pax",DataDemande!C285),VALUE(LEFT(DataDemande!C285,LEN(DataDemande!C285)-4)),))),"")</f>
        <v/>
      </c>
      <c r="E226" s="8" t="str">
        <f>IFERROR(IF(FIND("Km",DataDemande!$B285),IF(DataDemande!$B286="",IF(FIND("Pax",DataDemande!D285),VALUE(LEFT(DataDemande!D285,LEN(DataDemande!D285)-4)),))),"")</f>
        <v/>
      </c>
      <c r="F226" s="8" t="str">
        <f>IFERROR(IF(FIND("Km",DataDemande!$B285),IF(DataDemande!$B286="",IF(FIND("Pax",DataDemande!E285),VALUE(LEFT(DataDemande!E285,LEN(DataDemande!E285)-4)),))),"")</f>
        <v/>
      </c>
      <c r="G226" s="8" t="str">
        <f>IFERROR(IF($D226&lt;&gt;"",VALUE(LEFT(DataDemande!F285,LEN(DataDemande!F285)-7)),""),"")</f>
        <v/>
      </c>
    </row>
    <row r="227" spans="1:7" x14ac:dyDescent="0.3">
      <c r="A227" s="189" t="str">
        <f>DataDemande!N286</f>
        <v/>
      </c>
      <c r="B227" s="189" t="str">
        <f t="shared" si="8"/>
        <v/>
      </c>
      <c r="C227" s="189" t="str">
        <f t="shared" si="9"/>
        <v/>
      </c>
      <c r="D227" s="8" t="str">
        <f>IFERROR(IF(FIND("Km",DataDemande!$B286),IF(DataDemande!$B287="",IF(FIND("Pax",DataDemande!C286),VALUE(LEFT(DataDemande!C286,LEN(DataDemande!C286)-4)),))),"")</f>
        <v/>
      </c>
      <c r="E227" s="8" t="str">
        <f>IFERROR(IF(FIND("Km",DataDemande!$B286),IF(DataDemande!$B287="",IF(FIND("Pax",DataDemande!D286),VALUE(LEFT(DataDemande!D286,LEN(DataDemande!D286)-4)),))),"")</f>
        <v/>
      </c>
      <c r="F227" s="8" t="str">
        <f>IFERROR(IF(FIND("Km",DataDemande!$B286),IF(DataDemande!$B287="",IF(FIND("Pax",DataDemande!E286),VALUE(LEFT(DataDemande!E286,LEN(DataDemande!E286)-4)),))),"")</f>
        <v/>
      </c>
      <c r="G227" s="8" t="str">
        <f>IFERROR(IF($D227&lt;&gt;"",VALUE(LEFT(DataDemande!F286,LEN(DataDemande!F286)-7)),""),"")</f>
        <v/>
      </c>
    </row>
    <row r="228" spans="1:7" x14ac:dyDescent="0.3">
      <c r="A228" s="189" t="str">
        <f>DataDemande!N287</f>
        <v/>
      </c>
      <c r="B228" s="189" t="str">
        <f t="shared" si="8"/>
        <v/>
      </c>
      <c r="C228" s="189" t="str">
        <f t="shared" si="9"/>
        <v/>
      </c>
      <c r="D228" s="8" t="str">
        <f>IFERROR(IF(FIND("Km",DataDemande!$B287),IF(DataDemande!$B288="",IF(FIND("Pax",DataDemande!C287),VALUE(LEFT(DataDemande!C287,LEN(DataDemande!C287)-4)),))),"")</f>
        <v/>
      </c>
      <c r="E228" s="8" t="str">
        <f>IFERROR(IF(FIND("Km",DataDemande!$B287),IF(DataDemande!$B288="",IF(FIND("Pax",DataDemande!D287),VALUE(LEFT(DataDemande!D287,LEN(DataDemande!D287)-4)),))),"")</f>
        <v/>
      </c>
      <c r="F228" s="8" t="str">
        <f>IFERROR(IF(FIND("Km",DataDemande!$B287),IF(DataDemande!$B288="",IF(FIND("Pax",DataDemande!E287),VALUE(LEFT(DataDemande!E287,LEN(DataDemande!E287)-4)),))),"")</f>
        <v/>
      </c>
      <c r="G228" s="8" t="str">
        <f>IFERROR(IF($D228&lt;&gt;"",VALUE(LEFT(DataDemande!F287,LEN(DataDemande!F287)-7)),""),"")</f>
        <v/>
      </c>
    </row>
    <row r="229" spans="1:7" x14ac:dyDescent="0.3">
      <c r="A229" s="189" t="str">
        <f>DataDemande!N288</f>
        <v/>
      </c>
      <c r="B229" s="189" t="str">
        <f t="shared" si="8"/>
        <v/>
      </c>
      <c r="C229" s="189" t="str">
        <f t="shared" si="9"/>
        <v/>
      </c>
      <c r="D229" s="8" t="str">
        <f>IFERROR(IF(FIND("Km",DataDemande!$B288),IF(DataDemande!$B289="",IF(FIND("Pax",DataDemande!C288),VALUE(LEFT(DataDemande!C288,LEN(DataDemande!C288)-4)),))),"")</f>
        <v/>
      </c>
      <c r="E229" s="8" t="str">
        <f>IFERROR(IF(FIND("Km",DataDemande!$B288),IF(DataDemande!$B289="",IF(FIND("Pax",DataDemande!D288),VALUE(LEFT(DataDemande!D288,LEN(DataDemande!D288)-4)),))),"")</f>
        <v/>
      </c>
      <c r="F229" s="8" t="str">
        <f>IFERROR(IF(FIND("Km",DataDemande!$B288),IF(DataDemande!$B289="",IF(FIND("Pax",DataDemande!E288),VALUE(LEFT(DataDemande!E288,LEN(DataDemande!E288)-4)),))),"")</f>
        <v/>
      </c>
      <c r="G229" s="8" t="str">
        <f>IFERROR(IF($D229&lt;&gt;"",VALUE(LEFT(DataDemande!F288,LEN(DataDemande!F288)-7)),""),"")</f>
        <v/>
      </c>
    </row>
    <row r="230" spans="1:7" x14ac:dyDescent="0.3">
      <c r="A230" s="189" t="str">
        <f>DataDemande!N289</f>
        <v/>
      </c>
      <c r="B230" s="189" t="str">
        <f t="shared" si="8"/>
        <v/>
      </c>
      <c r="C230" s="189" t="str">
        <f t="shared" si="9"/>
        <v/>
      </c>
      <c r="D230" s="8" t="str">
        <f>IFERROR(IF(FIND("Km",DataDemande!$B289),IF(DataDemande!$B290="",IF(FIND("Pax",DataDemande!C289),VALUE(LEFT(DataDemande!C289,LEN(DataDemande!C289)-4)),))),"")</f>
        <v/>
      </c>
      <c r="E230" s="8" t="str">
        <f>IFERROR(IF(FIND("Km",DataDemande!$B289),IF(DataDemande!$B290="",IF(FIND("Pax",DataDemande!D289),VALUE(LEFT(DataDemande!D289,LEN(DataDemande!D289)-4)),))),"")</f>
        <v/>
      </c>
      <c r="F230" s="8" t="str">
        <f>IFERROR(IF(FIND("Km",DataDemande!$B289),IF(DataDemande!$B290="",IF(FIND("Pax",DataDemande!E289),VALUE(LEFT(DataDemande!E289,LEN(DataDemande!E289)-4)),))),"")</f>
        <v/>
      </c>
      <c r="G230" s="8" t="str">
        <f>IFERROR(IF($D230&lt;&gt;"",VALUE(LEFT(DataDemande!F289,LEN(DataDemande!F289)-7)),""),"")</f>
        <v/>
      </c>
    </row>
    <row r="231" spans="1:7" x14ac:dyDescent="0.3">
      <c r="A231" s="189" t="str">
        <f>DataDemande!N290</f>
        <v/>
      </c>
      <c r="B231" s="189" t="str">
        <f t="shared" si="8"/>
        <v/>
      </c>
      <c r="C231" s="189" t="str">
        <f t="shared" si="9"/>
        <v/>
      </c>
      <c r="D231" s="8" t="str">
        <f>IFERROR(IF(FIND("Km",DataDemande!$B290),IF(DataDemande!$B291="",IF(FIND("Pax",DataDemande!C290),VALUE(LEFT(DataDemande!C290,LEN(DataDemande!C290)-4)),))),"")</f>
        <v/>
      </c>
      <c r="E231" s="8" t="str">
        <f>IFERROR(IF(FIND("Km",DataDemande!$B290),IF(DataDemande!$B291="",IF(FIND("Pax",DataDemande!D290),VALUE(LEFT(DataDemande!D290,LEN(DataDemande!D290)-4)),))),"")</f>
        <v/>
      </c>
      <c r="F231" s="8" t="str">
        <f>IFERROR(IF(FIND("Km",DataDemande!$B290),IF(DataDemande!$B291="",IF(FIND("Pax",DataDemande!E290),VALUE(LEFT(DataDemande!E290,LEN(DataDemande!E290)-4)),))),"")</f>
        <v/>
      </c>
      <c r="G231" s="8" t="str">
        <f>IFERROR(IF($D231&lt;&gt;"",VALUE(LEFT(DataDemande!F290,LEN(DataDemande!F290)-7)),""),"")</f>
        <v/>
      </c>
    </row>
    <row r="232" spans="1:7" x14ac:dyDescent="0.3">
      <c r="A232" s="189" t="str">
        <f>DataDemande!N291</f>
        <v/>
      </c>
      <c r="B232" s="189" t="str">
        <f t="shared" si="8"/>
        <v/>
      </c>
      <c r="C232" s="189" t="str">
        <f t="shared" si="9"/>
        <v/>
      </c>
      <c r="D232" s="8" t="str">
        <f>IFERROR(IF(FIND("Km",DataDemande!$B291),IF(DataDemande!$B292="",IF(FIND("Pax",DataDemande!C291),VALUE(LEFT(DataDemande!C291,LEN(DataDemande!C291)-4)),))),"")</f>
        <v/>
      </c>
      <c r="E232" s="8" t="str">
        <f>IFERROR(IF(FIND("Km",DataDemande!$B291),IF(DataDemande!$B292="",IF(FIND("Pax",DataDemande!D291),VALUE(LEFT(DataDemande!D291,LEN(DataDemande!D291)-4)),))),"")</f>
        <v/>
      </c>
      <c r="F232" s="8" t="str">
        <f>IFERROR(IF(FIND("Km",DataDemande!$B291),IF(DataDemande!$B292="",IF(FIND("Pax",DataDemande!E291),VALUE(LEFT(DataDemande!E291,LEN(DataDemande!E291)-4)),))),"")</f>
        <v/>
      </c>
      <c r="G232" s="8" t="str">
        <f>IFERROR(IF($D232&lt;&gt;"",VALUE(LEFT(DataDemande!F291,LEN(DataDemande!F291)-7)),""),"")</f>
        <v/>
      </c>
    </row>
    <row r="233" spans="1:7" x14ac:dyDescent="0.3">
      <c r="A233" s="189" t="str">
        <f>DataDemande!N292</f>
        <v/>
      </c>
      <c r="B233" s="189" t="str">
        <f t="shared" si="8"/>
        <v/>
      </c>
      <c r="C233" s="189" t="str">
        <f t="shared" si="9"/>
        <v/>
      </c>
      <c r="D233" s="8" t="str">
        <f>IFERROR(IF(FIND("Km",DataDemande!$B292),IF(DataDemande!$B293="",IF(FIND("Pax",DataDemande!C292),VALUE(LEFT(DataDemande!C292,LEN(DataDemande!C292)-4)),))),"")</f>
        <v/>
      </c>
      <c r="E233" s="8" t="str">
        <f>IFERROR(IF(FIND("Km",DataDemande!$B292),IF(DataDemande!$B293="",IF(FIND("Pax",DataDemande!D292),VALUE(LEFT(DataDemande!D292,LEN(DataDemande!D292)-4)),))),"")</f>
        <v/>
      </c>
      <c r="F233" s="8" t="str">
        <f>IFERROR(IF(FIND("Km",DataDemande!$B292),IF(DataDemande!$B293="",IF(FIND("Pax",DataDemande!E292),VALUE(LEFT(DataDemande!E292,LEN(DataDemande!E292)-4)),))),"")</f>
        <v/>
      </c>
      <c r="G233" s="8" t="str">
        <f>IFERROR(IF($D233&lt;&gt;"",VALUE(LEFT(DataDemande!F292,LEN(DataDemande!F292)-7)),""),"")</f>
        <v/>
      </c>
    </row>
    <row r="234" spans="1:7" x14ac:dyDescent="0.3">
      <c r="A234" s="189" t="str">
        <f>DataDemande!N293</f>
        <v/>
      </c>
      <c r="B234" s="189" t="str">
        <f t="shared" si="8"/>
        <v/>
      </c>
      <c r="C234" s="189" t="str">
        <f t="shared" si="9"/>
        <v/>
      </c>
      <c r="D234" s="8" t="str">
        <f>IFERROR(IF(FIND("Km",DataDemande!$B293),IF(DataDemande!$B294="",IF(FIND("Pax",DataDemande!C293),VALUE(LEFT(DataDemande!C293,LEN(DataDemande!C293)-4)),))),"")</f>
        <v/>
      </c>
      <c r="E234" s="8" t="str">
        <f>IFERROR(IF(FIND("Km",DataDemande!$B293),IF(DataDemande!$B294="",IF(FIND("Pax",DataDemande!D293),VALUE(LEFT(DataDemande!D293,LEN(DataDemande!D293)-4)),))),"")</f>
        <v/>
      </c>
      <c r="F234" s="8" t="str">
        <f>IFERROR(IF(FIND("Km",DataDemande!$B293),IF(DataDemande!$B294="",IF(FIND("Pax",DataDemande!E293),VALUE(LEFT(DataDemande!E293,LEN(DataDemande!E293)-4)),))),"")</f>
        <v/>
      </c>
      <c r="G234" s="8" t="str">
        <f>IFERROR(IF($D234&lt;&gt;"",VALUE(LEFT(DataDemande!F293,LEN(DataDemande!F293)-7)),""),"")</f>
        <v/>
      </c>
    </row>
    <row r="235" spans="1:7" x14ac:dyDescent="0.3">
      <c r="A235" s="189" t="str">
        <f>DataDemande!N294</f>
        <v/>
      </c>
      <c r="B235" s="189" t="str">
        <f t="shared" si="8"/>
        <v/>
      </c>
      <c r="C235" s="189" t="str">
        <f t="shared" si="9"/>
        <v/>
      </c>
      <c r="D235" s="8" t="str">
        <f>IFERROR(IF(FIND("Km",DataDemande!$B294),IF(DataDemande!$B295="",IF(FIND("Pax",DataDemande!C294),VALUE(LEFT(DataDemande!C294,LEN(DataDemande!C294)-4)),))),"")</f>
        <v/>
      </c>
      <c r="E235" s="8" t="str">
        <f>IFERROR(IF(FIND("Km",DataDemande!$B294),IF(DataDemande!$B295="",IF(FIND("Pax",DataDemande!D294),VALUE(LEFT(DataDemande!D294,LEN(DataDemande!D294)-4)),))),"")</f>
        <v/>
      </c>
      <c r="F235" s="8" t="str">
        <f>IFERROR(IF(FIND("Km",DataDemande!$B294),IF(DataDemande!$B295="",IF(FIND("Pax",DataDemande!E294),VALUE(LEFT(DataDemande!E294,LEN(DataDemande!E294)-4)),))),"")</f>
        <v/>
      </c>
      <c r="G235" s="8" t="str">
        <f>IFERROR(IF($D235&lt;&gt;"",VALUE(LEFT(DataDemande!F294,LEN(DataDemande!F294)-7)),""),"")</f>
        <v/>
      </c>
    </row>
    <row r="236" spans="1:7" x14ac:dyDescent="0.3">
      <c r="A236" s="189" t="str">
        <f>DataDemande!N295</f>
        <v/>
      </c>
      <c r="B236" s="189" t="str">
        <f t="shared" si="8"/>
        <v/>
      </c>
      <c r="C236" s="189" t="str">
        <f t="shared" si="9"/>
        <v/>
      </c>
      <c r="D236" s="8" t="str">
        <f>IFERROR(IF(FIND("Km",DataDemande!$B295),IF(DataDemande!$B296="",IF(FIND("Pax",DataDemande!C295),VALUE(LEFT(DataDemande!C295,LEN(DataDemande!C295)-4)),))),"")</f>
        <v/>
      </c>
      <c r="E236" s="8" t="str">
        <f>IFERROR(IF(FIND("Km",DataDemande!$B295),IF(DataDemande!$B296="",IF(FIND("Pax",DataDemande!D295),VALUE(LEFT(DataDemande!D295,LEN(DataDemande!D295)-4)),))),"")</f>
        <v/>
      </c>
      <c r="F236" s="8" t="str">
        <f>IFERROR(IF(FIND("Km",DataDemande!$B295),IF(DataDemande!$B296="",IF(FIND("Pax",DataDemande!E295),VALUE(LEFT(DataDemande!E295,LEN(DataDemande!E295)-4)),))),"")</f>
        <v/>
      </c>
      <c r="G236" s="8" t="str">
        <f>IFERROR(IF($D236&lt;&gt;"",VALUE(LEFT(DataDemande!F295,LEN(DataDemande!F295)-7)),""),"")</f>
        <v/>
      </c>
    </row>
    <row r="237" spans="1:7" x14ac:dyDescent="0.3">
      <c r="A237" s="189" t="str">
        <f>DataDemande!N296</f>
        <v/>
      </c>
      <c r="B237" s="189" t="str">
        <f t="shared" si="8"/>
        <v/>
      </c>
      <c r="C237" s="189" t="str">
        <f t="shared" si="9"/>
        <v/>
      </c>
      <c r="D237" s="8" t="str">
        <f>IFERROR(IF(FIND("Km",DataDemande!$B296),IF(DataDemande!$B297="",IF(FIND("Pax",DataDemande!C296),VALUE(LEFT(DataDemande!C296,LEN(DataDemande!C296)-4)),))),"")</f>
        <v/>
      </c>
      <c r="E237" s="8" t="str">
        <f>IFERROR(IF(FIND("Km",DataDemande!$B296),IF(DataDemande!$B297="",IF(FIND("Pax",DataDemande!D296),VALUE(LEFT(DataDemande!D296,LEN(DataDemande!D296)-4)),))),"")</f>
        <v/>
      </c>
      <c r="F237" s="8" t="str">
        <f>IFERROR(IF(FIND("Km",DataDemande!$B296),IF(DataDemande!$B297="",IF(FIND("Pax",DataDemande!E296),VALUE(LEFT(DataDemande!E296,LEN(DataDemande!E296)-4)),))),"")</f>
        <v/>
      </c>
      <c r="G237" s="8" t="str">
        <f>IFERROR(IF($D237&lt;&gt;"",VALUE(LEFT(DataDemande!F296,LEN(DataDemande!F296)-7)),""),"")</f>
        <v/>
      </c>
    </row>
    <row r="238" spans="1:7" x14ac:dyDescent="0.3">
      <c r="A238" s="189" t="str">
        <f>DataDemande!N297</f>
        <v/>
      </c>
      <c r="B238" s="189" t="str">
        <f t="shared" si="8"/>
        <v/>
      </c>
      <c r="C238" s="189" t="str">
        <f t="shared" si="9"/>
        <v/>
      </c>
      <c r="D238" s="8" t="str">
        <f>IFERROR(IF(FIND("Km",DataDemande!$B297),IF(DataDemande!$B298="",IF(FIND("Pax",DataDemande!C297),VALUE(LEFT(DataDemande!C297,LEN(DataDemande!C297)-4)),))),"")</f>
        <v/>
      </c>
      <c r="E238" s="8" t="str">
        <f>IFERROR(IF(FIND("Km",DataDemande!$B297),IF(DataDemande!$B298="",IF(FIND("Pax",DataDemande!D297),VALUE(LEFT(DataDemande!D297,LEN(DataDemande!D297)-4)),))),"")</f>
        <v/>
      </c>
      <c r="F238" s="8" t="str">
        <f>IFERROR(IF(FIND("Km",DataDemande!$B297),IF(DataDemande!$B298="",IF(FIND("Pax",DataDemande!E297),VALUE(LEFT(DataDemande!E297,LEN(DataDemande!E297)-4)),))),"")</f>
        <v/>
      </c>
      <c r="G238" s="8" t="str">
        <f>IFERROR(IF($D238&lt;&gt;"",VALUE(LEFT(DataDemande!F297,LEN(DataDemande!F297)-7)),""),"")</f>
        <v/>
      </c>
    </row>
    <row r="239" spans="1:7" x14ac:dyDescent="0.3">
      <c r="A239" s="189" t="str">
        <f>DataDemande!N298</f>
        <v/>
      </c>
      <c r="B239" s="189" t="str">
        <f t="shared" si="8"/>
        <v/>
      </c>
      <c r="C239" s="189" t="str">
        <f t="shared" si="9"/>
        <v/>
      </c>
      <c r="D239" s="8" t="str">
        <f>IFERROR(IF(FIND("Km",DataDemande!$B298),IF(DataDemande!$B299="",IF(FIND("Pax",DataDemande!C298),VALUE(LEFT(DataDemande!C298,LEN(DataDemande!C298)-4)),))),"")</f>
        <v/>
      </c>
      <c r="E239" s="8" t="str">
        <f>IFERROR(IF(FIND("Km",DataDemande!$B298),IF(DataDemande!$B299="",IF(FIND("Pax",DataDemande!D298),VALUE(LEFT(DataDemande!D298,LEN(DataDemande!D298)-4)),))),"")</f>
        <v/>
      </c>
      <c r="F239" s="8" t="str">
        <f>IFERROR(IF(FIND("Km",DataDemande!$B298),IF(DataDemande!$B299="",IF(FIND("Pax",DataDemande!E298),VALUE(LEFT(DataDemande!E298,LEN(DataDemande!E298)-4)),))),"")</f>
        <v/>
      </c>
      <c r="G239" s="8" t="str">
        <f>IFERROR(IF($D239&lt;&gt;"",VALUE(LEFT(DataDemande!F298,LEN(DataDemande!F298)-7)),""),"")</f>
        <v/>
      </c>
    </row>
    <row r="240" spans="1:7" x14ac:dyDescent="0.3">
      <c r="A240" s="189" t="str">
        <f>DataDemande!N299</f>
        <v/>
      </c>
      <c r="B240" s="189" t="str">
        <f t="shared" si="8"/>
        <v/>
      </c>
      <c r="C240" s="189" t="str">
        <f t="shared" si="9"/>
        <v/>
      </c>
      <c r="D240" s="8" t="str">
        <f>IFERROR(IF(FIND("Km",DataDemande!$B299),IF(DataDemande!$B300="",IF(FIND("Pax",DataDemande!C299),VALUE(LEFT(DataDemande!C299,LEN(DataDemande!C299)-4)),))),"")</f>
        <v/>
      </c>
      <c r="E240" s="8" t="str">
        <f>IFERROR(IF(FIND("Km",DataDemande!$B299),IF(DataDemande!$B300="",IF(FIND("Pax",DataDemande!D299),VALUE(LEFT(DataDemande!D299,LEN(DataDemande!D299)-4)),))),"")</f>
        <v/>
      </c>
      <c r="F240" s="8" t="str">
        <f>IFERROR(IF(FIND("Km",DataDemande!$B299),IF(DataDemande!$B300="",IF(FIND("Pax",DataDemande!E299),VALUE(LEFT(DataDemande!E299,LEN(DataDemande!E299)-4)),))),"")</f>
        <v/>
      </c>
      <c r="G240" s="8" t="str">
        <f>IFERROR(IF($D240&lt;&gt;"",VALUE(LEFT(DataDemande!F299,LEN(DataDemande!F299)-7)),""),"")</f>
        <v/>
      </c>
    </row>
    <row r="241" spans="1:7" x14ac:dyDescent="0.3">
      <c r="A241" s="189" t="str">
        <f>DataDemande!N300</f>
        <v/>
      </c>
      <c r="B241" s="189" t="str">
        <f t="shared" si="8"/>
        <v/>
      </c>
      <c r="C241" s="189" t="str">
        <f t="shared" si="9"/>
        <v/>
      </c>
      <c r="D241" s="8" t="str">
        <f>IFERROR(IF(FIND("Km",DataDemande!$B300),IF(DataDemande!$B301="",IF(FIND("Pax",DataDemande!C300),VALUE(LEFT(DataDemande!C300,LEN(DataDemande!C300)-4)),))),"")</f>
        <v/>
      </c>
      <c r="E241" s="8" t="str">
        <f>IFERROR(IF(FIND("Km",DataDemande!$B300),IF(DataDemande!$B301="",IF(FIND("Pax",DataDemande!D300),VALUE(LEFT(DataDemande!D300,LEN(DataDemande!D300)-4)),))),"")</f>
        <v/>
      </c>
      <c r="F241" s="8" t="str">
        <f>IFERROR(IF(FIND("Km",DataDemande!$B300),IF(DataDemande!$B301="",IF(FIND("Pax",DataDemande!E300),VALUE(LEFT(DataDemande!E300,LEN(DataDemande!E300)-4)),))),"")</f>
        <v/>
      </c>
      <c r="G241" s="8" t="str">
        <f>IFERROR(IF($D241&lt;&gt;"",VALUE(LEFT(DataDemande!F300,LEN(DataDemande!F300)-7)),""),"")</f>
        <v/>
      </c>
    </row>
    <row r="242" spans="1:7" x14ac:dyDescent="0.3">
      <c r="A242" s="189" t="str">
        <f>DataDemande!N301</f>
        <v/>
      </c>
      <c r="B242" s="189" t="str">
        <f t="shared" si="8"/>
        <v/>
      </c>
      <c r="C242" s="189" t="str">
        <f t="shared" si="9"/>
        <v/>
      </c>
      <c r="D242" s="8" t="str">
        <f>IFERROR(IF(FIND("Km",DataDemande!$B301),IF(DataDemande!$B302="",IF(FIND("Pax",DataDemande!C301),VALUE(LEFT(DataDemande!C301,LEN(DataDemande!C301)-4)),))),"")</f>
        <v/>
      </c>
      <c r="E242" s="8" t="str">
        <f>IFERROR(IF(FIND("Km",DataDemande!$B301),IF(DataDemande!$B302="",IF(FIND("Pax",DataDemande!D301),VALUE(LEFT(DataDemande!D301,LEN(DataDemande!D301)-4)),))),"")</f>
        <v/>
      </c>
      <c r="F242" s="8" t="str">
        <f>IFERROR(IF(FIND("Km",DataDemande!$B301),IF(DataDemande!$B302="",IF(FIND("Pax",DataDemande!E301),VALUE(LEFT(DataDemande!E301,LEN(DataDemande!E301)-4)),))),"")</f>
        <v/>
      </c>
      <c r="G242" s="8" t="str">
        <f>IFERROR(IF($D242&lt;&gt;"",VALUE(LEFT(DataDemande!F301,LEN(DataDemande!F301)-7)),""),"")</f>
        <v/>
      </c>
    </row>
    <row r="243" spans="1:7" x14ac:dyDescent="0.3">
      <c r="A243" s="189" t="str">
        <f>DataDemande!N302</f>
        <v/>
      </c>
      <c r="B243" s="189" t="str">
        <f t="shared" si="8"/>
        <v/>
      </c>
      <c r="C243" s="189" t="str">
        <f t="shared" si="9"/>
        <v/>
      </c>
      <c r="D243" s="8" t="str">
        <f>IFERROR(IF(FIND("Km",DataDemande!$B302),IF(DataDemande!$B303="",IF(FIND("Pax",DataDemande!C302),VALUE(LEFT(DataDemande!C302,LEN(DataDemande!C302)-4)),))),"")</f>
        <v/>
      </c>
      <c r="E243" s="8" t="str">
        <f>IFERROR(IF(FIND("Km",DataDemande!$B302),IF(DataDemande!$B303="",IF(FIND("Pax",DataDemande!D302),VALUE(LEFT(DataDemande!D302,LEN(DataDemande!D302)-4)),))),"")</f>
        <v/>
      </c>
      <c r="F243" s="8" t="str">
        <f>IFERROR(IF(FIND("Km",DataDemande!$B302),IF(DataDemande!$B303="",IF(FIND("Pax",DataDemande!E302),VALUE(LEFT(DataDemande!E302,LEN(DataDemande!E302)-4)),))),"")</f>
        <v/>
      </c>
      <c r="G243" s="8" t="str">
        <f>IFERROR(IF($D243&lt;&gt;"",VALUE(LEFT(DataDemande!F302,LEN(DataDemande!F302)-7)),""),"")</f>
        <v/>
      </c>
    </row>
    <row r="244" spans="1:7" x14ac:dyDescent="0.3">
      <c r="A244" s="189" t="str">
        <f>DataDemande!N303</f>
        <v/>
      </c>
      <c r="B244" s="189" t="str">
        <f t="shared" si="8"/>
        <v/>
      </c>
      <c r="C244" s="189" t="str">
        <f t="shared" si="9"/>
        <v/>
      </c>
      <c r="D244" s="8" t="str">
        <f>IFERROR(IF(FIND("Km",DataDemande!$B303),IF(DataDemande!$B304="",IF(FIND("Pax",DataDemande!C303),VALUE(LEFT(DataDemande!C303,LEN(DataDemande!C303)-4)),))),"")</f>
        <v/>
      </c>
      <c r="E244" s="8" t="str">
        <f>IFERROR(IF(FIND("Km",DataDemande!$B303),IF(DataDemande!$B304="",IF(FIND("Pax",DataDemande!D303),VALUE(LEFT(DataDemande!D303,LEN(DataDemande!D303)-4)),))),"")</f>
        <v/>
      </c>
      <c r="F244" s="8" t="str">
        <f>IFERROR(IF(FIND("Km",DataDemande!$B303),IF(DataDemande!$B304="",IF(FIND("Pax",DataDemande!E303),VALUE(LEFT(DataDemande!E303,LEN(DataDemande!E303)-4)),))),"")</f>
        <v/>
      </c>
      <c r="G244" s="8" t="str">
        <f>IFERROR(IF($D244&lt;&gt;"",VALUE(LEFT(DataDemande!F303,LEN(DataDemande!F303)-7)),""),"")</f>
        <v/>
      </c>
    </row>
    <row r="245" spans="1:7" x14ac:dyDescent="0.3">
      <c r="A245" s="189" t="str">
        <f>DataDemande!N304</f>
        <v/>
      </c>
      <c r="B245" s="189" t="str">
        <f t="shared" si="8"/>
        <v/>
      </c>
      <c r="C245" s="189" t="str">
        <f t="shared" si="9"/>
        <v/>
      </c>
      <c r="D245" s="8" t="str">
        <f>IFERROR(IF(FIND("Km",DataDemande!$B304),IF(DataDemande!$B305="",IF(FIND("Pax",DataDemande!C304),VALUE(LEFT(DataDemande!C304,LEN(DataDemande!C304)-4)),))),"")</f>
        <v/>
      </c>
      <c r="E245" s="8" t="str">
        <f>IFERROR(IF(FIND("Km",DataDemande!$B304),IF(DataDemande!$B305="",IF(FIND("Pax",DataDemande!D304),VALUE(LEFT(DataDemande!D304,LEN(DataDemande!D304)-4)),))),"")</f>
        <v/>
      </c>
      <c r="F245" s="8" t="str">
        <f>IFERROR(IF(FIND("Km",DataDemande!$B304),IF(DataDemande!$B305="",IF(FIND("Pax",DataDemande!E304),VALUE(LEFT(DataDemande!E304,LEN(DataDemande!E304)-4)),))),"")</f>
        <v/>
      </c>
      <c r="G245" s="8" t="str">
        <f>IFERROR(IF($D245&lt;&gt;"",VALUE(LEFT(DataDemande!F304,LEN(DataDemande!F304)-7)),""),"")</f>
        <v/>
      </c>
    </row>
    <row r="246" spans="1:7" x14ac:dyDescent="0.3">
      <c r="A246" s="189" t="str">
        <f>DataDemande!N305</f>
        <v/>
      </c>
      <c r="B246" s="189" t="str">
        <f t="shared" si="8"/>
        <v/>
      </c>
      <c r="C246" s="189" t="str">
        <f t="shared" si="9"/>
        <v/>
      </c>
      <c r="D246" s="8" t="str">
        <f>IFERROR(IF(FIND("Km",DataDemande!$B305),IF(DataDemande!$B306="",IF(FIND("Pax",DataDemande!C305),VALUE(LEFT(DataDemande!C305,LEN(DataDemande!C305)-4)),))),"")</f>
        <v/>
      </c>
      <c r="E246" s="8" t="str">
        <f>IFERROR(IF(FIND("Km",DataDemande!$B305),IF(DataDemande!$B306="",IF(FIND("Pax",DataDemande!D305),VALUE(LEFT(DataDemande!D305,LEN(DataDemande!D305)-4)),))),"")</f>
        <v/>
      </c>
      <c r="F246" s="8" t="str">
        <f>IFERROR(IF(FIND("Km",DataDemande!$B305),IF(DataDemande!$B306="",IF(FIND("Pax",DataDemande!E305),VALUE(LEFT(DataDemande!E305,LEN(DataDemande!E305)-4)),))),"")</f>
        <v/>
      </c>
      <c r="G246" s="8" t="str">
        <f>IFERROR(IF($D246&lt;&gt;"",VALUE(LEFT(DataDemande!F305,LEN(DataDemande!F305)-7)),""),"")</f>
        <v/>
      </c>
    </row>
    <row r="247" spans="1:7" x14ac:dyDescent="0.3">
      <c r="A247" s="189" t="str">
        <f>DataDemande!N306</f>
        <v/>
      </c>
      <c r="B247" s="189" t="str">
        <f t="shared" si="8"/>
        <v/>
      </c>
      <c r="C247" s="189" t="str">
        <f t="shared" si="9"/>
        <v/>
      </c>
      <c r="D247" s="8" t="str">
        <f>IFERROR(IF(FIND("Km",DataDemande!$B306),IF(DataDemande!$B307="",IF(FIND("Pax",DataDemande!C306),VALUE(LEFT(DataDemande!C306,LEN(DataDemande!C306)-4)),))),"")</f>
        <v/>
      </c>
      <c r="E247" s="8" t="str">
        <f>IFERROR(IF(FIND("Km",DataDemande!$B306),IF(DataDemande!$B307="",IF(FIND("Pax",DataDemande!D306),VALUE(LEFT(DataDemande!D306,LEN(DataDemande!D306)-4)),))),"")</f>
        <v/>
      </c>
      <c r="F247" s="8" t="str">
        <f>IFERROR(IF(FIND("Km",DataDemande!$B306),IF(DataDemande!$B307="",IF(FIND("Pax",DataDemande!E306),VALUE(LEFT(DataDemande!E306,LEN(DataDemande!E306)-4)),))),"")</f>
        <v/>
      </c>
      <c r="G247" s="8" t="str">
        <f>IFERROR(IF($D247&lt;&gt;"",VALUE(LEFT(DataDemande!F306,LEN(DataDemande!F306)-7)),""),"")</f>
        <v/>
      </c>
    </row>
    <row r="248" spans="1:7" x14ac:dyDescent="0.3">
      <c r="A248" s="189" t="str">
        <f>DataDemande!N307</f>
        <v/>
      </c>
      <c r="B248" s="189" t="str">
        <f t="shared" si="8"/>
        <v/>
      </c>
      <c r="C248" s="189" t="str">
        <f t="shared" si="9"/>
        <v/>
      </c>
      <c r="D248" s="8" t="str">
        <f>IFERROR(IF(FIND("Km",DataDemande!$B307),IF(DataDemande!$B308="",IF(FIND("Pax",DataDemande!C307),VALUE(LEFT(DataDemande!C307,LEN(DataDemande!C307)-4)),))),"")</f>
        <v/>
      </c>
      <c r="E248" s="8" t="str">
        <f>IFERROR(IF(FIND("Km",DataDemande!$B307),IF(DataDemande!$B308="",IF(FIND("Pax",DataDemande!D307),VALUE(LEFT(DataDemande!D307,LEN(DataDemande!D307)-4)),))),"")</f>
        <v/>
      </c>
      <c r="F248" s="8" t="str">
        <f>IFERROR(IF(FIND("Km",DataDemande!$B307),IF(DataDemande!$B308="",IF(FIND("Pax",DataDemande!E307),VALUE(LEFT(DataDemande!E307,LEN(DataDemande!E307)-4)),))),"")</f>
        <v/>
      </c>
      <c r="G248" s="8" t="str">
        <f>IFERROR(IF($D248&lt;&gt;"",VALUE(LEFT(DataDemande!F307,LEN(DataDemande!F307)-7)),""),"")</f>
        <v/>
      </c>
    </row>
    <row r="249" spans="1:7" x14ac:dyDescent="0.3">
      <c r="A249" s="189" t="str">
        <f>DataDemande!N308</f>
        <v/>
      </c>
      <c r="B249" s="189" t="str">
        <f t="shared" si="8"/>
        <v/>
      </c>
      <c r="C249" s="189" t="str">
        <f t="shared" si="9"/>
        <v/>
      </c>
      <c r="D249" s="8" t="str">
        <f>IFERROR(IF(FIND("Km",DataDemande!$B308),IF(DataDemande!$B309="",IF(FIND("Pax",DataDemande!C308),VALUE(LEFT(DataDemande!C308,LEN(DataDemande!C308)-4)),))),"")</f>
        <v/>
      </c>
      <c r="E249" s="8" t="str">
        <f>IFERROR(IF(FIND("Km",DataDemande!$B308),IF(DataDemande!$B309="",IF(FIND("Pax",DataDemande!D308),VALUE(LEFT(DataDemande!D308,LEN(DataDemande!D308)-4)),))),"")</f>
        <v/>
      </c>
      <c r="F249" s="8" t="str">
        <f>IFERROR(IF(FIND("Km",DataDemande!$B308),IF(DataDemande!$B309="",IF(FIND("Pax",DataDemande!E308),VALUE(LEFT(DataDemande!E308,LEN(DataDemande!E308)-4)),))),"")</f>
        <v/>
      </c>
      <c r="G249" s="8" t="str">
        <f>IFERROR(IF($D249&lt;&gt;"",VALUE(LEFT(DataDemande!F308,LEN(DataDemande!F308)-7)),""),"")</f>
        <v/>
      </c>
    </row>
    <row r="250" spans="1:7" x14ac:dyDescent="0.3">
      <c r="A250" s="189" t="str">
        <f>DataDemande!N309</f>
        <v/>
      </c>
      <c r="B250" s="189" t="str">
        <f t="shared" si="8"/>
        <v/>
      </c>
      <c r="C250" s="189" t="str">
        <f t="shared" si="9"/>
        <v/>
      </c>
      <c r="D250" s="8" t="str">
        <f>IFERROR(IF(FIND("Km",DataDemande!$B309),IF(DataDemande!$B310="",IF(FIND("Pax",DataDemande!C309),VALUE(LEFT(DataDemande!C309,LEN(DataDemande!C309)-4)),))),"")</f>
        <v/>
      </c>
      <c r="E250" s="8" t="str">
        <f>IFERROR(IF(FIND("Km",DataDemande!$B309),IF(DataDemande!$B310="",IF(FIND("Pax",DataDemande!D309),VALUE(LEFT(DataDemande!D309,LEN(DataDemande!D309)-4)),))),"")</f>
        <v/>
      </c>
      <c r="F250" s="8" t="str">
        <f>IFERROR(IF(FIND("Km",DataDemande!$B309),IF(DataDemande!$B310="",IF(FIND("Pax",DataDemande!E309),VALUE(LEFT(DataDemande!E309,LEN(DataDemande!E309)-4)),))),"")</f>
        <v/>
      </c>
      <c r="G250" s="8" t="str">
        <f>IFERROR(IF($D250&lt;&gt;"",VALUE(LEFT(DataDemande!F309,LEN(DataDemande!F309)-7)),""),"")</f>
        <v/>
      </c>
    </row>
    <row r="251" spans="1:7" x14ac:dyDescent="0.3">
      <c r="A251" s="189" t="str">
        <f>DataDemande!N310</f>
        <v/>
      </c>
      <c r="B251" s="189" t="str">
        <f t="shared" si="8"/>
        <v/>
      </c>
      <c r="C251" s="189" t="str">
        <f t="shared" si="9"/>
        <v/>
      </c>
      <c r="D251" s="8" t="str">
        <f>IFERROR(IF(FIND("Km",DataDemande!$B310),IF(DataDemande!$B311="",IF(FIND("Pax",DataDemande!C310),VALUE(LEFT(DataDemande!C310,LEN(DataDemande!C310)-4)),))),"")</f>
        <v/>
      </c>
      <c r="E251" s="8" t="str">
        <f>IFERROR(IF(FIND("Km",DataDemande!$B310),IF(DataDemande!$B311="",IF(FIND("Pax",DataDemande!D310),VALUE(LEFT(DataDemande!D310,LEN(DataDemande!D310)-4)),))),"")</f>
        <v/>
      </c>
      <c r="F251" s="8" t="str">
        <f>IFERROR(IF(FIND("Km",DataDemande!$B310),IF(DataDemande!$B311="",IF(FIND("Pax",DataDemande!E310),VALUE(LEFT(DataDemande!E310,LEN(DataDemande!E310)-4)),))),"")</f>
        <v/>
      </c>
      <c r="G251" s="8" t="str">
        <f>IFERROR(IF($D251&lt;&gt;"",VALUE(LEFT(DataDemande!F310,LEN(DataDemande!F310)-7)),""),"")</f>
        <v/>
      </c>
    </row>
    <row r="252" spans="1:7" x14ac:dyDescent="0.3">
      <c r="A252" s="189" t="str">
        <f>DataDemande!N311</f>
        <v/>
      </c>
      <c r="B252" s="189" t="str">
        <f t="shared" si="8"/>
        <v/>
      </c>
      <c r="C252" s="189" t="str">
        <f t="shared" si="9"/>
        <v/>
      </c>
      <c r="D252" s="8" t="str">
        <f>IFERROR(IF(FIND("Km",DataDemande!$B311),IF(DataDemande!$B312="",IF(FIND("Pax",DataDemande!C311),VALUE(LEFT(DataDemande!C311,LEN(DataDemande!C311)-4)),))),"")</f>
        <v/>
      </c>
      <c r="E252" s="8" t="str">
        <f>IFERROR(IF(FIND("Km",DataDemande!$B311),IF(DataDemande!$B312="",IF(FIND("Pax",DataDemande!D311),VALUE(LEFT(DataDemande!D311,LEN(DataDemande!D311)-4)),))),"")</f>
        <v/>
      </c>
      <c r="F252" s="8" t="str">
        <f>IFERROR(IF(FIND("Km",DataDemande!$B311),IF(DataDemande!$B312="",IF(FIND("Pax",DataDemande!E311),VALUE(LEFT(DataDemande!E311,LEN(DataDemande!E311)-4)),))),"")</f>
        <v/>
      </c>
      <c r="G252" s="8" t="str">
        <f>IFERROR(IF($D252&lt;&gt;"",VALUE(LEFT(DataDemande!F311,LEN(DataDemande!F311)-7)),""),"")</f>
        <v/>
      </c>
    </row>
    <row r="253" spans="1:7" x14ac:dyDescent="0.3">
      <c r="A253" s="189" t="str">
        <f>DataDemande!N312</f>
        <v/>
      </c>
      <c r="B253" s="189" t="str">
        <f t="shared" si="8"/>
        <v/>
      </c>
      <c r="C253" s="189" t="str">
        <f t="shared" si="9"/>
        <v/>
      </c>
      <c r="D253" s="8" t="str">
        <f>IFERROR(IF(FIND("Km",DataDemande!$B312),IF(DataDemande!$B313="",IF(FIND("Pax",DataDemande!C312),VALUE(LEFT(DataDemande!C312,LEN(DataDemande!C312)-4)),))),"")</f>
        <v/>
      </c>
      <c r="E253" s="8" t="str">
        <f>IFERROR(IF(FIND("Km",DataDemande!$B312),IF(DataDemande!$B313="",IF(FIND("Pax",DataDemande!D312),VALUE(LEFT(DataDemande!D312,LEN(DataDemande!D312)-4)),))),"")</f>
        <v/>
      </c>
      <c r="F253" s="8" t="str">
        <f>IFERROR(IF(FIND("Km",DataDemande!$B312),IF(DataDemande!$B313="",IF(FIND("Pax",DataDemande!E312),VALUE(LEFT(DataDemande!E312,LEN(DataDemande!E312)-4)),))),"")</f>
        <v/>
      </c>
      <c r="G253" s="8" t="str">
        <f>IFERROR(IF($D253&lt;&gt;"",VALUE(LEFT(DataDemande!F312,LEN(DataDemande!F312)-7)),""),"")</f>
        <v/>
      </c>
    </row>
    <row r="254" spans="1:7" x14ac:dyDescent="0.3">
      <c r="A254" s="189" t="str">
        <f>DataDemande!N313</f>
        <v/>
      </c>
      <c r="B254" s="189" t="str">
        <f t="shared" si="8"/>
        <v/>
      </c>
      <c r="C254" s="189" t="str">
        <f t="shared" si="9"/>
        <v/>
      </c>
      <c r="D254" s="8" t="str">
        <f>IFERROR(IF(FIND("Km",DataDemande!$B313),IF(DataDemande!$B314="",IF(FIND("Pax",DataDemande!C313),VALUE(LEFT(DataDemande!C313,LEN(DataDemande!C313)-4)),))),"")</f>
        <v/>
      </c>
      <c r="E254" s="8" t="str">
        <f>IFERROR(IF(FIND("Km",DataDemande!$B313),IF(DataDemande!$B314="",IF(FIND("Pax",DataDemande!D313),VALUE(LEFT(DataDemande!D313,LEN(DataDemande!D313)-4)),))),"")</f>
        <v/>
      </c>
      <c r="F254" s="8" t="str">
        <f>IFERROR(IF(FIND("Km",DataDemande!$B313),IF(DataDemande!$B314="",IF(FIND("Pax",DataDemande!E313),VALUE(LEFT(DataDemande!E313,LEN(DataDemande!E313)-4)),))),"")</f>
        <v/>
      </c>
      <c r="G254" s="8" t="str">
        <f>IFERROR(IF($D254&lt;&gt;"",VALUE(LEFT(DataDemande!F313,LEN(DataDemande!F313)-7)),""),"")</f>
        <v/>
      </c>
    </row>
    <row r="255" spans="1:7" x14ac:dyDescent="0.3">
      <c r="A255" s="189" t="str">
        <f>DataDemande!N314</f>
        <v/>
      </c>
      <c r="B255" s="189" t="str">
        <f t="shared" si="8"/>
        <v/>
      </c>
      <c r="C255" s="189" t="str">
        <f t="shared" si="9"/>
        <v/>
      </c>
      <c r="D255" s="8" t="str">
        <f>IFERROR(IF(FIND("Km",DataDemande!$B314),IF(DataDemande!$B315="",IF(FIND("Pax",DataDemande!C314),VALUE(LEFT(DataDemande!C314,LEN(DataDemande!C314)-4)),))),"")</f>
        <v/>
      </c>
      <c r="E255" s="8" t="str">
        <f>IFERROR(IF(FIND("Km",DataDemande!$B314),IF(DataDemande!$B315="",IF(FIND("Pax",DataDemande!D314),VALUE(LEFT(DataDemande!D314,LEN(DataDemande!D314)-4)),))),"")</f>
        <v/>
      </c>
      <c r="F255" s="8" t="str">
        <f>IFERROR(IF(FIND("Km",DataDemande!$B314),IF(DataDemande!$B315="",IF(FIND("Pax",DataDemande!E314),VALUE(LEFT(DataDemande!E314,LEN(DataDemande!E314)-4)),))),"")</f>
        <v/>
      </c>
      <c r="G255" s="8" t="str">
        <f>IFERROR(IF($D255&lt;&gt;"",VALUE(LEFT(DataDemande!F314,LEN(DataDemande!F314)-7)),""),"")</f>
        <v/>
      </c>
    </row>
    <row r="256" spans="1:7" x14ac:dyDescent="0.3">
      <c r="A256" s="189" t="str">
        <f>DataDemande!N315</f>
        <v/>
      </c>
      <c r="B256" s="189" t="str">
        <f t="shared" si="8"/>
        <v/>
      </c>
      <c r="C256" s="189" t="str">
        <f t="shared" si="9"/>
        <v/>
      </c>
      <c r="D256" s="8" t="str">
        <f>IFERROR(IF(FIND("Km",DataDemande!$B315),IF(DataDemande!$B316="",IF(FIND("Pax",DataDemande!C315),VALUE(LEFT(DataDemande!C315,LEN(DataDemande!C315)-4)),))),"")</f>
        <v/>
      </c>
      <c r="E256" s="8" t="str">
        <f>IFERROR(IF(FIND("Km",DataDemande!$B315),IF(DataDemande!$B316="",IF(FIND("Pax",DataDemande!D315),VALUE(LEFT(DataDemande!D315,LEN(DataDemande!D315)-4)),))),"")</f>
        <v/>
      </c>
      <c r="F256" s="8" t="str">
        <f>IFERROR(IF(FIND("Km",DataDemande!$B315),IF(DataDemande!$B316="",IF(FIND("Pax",DataDemande!E315),VALUE(LEFT(DataDemande!E315,LEN(DataDemande!E315)-4)),))),"")</f>
        <v/>
      </c>
      <c r="G256" s="8" t="str">
        <f>IFERROR(IF($D256&lt;&gt;"",VALUE(LEFT(DataDemande!F315,LEN(DataDemande!F315)-7)),""),"")</f>
        <v/>
      </c>
    </row>
    <row r="257" spans="1:7" x14ac:dyDescent="0.3">
      <c r="A257" s="189" t="str">
        <f>DataDemande!N316</f>
        <v/>
      </c>
      <c r="B257" s="189" t="str">
        <f t="shared" si="8"/>
        <v/>
      </c>
      <c r="C257" s="189" t="str">
        <f t="shared" si="9"/>
        <v/>
      </c>
      <c r="D257" s="8" t="str">
        <f>IFERROR(IF(FIND("Km",DataDemande!$B316),IF(DataDemande!$B317="",IF(FIND("Pax",DataDemande!C316),VALUE(LEFT(DataDemande!C316,LEN(DataDemande!C316)-4)),))),"")</f>
        <v/>
      </c>
      <c r="E257" s="8" t="str">
        <f>IFERROR(IF(FIND("Km",DataDemande!$B316),IF(DataDemande!$B317="",IF(FIND("Pax",DataDemande!D316),VALUE(LEFT(DataDemande!D316,LEN(DataDemande!D316)-4)),))),"")</f>
        <v/>
      </c>
      <c r="F257" s="8" t="str">
        <f>IFERROR(IF(FIND("Km",DataDemande!$B316),IF(DataDemande!$B317="",IF(FIND("Pax",DataDemande!E316),VALUE(LEFT(DataDemande!E316,LEN(DataDemande!E316)-4)),))),"")</f>
        <v/>
      </c>
      <c r="G257" s="8" t="str">
        <f>IFERROR(IF($D257&lt;&gt;"",VALUE(LEFT(DataDemande!F316,LEN(DataDemande!F316)-7)),""),"")</f>
        <v/>
      </c>
    </row>
    <row r="258" spans="1:7" x14ac:dyDescent="0.3">
      <c r="A258" s="189" t="str">
        <f>DataDemande!N317</f>
        <v/>
      </c>
      <c r="B258" s="189" t="str">
        <f t="shared" si="8"/>
        <v/>
      </c>
      <c r="C258" s="189" t="str">
        <f t="shared" si="9"/>
        <v/>
      </c>
      <c r="D258" s="8" t="str">
        <f>IFERROR(IF(FIND("Km",DataDemande!$B317),IF(DataDemande!$B318="",IF(FIND("Pax",DataDemande!C317),VALUE(LEFT(DataDemande!C317,LEN(DataDemande!C317)-4)),))),"")</f>
        <v/>
      </c>
      <c r="E258" s="8" t="str">
        <f>IFERROR(IF(FIND("Km",DataDemande!$B317),IF(DataDemande!$B318="",IF(FIND("Pax",DataDemande!D317),VALUE(LEFT(DataDemande!D317,LEN(DataDemande!D317)-4)),))),"")</f>
        <v/>
      </c>
      <c r="F258" s="8" t="str">
        <f>IFERROR(IF(FIND("Km",DataDemande!$B317),IF(DataDemande!$B318="",IF(FIND("Pax",DataDemande!E317),VALUE(LEFT(DataDemande!E317,LEN(DataDemande!E317)-4)),))),"")</f>
        <v/>
      </c>
      <c r="G258" s="8" t="str">
        <f>IFERROR(IF($D258&lt;&gt;"",VALUE(LEFT(DataDemande!F317,LEN(DataDemande!F317)-7)),""),"")</f>
        <v/>
      </c>
    </row>
    <row r="259" spans="1:7" x14ac:dyDescent="0.3">
      <c r="A259" s="189" t="str">
        <f>DataDemande!N318</f>
        <v/>
      </c>
      <c r="B259" s="189" t="str">
        <f t="shared" si="8"/>
        <v/>
      </c>
      <c r="C259" s="189" t="str">
        <f t="shared" si="9"/>
        <v/>
      </c>
      <c r="D259" s="8" t="str">
        <f>IFERROR(IF(FIND("Km",DataDemande!$B318),IF(DataDemande!$B319="",IF(FIND("Pax",DataDemande!C318),VALUE(LEFT(DataDemande!C318,LEN(DataDemande!C318)-4)),))),"")</f>
        <v/>
      </c>
      <c r="E259" s="8" t="str">
        <f>IFERROR(IF(FIND("Km",DataDemande!$B318),IF(DataDemande!$B319="",IF(FIND("Pax",DataDemande!D318),VALUE(LEFT(DataDemande!D318,LEN(DataDemande!D318)-4)),))),"")</f>
        <v/>
      </c>
      <c r="F259" s="8" t="str">
        <f>IFERROR(IF(FIND("Km",DataDemande!$B318),IF(DataDemande!$B319="",IF(FIND("Pax",DataDemande!E318),VALUE(LEFT(DataDemande!E318,LEN(DataDemande!E318)-4)),))),"")</f>
        <v/>
      </c>
      <c r="G259" s="8" t="str">
        <f>IFERROR(IF($D259&lt;&gt;"",VALUE(LEFT(DataDemande!F318,LEN(DataDemande!F318)-7)),""),"")</f>
        <v/>
      </c>
    </row>
    <row r="260" spans="1:7" x14ac:dyDescent="0.3">
      <c r="A260" s="189" t="str">
        <f>DataDemande!N319</f>
        <v/>
      </c>
      <c r="B260" s="189" t="str">
        <f t="shared" si="8"/>
        <v/>
      </c>
      <c r="C260" s="189" t="str">
        <f t="shared" si="9"/>
        <v/>
      </c>
      <c r="D260" s="8" t="str">
        <f>IFERROR(IF(FIND("Km",DataDemande!$B319),IF(DataDemande!$B320="",IF(FIND("Pax",DataDemande!C319),VALUE(LEFT(DataDemande!C319,LEN(DataDemande!C319)-4)),))),"")</f>
        <v/>
      </c>
      <c r="E260" s="8" t="str">
        <f>IFERROR(IF(FIND("Km",DataDemande!$B319),IF(DataDemande!$B320="",IF(FIND("Pax",DataDemande!D319),VALUE(LEFT(DataDemande!D319,LEN(DataDemande!D319)-4)),))),"")</f>
        <v/>
      </c>
      <c r="F260" s="8" t="str">
        <f>IFERROR(IF(FIND("Km",DataDemande!$B319),IF(DataDemande!$B320="",IF(FIND("Pax",DataDemande!E319),VALUE(LEFT(DataDemande!E319,LEN(DataDemande!E319)-4)),))),"")</f>
        <v/>
      </c>
      <c r="G260" s="8" t="str">
        <f>IFERROR(IF($D260&lt;&gt;"",VALUE(LEFT(DataDemande!F319,LEN(DataDemande!F319)-7)),""),"")</f>
        <v/>
      </c>
    </row>
    <row r="261" spans="1:7" x14ac:dyDescent="0.3">
      <c r="A261" s="189" t="str">
        <f>DataDemande!N320</f>
        <v/>
      </c>
      <c r="B261" s="189" t="str">
        <f t="shared" si="8"/>
        <v/>
      </c>
      <c r="C261" s="189" t="str">
        <f t="shared" si="9"/>
        <v/>
      </c>
      <c r="D261" s="8" t="str">
        <f>IFERROR(IF(FIND("Km",DataDemande!$B320),IF(DataDemande!$B321="",IF(FIND("Pax",DataDemande!C320),VALUE(LEFT(DataDemande!C320,LEN(DataDemande!C320)-4)),))),"")</f>
        <v/>
      </c>
      <c r="E261" s="8" t="str">
        <f>IFERROR(IF(FIND("Km",DataDemande!$B320),IF(DataDemande!$B321="",IF(FIND("Pax",DataDemande!D320),VALUE(LEFT(DataDemande!D320,LEN(DataDemande!D320)-4)),))),"")</f>
        <v/>
      </c>
      <c r="F261" s="8" t="str">
        <f>IFERROR(IF(FIND("Km",DataDemande!$B320),IF(DataDemande!$B321="",IF(FIND("Pax",DataDemande!E320),VALUE(LEFT(DataDemande!E320,LEN(DataDemande!E320)-4)),))),"")</f>
        <v/>
      </c>
      <c r="G261" s="8" t="str">
        <f>IFERROR(IF($D261&lt;&gt;"",VALUE(LEFT(DataDemande!F320,LEN(DataDemande!F320)-7)),""),"")</f>
        <v/>
      </c>
    </row>
    <row r="262" spans="1:7" x14ac:dyDescent="0.3">
      <c r="A262" s="189" t="str">
        <f>DataDemande!N321</f>
        <v/>
      </c>
      <c r="B262" s="189" t="str">
        <f t="shared" si="8"/>
        <v/>
      </c>
      <c r="C262" s="189" t="str">
        <f t="shared" si="9"/>
        <v/>
      </c>
      <c r="D262" s="8" t="str">
        <f>IFERROR(IF(FIND("Km",DataDemande!$B321),IF(DataDemande!$B322="",IF(FIND("Pax",DataDemande!C321),VALUE(LEFT(DataDemande!C321,LEN(DataDemande!C321)-4)),))),"")</f>
        <v/>
      </c>
      <c r="E262" s="8" t="str">
        <f>IFERROR(IF(FIND("Km",DataDemande!$B321),IF(DataDemande!$B322="",IF(FIND("Pax",DataDemande!D321),VALUE(LEFT(DataDemande!D321,LEN(DataDemande!D321)-4)),))),"")</f>
        <v/>
      </c>
      <c r="F262" s="8" t="str">
        <f>IFERROR(IF(FIND("Km",DataDemande!$B321),IF(DataDemande!$B322="",IF(FIND("Pax",DataDemande!E321),VALUE(LEFT(DataDemande!E321,LEN(DataDemande!E321)-4)),))),"")</f>
        <v/>
      </c>
      <c r="G262" s="8" t="str">
        <f>IFERROR(IF($D262&lt;&gt;"",VALUE(LEFT(DataDemande!F321,LEN(DataDemande!F321)-7)),""),"")</f>
        <v/>
      </c>
    </row>
    <row r="263" spans="1:7" x14ac:dyDescent="0.3">
      <c r="A263" s="189" t="str">
        <f>DataDemande!N322</f>
        <v/>
      </c>
      <c r="B263" s="189" t="str">
        <f t="shared" si="8"/>
        <v/>
      </c>
      <c r="C263" s="189" t="str">
        <f t="shared" si="9"/>
        <v/>
      </c>
      <c r="D263" s="8" t="str">
        <f>IFERROR(IF(FIND("Km",DataDemande!$B322),IF(DataDemande!$B323="",IF(FIND("Pax",DataDemande!C322),VALUE(LEFT(DataDemande!C322,LEN(DataDemande!C322)-4)),))),"")</f>
        <v/>
      </c>
      <c r="E263" s="8" t="str">
        <f>IFERROR(IF(FIND("Km",DataDemande!$B322),IF(DataDemande!$B323="",IF(FIND("Pax",DataDemande!D322),VALUE(LEFT(DataDemande!D322,LEN(DataDemande!D322)-4)),))),"")</f>
        <v/>
      </c>
      <c r="F263" s="8" t="str">
        <f>IFERROR(IF(FIND("Km",DataDemande!$B322),IF(DataDemande!$B323="",IF(FIND("Pax",DataDemande!E322),VALUE(LEFT(DataDemande!E322,LEN(DataDemande!E322)-4)),))),"")</f>
        <v/>
      </c>
      <c r="G263" s="8" t="str">
        <f>IFERROR(IF($D263&lt;&gt;"",VALUE(LEFT(DataDemande!F322,LEN(DataDemande!F322)-7)),""),"")</f>
        <v/>
      </c>
    </row>
    <row r="264" spans="1:7" x14ac:dyDescent="0.3">
      <c r="A264" s="189" t="str">
        <f>DataDemande!N323</f>
        <v/>
      </c>
      <c r="B264" s="189" t="str">
        <f t="shared" si="8"/>
        <v/>
      </c>
      <c r="C264" s="189" t="str">
        <f t="shared" si="9"/>
        <v/>
      </c>
      <c r="D264" s="8" t="str">
        <f>IFERROR(IF(FIND("Km",DataDemande!$B323),IF(DataDemande!$B324="",IF(FIND("Pax",DataDemande!C323),VALUE(LEFT(DataDemande!C323,LEN(DataDemande!C323)-4)),))),"")</f>
        <v/>
      </c>
      <c r="E264" s="8" t="str">
        <f>IFERROR(IF(FIND("Km",DataDemande!$B323),IF(DataDemande!$B324="",IF(FIND("Pax",DataDemande!D323),VALUE(LEFT(DataDemande!D323,LEN(DataDemande!D323)-4)),))),"")</f>
        <v/>
      </c>
      <c r="F264" s="8" t="str">
        <f>IFERROR(IF(FIND("Km",DataDemande!$B323),IF(DataDemande!$B324="",IF(FIND("Pax",DataDemande!E323),VALUE(LEFT(DataDemande!E323,LEN(DataDemande!E323)-4)),))),"")</f>
        <v/>
      </c>
      <c r="G264" s="8" t="str">
        <f>IFERROR(IF($D264&lt;&gt;"",VALUE(LEFT(DataDemande!F323,LEN(DataDemande!F323)-7)),""),"")</f>
        <v/>
      </c>
    </row>
    <row r="265" spans="1:7" x14ac:dyDescent="0.3">
      <c r="A265" s="189" t="str">
        <f>DataDemande!N324</f>
        <v/>
      </c>
      <c r="B265" s="189" t="str">
        <f t="shared" si="8"/>
        <v/>
      </c>
      <c r="C265" s="189" t="str">
        <f t="shared" si="9"/>
        <v/>
      </c>
      <c r="D265" s="8" t="str">
        <f>IFERROR(IF(FIND("Km",DataDemande!$B324),IF(DataDemande!$B325="",IF(FIND("Pax",DataDemande!C324),VALUE(LEFT(DataDemande!C324,LEN(DataDemande!C324)-4)),))),"")</f>
        <v/>
      </c>
      <c r="E265" s="8" t="str">
        <f>IFERROR(IF(FIND("Km",DataDemande!$B324),IF(DataDemande!$B325="",IF(FIND("Pax",DataDemande!D324),VALUE(LEFT(DataDemande!D324,LEN(DataDemande!D324)-4)),))),"")</f>
        <v/>
      </c>
      <c r="F265" s="8" t="str">
        <f>IFERROR(IF(FIND("Km",DataDemande!$B324),IF(DataDemande!$B325="",IF(FIND("Pax",DataDemande!E324),VALUE(LEFT(DataDemande!E324,LEN(DataDemande!E324)-4)),))),"")</f>
        <v/>
      </c>
      <c r="G265" s="8" t="str">
        <f>IFERROR(IF($D265&lt;&gt;"",VALUE(LEFT(DataDemande!F324,LEN(DataDemande!F324)-7)),""),"")</f>
        <v/>
      </c>
    </row>
    <row r="266" spans="1:7" x14ac:dyDescent="0.3">
      <c r="A266" s="189" t="str">
        <f>DataDemande!N325</f>
        <v/>
      </c>
      <c r="B266" s="189" t="str">
        <f t="shared" si="8"/>
        <v/>
      </c>
      <c r="C266" s="189" t="str">
        <f t="shared" si="9"/>
        <v/>
      </c>
      <c r="D266" s="8" t="str">
        <f>IFERROR(IF(FIND("Km",DataDemande!$B325),IF(DataDemande!$B326="",IF(FIND("Pax",DataDemande!C325),VALUE(LEFT(DataDemande!C325,LEN(DataDemande!C325)-4)),))),"")</f>
        <v/>
      </c>
      <c r="E266" s="8" t="str">
        <f>IFERROR(IF(FIND("Km",DataDemande!$B325),IF(DataDemande!$B326="",IF(FIND("Pax",DataDemande!D325),VALUE(LEFT(DataDemande!D325,LEN(DataDemande!D325)-4)),))),"")</f>
        <v/>
      </c>
      <c r="F266" s="8" t="str">
        <f>IFERROR(IF(FIND("Km",DataDemande!$B325),IF(DataDemande!$B326="",IF(FIND("Pax",DataDemande!E325),VALUE(LEFT(DataDemande!E325,LEN(DataDemande!E325)-4)),))),"")</f>
        <v/>
      </c>
      <c r="G266" s="8" t="str">
        <f>IFERROR(IF($D266&lt;&gt;"",VALUE(LEFT(DataDemande!F325,LEN(DataDemande!F325)-7)),""),"")</f>
        <v/>
      </c>
    </row>
    <row r="267" spans="1:7" x14ac:dyDescent="0.3">
      <c r="A267" s="189" t="str">
        <f>DataDemande!N326</f>
        <v/>
      </c>
      <c r="B267" s="189" t="str">
        <f t="shared" si="8"/>
        <v/>
      </c>
      <c r="C267" s="189" t="str">
        <f t="shared" si="9"/>
        <v/>
      </c>
      <c r="D267" s="8" t="str">
        <f>IFERROR(IF(FIND("Km",DataDemande!$B326),IF(DataDemande!$B327="",IF(FIND("Pax",DataDemande!C326),VALUE(LEFT(DataDemande!C326,LEN(DataDemande!C326)-4)),))),"")</f>
        <v/>
      </c>
      <c r="E267" s="8" t="str">
        <f>IFERROR(IF(FIND("Km",DataDemande!$B326),IF(DataDemande!$B327="",IF(FIND("Pax",DataDemande!D326),VALUE(LEFT(DataDemande!D326,LEN(DataDemande!D326)-4)),))),"")</f>
        <v/>
      </c>
      <c r="F267" s="8" t="str">
        <f>IFERROR(IF(FIND("Km",DataDemande!$B326),IF(DataDemande!$B327="",IF(FIND("Pax",DataDemande!E326),VALUE(LEFT(DataDemande!E326,LEN(DataDemande!E326)-4)),))),"")</f>
        <v/>
      </c>
      <c r="G267" s="8" t="str">
        <f>IFERROR(IF($D267&lt;&gt;"",VALUE(LEFT(DataDemande!F326,LEN(DataDemande!F326)-7)),""),"")</f>
        <v/>
      </c>
    </row>
    <row r="268" spans="1:7" x14ac:dyDescent="0.3">
      <c r="A268" s="189" t="str">
        <f>DataDemande!N327</f>
        <v/>
      </c>
      <c r="B268" s="189" t="str">
        <f t="shared" si="8"/>
        <v/>
      </c>
      <c r="C268" s="189" t="str">
        <f t="shared" si="9"/>
        <v/>
      </c>
      <c r="D268" s="8" t="str">
        <f>IFERROR(IF(FIND("Km",DataDemande!$B327),IF(DataDemande!$B328="",IF(FIND("Pax",DataDemande!C327),VALUE(LEFT(DataDemande!C327,LEN(DataDemande!C327)-4)),))),"")</f>
        <v/>
      </c>
      <c r="E268" s="8" t="str">
        <f>IFERROR(IF(FIND("Km",DataDemande!$B327),IF(DataDemande!$B328="",IF(FIND("Pax",DataDemande!D327),VALUE(LEFT(DataDemande!D327,LEN(DataDemande!D327)-4)),))),"")</f>
        <v/>
      </c>
      <c r="F268" s="8" t="str">
        <f>IFERROR(IF(FIND("Km",DataDemande!$B327),IF(DataDemande!$B328="",IF(FIND("Pax",DataDemande!E327),VALUE(LEFT(DataDemande!E327,LEN(DataDemande!E327)-4)),))),"")</f>
        <v/>
      </c>
      <c r="G268" s="8" t="str">
        <f>IFERROR(IF($D268&lt;&gt;"",VALUE(LEFT(DataDemande!F327,LEN(DataDemande!F327)-7)),""),"")</f>
        <v/>
      </c>
    </row>
    <row r="269" spans="1:7" x14ac:dyDescent="0.3">
      <c r="A269" s="189" t="str">
        <f>DataDemande!N328</f>
        <v/>
      </c>
      <c r="B269" s="189" t="str">
        <f t="shared" si="8"/>
        <v/>
      </c>
      <c r="C269" s="189" t="str">
        <f t="shared" si="9"/>
        <v/>
      </c>
      <c r="D269" s="8" t="str">
        <f>IFERROR(IF(FIND("Km",DataDemande!$B328),IF(DataDemande!$B329="",IF(FIND("Pax",DataDemande!C328),VALUE(LEFT(DataDemande!C328,LEN(DataDemande!C328)-4)),))),"")</f>
        <v/>
      </c>
      <c r="E269" s="8" t="str">
        <f>IFERROR(IF(FIND("Km",DataDemande!$B328),IF(DataDemande!$B329="",IF(FIND("Pax",DataDemande!D328),VALUE(LEFT(DataDemande!D328,LEN(DataDemande!D328)-4)),))),"")</f>
        <v/>
      </c>
      <c r="F269" s="8" t="str">
        <f>IFERROR(IF(FIND("Km",DataDemande!$B328),IF(DataDemande!$B329="",IF(FIND("Pax",DataDemande!E328),VALUE(LEFT(DataDemande!E328,LEN(DataDemande!E328)-4)),))),"")</f>
        <v/>
      </c>
      <c r="G269" s="8" t="str">
        <f>IFERROR(IF($D269&lt;&gt;"",VALUE(LEFT(DataDemande!F328,LEN(DataDemande!F328)-7)),""),"")</f>
        <v/>
      </c>
    </row>
    <row r="270" spans="1:7" x14ac:dyDescent="0.3">
      <c r="A270" s="189" t="str">
        <f>DataDemande!N329</f>
        <v/>
      </c>
      <c r="B270" s="189" t="str">
        <f t="shared" si="8"/>
        <v/>
      </c>
      <c r="C270" s="189" t="str">
        <f t="shared" si="9"/>
        <v/>
      </c>
      <c r="D270" s="8" t="str">
        <f>IFERROR(IF(FIND("Km",DataDemande!$B329),IF(DataDemande!$B330="",IF(FIND("Pax",DataDemande!C329),VALUE(LEFT(DataDemande!C329,LEN(DataDemande!C329)-4)),))),"")</f>
        <v/>
      </c>
      <c r="E270" s="8" t="str">
        <f>IFERROR(IF(FIND("Km",DataDemande!$B329),IF(DataDemande!$B330="",IF(FIND("Pax",DataDemande!D329),VALUE(LEFT(DataDemande!D329,LEN(DataDemande!D329)-4)),))),"")</f>
        <v/>
      </c>
      <c r="F270" s="8" t="str">
        <f>IFERROR(IF(FIND("Km",DataDemande!$B329),IF(DataDemande!$B330="",IF(FIND("Pax",DataDemande!E329),VALUE(LEFT(DataDemande!E329,LEN(DataDemande!E329)-4)),))),"")</f>
        <v/>
      </c>
      <c r="G270" s="8" t="str">
        <f>IFERROR(IF($D270&lt;&gt;"",VALUE(LEFT(DataDemande!F329,LEN(DataDemande!F329)-7)),""),"")</f>
        <v/>
      </c>
    </row>
    <row r="271" spans="1:7" x14ac:dyDescent="0.3">
      <c r="A271" s="189" t="str">
        <f>DataDemande!N330</f>
        <v/>
      </c>
      <c r="B271" s="189" t="str">
        <f t="shared" si="8"/>
        <v/>
      </c>
      <c r="C271" s="189" t="str">
        <f t="shared" si="9"/>
        <v/>
      </c>
      <c r="D271" s="8" t="str">
        <f>IFERROR(IF(FIND("Km",DataDemande!$B330),IF(DataDemande!$B331="",IF(FIND("Pax",DataDemande!C330),VALUE(LEFT(DataDemande!C330,LEN(DataDemande!C330)-4)),))),"")</f>
        <v/>
      </c>
      <c r="E271" s="8" t="str">
        <f>IFERROR(IF(FIND("Km",DataDemande!$B330),IF(DataDemande!$B331="",IF(FIND("Pax",DataDemande!D330),VALUE(LEFT(DataDemande!D330,LEN(DataDemande!D330)-4)),))),"")</f>
        <v/>
      </c>
      <c r="F271" s="8" t="str">
        <f>IFERROR(IF(FIND("Km",DataDemande!$B330),IF(DataDemande!$B331="",IF(FIND("Pax",DataDemande!E330),VALUE(LEFT(DataDemande!E330,LEN(DataDemande!E330)-4)),))),"")</f>
        <v/>
      </c>
      <c r="G271" s="8" t="str">
        <f>IFERROR(IF($D271&lt;&gt;"",VALUE(LEFT(DataDemande!F330,LEN(DataDemande!F330)-7)),""),"")</f>
        <v/>
      </c>
    </row>
    <row r="272" spans="1:7" x14ac:dyDescent="0.3">
      <c r="A272" s="189" t="str">
        <f>DataDemande!N331</f>
        <v/>
      </c>
      <c r="B272" s="189" t="str">
        <f t="shared" si="8"/>
        <v/>
      </c>
      <c r="C272" s="189" t="str">
        <f t="shared" si="9"/>
        <v/>
      </c>
      <c r="D272" s="8" t="str">
        <f>IFERROR(IF(FIND("Km",DataDemande!$B331),IF(DataDemande!$B332="",IF(FIND("Pax",DataDemande!C331),VALUE(LEFT(DataDemande!C331,LEN(DataDemande!C331)-4)),))),"")</f>
        <v/>
      </c>
      <c r="E272" s="8" t="str">
        <f>IFERROR(IF(FIND("Km",DataDemande!$B331),IF(DataDemande!$B332="",IF(FIND("Pax",DataDemande!D331),VALUE(LEFT(DataDemande!D331,LEN(DataDemande!D331)-4)),))),"")</f>
        <v/>
      </c>
      <c r="F272" s="8" t="str">
        <f>IFERROR(IF(FIND("Km",DataDemande!$B331),IF(DataDemande!$B332="",IF(FIND("Pax",DataDemande!E331),VALUE(LEFT(DataDemande!E331,LEN(DataDemande!E331)-4)),))),"")</f>
        <v/>
      </c>
      <c r="G272" s="8" t="str">
        <f>IFERROR(IF($D272&lt;&gt;"",VALUE(LEFT(DataDemande!F331,LEN(DataDemande!F331)-7)),""),"")</f>
        <v/>
      </c>
    </row>
    <row r="273" spans="1:7" x14ac:dyDescent="0.3">
      <c r="A273" s="189" t="str">
        <f>DataDemande!N332</f>
        <v/>
      </c>
      <c r="B273" s="189" t="str">
        <f t="shared" si="8"/>
        <v/>
      </c>
      <c r="C273" s="189" t="str">
        <f t="shared" si="9"/>
        <v/>
      </c>
      <c r="D273" s="8" t="str">
        <f>IFERROR(IF(FIND("Km",DataDemande!$B332),IF(DataDemande!$B333="",IF(FIND("Pax",DataDemande!C332),VALUE(LEFT(DataDemande!C332,LEN(DataDemande!C332)-4)),))),"")</f>
        <v/>
      </c>
      <c r="E273" s="8" t="str">
        <f>IFERROR(IF(FIND("Km",DataDemande!$B332),IF(DataDemande!$B333="",IF(FIND("Pax",DataDemande!D332),VALUE(LEFT(DataDemande!D332,LEN(DataDemande!D332)-4)),))),"")</f>
        <v/>
      </c>
      <c r="F273" s="8" t="str">
        <f>IFERROR(IF(FIND("Km",DataDemande!$B332),IF(DataDemande!$B333="",IF(FIND("Pax",DataDemande!E332),VALUE(LEFT(DataDemande!E332,LEN(DataDemande!E332)-4)),))),"")</f>
        <v/>
      </c>
      <c r="G273" s="8" t="str">
        <f>IFERROR(IF($D273&lt;&gt;"",VALUE(LEFT(DataDemande!F332,LEN(DataDemande!F332)-7)),""),"")</f>
        <v/>
      </c>
    </row>
    <row r="274" spans="1:7" x14ac:dyDescent="0.3">
      <c r="A274" s="189" t="str">
        <f>DataDemande!N333</f>
        <v/>
      </c>
      <c r="B274" s="189" t="str">
        <f t="shared" si="8"/>
        <v/>
      </c>
      <c r="C274" s="189" t="str">
        <f t="shared" si="9"/>
        <v/>
      </c>
      <c r="D274" s="8" t="str">
        <f>IFERROR(IF(FIND("Km",DataDemande!$B333),IF(DataDemande!$B334="",IF(FIND("Pax",DataDemande!C333),VALUE(LEFT(DataDemande!C333,LEN(DataDemande!C333)-4)),))),"")</f>
        <v/>
      </c>
      <c r="E274" s="8" t="str">
        <f>IFERROR(IF(FIND("Km",DataDemande!$B333),IF(DataDemande!$B334="",IF(FIND("Pax",DataDemande!D333),VALUE(LEFT(DataDemande!D333,LEN(DataDemande!D333)-4)),))),"")</f>
        <v/>
      </c>
      <c r="F274" s="8" t="str">
        <f>IFERROR(IF(FIND("Km",DataDemande!$B333),IF(DataDemande!$B334="",IF(FIND("Pax",DataDemande!E333),VALUE(LEFT(DataDemande!E333,LEN(DataDemande!E333)-4)),))),"")</f>
        <v/>
      </c>
      <c r="G274" s="8" t="str">
        <f>IFERROR(IF($D274&lt;&gt;"",VALUE(LEFT(DataDemande!F333,LEN(DataDemande!F333)-7)),""),"")</f>
        <v/>
      </c>
    </row>
    <row r="275" spans="1:7" x14ac:dyDescent="0.3">
      <c r="A275" s="189" t="str">
        <f>DataDemande!N334</f>
        <v/>
      </c>
      <c r="B275" s="189" t="str">
        <f t="shared" si="8"/>
        <v/>
      </c>
      <c r="C275" s="189" t="str">
        <f t="shared" si="9"/>
        <v/>
      </c>
      <c r="D275" s="8" t="str">
        <f>IFERROR(IF(FIND("Km",DataDemande!$B334),IF(DataDemande!$B335="",IF(FIND("Pax",DataDemande!C334),VALUE(LEFT(DataDemande!C334,LEN(DataDemande!C334)-4)),))),"")</f>
        <v/>
      </c>
      <c r="E275" s="8" t="str">
        <f>IFERROR(IF(FIND("Km",DataDemande!$B334),IF(DataDemande!$B335="",IF(FIND("Pax",DataDemande!D334),VALUE(LEFT(DataDemande!D334,LEN(DataDemande!D334)-4)),))),"")</f>
        <v/>
      </c>
      <c r="F275" s="8" t="str">
        <f>IFERROR(IF(FIND("Km",DataDemande!$B334),IF(DataDemande!$B335="",IF(FIND("Pax",DataDemande!E334),VALUE(LEFT(DataDemande!E334,LEN(DataDemande!E334)-4)),))),"")</f>
        <v/>
      </c>
      <c r="G275" s="8" t="str">
        <f>IFERROR(IF($D275&lt;&gt;"",VALUE(LEFT(DataDemande!F334,LEN(DataDemande!F334)-7)),""),"")</f>
        <v/>
      </c>
    </row>
    <row r="276" spans="1:7" x14ac:dyDescent="0.3">
      <c r="A276" s="189" t="str">
        <f>DataDemande!N335</f>
        <v/>
      </c>
      <c r="B276" s="189" t="str">
        <f t="shared" si="8"/>
        <v/>
      </c>
      <c r="C276" s="189" t="str">
        <f t="shared" si="9"/>
        <v/>
      </c>
      <c r="D276" s="8" t="str">
        <f>IFERROR(IF(FIND("Km",DataDemande!$B335),IF(DataDemande!$B336="",IF(FIND("Pax",DataDemande!C335),VALUE(LEFT(DataDemande!C335,LEN(DataDemande!C335)-4)),))),"")</f>
        <v/>
      </c>
      <c r="E276" s="8" t="str">
        <f>IFERROR(IF(FIND("Km",DataDemande!$B335),IF(DataDemande!$B336="",IF(FIND("Pax",DataDemande!D335),VALUE(LEFT(DataDemande!D335,LEN(DataDemande!D335)-4)),))),"")</f>
        <v/>
      </c>
      <c r="F276" s="8" t="str">
        <f>IFERROR(IF(FIND("Km",DataDemande!$B335),IF(DataDemande!$B336="",IF(FIND("Pax",DataDemande!E335),VALUE(LEFT(DataDemande!E335,LEN(DataDemande!E335)-4)),))),"")</f>
        <v/>
      </c>
      <c r="G276" s="8" t="str">
        <f>IFERROR(IF($D276&lt;&gt;"",VALUE(LEFT(DataDemande!F335,LEN(DataDemande!F335)-7)),""),"")</f>
        <v/>
      </c>
    </row>
    <row r="277" spans="1:7" x14ac:dyDescent="0.3">
      <c r="A277" s="189" t="str">
        <f>DataDemande!N336</f>
        <v/>
      </c>
      <c r="B277" s="189" t="str">
        <f t="shared" si="8"/>
        <v/>
      </c>
      <c r="C277" s="189" t="str">
        <f t="shared" si="9"/>
        <v/>
      </c>
      <c r="D277" s="8" t="str">
        <f>IFERROR(IF(FIND("Km",DataDemande!$B336),IF(DataDemande!$B337="",IF(FIND("Pax",DataDemande!C336),VALUE(LEFT(DataDemande!C336,LEN(DataDemande!C336)-4)),))),"")</f>
        <v/>
      </c>
      <c r="E277" s="8" t="str">
        <f>IFERROR(IF(FIND("Km",DataDemande!$B336),IF(DataDemande!$B337="",IF(FIND("Pax",DataDemande!D336),VALUE(LEFT(DataDemande!D336,LEN(DataDemande!D336)-4)),))),"")</f>
        <v/>
      </c>
      <c r="F277" s="8" t="str">
        <f>IFERROR(IF(FIND("Km",DataDemande!$B336),IF(DataDemande!$B337="",IF(FIND("Pax",DataDemande!E336),VALUE(LEFT(DataDemande!E336,LEN(DataDemande!E336)-4)),))),"")</f>
        <v/>
      </c>
      <c r="G277" s="8" t="str">
        <f>IFERROR(IF($D277&lt;&gt;"",VALUE(LEFT(DataDemande!F336,LEN(DataDemande!F336)-7)),""),"")</f>
        <v/>
      </c>
    </row>
    <row r="278" spans="1:7" x14ac:dyDescent="0.3">
      <c r="A278" s="189" t="str">
        <f>DataDemande!N337</f>
        <v/>
      </c>
      <c r="B278" s="189" t="str">
        <f t="shared" si="8"/>
        <v/>
      </c>
      <c r="C278" s="189" t="str">
        <f t="shared" si="9"/>
        <v/>
      </c>
      <c r="D278" s="8" t="str">
        <f>IFERROR(IF(FIND("Km",DataDemande!$B337),IF(DataDemande!$B338="",IF(FIND("Pax",DataDemande!C337),VALUE(LEFT(DataDemande!C337,LEN(DataDemande!C337)-4)),))),"")</f>
        <v/>
      </c>
      <c r="E278" s="8" t="str">
        <f>IFERROR(IF(FIND("Km",DataDemande!$B337),IF(DataDemande!$B338="",IF(FIND("Pax",DataDemande!D337),VALUE(LEFT(DataDemande!D337,LEN(DataDemande!D337)-4)),))),"")</f>
        <v/>
      </c>
      <c r="F278" s="8" t="str">
        <f>IFERROR(IF(FIND("Km",DataDemande!$B337),IF(DataDemande!$B338="",IF(FIND("Pax",DataDemande!E337),VALUE(LEFT(DataDemande!E337,LEN(DataDemande!E337)-4)),))),"")</f>
        <v/>
      </c>
      <c r="G278" s="8" t="str">
        <f>IFERROR(IF($D278&lt;&gt;"",VALUE(LEFT(DataDemande!F337,LEN(DataDemande!F337)-7)),""),"")</f>
        <v/>
      </c>
    </row>
    <row r="279" spans="1:7" x14ac:dyDescent="0.3">
      <c r="A279" s="189" t="str">
        <f>DataDemande!N338</f>
        <v/>
      </c>
      <c r="B279" s="189" t="str">
        <f t="shared" si="8"/>
        <v/>
      </c>
      <c r="C279" s="189" t="str">
        <f t="shared" si="9"/>
        <v/>
      </c>
      <c r="D279" s="8" t="str">
        <f>IFERROR(IF(FIND("Km",DataDemande!$B338),IF(DataDemande!$B339="",IF(FIND("Pax",DataDemande!C338),VALUE(LEFT(DataDemande!C338,LEN(DataDemande!C338)-4)),))),"")</f>
        <v/>
      </c>
      <c r="E279" s="8" t="str">
        <f>IFERROR(IF(FIND("Km",DataDemande!$B338),IF(DataDemande!$B339="",IF(FIND("Pax",DataDemande!D338),VALUE(LEFT(DataDemande!D338,LEN(DataDemande!D338)-4)),))),"")</f>
        <v/>
      </c>
      <c r="F279" s="8" t="str">
        <f>IFERROR(IF(FIND("Km",DataDemande!$B338),IF(DataDemande!$B339="",IF(FIND("Pax",DataDemande!E338),VALUE(LEFT(DataDemande!E338,LEN(DataDemande!E338)-4)),))),"")</f>
        <v/>
      </c>
      <c r="G279" s="8" t="str">
        <f>IFERROR(IF($D279&lt;&gt;"",VALUE(LEFT(DataDemande!F338,LEN(DataDemande!F338)-7)),""),"")</f>
        <v/>
      </c>
    </row>
    <row r="280" spans="1:7" x14ac:dyDescent="0.3">
      <c r="A280" s="189" t="str">
        <f>DataDemande!N339</f>
        <v/>
      </c>
      <c r="B280" s="189" t="str">
        <f t="shared" si="8"/>
        <v/>
      </c>
      <c r="C280" s="189" t="str">
        <f t="shared" si="9"/>
        <v/>
      </c>
      <c r="D280" s="8" t="str">
        <f>IFERROR(IF(FIND("Km",DataDemande!$B339),IF(DataDemande!$B340="",IF(FIND("Pax",DataDemande!C339),VALUE(LEFT(DataDemande!C339,LEN(DataDemande!C339)-4)),))),"")</f>
        <v/>
      </c>
      <c r="E280" s="8" t="str">
        <f>IFERROR(IF(FIND("Km",DataDemande!$B339),IF(DataDemande!$B340="",IF(FIND("Pax",DataDemande!D339),VALUE(LEFT(DataDemande!D339,LEN(DataDemande!D339)-4)),))),"")</f>
        <v/>
      </c>
      <c r="F280" s="8" t="str">
        <f>IFERROR(IF(FIND("Km",DataDemande!$B339),IF(DataDemande!$B340="",IF(FIND("Pax",DataDemande!E339),VALUE(LEFT(DataDemande!E339,LEN(DataDemande!E339)-4)),))),"")</f>
        <v/>
      </c>
      <c r="G280" s="8" t="str">
        <f>IFERROR(IF($D280&lt;&gt;"",VALUE(LEFT(DataDemande!F339,LEN(DataDemande!F339)-7)),""),"")</f>
        <v/>
      </c>
    </row>
    <row r="281" spans="1:7" x14ac:dyDescent="0.3">
      <c r="A281" s="189" t="str">
        <f>DataDemande!N340</f>
        <v/>
      </c>
      <c r="B281" s="189" t="str">
        <f t="shared" si="8"/>
        <v/>
      </c>
      <c r="C281" s="189" t="str">
        <f t="shared" si="9"/>
        <v/>
      </c>
      <c r="D281" s="8" t="str">
        <f>IFERROR(IF(FIND("Km",DataDemande!$B340),IF(DataDemande!$B341="",IF(FIND("Pax",DataDemande!C340),VALUE(LEFT(DataDemande!C340,LEN(DataDemande!C340)-4)),))),"")</f>
        <v/>
      </c>
      <c r="E281" s="8" t="str">
        <f>IFERROR(IF(FIND("Km",DataDemande!$B340),IF(DataDemande!$B341="",IF(FIND("Pax",DataDemande!D340),VALUE(LEFT(DataDemande!D340,LEN(DataDemande!D340)-4)),))),"")</f>
        <v/>
      </c>
      <c r="F281" s="8" t="str">
        <f>IFERROR(IF(FIND("Km",DataDemande!$B340),IF(DataDemande!$B341="",IF(FIND("Pax",DataDemande!E340),VALUE(LEFT(DataDemande!E340,LEN(DataDemande!E340)-4)),))),"")</f>
        <v/>
      </c>
      <c r="G281" s="8" t="str">
        <f>IFERROR(IF($D281&lt;&gt;"",VALUE(LEFT(DataDemande!F340,LEN(DataDemande!F340)-7)),""),"")</f>
        <v/>
      </c>
    </row>
    <row r="282" spans="1:7" x14ac:dyDescent="0.3">
      <c r="A282" s="189" t="str">
        <f>DataDemande!N341</f>
        <v/>
      </c>
      <c r="B282" s="189" t="str">
        <f t="shared" si="8"/>
        <v/>
      </c>
      <c r="C282" s="189" t="str">
        <f t="shared" si="9"/>
        <v/>
      </c>
      <c r="D282" s="8" t="str">
        <f>IFERROR(IF(FIND("Km",DataDemande!$B341),IF(DataDemande!$B342="",IF(FIND("Pax",DataDemande!C341),VALUE(LEFT(DataDemande!C341,LEN(DataDemande!C341)-4)),))),"")</f>
        <v/>
      </c>
      <c r="E282" s="8" t="str">
        <f>IFERROR(IF(FIND("Km",DataDemande!$B341),IF(DataDemande!$B342="",IF(FIND("Pax",DataDemande!D341),VALUE(LEFT(DataDemande!D341,LEN(DataDemande!D341)-4)),))),"")</f>
        <v/>
      </c>
      <c r="F282" s="8" t="str">
        <f>IFERROR(IF(FIND("Km",DataDemande!$B341),IF(DataDemande!$B342="",IF(FIND("Pax",DataDemande!E341),VALUE(LEFT(DataDemande!E341,LEN(DataDemande!E341)-4)),))),"")</f>
        <v/>
      </c>
      <c r="G282" s="8" t="str">
        <f>IFERROR(IF($D282&lt;&gt;"",VALUE(LEFT(DataDemande!F341,LEN(DataDemande!F341)-7)),""),"")</f>
        <v/>
      </c>
    </row>
    <row r="283" spans="1:7" x14ac:dyDescent="0.3">
      <c r="A283" s="189" t="str">
        <f>DataDemande!N342</f>
        <v/>
      </c>
      <c r="B283" s="189" t="str">
        <f t="shared" si="8"/>
        <v/>
      </c>
      <c r="C283" s="189" t="str">
        <f t="shared" si="9"/>
        <v/>
      </c>
      <c r="D283" s="8" t="str">
        <f>IFERROR(IF(FIND("Km",DataDemande!$B342),IF(DataDemande!$B343="",IF(FIND("Pax",DataDemande!C342),VALUE(LEFT(DataDemande!C342,LEN(DataDemande!C342)-4)),))),"")</f>
        <v/>
      </c>
      <c r="E283" s="8" t="str">
        <f>IFERROR(IF(FIND("Km",DataDemande!$B342),IF(DataDemande!$B343="",IF(FIND("Pax",DataDemande!D342),VALUE(LEFT(DataDemande!D342,LEN(DataDemande!D342)-4)),))),"")</f>
        <v/>
      </c>
      <c r="F283" s="8" t="str">
        <f>IFERROR(IF(FIND("Km",DataDemande!$B342),IF(DataDemande!$B343="",IF(FIND("Pax",DataDemande!E342),VALUE(LEFT(DataDemande!E342,LEN(DataDemande!E342)-4)),))),"")</f>
        <v/>
      </c>
      <c r="G283" s="8" t="str">
        <f>IFERROR(IF($D283&lt;&gt;"",VALUE(LEFT(DataDemande!F342,LEN(DataDemande!F342)-7)),""),"")</f>
        <v/>
      </c>
    </row>
    <row r="284" spans="1:7" x14ac:dyDescent="0.3">
      <c r="A284" s="189" t="str">
        <f>DataDemande!N343</f>
        <v/>
      </c>
      <c r="B284" s="189" t="str">
        <f t="shared" si="8"/>
        <v/>
      </c>
      <c r="C284" s="189" t="str">
        <f t="shared" si="9"/>
        <v/>
      </c>
      <c r="D284" s="8" t="str">
        <f>IFERROR(IF(FIND("Km",DataDemande!$B343),IF(DataDemande!$B344="",IF(FIND("Pax",DataDemande!C343),VALUE(LEFT(DataDemande!C343,LEN(DataDemande!C343)-4)),))),"")</f>
        <v/>
      </c>
      <c r="E284" s="8" t="str">
        <f>IFERROR(IF(FIND("Km",DataDemande!$B343),IF(DataDemande!$B344="",IF(FIND("Pax",DataDemande!D343),VALUE(LEFT(DataDemande!D343,LEN(DataDemande!D343)-4)),))),"")</f>
        <v/>
      </c>
      <c r="F284" s="8" t="str">
        <f>IFERROR(IF(FIND("Km",DataDemande!$B343),IF(DataDemande!$B344="",IF(FIND("Pax",DataDemande!E343),VALUE(LEFT(DataDemande!E343,LEN(DataDemande!E343)-4)),))),"")</f>
        <v/>
      </c>
      <c r="G284" s="8" t="str">
        <f>IFERROR(IF($D284&lt;&gt;"",VALUE(LEFT(DataDemande!F343,LEN(DataDemande!F343)-7)),""),"")</f>
        <v/>
      </c>
    </row>
    <row r="285" spans="1:7" x14ac:dyDescent="0.3">
      <c r="A285" s="189" t="str">
        <f>DataDemande!N344</f>
        <v/>
      </c>
      <c r="B285" s="189" t="str">
        <f t="shared" si="8"/>
        <v/>
      </c>
      <c r="C285" s="189" t="str">
        <f t="shared" si="9"/>
        <v/>
      </c>
      <c r="D285" s="8" t="str">
        <f>IFERROR(IF(FIND("Km",DataDemande!$B344),IF(DataDemande!$B345="",IF(FIND("Pax",DataDemande!C344),VALUE(LEFT(DataDemande!C344,LEN(DataDemande!C344)-4)),))),"")</f>
        <v/>
      </c>
      <c r="E285" s="8" t="str">
        <f>IFERROR(IF(FIND("Km",DataDemande!$B344),IF(DataDemande!$B345="",IF(FIND("Pax",DataDemande!D344),VALUE(LEFT(DataDemande!D344,LEN(DataDemande!D344)-4)),))),"")</f>
        <v/>
      </c>
      <c r="F285" s="8" t="str">
        <f>IFERROR(IF(FIND("Km",DataDemande!$B344),IF(DataDemande!$B345="",IF(FIND("Pax",DataDemande!E344),VALUE(LEFT(DataDemande!E344,LEN(DataDemande!E344)-4)),))),"")</f>
        <v/>
      </c>
      <c r="G285" s="8" t="str">
        <f>IFERROR(IF($D285&lt;&gt;"",VALUE(LEFT(DataDemande!F344,LEN(DataDemande!F344)-7)),""),"")</f>
        <v/>
      </c>
    </row>
    <row r="286" spans="1:7" x14ac:dyDescent="0.3">
      <c r="A286" s="189" t="str">
        <f>DataDemande!N345</f>
        <v/>
      </c>
      <c r="B286" s="189" t="str">
        <f t="shared" si="8"/>
        <v/>
      </c>
      <c r="C286" s="189" t="str">
        <f t="shared" si="9"/>
        <v/>
      </c>
      <c r="D286" s="8" t="str">
        <f>IFERROR(IF(FIND("Km",DataDemande!$B345),IF(DataDemande!$B346="",IF(FIND("Pax",DataDemande!C345),VALUE(LEFT(DataDemande!C345,LEN(DataDemande!C345)-4)),))),"")</f>
        <v/>
      </c>
      <c r="E286" s="8" t="str">
        <f>IFERROR(IF(FIND("Km",DataDemande!$B345),IF(DataDemande!$B346="",IF(FIND("Pax",DataDemande!D345),VALUE(LEFT(DataDemande!D345,LEN(DataDemande!D345)-4)),))),"")</f>
        <v/>
      </c>
      <c r="F286" s="8" t="str">
        <f>IFERROR(IF(FIND("Km",DataDemande!$B345),IF(DataDemande!$B346="",IF(FIND("Pax",DataDemande!E345),VALUE(LEFT(DataDemande!E345,LEN(DataDemande!E345)-4)),))),"")</f>
        <v/>
      </c>
      <c r="G286" s="8" t="str">
        <f>IFERROR(IF($D286&lt;&gt;"",VALUE(LEFT(DataDemande!F345,LEN(DataDemande!F345)-7)),""),"")</f>
        <v/>
      </c>
    </row>
    <row r="287" spans="1:7" x14ac:dyDescent="0.3">
      <c r="A287" s="189" t="str">
        <f>DataDemande!N346</f>
        <v/>
      </c>
      <c r="B287" s="189" t="str">
        <f t="shared" si="8"/>
        <v/>
      </c>
      <c r="C287" s="189" t="str">
        <f t="shared" si="9"/>
        <v/>
      </c>
      <c r="D287" s="8" t="str">
        <f>IFERROR(IF(FIND("Km",DataDemande!$B346),IF(DataDemande!$B347="",IF(FIND("Pax",DataDemande!C346),VALUE(LEFT(DataDemande!C346,LEN(DataDemande!C346)-4)),))),"")</f>
        <v/>
      </c>
      <c r="E287" s="8" t="str">
        <f>IFERROR(IF(FIND("Km",DataDemande!$B346),IF(DataDemande!$B347="",IF(FIND("Pax",DataDemande!D346),VALUE(LEFT(DataDemande!D346,LEN(DataDemande!D346)-4)),))),"")</f>
        <v/>
      </c>
      <c r="F287" s="8" t="str">
        <f>IFERROR(IF(FIND("Km",DataDemande!$B346),IF(DataDemande!$B347="",IF(FIND("Pax",DataDemande!E346),VALUE(LEFT(DataDemande!E346,LEN(DataDemande!E346)-4)),))),"")</f>
        <v/>
      </c>
      <c r="G287" s="8" t="str">
        <f>IFERROR(IF($D287&lt;&gt;"",VALUE(LEFT(DataDemande!F346,LEN(DataDemande!F346)-7)),""),"")</f>
        <v/>
      </c>
    </row>
    <row r="288" spans="1:7" x14ac:dyDescent="0.3">
      <c r="A288" s="189" t="str">
        <f>DataDemande!N347</f>
        <v/>
      </c>
      <c r="B288" s="189" t="str">
        <f t="shared" si="8"/>
        <v/>
      </c>
      <c r="C288" s="189" t="str">
        <f t="shared" si="9"/>
        <v/>
      </c>
      <c r="D288" s="8" t="str">
        <f>IFERROR(IF(FIND("Km",DataDemande!$B347),IF(DataDemande!$B348="",IF(FIND("Pax",DataDemande!C347),VALUE(LEFT(DataDemande!C347,LEN(DataDemande!C347)-4)),))),"")</f>
        <v/>
      </c>
      <c r="E288" s="8" t="str">
        <f>IFERROR(IF(FIND("Km",DataDemande!$B347),IF(DataDemande!$B348="",IF(FIND("Pax",DataDemande!D347),VALUE(LEFT(DataDemande!D347,LEN(DataDemande!D347)-4)),))),"")</f>
        <v/>
      </c>
      <c r="F288" s="8" t="str">
        <f>IFERROR(IF(FIND("Km",DataDemande!$B347),IF(DataDemande!$B348="",IF(FIND("Pax",DataDemande!E347),VALUE(LEFT(DataDemande!E347,LEN(DataDemande!E347)-4)),))),"")</f>
        <v/>
      </c>
      <c r="G288" s="8" t="str">
        <f>IFERROR(IF($D288&lt;&gt;"",VALUE(LEFT(DataDemande!F347,LEN(DataDemande!F347)-7)),""),"")</f>
        <v/>
      </c>
    </row>
    <row r="289" spans="1:7" x14ac:dyDescent="0.3">
      <c r="A289" s="189" t="str">
        <f>DataDemande!N348</f>
        <v/>
      </c>
      <c r="B289" s="189" t="str">
        <f t="shared" ref="B289:B308" si="10">LEFT(A289,3)</f>
        <v/>
      </c>
      <c r="C289" s="189" t="str">
        <f t="shared" ref="C289:C308" si="11">RIGHT(A289,3)</f>
        <v/>
      </c>
      <c r="D289" s="8" t="str">
        <f>IFERROR(IF(FIND("Km",DataDemande!$B348),IF(DataDemande!$B349="",IF(FIND("Pax",DataDemande!C348),VALUE(LEFT(DataDemande!C348,LEN(DataDemande!C348)-4)),))),"")</f>
        <v/>
      </c>
      <c r="E289" s="8" t="str">
        <f>IFERROR(IF(FIND("Km",DataDemande!$B348),IF(DataDemande!$B349="",IF(FIND("Pax",DataDemande!D348),VALUE(LEFT(DataDemande!D348,LEN(DataDemande!D348)-4)),))),"")</f>
        <v/>
      </c>
      <c r="F289" s="8" t="str">
        <f>IFERROR(IF(FIND("Km",DataDemande!$B348),IF(DataDemande!$B349="",IF(FIND("Pax",DataDemande!E348),VALUE(LEFT(DataDemande!E348,LEN(DataDemande!E348)-4)),))),"")</f>
        <v/>
      </c>
      <c r="G289" s="8" t="str">
        <f>IFERROR(IF($D289&lt;&gt;"",VALUE(LEFT(DataDemande!F348,LEN(DataDemande!F348)-7)),""),"")</f>
        <v/>
      </c>
    </row>
    <row r="290" spans="1:7" x14ac:dyDescent="0.3">
      <c r="A290" s="189" t="str">
        <f>DataDemande!N349</f>
        <v/>
      </c>
      <c r="B290" s="189" t="str">
        <f t="shared" si="10"/>
        <v/>
      </c>
      <c r="C290" s="189" t="str">
        <f t="shared" si="11"/>
        <v/>
      </c>
      <c r="D290" s="8" t="str">
        <f>IFERROR(IF(FIND("Km",DataDemande!$B349),IF(DataDemande!$B350="",IF(FIND("Pax",DataDemande!C349),VALUE(LEFT(DataDemande!C349,LEN(DataDemande!C349)-4)),))),"")</f>
        <v/>
      </c>
      <c r="E290" s="8" t="str">
        <f>IFERROR(IF(FIND("Km",DataDemande!$B349),IF(DataDemande!$B350="",IF(FIND("Pax",DataDemande!D349),VALUE(LEFT(DataDemande!D349,LEN(DataDemande!D349)-4)),))),"")</f>
        <v/>
      </c>
      <c r="F290" s="8" t="str">
        <f>IFERROR(IF(FIND("Km",DataDemande!$B349),IF(DataDemande!$B350="",IF(FIND("Pax",DataDemande!E349),VALUE(LEFT(DataDemande!E349,LEN(DataDemande!E349)-4)),))),"")</f>
        <v/>
      </c>
      <c r="G290" s="8" t="str">
        <f>IFERROR(IF($D290&lt;&gt;"",VALUE(LEFT(DataDemande!F349,LEN(DataDemande!F349)-7)),""),"")</f>
        <v/>
      </c>
    </row>
    <row r="291" spans="1:7" x14ac:dyDescent="0.3">
      <c r="A291" s="189" t="str">
        <f>DataDemande!N350</f>
        <v/>
      </c>
      <c r="B291" s="189" t="str">
        <f t="shared" si="10"/>
        <v/>
      </c>
      <c r="C291" s="189" t="str">
        <f t="shared" si="11"/>
        <v/>
      </c>
      <c r="D291" s="8" t="str">
        <f>IFERROR(IF(FIND("Km",DataDemande!$B350),IF(DataDemande!$B351="",IF(FIND("Pax",DataDemande!C350),VALUE(LEFT(DataDemande!C350,LEN(DataDemande!C350)-4)),))),"")</f>
        <v/>
      </c>
      <c r="E291" s="8" t="str">
        <f>IFERROR(IF(FIND("Km",DataDemande!$B350),IF(DataDemande!$B351="",IF(FIND("Pax",DataDemande!D350),VALUE(LEFT(DataDemande!D350,LEN(DataDemande!D350)-4)),))),"")</f>
        <v/>
      </c>
      <c r="F291" s="8" t="str">
        <f>IFERROR(IF(FIND("Km",DataDemande!$B350),IF(DataDemande!$B351="",IF(FIND("Pax",DataDemande!E350),VALUE(LEFT(DataDemande!E350,LEN(DataDemande!E350)-4)),))),"")</f>
        <v/>
      </c>
      <c r="G291" s="8" t="str">
        <f>IFERROR(IF($D291&lt;&gt;"",VALUE(LEFT(DataDemande!F350,LEN(DataDemande!F350)-7)),""),"")</f>
        <v/>
      </c>
    </row>
    <row r="292" spans="1:7" x14ac:dyDescent="0.3">
      <c r="A292" s="189" t="str">
        <f>DataDemande!N351</f>
        <v/>
      </c>
      <c r="B292" s="189" t="str">
        <f t="shared" si="10"/>
        <v/>
      </c>
      <c r="C292" s="189" t="str">
        <f t="shared" si="11"/>
        <v/>
      </c>
      <c r="D292" s="8" t="str">
        <f>IFERROR(IF(FIND("Km",DataDemande!$B351),IF(DataDemande!$B352="",IF(FIND("Pax",DataDemande!C351),VALUE(LEFT(DataDemande!C351,LEN(DataDemande!C351)-4)),))),"")</f>
        <v/>
      </c>
      <c r="E292" s="8" t="str">
        <f>IFERROR(IF(FIND("Km",DataDemande!$B351),IF(DataDemande!$B352="",IF(FIND("Pax",DataDemande!D351),VALUE(LEFT(DataDemande!D351,LEN(DataDemande!D351)-4)),))),"")</f>
        <v/>
      </c>
      <c r="F292" s="8" t="str">
        <f>IFERROR(IF(FIND("Km",DataDemande!$B351),IF(DataDemande!$B352="",IF(FIND("Pax",DataDemande!E351),VALUE(LEFT(DataDemande!E351,LEN(DataDemande!E351)-4)),))),"")</f>
        <v/>
      </c>
      <c r="G292" s="8" t="str">
        <f>IFERROR(IF($D292&lt;&gt;"",VALUE(LEFT(DataDemande!F351,LEN(DataDemande!F351)-7)),""),"")</f>
        <v/>
      </c>
    </row>
    <row r="293" spans="1:7" x14ac:dyDescent="0.3">
      <c r="A293" s="189" t="str">
        <f>DataDemande!N352</f>
        <v/>
      </c>
      <c r="B293" s="189" t="str">
        <f t="shared" si="10"/>
        <v/>
      </c>
      <c r="C293" s="189" t="str">
        <f t="shared" si="11"/>
        <v/>
      </c>
      <c r="D293" s="8" t="str">
        <f>IFERROR(IF(FIND("Km",DataDemande!$B352),IF(DataDemande!$B353="",IF(FIND("Pax",DataDemande!C352),VALUE(LEFT(DataDemande!C352,LEN(DataDemande!C352)-4)),))),"")</f>
        <v/>
      </c>
      <c r="E293" s="8" t="str">
        <f>IFERROR(IF(FIND("Km",DataDemande!$B352),IF(DataDemande!$B353="",IF(FIND("Pax",DataDemande!D352),VALUE(LEFT(DataDemande!D352,LEN(DataDemande!D352)-4)),))),"")</f>
        <v/>
      </c>
      <c r="F293" s="8" t="str">
        <f>IFERROR(IF(FIND("Km",DataDemande!$B352),IF(DataDemande!$B353="",IF(FIND("Pax",DataDemande!E352),VALUE(LEFT(DataDemande!E352,LEN(DataDemande!E352)-4)),))),"")</f>
        <v/>
      </c>
      <c r="G293" s="8" t="str">
        <f>IFERROR(IF($D293&lt;&gt;"",VALUE(LEFT(DataDemande!F352,LEN(DataDemande!F352)-7)),""),"")</f>
        <v/>
      </c>
    </row>
    <row r="294" spans="1:7" x14ac:dyDescent="0.3">
      <c r="A294" s="189" t="str">
        <f>DataDemande!N353</f>
        <v/>
      </c>
      <c r="B294" s="189" t="str">
        <f t="shared" si="10"/>
        <v/>
      </c>
      <c r="C294" s="189" t="str">
        <f t="shared" si="11"/>
        <v/>
      </c>
      <c r="D294" s="8" t="str">
        <f>IFERROR(IF(FIND("Km",DataDemande!$B353),IF(DataDemande!$B354="",IF(FIND("Pax",DataDemande!C353),VALUE(LEFT(DataDemande!C353,LEN(DataDemande!C353)-4)),))),"")</f>
        <v/>
      </c>
      <c r="E294" s="8" t="str">
        <f>IFERROR(IF(FIND("Km",DataDemande!$B353),IF(DataDemande!$B354="",IF(FIND("Pax",DataDemande!D353),VALUE(LEFT(DataDemande!D353,LEN(DataDemande!D353)-4)),))),"")</f>
        <v/>
      </c>
      <c r="F294" s="8" t="str">
        <f>IFERROR(IF(FIND("Km",DataDemande!$B353),IF(DataDemande!$B354="",IF(FIND("Pax",DataDemande!E353),VALUE(LEFT(DataDemande!E353,LEN(DataDemande!E353)-4)),))),"")</f>
        <v/>
      </c>
      <c r="G294" s="8" t="str">
        <f>IFERROR(IF($D294&lt;&gt;"",VALUE(LEFT(DataDemande!F353,LEN(DataDemande!F353)-7)),""),"")</f>
        <v/>
      </c>
    </row>
    <row r="295" spans="1:7" x14ac:dyDescent="0.3">
      <c r="A295" s="189" t="str">
        <f>DataDemande!N354</f>
        <v/>
      </c>
      <c r="B295" s="189" t="str">
        <f t="shared" si="10"/>
        <v/>
      </c>
      <c r="C295" s="189" t="str">
        <f t="shared" si="11"/>
        <v/>
      </c>
      <c r="D295" s="8" t="str">
        <f>IFERROR(IF(FIND("Km",DataDemande!$B354),IF(DataDemande!$B355="",IF(FIND("Pax",DataDemande!C354),VALUE(LEFT(DataDemande!C354,LEN(DataDemande!C354)-4)),))),"")</f>
        <v/>
      </c>
      <c r="E295" s="8" t="str">
        <f>IFERROR(IF(FIND("Km",DataDemande!$B354),IF(DataDemande!$B355="",IF(FIND("Pax",DataDemande!D354),VALUE(LEFT(DataDemande!D354,LEN(DataDemande!D354)-4)),))),"")</f>
        <v/>
      </c>
      <c r="F295" s="8" t="str">
        <f>IFERROR(IF(FIND("Km",DataDemande!$B354),IF(DataDemande!$B355="",IF(FIND("Pax",DataDemande!E354),VALUE(LEFT(DataDemande!E354,LEN(DataDemande!E354)-4)),))),"")</f>
        <v/>
      </c>
      <c r="G295" s="8" t="str">
        <f>IFERROR(IF($D295&lt;&gt;"",VALUE(LEFT(DataDemande!F354,LEN(DataDemande!F354)-7)),""),"")</f>
        <v/>
      </c>
    </row>
    <row r="296" spans="1:7" x14ac:dyDescent="0.3">
      <c r="A296" s="189" t="str">
        <f>DataDemande!N355</f>
        <v/>
      </c>
      <c r="B296" s="189" t="str">
        <f t="shared" si="10"/>
        <v/>
      </c>
      <c r="C296" s="189" t="str">
        <f t="shared" si="11"/>
        <v/>
      </c>
      <c r="D296" s="8" t="str">
        <f>IFERROR(IF(FIND("Km",DataDemande!$B355),IF(DataDemande!$B356="",IF(FIND("Pax",DataDemande!C355),VALUE(LEFT(DataDemande!C355,LEN(DataDemande!C355)-4)),))),"")</f>
        <v/>
      </c>
      <c r="E296" s="8" t="str">
        <f>IFERROR(IF(FIND("Km",DataDemande!$B355),IF(DataDemande!$B356="",IF(FIND("Pax",DataDemande!D355),VALUE(LEFT(DataDemande!D355,LEN(DataDemande!D355)-4)),))),"")</f>
        <v/>
      </c>
      <c r="F296" s="8" t="str">
        <f>IFERROR(IF(FIND("Km",DataDemande!$B355),IF(DataDemande!$B356="",IF(FIND("Pax",DataDemande!E355),VALUE(LEFT(DataDemande!E355,LEN(DataDemande!E355)-4)),))),"")</f>
        <v/>
      </c>
      <c r="G296" s="8" t="str">
        <f>IFERROR(IF($D296&lt;&gt;"",VALUE(LEFT(DataDemande!F355,LEN(DataDemande!F355)-7)),""),"")</f>
        <v/>
      </c>
    </row>
    <row r="297" spans="1:7" x14ac:dyDescent="0.3">
      <c r="A297" s="189" t="str">
        <f>DataDemande!N356</f>
        <v/>
      </c>
      <c r="B297" s="189" t="str">
        <f t="shared" si="10"/>
        <v/>
      </c>
      <c r="C297" s="189" t="str">
        <f t="shared" si="11"/>
        <v/>
      </c>
      <c r="D297" s="8" t="str">
        <f>IFERROR(IF(FIND("Km",DataDemande!$B356),IF(DataDemande!$B357="",IF(FIND("Pax",DataDemande!C356),VALUE(LEFT(DataDemande!C356,LEN(DataDemande!C356)-4)),))),"")</f>
        <v/>
      </c>
      <c r="E297" s="8" t="str">
        <f>IFERROR(IF(FIND("Km",DataDemande!$B356),IF(DataDemande!$B357="",IF(FIND("Pax",DataDemande!D356),VALUE(LEFT(DataDemande!D356,LEN(DataDemande!D356)-4)),))),"")</f>
        <v/>
      </c>
      <c r="F297" s="8" t="str">
        <f>IFERROR(IF(FIND("Km",DataDemande!$B356),IF(DataDemande!$B357="",IF(FIND("Pax",DataDemande!E356),VALUE(LEFT(DataDemande!E356,LEN(DataDemande!E356)-4)),))),"")</f>
        <v/>
      </c>
      <c r="G297" s="8" t="str">
        <f>IFERROR(IF($D297&lt;&gt;"",VALUE(LEFT(DataDemande!F356,LEN(DataDemande!F356)-7)),""),"")</f>
        <v/>
      </c>
    </row>
    <row r="298" spans="1:7" x14ac:dyDescent="0.3">
      <c r="A298" s="189" t="str">
        <f>DataDemande!N357</f>
        <v/>
      </c>
      <c r="B298" s="189" t="str">
        <f t="shared" si="10"/>
        <v/>
      </c>
      <c r="C298" s="189" t="str">
        <f t="shared" si="11"/>
        <v/>
      </c>
      <c r="D298" s="8" t="str">
        <f>IFERROR(IF(FIND("Km",DataDemande!$B357),IF(DataDemande!$B358="",IF(FIND("Pax",DataDemande!C357),VALUE(LEFT(DataDemande!C357,LEN(DataDemande!C357)-4)),))),"")</f>
        <v/>
      </c>
      <c r="E298" s="8" t="str">
        <f>IFERROR(IF(FIND("Km",DataDemande!$B357),IF(DataDemande!$B358="",IF(FIND("Pax",DataDemande!D357),VALUE(LEFT(DataDemande!D357,LEN(DataDemande!D357)-4)),))),"")</f>
        <v/>
      </c>
      <c r="F298" s="8" t="str">
        <f>IFERROR(IF(FIND("Km",DataDemande!$B357),IF(DataDemande!$B358="",IF(FIND("Pax",DataDemande!E357),VALUE(LEFT(DataDemande!E357,LEN(DataDemande!E357)-4)),))),"")</f>
        <v/>
      </c>
      <c r="G298" s="8" t="str">
        <f>IFERROR(IF($D298&lt;&gt;"",VALUE(LEFT(DataDemande!F357,LEN(DataDemande!F357)-7)),""),"")</f>
        <v/>
      </c>
    </row>
    <row r="299" spans="1:7" x14ac:dyDescent="0.3">
      <c r="A299" s="189" t="str">
        <f>DataDemande!N358</f>
        <v/>
      </c>
      <c r="B299" s="189" t="str">
        <f t="shared" si="10"/>
        <v/>
      </c>
      <c r="C299" s="189" t="str">
        <f t="shared" si="11"/>
        <v/>
      </c>
      <c r="D299" s="8" t="str">
        <f>IFERROR(IF(FIND("Km",DataDemande!$B358),IF(DataDemande!$B359="",IF(FIND("Pax",DataDemande!C358),VALUE(LEFT(DataDemande!C358,LEN(DataDemande!C358)-4)),))),"")</f>
        <v/>
      </c>
      <c r="E299" s="8" t="str">
        <f>IFERROR(IF(FIND("Km",DataDemande!$B358),IF(DataDemande!$B359="",IF(FIND("Pax",DataDemande!D358),VALUE(LEFT(DataDemande!D358,LEN(DataDemande!D358)-4)),))),"")</f>
        <v/>
      </c>
      <c r="F299" s="8" t="str">
        <f>IFERROR(IF(FIND("Km",DataDemande!$B358),IF(DataDemande!$B359="",IF(FIND("Pax",DataDemande!E358),VALUE(LEFT(DataDemande!E358,LEN(DataDemande!E358)-4)),))),"")</f>
        <v/>
      </c>
      <c r="G299" s="8" t="str">
        <f>IFERROR(IF($D299&lt;&gt;"",VALUE(LEFT(DataDemande!F358,LEN(DataDemande!F358)-7)),""),"")</f>
        <v/>
      </c>
    </row>
    <row r="300" spans="1:7" x14ac:dyDescent="0.3">
      <c r="A300" s="189" t="str">
        <f>DataDemande!N359</f>
        <v/>
      </c>
      <c r="B300" s="189" t="str">
        <f t="shared" si="10"/>
        <v/>
      </c>
      <c r="C300" s="189" t="str">
        <f t="shared" si="11"/>
        <v/>
      </c>
      <c r="D300" s="8" t="str">
        <f>IFERROR(IF(FIND("Km",DataDemande!$B359),IF(DataDemande!$B360="",IF(FIND("Pax",DataDemande!C359),VALUE(LEFT(DataDemande!C359,LEN(DataDemande!C359)-4)),))),"")</f>
        <v/>
      </c>
      <c r="E300" s="8" t="str">
        <f>IFERROR(IF(FIND("Km",DataDemande!$B359),IF(DataDemande!$B360="",IF(FIND("Pax",DataDemande!D359),VALUE(LEFT(DataDemande!D359,LEN(DataDemande!D359)-4)),))),"")</f>
        <v/>
      </c>
      <c r="F300" s="8" t="str">
        <f>IFERROR(IF(FIND("Km",DataDemande!$B359),IF(DataDemande!$B360="",IF(FIND("Pax",DataDemande!E359),VALUE(LEFT(DataDemande!E359,LEN(DataDemande!E359)-4)),))),"")</f>
        <v/>
      </c>
      <c r="G300" s="8" t="str">
        <f>IFERROR(IF($D300&lt;&gt;"",VALUE(LEFT(DataDemande!F359,LEN(DataDemande!F359)-7)),""),"")</f>
        <v/>
      </c>
    </row>
    <row r="301" spans="1:7" x14ac:dyDescent="0.3">
      <c r="A301" s="189" t="str">
        <f>DataDemande!N360</f>
        <v/>
      </c>
      <c r="B301" s="189" t="str">
        <f t="shared" si="10"/>
        <v/>
      </c>
      <c r="C301" s="189" t="str">
        <f t="shared" si="11"/>
        <v/>
      </c>
      <c r="D301" s="8" t="str">
        <f>IFERROR(IF(FIND("Km",DataDemande!$B360),IF(DataDemande!$B361="",IF(FIND("Pax",DataDemande!C360),VALUE(LEFT(DataDemande!C360,LEN(DataDemande!C360)-4)),))),"")</f>
        <v/>
      </c>
      <c r="E301" s="8" t="str">
        <f>IFERROR(IF(FIND("Km",DataDemande!$B360),IF(DataDemande!$B361="",IF(FIND("Pax",DataDemande!D360),VALUE(LEFT(DataDemande!D360,LEN(DataDemande!D360)-4)),))),"")</f>
        <v/>
      </c>
      <c r="F301" s="8" t="str">
        <f>IFERROR(IF(FIND("Km",DataDemande!$B360),IF(DataDemande!$B361="",IF(FIND("Pax",DataDemande!E360),VALUE(LEFT(DataDemande!E360,LEN(DataDemande!E360)-4)),))),"")</f>
        <v/>
      </c>
      <c r="G301" s="8" t="str">
        <f>IFERROR(IF($D301&lt;&gt;"",VALUE(LEFT(DataDemande!F360,LEN(DataDemande!F360)-7)),""),"")</f>
        <v/>
      </c>
    </row>
    <row r="302" spans="1:7" x14ac:dyDescent="0.3">
      <c r="A302" s="189" t="str">
        <f>DataDemande!N361</f>
        <v/>
      </c>
      <c r="B302" s="189" t="str">
        <f t="shared" si="10"/>
        <v/>
      </c>
      <c r="C302" s="189" t="str">
        <f t="shared" si="11"/>
        <v/>
      </c>
      <c r="D302" s="8" t="str">
        <f>IFERROR(IF(FIND("Km",DataDemande!$B361),IF(DataDemande!$B362="",IF(FIND("Pax",DataDemande!C361),VALUE(LEFT(DataDemande!C361,LEN(DataDemande!C361)-4)),))),"")</f>
        <v/>
      </c>
      <c r="E302" s="8" t="str">
        <f>IFERROR(IF(FIND("Km",DataDemande!$B361),IF(DataDemande!$B362="",IF(FIND("Pax",DataDemande!D361),VALUE(LEFT(DataDemande!D361,LEN(DataDemande!D361)-4)),))),"")</f>
        <v/>
      </c>
      <c r="F302" s="8" t="str">
        <f>IFERROR(IF(FIND("Km",DataDemande!$B361),IF(DataDemande!$B362="",IF(FIND("Pax",DataDemande!E361),VALUE(LEFT(DataDemande!E361,LEN(DataDemande!E361)-4)),))),"")</f>
        <v/>
      </c>
      <c r="G302" s="8" t="str">
        <f>IFERROR(IF($D302&lt;&gt;"",VALUE(LEFT(DataDemande!F361,LEN(DataDemande!F361)-7)),""),"")</f>
        <v/>
      </c>
    </row>
    <row r="303" spans="1:7" x14ac:dyDescent="0.3">
      <c r="A303" s="189" t="str">
        <f>DataDemande!N362</f>
        <v/>
      </c>
      <c r="B303" s="189" t="str">
        <f t="shared" si="10"/>
        <v/>
      </c>
      <c r="C303" s="189" t="str">
        <f t="shared" si="11"/>
        <v/>
      </c>
      <c r="D303" s="8" t="str">
        <f>IFERROR(IF(FIND("Km",DataDemande!$B362),IF(DataDemande!$B363="",IF(FIND("Pax",DataDemande!C362),VALUE(LEFT(DataDemande!C362,LEN(DataDemande!C362)-4)),))),"")</f>
        <v/>
      </c>
      <c r="E303" s="8" t="str">
        <f>IFERROR(IF(FIND("Km",DataDemande!$B362),IF(DataDemande!$B363="",IF(FIND("Pax",DataDemande!D362),VALUE(LEFT(DataDemande!D362,LEN(DataDemande!D362)-4)),))),"")</f>
        <v/>
      </c>
      <c r="F303" s="8" t="str">
        <f>IFERROR(IF(FIND("Km",DataDemande!$B362),IF(DataDemande!$B363="",IF(FIND("Pax",DataDemande!E362),VALUE(LEFT(DataDemande!E362,LEN(DataDemande!E362)-4)),))),"")</f>
        <v/>
      </c>
      <c r="G303" s="8" t="str">
        <f>IFERROR(IF($D303&lt;&gt;"",VALUE(LEFT(DataDemande!F362,LEN(DataDemande!F362)-7)),""),"")</f>
        <v/>
      </c>
    </row>
    <row r="304" spans="1:7" x14ac:dyDescent="0.3">
      <c r="A304" s="189" t="str">
        <f>DataDemande!N363</f>
        <v/>
      </c>
      <c r="B304" s="189" t="str">
        <f t="shared" si="10"/>
        <v/>
      </c>
      <c r="C304" s="189" t="str">
        <f t="shared" si="11"/>
        <v/>
      </c>
      <c r="D304" s="8" t="str">
        <f>IFERROR(IF(FIND("Km",DataDemande!$B363),IF(DataDemande!$B364="",IF(FIND("Pax",DataDemande!C363),VALUE(LEFT(DataDemande!C363,LEN(DataDemande!C363)-4)),))),"")</f>
        <v/>
      </c>
      <c r="E304" s="8" t="str">
        <f>IFERROR(IF(FIND("Km",DataDemande!$B363),IF(DataDemande!$B364="",IF(FIND("Pax",DataDemande!D363),VALUE(LEFT(DataDemande!D363,LEN(DataDemande!D363)-4)),))),"")</f>
        <v/>
      </c>
      <c r="F304" s="8" t="str">
        <f>IFERROR(IF(FIND("Km",DataDemande!$B363),IF(DataDemande!$B364="",IF(FIND("Pax",DataDemande!E363),VALUE(LEFT(DataDemande!E363,LEN(DataDemande!E363)-4)),))),"")</f>
        <v/>
      </c>
      <c r="G304" s="8" t="str">
        <f>IFERROR(IF($D304&lt;&gt;"",VALUE(LEFT(DataDemande!F363,LEN(DataDemande!F363)-7)),""),"")</f>
        <v/>
      </c>
    </row>
    <row r="305" spans="1:7" x14ac:dyDescent="0.3">
      <c r="A305" s="189" t="str">
        <f>DataDemande!N364</f>
        <v/>
      </c>
      <c r="B305" s="189" t="str">
        <f t="shared" si="10"/>
        <v/>
      </c>
      <c r="C305" s="189" t="str">
        <f t="shared" si="11"/>
        <v/>
      </c>
      <c r="D305" s="8" t="str">
        <f>IFERROR(IF(FIND("Km",DataDemande!$B364),IF(DataDemande!$B365="",IF(FIND("Pax",DataDemande!C364),VALUE(LEFT(DataDemande!C364,LEN(DataDemande!C364)-4)),))),"")</f>
        <v/>
      </c>
      <c r="E305" s="8" t="str">
        <f>IFERROR(IF(FIND("Km",DataDemande!$B364),IF(DataDemande!$B365="",IF(FIND("Pax",DataDemande!D364),VALUE(LEFT(DataDemande!D364,LEN(DataDemande!D364)-4)),))),"")</f>
        <v/>
      </c>
      <c r="F305" s="8" t="str">
        <f>IFERROR(IF(FIND("Km",DataDemande!$B364),IF(DataDemande!$B365="",IF(FIND("Pax",DataDemande!E364),VALUE(LEFT(DataDemande!E364,LEN(DataDemande!E364)-4)),))),"")</f>
        <v/>
      </c>
      <c r="G305" s="8" t="str">
        <f>IFERROR(IF($D305&lt;&gt;"",VALUE(LEFT(DataDemande!F364,LEN(DataDemande!F364)-7)),""),"")</f>
        <v/>
      </c>
    </row>
    <row r="306" spans="1:7" x14ac:dyDescent="0.3">
      <c r="A306" s="189" t="str">
        <f>DataDemande!N365</f>
        <v/>
      </c>
      <c r="B306" s="189" t="str">
        <f t="shared" si="10"/>
        <v/>
      </c>
      <c r="C306" s="189" t="str">
        <f t="shared" si="11"/>
        <v/>
      </c>
      <c r="D306" s="8" t="str">
        <f>IFERROR(IF(FIND("Km",DataDemande!$B365),IF(DataDemande!$B366="",IF(FIND("Pax",DataDemande!C365),VALUE(LEFT(DataDemande!C365,LEN(DataDemande!C365)-4)),))),"")</f>
        <v/>
      </c>
      <c r="E306" s="8" t="str">
        <f>IFERROR(IF(FIND("Km",DataDemande!$B365),IF(DataDemande!$B366="",IF(FIND("Pax",DataDemande!D365),VALUE(LEFT(DataDemande!D365,LEN(DataDemande!D365)-4)),))),"")</f>
        <v/>
      </c>
      <c r="F306" s="8" t="str">
        <f>IFERROR(IF(FIND("Km",DataDemande!$B365),IF(DataDemande!$B366="",IF(FIND("Pax",DataDemande!E365),VALUE(LEFT(DataDemande!E365,LEN(DataDemande!E365)-4)),))),"")</f>
        <v/>
      </c>
      <c r="G306" s="8" t="str">
        <f>IFERROR(IF($D306&lt;&gt;"",VALUE(LEFT(DataDemande!F365,LEN(DataDemande!F365)-7)),""),"")</f>
        <v/>
      </c>
    </row>
    <row r="307" spans="1:7" x14ac:dyDescent="0.3">
      <c r="A307" s="189" t="str">
        <f>DataDemande!N366</f>
        <v/>
      </c>
      <c r="B307" s="189" t="str">
        <f t="shared" si="10"/>
        <v/>
      </c>
      <c r="C307" s="189" t="str">
        <f t="shared" si="11"/>
        <v/>
      </c>
      <c r="D307" s="8" t="str">
        <f>IFERROR(IF(FIND("Km",DataDemande!$B366),IF(DataDemande!$B367="",IF(FIND("Pax",DataDemande!C366),VALUE(LEFT(DataDemande!C366,LEN(DataDemande!C366)-4)),))),"")</f>
        <v/>
      </c>
      <c r="E307" s="8" t="str">
        <f>IFERROR(IF(FIND("Km",DataDemande!$B366),IF(DataDemande!$B367="",IF(FIND("Pax",DataDemande!D366),VALUE(LEFT(DataDemande!D366,LEN(DataDemande!D366)-4)),))),"")</f>
        <v/>
      </c>
      <c r="F307" s="8" t="str">
        <f>IFERROR(IF(FIND("Km",DataDemande!$B366),IF(DataDemande!$B367="",IF(FIND("Pax",DataDemande!E366),VALUE(LEFT(DataDemande!E366,LEN(DataDemande!E366)-4)),))),"")</f>
        <v/>
      </c>
      <c r="G307" s="8" t="str">
        <f>IFERROR(IF($D307&lt;&gt;"",VALUE(LEFT(DataDemande!F366,LEN(DataDemande!F366)-7)),""),"")</f>
        <v/>
      </c>
    </row>
    <row r="308" spans="1:7" x14ac:dyDescent="0.3">
      <c r="A308" s="189" t="str">
        <f>DataDemande!N367</f>
        <v/>
      </c>
      <c r="B308" s="189" t="str">
        <f t="shared" si="10"/>
        <v/>
      </c>
      <c r="C308" s="189" t="str">
        <f t="shared" si="11"/>
        <v/>
      </c>
      <c r="D308" s="8" t="str">
        <f>IFERROR(IF(FIND("Km",DataDemande!$B367),IF(DataDemande!$B368="",IF(FIND("Pax",DataDemande!C367),VALUE(LEFT(DataDemande!C367,LEN(DataDemande!C367)-4)),))),"")</f>
        <v/>
      </c>
      <c r="E308" s="8" t="str">
        <f>IFERROR(IF(FIND("Km",DataDemande!$B367),IF(DataDemande!$B368="",IF(FIND("Pax",DataDemande!D367),VALUE(LEFT(DataDemande!D367,LEN(DataDemande!D367)-4)),))),"")</f>
        <v/>
      </c>
      <c r="F308" s="8" t="str">
        <f>IFERROR(IF(FIND("Km",DataDemande!$B367),IF(DataDemande!$B368="",IF(FIND("Pax",DataDemande!E367),VALUE(LEFT(DataDemande!E367,LEN(DataDemande!E367)-4)),))),"")</f>
        <v/>
      </c>
      <c r="G308" s="8" t="str">
        <f>IFERROR(IF($D308&lt;&gt;"",VALUE(LEFT(DataDemande!F367,LEN(DataDemande!F367)-7)),""),"")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G15"/>
  <sheetViews>
    <sheetView topLeftCell="B7" zoomScale="80" workbookViewId="0">
      <selection activeCell="U9" sqref="U9"/>
    </sheetView>
  </sheetViews>
  <sheetFormatPr baseColWidth="10" defaultColWidth="11.44140625" defaultRowHeight="14.4" x14ac:dyDescent="0.3"/>
  <cols>
    <col min="1" max="1" width="0" hidden="1" customWidth="1"/>
    <col min="2" max="3" width="15.6640625" bestFit="1" customWidth="1"/>
    <col min="4" max="4" width="16.44140625" bestFit="1" customWidth="1"/>
    <col min="5" max="5" width="13.88671875" bestFit="1" customWidth="1"/>
    <col min="6" max="6" width="15" bestFit="1" customWidth="1"/>
    <col min="7" max="7" width="13.88671875" bestFit="1" customWidth="1"/>
  </cols>
  <sheetData>
    <row r="1" spans="1:7" x14ac:dyDescent="0.3">
      <c r="B1" t="s">
        <v>21</v>
      </c>
      <c r="C1" t="s">
        <v>2</v>
      </c>
      <c r="D1" t="s">
        <v>3</v>
      </c>
      <c r="E1" t="s">
        <v>4</v>
      </c>
      <c r="F1" t="s">
        <v>5</v>
      </c>
      <c r="G1" t="s">
        <v>22</v>
      </c>
    </row>
    <row r="2" spans="1:7" x14ac:dyDescent="0.3">
      <c r="A2">
        <v>14</v>
      </c>
      <c r="B2" s="53">
        <f ca="1">ROUNDDOWN(NOW()-A2,0)</f>
        <v>43450</v>
      </c>
      <c r="C2" s="8" t="e">
        <f ca="1">VLOOKUP(B2,Classement!A:B,2,FALSE)</f>
        <v>#N/A</v>
      </c>
      <c r="D2" s="8" t="e">
        <f ca="1">VLOOKUP(B2,'Chiffre d''affaires'!A:B,2,FALSE)</f>
        <v>#N/A</v>
      </c>
      <c r="E2" s="8" t="e">
        <f ca="1">VLOOKUP(B2,Coût!A:B,2,FALSE)</f>
        <v>#N/A</v>
      </c>
      <c r="F2" s="8" t="e">
        <f ca="1">VLOOKUP(B2,Impôts!A:B,2,FALSE)</f>
        <v>#N/A</v>
      </c>
      <c r="G2" s="8" t="e">
        <f ca="1">VLOOKUP(B2,#REF!,11,FALSE)</f>
        <v>#REF!</v>
      </c>
    </row>
    <row r="3" spans="1:7" x14ac:dyDescent="0.3">
      <c r="A3">
        <v>13</v>
      </c>
      <c r="B3" s="53">
        <f t="shared" ref="B3:B15" ca="1" si="0">ROUNDDOWN(NOW()-A3,0)</f>
        <v>43451</v>
      </c>
      <c r="C3" s="8" t="e">
        <f ca="1">VLOOKUP(B3,Classement!A:B,2,FALSE)</f>
        <v>#N/A</v>
      </c>
      <c r="D3" s="8" t="e">
        <f ca="1">VLOOKUP(B3,'Chiffre d''affaires'!A:B,2,FALSE)</f>
        <v>#N/A</v>
      </c>
      <c r="E3" s="8" t="e">
        <f ca="1">VLOOKUP(B3,Coût!A:B,2,FALSE)</f>
        <v>#N/A</v>
      </c>
      <c r="F3" s="8" t="e">
        <f ca="1">VLOOKUP(B3,Impôts!A:B,2,FALSE)</f>
        <v>#N/A</v>
      </c>
      <c r="G3" s="8" t="e">
        <f ca="1">VLOOKUP(B3,#REF!,11,FALSE)</f>
        <v>#REF!</v>
      </c>
    </row>
    <row r="4" spans="1:7" x14ac:dyDescent="0.3">
      <c r="A4">
        <v>12</v>
      </c>
      <c r="B4" s="53">
        <f t="shared" ca="1" si="0"/>
        <v>43452</v>
      </c>
      <c r="C4" s="8" t="e">
        <f ca="1">VLOOKUP(B4,Classement!A:B,2,FALSE)</f>
        <v>#N/A</v>
      </c>
      <c r="D4" s="8" t="e">
        <f ca="1">VLOOKUP(B4,'Chiffre d''affaires'!A:B,2,FALSE)</f>
        <v>#N/A</v>
      </c>
      <c r="E4" s="8" t="e">
        <f ca="1">VLOOKUP(B4,Coût!A:B,2,FALSE)</f>
        <v>#N/A</v>
      </c>
      <c r="F4" s="8" t="e">
        <f ca="1">VLOOKUP(B4,Impôts!A:B,2,FALSE)</f>
        <v>#N/A</v>
      </c>
      <c r="G4" s="8" t="e">
        <f ca="1">VLOOKUP(B4,#REF!,11,FALSE)</f>
        <v>#REF!</v>
      </c>
    </row>
    <row r="5" spans="1:7" x14ac:dyDescent="0.3">
      <c r="A5">
        <v>11</v>
      </c>
      <c r="B5" s="53">
        <f t="shared" ca="1" si="0"/>
        <v>43453</v>
      </c>
      <c r="C5" s="8" t="e">
        <f ca="1">VLOOKUP(B5,Classement!A:B,2,FALSE)</f>
        <v>#N/A</v>
      </c>
      <c r="D5" s="8" t="e">
        <f ca="1">VLOOKUP(B5,'Chiffre d''affaires'!A:B,2,FALSE)</f>
        <v>#N/A</v>
      </c>
      <c r="E5" s="8" t="e">
        <f ca="1">VLOOKUP(B5,Coût!A:B,2,FALSE)</f>
        <v>#N/A</v>
      </c>
      <c r="F5" s="8" t="e">
        <f ca="1">VLOOKUP(B5,Impôts!A:B,2,FALSE)</f>
        <v>#N/A</v>
      </c>
      <c r="G5" s="8" t="e">
        <f ca="1">VLOOKUP(B5,#REF!,11,FALSE)</f>
        <v>#REF!</v>
      </c>
    </row>
    <row r="6" spans="1:7" x14ac:dyDescent="0.3">
      <c r="A6">
        <v>10</v>
      </c>
      <c r="B6" s="53">
        <f t="shared" ca="1" si="0"/>
        <v>43454</v>
      </c>
      <c r="C6" s="8" t="e">
        <f ca="1">VLOOKUP(B6,Classement!A:B,2,FALSE)</f>
        <v>#N/A</v>
      </c>
      <c r="D6" s="8" t="e">
        <f ca="1">VLOOKUP(B6,'Chiffre d''affaires'!A:B,2,FALSE)</f>
        <v>#N/A</v>
      </c>
      <c r="E6" s="8" t="e">
        <f ca="1">VLOOKUP(B6,Coût!A:B,2,FALSE)</f>
        <v>#N/A</v>
      </c>
      <c r="F6" s="8" t="e">
        <f ca="1">VLOOKUP(B6,Impôts!A:B,2,FALSE)</f>
        <v>#N/A</v>
      </c>
      <c r="G6" s="8" t="e">
        <f ca="1">VLOOKUP(B6,#REF!,11,FALSE)</f>
        <v>#REF!</v>
      </c>
    </row>
    <row r="7" spans="1:7" x14ac:dyDescent="0.3">
      <c r="A7">
        <v>9</v>
      </c>
      <c r="B7" s="53">
        <f t="shared" ca="1" si="0"/>
        <v>43455</v>
      </c>
      <c r="C7" s="8" t="e">
        <f ca="1">VLOOKUP(B7,Classement!A:B,2,FALSE)</f>
        <v>#N/A</v>
      </c>
      <c r="D7" s="8" t="e">
        <f ca="1">VLOOKUP(B7,'Chiffre d''affaires'!A:B,2,FALSE)</f>
        <v>#N/A</v>
      </c>
      <c r="E7" s="8" t="e">
        <f ca="1">VLOOKUP(B7,Coût!A:B,2,FALSE)</f>
        <v>#N/A</v>
      </c>
      <c r="F7" s="8" t="e">
        <f ca="1">VLOOKUP(B7,Impôts!A:B,2,FALSE)</f>
        <v>#N/A</v>
      </c>
      <c r="G7" s="8" t="e">
        <f ca="1">VLOOKUP(B7,#REF!,11,FALSE)</f>
        <v>#REF!</v>
      </c>
    </row>
    <row r="8" spans="1:7" x14ac:dyDescent="0.3">
      <c r="A8">
        <v>8</v>
      </c>
      <c r="B8" s="53">
        <f t="shared" ca="1" si="0"/>
        <v>43456</v>
      </c>
      <c r="C8" s="8" t="e">
        <f ca="1">VLOOKUP(B8,Classement!A:B,2,FALSE)</f>
        <v>#N/A</v>
      </c>
      <c r="D8" s="8" t="e">
        <f ca="1">VLOOKUP(B8,'Chiffre d''affaires'!A:B,2,FALSE)</f>
        <v>#N/A</v>
      </c>
      <c r="E8" s="8" t="e">
        <f ca="1">VLOOKUP(B8,Coût!A:B,2,FALSE)</f>
        <v>#N/A</v>
      </c>
      <c r="F8" s="8" t="e">
        <f ca="1">VLOOKUP(B8,Impôts!A:B,2,FALSE)</f>
        <v>#N/A</v>
      </c>
      <c r="G8" s="8" t="e">
        <f ca="1">VLOOKUP(B8,#REF!,11,FALSE)</f>
        <v>#REF!</v>
      </c>
    </row>
    <row r="9" spans="1:7" x14ac:dyDescent="0.3">
      <c r="A9">
        <v>7</v>
      </c>
      <c r="B9" s="53">
        <f t="shared" ca="1" si="0"/>
        <v>43457</v>
      </c>
      <c r="C9" s="8" t="e">
        <f ca="1">VLOOKUP(B9,Classement!A:B,2,FALSE)</f>
        <v>#N/A</v>
      </c>
      <c r="D9" s="8" t="e">
        <f ca="1">VLOOKUP(B9,'Chiffre d''affaires'!A:B,2,FALSE)</f>
        <v>#N/A</v>
      </c>
      <c r="E9" s="8" t="e">
        <f ca="1">VLOOKUP(B9,Coût!A:B,2,FALSE)</f>
        <v>#N/A</v>
      </c>
      <c r="F9" s="8" t="e">
        <f ca="1">VLOOKUP(B9,Impôts!A:B,2,FALSE)</f>
        <v>#N/A</v>
      </c>
      <c r="G9" s="8" t="e">
        <f ca="1">VLOOKUP(B9,#REF!,11,FALSE)</f>
        <v>#REF!</v>
      </c>
    </row>
    <row r="10" spans="1:7" x14ac:dyDescent="0.3">
      <c r="A10">
        <v>6</v>
      </c>
      <c r="B10" s="53">
        <f t="shared" ca="1" si="0"/>
        <v>43458</v>
      </c>
      <c r="C10" s="8" t="e">
        <f ca="1">VLOOKUP(B10,Classement!A:B,2,FALSE)</f>
        <v>#N/A</v>
      </c>
      <c r="D10" s="8" t="e">
        <f ca="1">VLOOKUP(B10,'Chiffre d''affaires'!A:B,2,FALSE)</f>
        <v>#N/A</v>
      </c>
      <c r="E10" s="8" t="e">
        <f ca="1">VLOOKUP(B10,Coût!A:B,2,FALSE)</f>
        <v>#N/A</v>
      </c>
      <c r="F10" s="8" t="e">
        <f ca="1">VLOOKUP(B10,Impôts!A:B,2,FALSE)</f>
        <v>#N/A</v>
      </c>
      <c r="G10" s="8" t="e">
        <f ca="1">VLOOKUP(B10,#REF!,11,FALSE)</f>
        <v>#REF!</v>
      </c>
    </row>
    <row r="11" spans="1:7" x14ac:dyDescent="0.3">
      <c r="A11">
        <v>5</v>
      </c>
      <c r="B11" s="53">
        <f t="shared" ca="1" si="0"/>
        <v>43459</v>
      </c>
      <c r="C11" s="8" t="e">
        <f ca="1">VLOOKUP(B11,Classement!A:B,2,FALSE)</f>
        <v>#N/A</v>
      </c>
      <c r="D11" s="8" t="e">
        <f ca="1">VLOOKUP(B11,'Chiffre d''affaires'!A:B,2,FALSE)</f>
        <v>#N/A</v>
      </c>
      <c r="E11" s="8" t="e">
        <f ca="1">VLOOKUP(B11,Coût!A:B,2,FALSE)</f>
        <v>#N/A</v>
      </c>
      <c r="F11" s="8" t="e">
        <f ca="1">VLOOKUP(B11,Impôts!A:B,2,FALSE)</f>
        <v>#N/A</v>
      </c>
      <c r="G11" s="8" t="e">
        <f ca="1">VLOOKUP(B11,#REF!,11,FALSE)</f>
        <v>#REF!</v>
      </c>
    </row>
    <row r="12" spans="1:7" x14ac:dyDescent="0.3">
      <c r="A12">
        <v>4</v>
      </c>
      <c r="B12" s="53">
        <f t="shared" ca="1" si="0"/>
        <v>43460</v>
      </c>
      <c r="C12" s="8" t="e">
        <f ca="1">VLOOKUP(B12,Classement!A:B,2,FALSE)</f>
        <v>#N/A</v>
      </c>
      <c r="D12" s="8" t="e">
        <f ca="1">VLOOKUP(B12,'Chiffre d''affaires'!A:B,2,FALSE)</f>
        <v>#N/A</v>
      </c>
      <c r="E12" s="8" t="e">
        <f ca="1">VLOOKUP(B12,Coût!A:B,2,FALSE)</f>
        <v>#N/A</v>
      </c>
      <c r="F12" s="8" t="e">
        <f ca="1">VLOOKUP(B12,Impôts!A:B,2,FALSE)</f>
        <v>#N/A</v>
      </c>
      <c r="G12" s="8" t="e">
        <f ca="1">VLOOKUP(B12,#REF!,11,FALSE)</f>
        <v>#REF!</v>
      </c>
    </row>
    <row r="13" spans="1:7" x14ac:dyDescent="0.3">
      <c r="A13">
        <v>3</v>
      </c>
      <c r="B13" s="53">
        <f t="shared" ca="1" si="0"/>
        <v>43461</v>
      </c>
      <c r="C13" s="8" t="e">
        <f ca="1">VLOOKUP(B13,Classement!A:B,2,FALSE)</f>
        <v>#N/A</v>
      </c>
      <c r="D13" s="8" t="e">
        <f ca="1">VLOOKUP(B13,'Chiffre d''affaires'!A:B,2,FALSE)</f>
        <v>#N/A</v>
      </c>
      <c r="E13" s="8" t="e">
        <f ca="1">VLOOKUP(B13,Coût!A:B,2,FALSE)</f>
        <v>#N/A</v>
      </c>
      <c r="F13" s="8" t="e">
        <f ca="1">VLOOKUP(B13,Impôts!A:B,2,FALSE)</f>
        <v>#N/A</v>
      </c>
      <c r="G13" s="8" t="e">
        <f ca="1">VLOOKUP(B13,#REF!,11,FALSE)</f>
        <v>#REF!</v>
      </c>
    </row>
    <row r="14" spans="1:7" x14ac:dyDescent="0.3">
      <c r="A14">
        <v>2</v>
      </c>
      <c r="B14" s="53">
        <f t="shared" ca="1" si="0"/>
        <v>43462</v>
      </c>
      <c r="C14" s="8" t="e">
        <f ca="1">VLOOKUP(B14,Classement!A:B,2,FALSE)</f>
        <v>#N/A</v>
      </c>
      <c r="D14" s="8" t="e">
        <f ca="1">VLOOKUP(B14,'Chiffre d''affaires'!A:B,2,FALSE)</f>
        <v>#N/A</v>
      </c>
      <c r="E14" s="8" t="e">
        <f ca="1">VLOOKUP(B14,Coût!A:B,2,FALSE)</f>
        <v>#N/A</v>
      </c>
      <c r="F14" s="8" t="e">
        <f ca="1">VLOOKUP(B14,Impôts!A:B,2,FALSE)</f>
        <v>#N/A</v>
      </c>
      <c r="G14" s="8" t="e">
        <f ca="1">VLOOKUP(B14,#REF!,11,FALSE)</f>
        <v>#REF!</v>
      </c>
    </row>
    <row r="15" spans="1:7" x14ac:dyDescent="0.3">
      <c r="A15">
        <v>1</v>
      </c>
      <c r="B15" s="53">
        <f t="shared" ca="1" si="0"/>
        <v>43463</v>
      </c>
      <c r="C15" s="8" t="e">
        <f ca="1">VLOOKUP(B15,Classement!A:B,2,FALSE)</f>
        <v>#N/A</v>
      </c>
      <c r="D15" s="8" t="e">
        <f ca="1">VLOOKUP(B15,'Chiffre d''affaires'!A:B,2,FALSE)</f>
        <v>#N/A</v>
      </c>
      <c r="E15" s="8" t="e">
        <f ca="1">VLOOKUP(B15,Coût!A:B,2,FALSE)</f>
        <v>#N/A</v>
      </c>
      <c r="F15" s="8" t="e">
        <f ca="1">VLOOKUP(B15,Impôts!A:B,2,FALSE)</f>
        <v>#N/A</v>
      </c>
      <c r="G15" s="8" t="e">
        <f ca="1">VLOOKUP(B15,#REF!,11,FALSE)</f>
        <v>#REF!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5"/>
  <dimension ref="A1:AK278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"/>
    </sheetView>
  </sheetViews>
  <sheetFormatPr baseColWidth="10" defaultColWidth="11.44140625" defaultRowHeight="14.4" x14ac:dyDescent="0.3"/>
  <cols>
    <col min="5" max="5" width="17.44140625" bestFit="1" customWidth="1"/>
    <col min="6" max="6" width="2.6640625" style="78" customWidth="1"/>
    <col min="7" max="7" width="7.44140625" bestFit="1" customWidth="1"/>
    <col min="8" max="8" width="7.109375" bestFit="1" customWidth="1"/>
    <col min="9" max="9" width="9.33203125" bestFit="1" customWidth="1"/>
    <col min="10" max="10" width="6" bestFit="1" customWidth="1"/>
    <col min="11" max="11" width="2.6640625" style="78" customWidth="1"/>
    <col min="12" max="12" width="5.44140625" bestFit="1" customWidth="1"/>
    <col min="13" max="13" width="7.109375" bestFit="1" customWidth="1"/>
    <col min="14" max="14" width="9.33203125" bestFit="1" customWidth="1"/>
    <col min="15" max="15" width="6.6640625" bestFit="1" customWidth="1"/>
    <col min="16" max="16" width="2.6640625" style="78" customWidth="1"/>
    <col min="17" max="17" width="12.6640625" style="77" bestFit="1" customWidth="1"/>
    <col min="18" max="20" width="12.33203125" style="77" customWidth="1"/>
    <col min="21" max="21" width="2.6640625" style="78" customWidth="1"/>
    <col min="22" max="22" width="12.6640625" style="77" bestFit="1" customWidth="1"/>
    <col min="23" max="23" width="11.33203125" bestFit="1" customWidth="1"/>
    <col min="24" max="24" width="10.88671875" bestFit="1" customWidth="1"/>
    <col min="25" max="25" width="12.6640625" bestFit="1" customWidth="1"/>
    <col min="26" max="26" width="13.6640625" bestFit="1" customWidth="1"/>
    <col min="27" max="27" width="14.6640625" bestFit="1" customWidth="1"/>
    <col min="28" max="28" width="2.6640625" style="78" customWidth="1"/>
    <col min="29" max="29" width="12.6640625" bestFit="1" customWidth="1"/>
    <col min="30" max="30" width="13.6640625" bestFit="1" customWidth="1"/>
    <col min="31" max="31" width="14.6640625" bestFit="1" customWidth="1"/>
    <col min="32" max="32" width="2.6640625" style="78" customWidth="1"/>
  </cols>
  <sheetData>
    <row r="1" spans="1:37" x14ac:dyDescent="0.3">
      <c r="E1" s="112" t="s">
        <v>23</v>
      </c>
      <c r="G1" s="238" t="s">
        <v>24</v>
      </c>
      <c r="H1" s="238"/>
      <c r="I1" s="238"/>
      <c r="J1" s="238"/>
      <c r="L1" s="238" t="s">
        <v>25</v>
      </c>
      <c r="M1" s="238"/>
      <c r="N1" s="238"/>
      <c r="O1" s="238"/>
      <c r="Q1" s="239" t="s">
        <v>26</v>
      </c>
      <c r="R1" s="239"/>
      <c r="S1" s="239"/>
      <c r="T1" s="239"/>
      <c r="V1" s="237" t="s">
        <v>27</v>
      </c>
      <c r="W1" s="237"/>
      <c r="X1" s="237"/>
      <c r="Y1" s="237"/>
      <c r="Z1" s="237"/>
      <c r="AA1" s="237"/>
      <c r="AC1" s="237" t="s">
        <v>28</v>
      </c>
      <c r="AD1" s="237"/>
      <c r="AE1" s="237"/>
      <c r="AG1" s="237" t="s">
        <v>29</v>
      </c>
      <c r="AH1" s="237"/>
      <c r="AI1" s="237"/>
    </row>
    <row r="2" spans="1:37" s="34" customFormat="1" ht="57.6" x14ac:dyDescent="0.3">
      <c r="A2" s="43" t="s">
        <v>30</v>
      </c>
      <c r="B2" s="43" t="s">
        <v>806</v>
      </c>
      <c r="C2" s="43" t="s">
        <v>809</v>
      </c>
      <c r="D2" s="43" t="s">
        <v>742</v>
      </c>
      <c r="E2" s="43" t="s">
        <v>31</v>
      </c>
      <c r="F2" s="84"/>
      <c r="G2" s="43" t="s">
        <v>32</v>
      </c>
      <c r="H2" s="43" t="s">
        <v>33</v>
      </c>
      <c r="I2" s="43" t="s">
        <v>34</v>
      </c>
      <c r="J2" s="43" t="s">
        <v>35</v>
      </c>
      <c r="K2" s="84"/>
      <c r="L2" s="43" t="s">
        <v>32</v>
      </c>
      <c r="M2" s="43" t="s">
        <v>33</v>
      </c>
      <c r="N2" s="43" t="s">
        <v>34</v>
      </c>
      <c r="O2" s="43" t="s">
        <v>35</v>
      </c>
      <c r="P2" s="84"/>
      <c r="Q2" s="80" t="s">
        <v>36</v>
      </c>
      <c r="R2" s="83" t="s">
        <v>37</v>
      </c>
      <c r="S2" s="83" t="s">
        <v>38</v>
      </c>
      <c r="T2" s="83" t="s">
        <v>39</v>
      </c>
      <c r="U2" s="84"/>
      <c r="V2" s="80" t="s">
        <v>40</v>
      </c>
      <c r="W2" s="72" t="s">
        <v>41</v>
      </c>
      <c r="X2" s="43" t="s">
        <v>4</v>
      </c>
      <c r="Y2" s="72" t="s">
        <v>42</v>
      </c>
      <c r="Z2" s="72" t="s">
        <v>43</v>
      </c>
      <c r="AA2" s="72" t="s">
        <v>44</v>
      </c>
      <c r="AB2" s="84"/>
      <c r="AC2" s="72" t="s">
        <v>45</v>
      </c>
      <c r="AD2" s="72" t="s">
        <v>46</v>
      </c>
      <c r="AE2" s="72" t="s">
        <v>47</v>
      </c>
      <c r="AF2" s="84"/>
      <c r="AG2" s="72" t="s">
        <v>48</v>
      </c>
      <c r="AH2" s="72" t="s">
        <v>49</v>
      </c>
      <c r="AI2" s="72" t="s">
        <v>50</v>
      </c>
    </row>
    <row r="3" spans="1:37" s="82" customFormat="1" x14ac:dyDescent="0.3">
      <c r="A3" s="80">
        <f>COUNTIF(A4:A278,"&lt;&gt;0")</f>
        <v>1</v>
      </c>
      <c r="B3" s="80"/>
      <c r="C3" s="80"/>
      <c r="D3" s="134">
        <f>AVERAGE(D4:D115)</f>
        <v>3.5714285714285712E-2</v>
      </c>
      <c r="E3" s="80">
        <f>SUM(E4:E101)</f>
        <v>9516</v>
      </c>
      <c r="F3" s="81"/>
      <c r="G3" s="80">
        <f>SUM(G4:G101)</f>
        <v>5849</v>
      </c>
      <c r="H3" s="80">
        <f t="shared" ref="H3:J3" si="0">SUM(H4:H101)</f>
        <v>149</v>
      </c>
      <c r="I3" s="80">
        <f t="shared" si="0"/>
        <v>10</v>
      </c>
      <c r="J3" s="80">
        <f t="shared" si="0"/>
        <v>64</v>
      </c>
      <c r="K3" s="81"/>
      <c r="L3" s="80">
        <f>+AVERAGE(L4:L39)</f>
        <v>79.277777777777771</v>
      </c>
      <c r="M3" s="80">
        <f t="shared" ref="M3:O3" si="1">+AVERAGE(M4:M39)</f>
        <v>99.416666666666671</v>
      </c>
      <c r="N3" s="80">
        <f t="shared" si="1"/>
        <v>221.33333333333334</v>
      </c>
      <c r="O3" s="80">
        <f t="shared" si="1"/>
        <v>179.72222222222223</v>
      </c>
      <c r="P3" s="81"/>
      <c r="Q3" s="80">
        <f>SUM(Q4:Q101)</f>
        <v>16693046</v>
      </c>
      <c r="R3" s="80">
        <f t="shared" ref="R3:T3" si="2">SUM(R4:R101)</f>
        <v>533271</v>
      </c>
      <c r="S3" s="80">
        <f t="shared" si="2"/>
        <v>79680</v>
      </c>
      <c r="T3" s="80">
        <f t="shared" si="2"/>
        <v>414080</v>
      </c>
      <c r="U3" s="81"/>
      <c r="V3" s="80">
        <f>SUM(V4:V101)</f>
        <v>17720077</v>
      </c>
      <c r="W3" s="80">
        <f t="shared" ref="W3:AE3" si="3">SUM(W4:W101)</f>
        <v>0</v>
      </c>
      <c r="X3" s="80">
        <f t="shared" si="3"/>
        <v>0</v>
      </c>
      <c r="Y3" s="80">
        <f t="shared" si="3"/>
        <v>17720077</v>
      </c>
      <c r="Z3" s="80">
        <f t="shared" si="3"/>
        <v>538985675.41666675</v>
      </c>
      <c r="AA3" s="80">
        <f t="shared" si="3"/>
        <v>6467828105.000001</v>
      </c>
      <c r="AB3" s="81"/>
      <c r="AC3" s="80">
        <f>V3+W3-X3</f>
        <v>17720077</v>
      </c>
      <c r="AD3" s="80">
        <f t="shared" si="3"/>
        <v>538985675.41666663</v>
      </c>
      <c r="AE3" s="80">
        <f t="shared" si="3"/>
        <v>6467828105</v>
      </c>
      <c r="AF3" s="81"/>
      <c r="AG3" s="198">
        <f>AE3/AA3</f>
        <v>0.99999999999999989</v>
      </c>
      <c r="AH3" s="198">
        <f>W3/Y3</f>
        <v>0</v>
      </c>
      <c r="AI3" s="198">
        <f>X3/Y3</f>
        <v>0</v>
      </c>
      <c r="AK3" s="82" t="s">
        <v>805</v>
      </c>
    </row>
    <row r="4" spans="1:37" x14ac:dyDescent="0.3">
      <c r="A4" t="str">
        <f>DataDemande!U37</f>
        <v>BOM/DKR</v>
      </c>
      <c r="B4" t="str">
        <f>LEFT(A4,3)</f>
        <v>BOM</v>
      </c>
      <c r="C4" t="str">
        <f>RIGHT(A4,3)</f>
        <v>DKR</v>
      </c>
      <c r="D4">
        <f>IFERROR(VLOOKUP(A4,DataCoutRevenuAux!M:Q,5,FALSE),0)</f>
        <v>4</v>
      </c>
      <c r="E4">
        <f>IFERROR(VLOOKUP(A4,DataDemande!U:Z,2,FALSE),0)</f>
        <v>9516</v>
      </c>
      <c r="F4" s="79"/>
      <c r="G4" s="77">
        <f>IFERROR(VLOOKUP($A4,DataDemande!$U:$Z,3,FALSE),0)</f>
        <v>5849</v>
      </c>
      <c r="H4" s="77">
        <f>IFERROR(VLOOKUP($A4,DataDemande!$U:$Z,4,FALSE),0)</f>
        <v>149</v>
      </c>
      <c r="I4" s="77">
        <f>IFERROR(VLOOKUP($A4,DataDemande!$U:$Z,5,FALSE),0)</f>
        <v>10</v>
      </c>
      <c r="J4" s="77">
        <f>IFERROR(VLOOKUP($A4,DataDemande!$U:$Z,6,FALSE),0)</f>
        <v>64</v>
      </c>
      <c r="K4" s="79"/>
      <c r="L4" s="77">
        <f>IFERROR(VLOOKUP($A4,DataPrixBillets!$S:$W,2,FALSE),0)</f>
        <v>2854</v>
      </c>
      <c r="M4" s="77">
        <f>IFERROR(VLOOKUP($A4,DataPrixBillets!$S:$W,3,FALSE),0)</f>
        <v>3579</v>
      </c>
      <c r="N4" s="77">
        <f>IFERROR(VLOOKUP($A4,DataPrixBillets!$S:$W,4,FALSE),0)</f>
        <v>7968</v>
      </c>
      <c r="O4" s="77">
        <f>IFERROR(VLOOKUP($A4,DataPrixBillets!$S:$W,5,FALSE),0)</f>
        <v>6470</v>
      </c>
      <c r="P4" s="79"/>
      <c r="Q4" s="77">
        <f>L4*G4</f>
        <v>16693046</v>
      </c>
      <c r="R4" s="77">
        <f t="shared" ref="R4:T4" si="4">M4*H4</f>
        <v>533271</v>
      </c>
      <c r="S4" s="77">
        <f t="shared" si="4"/>
        <v>79680</v>
      </c>
      <c r="T4" s="77">
        <f t="shared" si="4"/>
        <v>414080</v>
      </c>
      <c r="U4" s="79"/>
      <c r="V4" s="77">
        <f>(G4*L4+H4*M4+I4*N4+J4*O4)</f>
        <v>17720077</v>
      </c>
      <c r="W4" s="77">
        <f>IFERROR(VLOOKUP(A4,DataCoutRevenuAux!W:Y,2,FALSE),0)</f>
        <v>0</v>
      </c>
      <c r="X4" s="77">
        <f>IFERROR(VLOOKUP(A4,DataCoutRevenuAux!W:Y,3,FALSE),0)</f>
        <v>0</v>
      </c>
      <c r="Y4" s="77">
        <f>V4+W4</f>
        <v>17720077</v>
      </c>
      <c r="Z4" s="77">
        <f>Y4*(365/12)</f>
        <v>538985675.41666675</v>
      </c>
      <c r="AA4" s="77">
        <f>Z4*12</f>
        <v>6467828105.000001</v>
      </c>
      <c r="AB4" s="79"/>
      <c r="AC4" s="77">
        <f>V4+W4-X4</f>
        <v>17720077</v>
      </c>
      <c r="AD4" s="77">
        <f>(AC4*365)/12</f>
        <v>538985675.41666663</v>
      </c>
      <c r="AE4" s="77">
        <f>AD4*12</f>
        <v>6467828105</v>
      </c>
      <c r="AF4" s="79"/>
      <c r="AG4" s="6">
        <f>IFERROR(AE4/AA4,0)</f>
        <v>0.99999999999999989</v>
      </c>
      <c r="AH4" s="85">
        <f>IFERROR(W4/Y4,0)</f>
        <v>0</v>
      </c>
      <c r="AI4" s="6">
        <f>IFERROR(X4/Y4,0)</f>
        <v>0</v>
      </c>
    </row>
    <row r="5" spans="1:37" x14ac:dyDescent="0.3">
      <c r="A5" s="189">
        <f>DataDemande!U38</f>
        <v>0</v>
      </c>
      <c r="B5" t="str">
        <f t="shared" ref="B5:B68" si="5">LEFT(A5,3)</f>
        <v>0</v>
      </c>
      <c r="C5" t="str">
        <f t="shared" ref="C5:C68" si="6">RIGHT(A5,3)</f>
        <v>0</v>
      </c>
      <c r="D5" s="185">
        <f>IFERROR(VLOOKUP(A5,DataCoutRevenuAux!M:Q,5,FALSE),0)</f>
        <v>0</v>
      </c>
      <c r="E5">
        <f>IFERROR(VLOOKUP(A5,DataDemande!U:Z,2,FALSE),0)</f>
        <v>0</v>
      </c>
      <c r="F5" s="79"/>
      <c r="G5" s="77">
        <f>IFERROR(VLOOKUP(A5,DataDemande!U:Z,3,FALSE),0)</f>
        <v>0</v>
      </c>
      <c r="H5" s="77">
        <f>IFERROR(VLOOKUP($A5,DataDemande!$U:$Z,4,FALSE),0)</f>
        <v>0</v>
      </c>
      <c r="I5" s="77">
        <f>IFERROR(VLOOKUP($A5,DataDemande!$U:$Z,5,FALSE),0)</f>
        <v>0</v>
      </c>
      <c r="J5" s="77">
        <f>IFERROR(VLOOKUP($A5,DataDemande!$U:$Z,6,FALSE),0)</f>
        <v>0</v>
      </c>
      <c r="K5" s="79"/>
      <c r="L5" s="77">
        <f>IFERROR(VLOOKUP($A5,DataPrixBillets!$S:$W,2,FALSE),0)</f>
        <v>0</v>
      </c>
      <c r="M5" s="77">
        <f>IFERROR(VLOOKUP($A5,DataPrixBillets!$S:$W,3,FALSE),0)</f>
        <v>0</v>
      </c>
      <c r="N5" s="77">
        <f>IFERROR(VLOOKUP($A5,DataPrixBillets!$S:$W,4,FALSE),0)</f>
        <v>0</v>
      </c>
      <c r="O5" s="77">
        <f>IFERROR(VLOOKUP($A5,DataPrixBillets!$S:$W,5,FALSE),0)</f>
        <v>0</v>
      </c>
      <c r="P5" s="79"/>
      <c r="Q5" s="77">
        <f t="shared" ref="Q5:Q68" si="7">L5*G5</f>
        <v>0</v>
      </c>
      <c r="R5" s="77">
        <f t="shared" ref="R5:R68" si="8">M5*H5</f>
        <v>0</v>
      </c>
      <c r="S5" s="77">
        <f t="shared" ref="S5:S68" si="9">N5*I5</f>
        <v>0</v>
      </c>
      <c r="T5" s="77">
        <f t="shared" ref="T5:T68" si="10">O5*J5</f>
        <v>0</v>
      </c>
      <c r="U5" s="79"/>
      <c r="V5" s="77">
        <f t="shared" ref="V5:V68" si="11">(G5*L5+H5*M5+I5*N5+J5*O5)</f>
        <v>0</v>
      </c>
      <c r="W5" s="77">
        <f>IFERROR(VLOOKUP(A5,DataCoutRevenuAux!W:Y,2,FALSE),0)</f>
        <v>0</v>
      </c>
      <c r="X5" s="77">
        <f>IFERROR(VLOOKUP(A5,DataCoutRevenuAux!W:Y,3,FALSE),0)</f>
        <v>0</v>
      </c>
      <c r="Y5" s="77">
        <f t="shared" ref="Y5:Y68" si="12">V5+W5</f>
        <v>0</v>
      </c>
      <c r="Z5" s="77">
        <f t="shared" ref="Z5:Z68" si="13">Y5*(365/12)</f>
        <v>0</v>
      </c>
      <c r="AA5" s="77">
        <f t="shared" ref="AA5:AA68" si="14">Z5*12</f>
        <v>0</v>
      </c>
      <c r="AB5" s="79"/>
      <c r="AC5" s="77">
        <f t="shared" ref="AC5:AC68" si="15">V5+W5-X5</f>
        <v>0</v>
      </c>
      <c r="AD5" s="77">
        <f t="shared" ref="AD5:AD68" si="16">(AC5*365)/12</f>
        <v>0</v>
      </c>
      <c r="AE5" s="77">
        <f t="shared" ref="AE5:AE68" si="17">AD5*12</f>
        <v>0</v>
      </c>
      <c r="AF5" s="79"/>
      <c r="AG5" s="6">
        <f t="shared" ref="AG5:AG68" si="18">IFERROR(AE5/AA5,0)</f>
        <v>0</v>
      </c>
      <c r="AH5" s="6">
        <f t="shared" ref="AH5:AH68" si="19">IFERROR(W5/Y5,0)</f>
        <v>0</v>
      </c>
      <c r="AI5" s="6">
        <f t="shared" ref="AI5:AI68" si="20">IFERROR(X5/Y5,0)</f>
        <v>0</v>
      </c>
    </row>
    <row r="6" spans="1:37" x14ac:dyDescent="0.3">
      <c r="A6" s="189">
        <f>DataDemande!U39</f>
        <v>0</v>
      </c>
      <c r="B6" t="str">
        <f t="shared" si="5"/>
        <v>0</v>
      </c>
      <c r="C6" t="str">
        <f t="shared" si="6"/>
        <v>0</v>
      </c>
      <c r="D6" s="185">
        <f>IFERROR(VLOOKUP(A6,DataCoutRevenuAux!M:Q,5,FALSE),0)</f>
        <v>0</v>
      </c>
      <c r="E6">
        <f>IFERROR(VLOOKUP(A6,DataDemande!U:Z,2,FALSE),0)</f>
        <v>0</v>
      </c>
      <c r="F6" s="79"/>
      <c r="G6" s="77">
        <f>IFERROR(VLOOKUP(A6,DataDemande!U:Z,3,FALSE),0)</f>
        <v>0</v>
      </c>
      <c r="H6" s="77">
        <f>IFERROR(VLOOKUP($A6,DataDemande!$U:$Z,4,FALSE),0)</f>
        <v>0</v>
      </c>
      <c r="I6" s="77">
        <f>IFERROR(VLOOKUP($A6,DataDemande!$U:$Z,5,FALSE),0)</f>
        <v>0</v>
      </c>
      <c r="J6" s="77">
        <f>IFERROR(VLOOKUP($A6,DataDemande!$U:$Z,6,FALSE),0)</f>
        <v>0</v>
      </c>
      <c r="K6" s="79"/>
      <c r="L6" s="77">
        <f>IFERROR(VLOOKUP($A6,DataPrixBillets!$S:$W,2,FALSE),0)</f>
        <v>0</v>
      </c>
      <c r="M6" s="77">
        <f>IFERROR(VLOOKUP($A6,DataPrixBillets!$S:$W,3,FALSE),0)</f>
        <v>0</v>
      </c>
      <c r="N6" s="77">
        <f>IFERROR(VLOOKUP($A6,DataPrixBillets!$S:$W,4,FALSE),0)</f>
        <v>0</v>
      </c>
      <c r="O6" s="77">
        <f>IFERROR(VLOOKUP($A6,DataPrixBillets!$S:$W,5,FALSE),0)</f>
        <v>0</v>
      </c>
      <c r="P6" s="79"/>
      <c r="Q6" s="77">
        <f t="shared" si="7"/>
        <v>0</v>
      </c>
      <c r="R6" s="77">
        <f t="shared" si="8"/>
        <v>0</v>
      </c>
      <c r="S6" s="77">
        <f t="shared" si="9"/>
        <v>0</v>
      </c>
      <c r="T6" s="77">
        <f t="shared" si="10"/>
        <v>0</v>
      </c>
      <c r="U6" s="79"/>
      <c r="V6" s="77">
        <f t="shared" si="11"/>
        <v>0</v>
      </c>
      <c r="W6" s="77">
        <f>IFERROR(VLOOKUP(A6,DataCoutRevenuAux!W:Y,2,FALSE),0)</f>
        <v>0</v>
      </c>
      <c r="X6" s="77">
        <f>IFERROR(VLOOKUP(A6,DataCoutRevenuAux!W:Y,3,FALSE),0)</f>
        <v>0</v>
      </c>
      <c r="Y6" s="77">
        <f t="shared" si="12"/>
        <v>0</v>
      </c>
      <c r="Z6" s="77">
        <f t="shared" si="13"/>
        <v>0</v>
      </c>
      <c r="AA6" s="77">
        <f t="shared" si="14"/>
        <v>0</v>
      </c>
      <c r="AB6" s="79"/>
      <c r="AC6" s="77">
        <f t="shared" si="15"/>
        <v>0</v>
      </c>
      <c r="AD6" s="77">
        <f t="shared" si="16"/>
        <v>0</v>
      </c>
      <c r="AE6" s="77">
        <f t="shared" si="17"/>
        <v>0</v>
      </c>
      <c r="AF6" s="79"/>
      <c r="AG6" s="6">
        <f t="shared" si="18"/>
        <v>0</v>
      </c>
      <c r="AH6" s="6">
        <f t="shared" si="19"/>
        <v>0</v>
      </c>
      <c r="AI6" s="6">
        <f t="shared" si="20"/>
        <v>0</v>
      </c>
    </row>
    <row r="7" spans="1:37" x14ac:dyDescent="0.3">
      <c r="A7" s="189">
        <f>DataDemande!U40</f>
        <v>0</v>
      </c>
      <c r="B7" t="str">
        <f t="shared" si="5"/>
        <v>0</v>
      </c>
      <c r="C7" t="str">
        <f t="shared" si="6"/>
        <v>0</v>
      </c>
      <c r="D7" s="185">
        <f>IFERROR(VLOOKUP(A7,DataCoutRevenuAux!M:Q,5,FALSE),0)</f>
        <v>0</v>
      </c>
      <c r="E7">
        <f>IFERROR(VLOOKUP(A7,DataDemande!U:Z,2,FALSE),0)</f>
        <v>0</v>
      </c>
      <c r="F7" s="79"/>
      <c r="G7" s="77">
        <f>IFERROR(VLOOKUP(A7,DataDemande!U:Z,3,FALSE),0)</f>
        <v>0</v>
      </c>
      <c r="H7" s="77">
        <f>IFERROR(VLOOKUP($A7,DataDemande!$U:$Z,4,FALSE),0)</f>
        <v>0</v>
      </c>
      <c r="I7" s="77">
        <f>IFERROR(VLOOKUP($A7,DataDemande!$U:$Z,5,FALSE),0)</f>
        <v>0</v>
      </c>
      <c r="J7" s="77">
        <f>IFERROR(VLOOKUP($A7,DataDemande!$U:$Z,6,FALSE),0)</f>
        <v>0</v>
      </c>
      <c r="K7" s="79"/>
      <c r="L7" s="77">
        <f>IFERROR(VLOOKUP($A7,DataPrixBillets!$S:$W,2,FALSE),0)</f>
        <v>0</v>
      </c>
      <c r="M7" s="77">
        <f>IFERROR(VLOOKUP($A7,DataPrixBillets!$S:$W,3,FALSE),0)</f>
        <v>0</v>
      </c>
      <c r="N7" s="77">
        <f>IFERROR(VLOOKUP($A7,DataPrixBillets!$S:$W,4,FALSE),0)</f>
        <v>0</v>
      </c>
      <c r="O7" s="77">
        <f>IFERROR(VLOOKUP($A7,DataPrixBillets!$S:$W,5,FALSE),0)</f>
        <v>0</v>
      </c>
      <c r="P7" s="79"/>
      <c r="Q7" s="77">
        <f t="shared" si="7"/>
        <v>0</v>
      </c>
      <c r="R7" s="77">
        <f t="shared" si="8"/>
        <v>0</v>
      </c>
      <c r="S7" s="77">
        <f t="shared" si="9"/>
        <v>0</v>
      </c>
      <c r="T7" s="77">
        <f t="shared" si="10"/>
        <v>0</v>
      </c>
      <c r="U7" s="79"/>
      <c r="V7" s="77">
        <f t="shared" si="11"/>
        <v>0</v>
      </c>
      <c r="W7" s="77">
        <f>IFERROR(VLOOKUP(A7,DataCoutRevenuAux!W:Y,2,FALSE),0)</f>
        <v>0</v>
      </c>
      <c r="X7" s="77">
        <f>IFERROR(VLOOKUP(A7,DataCoutRevenuAux!W:Y,3,FALSE),0)</f>
        <v>0</v>
      </c>
      <c r="Y7" s="77">
        <f t="shared" si="12"/>
        <v>0</v>
      </c>
      <c r="Z7" s="77">
        <f t="shared" si="13"/>
        <v>0</v>
      </c>
      <c r="AA7" s="77">
        <f t="shared" si="14"/>
        <v>0</v>
      </c>
      <c r="AB7" s="79"/>
      <c r="AC7" s="77">
        <f t="shared" si="15"/>
        <v>0</v>
      </c>
      <c r="AD7" s="77">
        <f t="shared" si="16"/>
        <v>0</v>
      </c>
      <c r="AE7" s="77">
        <f t="shared" si="17"/>
        <v>0</v>
      </c>
      <c r="AF7" s="79"/>
      <c r="AG7" s="6">
        <f t="shared" si="18"/>
        <v>0</v>
      </c>
      <c r="AH7" s="6">
        <f t="shared" si="19"/>
        <v>0</v>
      </c>
      <c r="AI7" s="6">
        <f t="shared" si="20"/>
        <v>0</v>
      </c>
    </row>
    <row r="8" spans="1:37" x14ac:dyDescent="0.3">
      <c r="A8" s="189">
        <f>DataDemande!U41</f>
        <v>0</v>
      </c>
      <c r="B8" t="str">
        <f t="shared" si="5"/>
        <v>0</v>
      </c>
      <c r="C8" t="str">
        <f t="shared" si="6"/>
        <v>0</v>
      </c>
      <c r="D8" s="185">
        <f>IFERROR(VLOOKUP(A8,DataCoutRevenuAux!M:Q,5,FALSE),0)</f>
        <v>0</v>
      </c>
      <c r="E8">
        <f>IFERROR(VLOOKUP(A8,DataDemande!U:Z,2,FALSE),0)</f>
        <v>0</v>
      </c>
      <c r="F8" s="79"/>
      <c r="G8" s="77">
        <f>IFERROR(VLOOKUP(A8,DataDemande!U:Z,3,FALSE),0)</f>
        <v>0</v>
      </c>
      <c r="H8" s="77">
        <f>IFERROR(VLOOKUP($A8,DataDemande!$U:$Z,4,FALSE),0)</f>
        <v>0</v>
      </c>
      <c r="I8" s="77">
        <f>IFERROR(VLOOKUP($A8,DataDemande!$U:$Z,5,FALSE),0)</f>
        <v>0</v>
      </c>
      <c r="J8" s="77">
        <f>IFERROR(VLOOKUP($A8,DataDemande!$U:$Z,6,FALSE),0)</f>
        <v>0</v>
      </c>
      <c r="K8" s="79"/>
      <c r="L8" s="77">
        <f>IFERROR(VLOOKUP($A8,DataPrixBillets!$S:$W,2,FALSE),0)</f>
        <v>0</v>
      </c>
      <c r="M8" s="77">
        <f>IFERROR(VLOOKUP($A8,DataPrixBillets!$S:$W,3,FALSE),0)</f>
        <v>0</v>
      </c>
      <c r="N8" s="77">
        <f>IFERROR(VLOOKUP($A8,DataPrixBillets!$S:$W,4,FALSE),0)</f>
        <v>0</v>
      </c>
      <c r="O8" s="77">
        <f>IFERROR(VLOOKUP($A8,DataPrixBillets!$S:$W,5,FALSE),0)</f>
        <v>0</v>
      </c>
      <c r="P8" s="79"/>
      <c r="Q8" s="77">
        <f t="shared" si="7"/>
        <v>0</v>
      </c>
      <c r="R8" s="77">
        <f t="shared" si="8"/>
        <v>0</v>
      </c>
      <c r="S8" s="77">
        <f t="shared" si="9"/>
        <v>0</v>
      </c>
      <c r="T8" s="77">
        <f t="shared" si="10"/>
        <v>0</v>
      </c>
      <c r="U8" s="79"/>
      <c r="V8" s="77">
        <f t="shared" si="11"/>
        <v>0</v>
      </c>
      <c r="W8" s="77">
        <f>IFERROR(VLOOKUP(A8,DataCoutRevenuAux!W:Y,2,FALSE),0)</f>
        <v>0</v>
      </c>
      <c r="X8" s="77">
        <f>IFERROR(VLOOKUP(A8,DataCoutRevenuAux!W:Y,3,FALSE),0)</f>
        <v>0</v>
      </c>
      <c r="Y8" s="77">
        <f t="shared" si="12"/>
        <v>0</v>
      </c>
      <c r="Z8" s="77">
        <f t="shared" si="13"/>
        <v>0</v>
      </c>
      <c r="AA8" s="77">
        <f t="shared" si="14"/>
        <v>0</v>
      </c>
      <c r="AB8" s="79"/>
      <c r="AC8" s="77">
        <f t="shared" si="15"/>
        <v>0</v>
      </c>
      <c r="AD8" s="77">
        <f t="shared" si="16"/>
        <v>0</v>
      </c>
      <c r="AE8" s="77">
        <f t="shared" si="17"/>
        <v>0</v>
      </c>
      <c r="AF8" s="79"/>
      <c r="AG8" s="6">
        <f t="shared" si="18"/>
        <v>0</v>
      </c>
      <c r="AH8" s="6">
        <f t="shared" si="19"/>
        <v>0</v>
      </c>
      <c r="AI8" s="6">
        <f t="shared" si="20"/>
        <v>0</v>
      </c>
    </row>
    <row r="9" spans="1:37" x14ac:dyDescent="0.3">
      <c r="A9" s="189">
        <f>DataDemande!U42</f>
        <v>0</v>
      </c>
      <c r="B9" t="str">
        <f t="shared" si="5"/>
        <v>0</v>
      </c>
      <c r="C9" t="str">
        <f t="shared" si="6"/>
        <v>0</v>
      </c>
      <c r="D9" s="185">
        <f>IFERROR(VLOOKUP(A9,DataCoutRevenuAux!M:Q,5,FALSE),0)</f>
        <v>0</v>
      </c>
      <c r="E9">
        <f>IFERROR(VLOOKUP(A9,DataDemande!U:Z,2,FALSE),0)</f>
        <v>0</v>
      </c>
      <c r="F9" s="79"/>
      <c r="G9" s="77">
        <f>IFERROR(VLOOKUP(A9,DataDemande!U:Z,3,FALSE),0)</f>
        <v>0</v>
      </c>
      <c r="H9" s="77">
        <f>IFERROR(VLOOKUP($A9,DataDemande!$U:$Z,4,FALSE),0)</f>
        <v>0</v>
      </c>
      <c r="I9" s="77">
        <f>IFERROR(VLOOKUP($A9,DataDemande!$U:$Z,5,FALSE),0)</f>
        <v>0</v>
      </c>
      <c r="J9" s="77">
        <f>IFERROR(VLOOKUP($A9,DataDemande!$U:$Z,6,FALSE),0)</f>
        <v>0</v>
      </c>
      <c r="K9" s="79"/>
      <c r="L9" s="77">
        <f>IFERROR(VLOOKUP($A9,DataPrixBillets!$S:$W,2,FALSE),0)</f>
        <v>0</v>
      </c>
      <c r="M9" s="77">
        <f>IFERROR(VLOOKUP($A9,DataPrixBillets!$S:$W,3,FALSE),0)</f>
        <v>0</v>
      </c>
      <c r="N9" s="77">
        <f>IFERROR(VLOOKUP($A9,DataPrixBillets!$S:$W,4,FALSE),0)</f>
        <v>0</v>
      </c>
      <c r="O9" s="77">
        <f>IFERROR(VLOOKUP($A9,DataPrixBillets!$S:$W,5,FALSE),0)</f>
        <v>0</v>
      </c>
      <c r="P9" s="79"/>
      <c r="Q9" s="77">
        <f t="shared" si="7"/>
        <v>0</v>
      </c>
      <c r="R9" s="77">
        <f t="shared" si="8"/>
        <v>0</v>
      </c>
      <c r="S9" s="77">
        <f t="shared" si="9"/>
        <v>0</v>
      </c>
      <c r="T9" s="77">
        <f t="shared" si="10"/>
        <v>0</v>
      </c>
      <c r="U9" s="79"/>
      <c r="V9" s="77">
        <f t="shared" si="11"/>
        <v>0</v>
      </c>
      <c r="W9" s="77">
        <f>IFERROR(VLOOKUP(A9,DataCoutRevenuAux!W:Y,2,FALSE),0)</f>
        <v>0</v>
      </c>
      <c r="X9" s="77">
        <f>IFERROR(VLOOKUP(A9,DataCoutRevenuAux!W:Y,3,FALSE),0)</f>
        <v>0</v>
      </c>
      <c r="Y9" s="77">
        <f t="shared" si="12"/>
        <v>0</v>
      </c>
      <c r="Z9" s="77">
        <f t="shared" si="13"/>
        <v>0</v>
      </c>
      <c r="AA9" s="77">
        <f t="shared" si="14"/>
        <v>0</v>
      </c>
      <c r="AB9" s="79"/>
      <c r="AC9" s="77">
        <f t="shared" si="15"/>
        <v>0</v>
      </c>
      <c r="AD9" s="77">
        <f t="shared" si="16"/>
        <v>0</v>
      </c>
      <c r="AE9" s="77">
        <f t="shared" si="17"/>
        <v>0</v>
      </c>
      <c r="AF9" s="79"/>
      <c r="AG9" s="6">
        <f t="shared" si="18"/>
        <v>0</v>
      </c>
      <c r="AH9" s="6">
        <f t="shared" si="19"/>
        <v>0</v>
      </c>
      <c r="AI9" s="6">
        <f t="shared" si="20"/>
        <v>0</v>
      </c>
    </row>
    <row r="10" spans="1:37" x14ac:dyDescent="0.3">
      <c r="A10" s="189">
        <f>DataDemande!U43</f>
        <v>0</v>
      </c>
      <c r="B10" t="str">
        <f t="shared" si="5"/>
        <v>0</v>
      </c>
      <c r="C10" t="str">
        <f t="shared" si="6"/>
        <v>0</v>
      </c>
      <c r="D10" s="185">
        <f>IFERROR(VLOOKUP(A10,DataCoutRevenuAux!M:Q,5,FALSE),0)</f>
        <v>0</v>
      </c>
      <c r="E10">
        <f>IFERROR(VLOOKUP(A10,DataDemande!U:Z,2,FALSE),0)</f>
        <v>0</v>
      </c>
      <c r="F10" s="79"/>
      <c r="G10" s="77">
        <f>IFERROR(VLOOKUP(A10,DataDemande!U:Z,3,FALSE),0)</f>
        <v>0</v>
      </c>
      <c r="H10" s="77">
        <f>IFERROR(VLOOKUP($A10,DataDemande!$U:$Z,4,FALSE),0)</f>
        <v>0</v>
      </c>
      <c r="I10" s="77">
        <f>IFERROR(VLOOKUP($A10,DataDemande!$U:$Z,5,FALSE),0)</f>
        <v>0</v>
      </c>
      <c r="J10" s="77">
        <f>IFERROR(VLOOKUP($A10,DataDemande!$U:$Z,6,FALSE),0)</f>
        <v>0</v>
      </c>
      <c r="K10" s="79"/>
      <c r="L10" s="77">
        <f>IFERROR(VLOOKUP($A10,DataPrixBillets!$S:$W,2,FALSE),0)</f>
        <v>0</v>
      </c>
      <c r="M10" s="77">
        <f>IFERROR(VLOOKUP($A10,DataPrixBillets!$S:$W,3,FALSE),0)</f>
        <v>0</v>
      </c>
      <c r="N10" s="77">
        <f>IFERROR(VLOOKUP($A10,DataPrixBillets!$S:$W,4,FALSE),0)</f>
        <v>0</v>
      </c>
      <c r="O10" s="77">
        <f>IFERROR(VLOOKUP($A10,DataPrixBillets!$S:$W,5,FALSE),0)</f>
        <v>0</v>
      </c>
      <c r="P10" s="79"/>
      <c r="Q10" s="77">
        <f t="shared" si="7"/>
        <v>0</v>
      </c>
      <c r="R10" s="77">
        <f t="shared" si="8"/>
        <v>0</v>
      </c>
      <c r="S10" s="77">
        <f t="shared" si="9"/>
        <v>0</v>
      </c>
      <c r="T10" s="77">
        <f t="shared" si="10"/>
        <v>0</v>
      </c>
      <c r="U10" s="79"/>
      <c r="V10" s="77">
        <f t="shared" si="11"/>
        <v>0</v>
      </c>
      <c r="W10" s="77">
        <f>IFERROR(VLOOKUP(A10,DataCoutRevenuAux!W:Y,2,FALSE),0)</f>
        <v>0</v>
      </c>
      <c r="X10" s="77">
        <f>IFERROR(VLOOKUP(A10,DataCoutRevenuAux!W:Y,3,FALSE),0)</f>
        <v>0</v>
      </c>
      <c r="Y10" s="77">
        <f t="shared" si="12"/>
        <v>0</v>
      </c>
      <c r="Z10" s="77">
        <f t="shared" si="13"/>
        <v>0</v>
      </c>
      <c r="AA10" s="77">
        <f t="shared" si="14"/>
        <v>0</v>
      </c>
      <c r="AB10" s="79"/>
      <c r="AC10" s="77">
        <f t="shared" si="15"/>
        <v>0</v>
      </c>
      <c r="AD10" s="77">
        <f t="shared" si="16"/>
        <v>0</v>
      </c>
      <c r="AE10" s="77">
        <f t="shared" si="17"/>
        <v>0</v>
      </c>
      <c r="AF10" s="79"/>
      <c r="AG10" s="6">
        <f t="shared" si="18"/>
        <v>0</v>
      </c>
      <c r="AH10" s="6">
        <f t="shared" si="19"/>
        <v>0</v>
      </c>
      <c r="AI10" s="6">
        <f t="shared" si="20"/>
        <v>0</v>
      </c>
    </row>
    <row r="11" spans="1:37" x14ac:dyDescent="0.3">
      <c r="A11" s="189">
        <f>DataDemande!U44</f>
        <v>0</v>
      </c>
      <c r="B11" t="str">
        <f t="shared" si="5"/>
        <v>0</v>
      </c>
      <c r="C11" t="str">
        <f t="shared" si="6"/>
        <v>0</v>
      </c>
      <c r="D11" s="185">
        <f>IFERROR(VLOOKUP(A11,DataCoutRevenuAux!M:Q,5,FALSE),0)</f>
        <v>0</v>
      </c>
      <c r="E11">
        <f>IFERROR(VLOOKUP(A11,DataDemande!U:Z,2,FALSE),0)</f>
        <v>0</v>
      </c>
      <c r="F11" s="79"/>
      <c r="G11" s="77">
        <f>IFERROR(VLOOKUP(A11,DataDemande!U:Z,3,FALSE),0)</f>
        <v>0</v>
      </c>
      <c r="H11" s="77">
        <f>IFERROR(VLOOKUP($A11,DataDemande!$U:$Z,4,FALSE),0)</f>
        <v>0</v>
      </c>
      <c r="I11" s="77">
        <f>IFERROR(VLOOKUP($A11,DataDemande!$U:$Z,5,FALSE),0)</f>
        <v>0</v>
      </c>
      <c r="J11" s="77">
        <f>IFERROR(VLOOKUP($A11,DataDemande!$U:$Z,6,FALSE),0)</f>
        <v>0</v>
      </c>
      <c r="K11" s="79"/>
      <c r="L11" s="77">
        <f>IFERROR(VLOOKUP($A11,DataPrixBillets!$S:$W,2,FALSE),0)</f>
        <v>0</v>
      </c>
      <c r="M11" s="77">
        <f>IFERROR(VLOOKUP($A11,DataPrixBillets!$S:$W,3,FALSE),0)</f>
        <v>0</v>
      </c>
      <c r="N11" s="77">
        <f>IFERROR(VLOOKUP($A11,DataPrixBillets!$S:$W,4,FALSE),0)</f>
        <v>0</v>
      </c>
      <c r="O11" s="77">
        <f>IFERROR(VLOOKUP($A11,DataPrixBillets!$S:$W,5,FALSE),0)</f>
        <v>0</v>
      </c>
      <c r="P11" s="79"/>
      <c r="Q11" s="77">
        <f t="shared" si="7"/>
        <v>0</v>
      </c>
      <c r="R11" s="77">
        <f t="shared" si="8"/>
        <v>0</v>
      </c>
      <c r="S11" s="77">
        <f t="shared" si="9"/>
        <v>0</v>
      </c>
      <c r="T11" s="77">
        <f t="shared" si="10"/>
        <v>0</v>
      </c>
      <c r="U11" s="79"/>
      <c r="V11" s="77">
        <f t="shared" si="11"/>
        <v>0</v>
      </c>
      <c r="W11" s="77">
        <f>IFERROR(VLOOKUP(A11,DataCoutRevenuAux!W:Y,2,FALSE),0)</f>
        <v>0</v>
      </c>
      <c r="X11" s="77">
        <f>IFERROR(VLOOKUP(A11,DataCoutRevenuAux!W:Y,3,FALSE),0)</f>
        <v>0</v>
      </c>
      <c r="Y11" s="77">
        <f t="shared" si="12"/>
        <v>0</v>
      </c>
      <c r="Z11" s="77">
        <f t="shared" si="13"/>
        <v>0</v>
      </c>
      <c r="AA11" s="77">
        <f t="shared" si="14"/>
        <v>0</v>
      </c>
      <c r="AB11" s="79"/>
      <c r="AC11" s="77">
        <f t="shared" si="15"/>
        <v>0</v>
      </c>
      <c r="AD11" s="77">
        <f t="shared" si="16"/>
        <v>0</v>
      </c>
      <c r="AE11" s="77">
        <f t="shared" si="17"/>
        <v>0</v>
      </c>
      <c r="AF11" s="79"/>
      <c r="AG11" s="6">
        <f t="shared" si="18"/>
        <v>0</v>
      </c>
      <c r="AH11" s="6">
        <f t="shared" si="19"/>
        <v>0</v>
      </c>
      <c r="AI11" s="6">
        <f t="shared" si="20"/>
        <v>0</v>
      </c>
    </row>
    <row r="12" spans="1:37" x14ac:dyDescent="0.3">
      <c r="A12" s="189">
        <f>DataDemande!U45</f>
        <v>0</v>
      </c>
      <c r="B12" t="str">
        <f t="shared" si="5"/>
        <v>0</v>
      </c>
      <c r="C12" t="str">
        <f t="shared" si="6"/>
        <v>0</v>
      </c>
      <c r="D12" s="185">
        <f>IFERROR(VLOOKUP(A12,DataCoutRevenuAux!M:Q,5,FALSE),0)</f>
        <v>0</v>
      </c>
      <c r="E12">
        <f>IFERROR(VLOOKUP(A12,DataDemande!U:Z,2,FALSE),0)</f>
        <v>0</v>
      </c>
      <c r="F12" s="79"/>
      <c r="G12" s="77">
        <f>IFERROR(VLOOKUP(A12,DataDemande!U:Z,3,FALSE),0)</f>
        <v>0</v>
      </c>
      <c r="H12" s="77">
        <f>IFERROR(VLOOKUP($A12,DataDemande!$U:$Z,4,FALSE),0)</f>
        <v>0</v>
      </c>
      <c r="I12" s="77">
        <f>IFERROR(VLOOKUP($A12,DataDemande!$U:$Z,5,FALSE),0)</f>
        <v>0</v>
      </c>
      <c r="J12" s="77">
        <f>IFERROR(VLOOKUP($A12,DataDemande!$U:$Z,6,FALSE),0)</f>
        <v>0</v>
      </c>
      <c r="K12" s="79"/>
      <c r="L12" s="77">
        <f>IFERROR(VLOOKUP($A12,DataPrixBillets!$S:$W,2,FALSE),0)</f>
        <v>0</v>
      </c>
      <c r="M12" s="77">
        <f>IFERROR(VLOOKUP($A12,DataPrixBillets!$S:$W,3,FALSE),0)</f>
        <v>0</v>
      </c>
      <c r="N12" s="77">
        <f>IFERROR(VLOOKUP($A12,DataPrixBillets!$S:$W,4,FALSE),0)</f>
        <v>0</v>
      </c>
      <c r="O12" s="77">
        <f>IFERROR(VLOOKUP($A12,DataPrixBillets!$S:$W,5,FALSE),0)</f>
        <v>0</v>
      </c>
      <c r="P12" s="79"/>
      <c r="Q12" s="77">
        <f t="shared" si="7"/>
        <v>0</v>
      </c>
      <c r="R12" s="77">
        <f t="shared" si="8"/>
        <v>0</v>
      </c>
      <c r="S12" s="77">
        <f t="shared" si="9"/>
        <v>0</v>
      </c>
      <c r="T12" s="77">
        <f t="shared" si="10"/>
        <v>0</v>
      </c>
      <c r="U12" s="79"/>
      <c r="V12" s="77">
        <f t="shared" si="11"/>
        <v>0</v>
      </c>
      <c r="W12" s="77">
        <f>IFERROR(VLOOKUP(A12,DataCoutRevenuAux!W:Y,2,FALSE),0)</f>
        <v>0</v>
      </c>
      <c r="X12" s="77">
        <f>IFERROR(VLOOKUP(A12,DataCoutRevenuAux!W:Y,3,FALSE),0)</f>
        <v>0</v>
      </c>
      <c r="Y12" s="77">
        <f t="shared" si="12"/>
        <v>0</v>
      </c>
      <c r="Z12" s="77">
        <f t="shared" si="13"/>
        <v>0</v>
      </c>
      <c r="AA12" s="77">
        <f t="shared" si="14"/>
        <v>0</v>
      </c>
      <c r="AB12" s="79"/>
      <c r="AC12" s="77">
        <f t="shared" si="15"/>
        <v>0</v>
      </c>
      <c r="AD12" s="77">
        <f t="shared" si="16"/>
        <v>0</v>
      </c>
      <c r="AE12" s="77">
        <f t="shared" si="17"/>
        <v>0</v>
      </c>
      <c r="AF12" s="79"/>
      <c r="AG12" s="6">
        <f t="shared" si="18"/>
        <v>0</v>
      </c>
      <c r="AH12" s="6">
        <f t="shared" si="19"/>
        <v>0</v>
      </c>
      <c r="AI12" s="6">
        <f t="shared" si="20"/>
        <v>0</v>
      </c>
    </row>
    <row r="13" spans="1:37" x14ac:dyDescent="0.3">
      <c r="A13" s="189">
        <f>DataDemande!U46</f>
        <v>0</v>
      </c>
      <c r="B13" t="str">
        <f t="shared" si="5"/>
        <v>0</v>
      </c>
      <c r="C13" t="str">
        <f t="shared" si="6"/>
        <v>0</v>
      </c>
      <c r="D13" s="185">
        <f>IFERROR(VLOOKUP(A13,DataCoutRevenuAux!M:Q,5,FALSE),0)</f>
        <v>0</v>
      </c>
      <c r="E13">
        <f>IFERROR(VLOOKUP(A13,DataDemande!U:Z,2,FALSE),0)</f>
        <v>0</v>
      </c>
      <c r="F13" s="79"/>
      <c r="G13" s="77">
        <f>IFERROR(VLOOKUP(A13,DataDemande!U:Z,3,FALSE),0)</f>
        <v>0</v>
      </c>
      <c r="H13" s="77">
        <f>IFERROR(VLOOKUP($A13,DataDemande!$U:$Z,4,FALSE),0)</f>
        <v>0</v>
      </c>
      <c r="I13" s="77">
        <f>IFERROR(VLOOKUP($A13,DataDemande!$U:$Z,5,FALSE),0)</f>
        <v>0</v>
      </c>
      <c r="J13" s="77">
        <f>IFERROR(VLOOKUP($A13,DataDemande!$U:$Z,6,FALSE),0)</f>
        <v>0</v>
      </c>
      <c r="K13" s="79"/>
      <c r="L13" s="77">
        <f>IFERROR(VLOOKUP($A13,DataPrixBillets!$S:$W,2,FALSE),0)</f>
        <v>0</v>
      </c>
      <c r="M13" s="77">
        <f>IFERROR(VLOOKUP($A13,DataPrixBillets!$S:$W,3,FALSE),0)</f>
        <v>0</v>
      </c>
      <c r="N13" s="77">
        <f>IFERROR(VLOOKUP($A13,DataPrixBillets!$S:$W,4,FALSE),0)</f>
        <v>0</v>
      </c>
      <c r="O13" s="77">
        <f>IFERROR(VLOOKUP($A13,DataPrixBillets!$S:$W,5,FALSE),0)</f>
        <v>0</v>
      </c>
      <c r="P13" s="79"/>
      <c r="Q13" s="77">
        <f t="shared" si="7"/>
        <v>0</v>
      </c>
      <c r="R13" s="77">
        <f t="shared" si="8"/>
        <v>0</v>
      </c>
      <c r="S13" s="77">
        <f t="shared" si="9"/>
        <v>0</v>
      </c>
      <c r="T13" s="77">
        <f t="shared" si="10"/>
        <v>0</v>
      </c>
      <c r="U13" s="79"/>
      <c r="V13" s="77">
        <f t="shared" si="11"/>
        <v>0</v>
      </c>
      <c r="W13" s="77">
        <f>IFERROR(VLOOKUP(A13,DataCoutRevenuAux!W:Y,2,FALSE),0)</f>
        <v>0</v>
      </c>
      <c r="X13" s="77">
        <f>IFERROR(VLOOKUP(A13,DataCoutRevenuAux!W:Y,3,FALSE),0)</f>
        <v>0</v>
      </c>
      <c r="Y13" s="77">
        <f t="shared" si="12"/>
        <v>0</v>
      </c>
      <c r="Z13" s="77">
        <f t="shared" si="13"/>
        <v>0</v>
      </c>
      <c r="AA13" s="77">
        <f t="shared" si="14"/>
        <v>0</v>
      </c>
      <c r="AB13" s="79"/>
      <c r="AC13" s="77">
        <f t="shared" si="15"/>
        <v>0</v>
      </c>
      <c r="AD13" s="77">
        <f t="shared" si="16"/>
        <v>0</v>
      </c>
      <c r="AE13" s="77">
        <f t="shared" si="17"/>
        <v>0</v>
      </c>
      <c r="AF13" s="79"/>
      <c r="AG13" s="6">
        <f t="shared" si="18"/>
        <v>0</v>
      </c>
      <c r="AH13" s="6">
        <f t="shared" si="19"/>
        <v>0</v>
      </c>
      <c r="AI13" s="6">
        <f t="shared" si="20"/>
        <v>0</v>
      </c>
    </row>
    <row r="14" spans="1:37" x14ac:dyDescent="0.3">
      <c r="A14" s="189">
        <f>DataDemande!U47</f>
        <v>0</v>
      </c>
      <c r="B14" t="str">
        <f t="shared" si="5"/>
        <v>0</v>
      </c>
      <c r="C14" t="str">
        <f t="shared" si="6"/>
        <v>0</v>
      </c>
      <c r="D14" s="185">
        <f>IFERROR(VLOOKUP(A14,DataCoutRevenuAux!M:Q,5,FALSE),0)</f>
        <v>0</v>
      </c>
      <c r="E14">
        <f>IFERROR(VLOOKUP(A14,DataDemande!U:Z,2,FALSE),0)</f>
        <v>0</v>
      </c>
      <c r="F14" s="79"/>
      <c r="G14" s="77">
        <f>IFERROR(VLOOKUP(A14,DataDemande!U:Z,3,FALSE),0)</f>
        <v>0</v>
      </c>
      <c r="H14" s="77">
        <f>IFERROR(VLOOKUP($A14,DataDemande!$U:$Z,4,FALSE),0)</f>
        <v>0</v>
      </c>
      <c r="I14" s="77">
        <f>IFERROR(VLOOKUP($A14,DataDemande!$U:$Z,5,FALSE),0)</f>
        <v>0</v>
      </c>
      <c r="J14" s="77">
        <f>IFERROR(VLOOKUP($A14,DataDemande!$U:$Z,6,FALSE),0)</f>
        <v>0</v>
      </c>
      <c r="K14" s="79"/>
      <c r="L14" s="77">
        <f>IFERROR(VLOOKUP($A14,DataPrixBillets!$S:$W,2,FALSE),0)</f>
        <v>0</v>
      </c>
      <c r="M14" s="77">
        <f>IFERROR(VLOOKUP($A14,DataPrixBillets!$S:$W,3,FALSE),0)</f>
        <v>0</v>
      </c>
      <c r="N14" s="77">
        <f>IFERROR(VLOOKUP($A14,DataPrixBillets!$S:$W,4,FALSE),0)</f>
        <v>0</v>
      </c>
      <c r="O14" s="77">
        <f>IFERROR(VLOOKUP($A14,DataPrixBillets!$S:$W,5,FALSE),0)</f>
        <v>0</v>
      </c>
      <c r="P14" s="79"/>
      <c r="Q14" s="77">
        <f t="shared" si="7"/>
        <v>0</v>
      </c>
      <c r="R14" s="77">
        <f t="shared" si="8"/>
        <v>0</v>
      </c>
      <c r="S14" s="77">
        <f t="shared" si="9"/>
        <v>0</v>
      </c>
      <c r="T14" s="77">
        <f t="shared" si="10"/>
        <v>0</v>
      </c>
      <c r="U14" s="79"/>
      <c r="V14" s="77">
        <f t="shared" si="11"/>
        <v>0</v>
      </c>
      <c r="W14" s="77">
        <f>IFERROR(VLOOKUP(A14,DataCoutRevenuAux!W:Y,2,FALSE),0)</f>
        <v>0</v>
      </c>
      <c r="X14" s="77">
        <f>IFERROR(VLOOKUP(A14,DataCoutRevenuAux!W:Y,3,FALSE),0)</f>
        <v>0</v>
      </c>
      <c r="Y14" s="77">
        <f t="shared" si="12"/>
        <v>0</v>
      </c>
      <c r="Z14" s="77">
        <f t="shared" si="13"/>
        <v>0</v>
      </c>
      <c r="AA14" s="77">
        <f t="shared" si="14"/>
        <v>0</v>
      </c>
      <c r="AB14" s="79"/>
      <c r="AC14" s="77">
        <f t="shared" si="15"/>
        <v>0</v>
      </c>
      <c r="AD14" s="77">
        <f t="shared" si="16"/>
        <v>0</v>
      </c>
      <c r="AE14" s="77">
        <f t="shared" si="17"/>
        <v>0</v>
      </c>
      <c r="AF14" s="79"/>
      <c r="AG14" s="6">
        <f t="shared" si="18"/>
        <v>0</v>
      </c>
      <c r="AH14" s="6">
        <f t="shared" si="19"/>
        <v>0</v>
      </c>
      <c r="AI14" s="6">
        <f t="shared" si="20"/>
        <v>0</v>
      </c>
    </row>
    <row r="15" spans="1:37" x14ac:dyDescent="0.3">
      <c r="A15" s="189">
        <f>DataDemande!U48</f>
        <v>0</v>
      </c>
      <c r="B15" t="str">
        <f t="shared" si="5"/>
        <v>0</v>
      </c>
      <c r="C15" t="str">
        <f t="shared" si="6"/>
        <v>0</v>
      </c>
      <c r="D15" s="185">
        <f>IFERROR(VLOOKUP(A15,DataCoutRevenuAux!M:Q,5,FALSE),0)</f>
        <v>0</v>
      </c>
      <c r="E15">
        <f>IFERROR(VLOOKUP(A15,DataDemande!U:Z,2,FALSE),0)</f>
        <v>0</v>
      </c>
      <c r="F15" s="79"/>
      <c r="G15" s="77">
        <f>IFERROR(VLOOKUP(A15,DataDemande!U:Z,3,FALSE),0)</f>
        <v>0</v>
      </c>
      <c r="H15" s="77">
        <f>IFERROR(VLOOKUP($A15,DataDemande!$U:$Z,4,FALSE),0)</f>
        <v>0</v>
      </c>
      <c r="I15" s="77">
        <f>IFERROR(VLOOKUP($A15,DataDemande!$U:$Z,5,FALSE),0)</f>
        <v>0</v>
      </c>
      <c r="J15" s="77">
        <f>IFERROR(VLOOKUP($A15,DataDemande!$U:$Z,6,FALSE),0)</f>
        <v>0</v>
      </c>
      <c r="K15" s="79"/>
      <c r="L15" s="77">
        <f>IFERROR(VLOOKUP($A15,DataPrixBillets!$S:$W,2,FALSE),0)</f>
        <v>0</v>
      </c>
      <c r="M15" s="77">
        <f>IFERROR(VLOOKUP($A15,DataPrixBillets!$S:$W,3,FALSE),0)</f>
        <v>0</v>
      </c>
      <c r="N15" s="77">
        <f>IFERROR(VLOOKUP($A15,DataPrixBillets!$S:$W,4,FALSE),0)</f>
        <v>0</v>
      </c>
      <c r="O15" s="77">
        <f>IFERROR(VLOOKUP($A15,DataPrixBillets!$S:$W,5,FALSE),0)</f>
        <v>0</v>
      </c>
      <c r="P15" s="79"/>
      <c r="Q15" s="77">
        <f t="shared" si="7"/>
        <v>0</v>
      </c>
      <c r="R15" s="77">
        <f t="shared" si="8"/>
        <v>0</v>
      </c>
      <c r="S15" s="77">
        <f t="shared" si="9"/>
        <v>0</v>
      </c>
      <c r="T15" s="77">
        <f t="shared" si="10"/>
        <v>0</v>
      </c>
      <c r="U15" s="79"/>
      <c r="V15" s="77">
        <f t="shared" si="11"/>
        <v>0</v>
      </c>
      <c r="W15" s="77">
        <f>IFERROR(VLOOKUP(A15,DataCoutRevenuAux!W:Y,2,FALSE),0)</f>
        <v>0</v>
      </c>
      <c r="X15" s="77">
        <f>IFERROR(VLOOKUP(A15,DataCoutRevenuAux!W:Y,3,FALSE),0)</f>
        <v>0</v>
      </c>
      <c r="Y15" s="77">
        <f t="shared" si="12"/>
        <v>0</v>
      </c>
      <c r="Z15" s="77">
        <f t="shared" si="13"/>
        <v>0</v>
      </c>
      <c r="AA15" s="77">
        <f t="shared" si="14"/>
        <v>0</v>
      </c>
      <c r="AB15" s="79"/>
      <c r="AC15" s="77">
        <f t="shared" si="15"/>
        <v>0</v>
      </c>
      <c r="AD15" s="77">
        <f t="shared" si="16"/>
        <v>0</v>
      </c>
      <c r="AE15" s="77">
        <f t="shared" si="17"/>
        <v>0</v>
      </c>
      <c r="AF15" s="79"/>
      <c r="AG15" s="6">
        <f t="shared" si="18"/>
        <v>0</v>
      </c>
      <c r="AH15" s="6">
        <f t="shared" si="19"/>
        <v>0</v>
      </c>
      <c r="AI15" s="6">
        <f t="shared" si="20"/>
        <v>0</v>
      </c>
    </row>
    <row r="16" spans="1:37" x14ac:dyDescent="0.3">
      <c r="A16" s="189">
        <f>DataDemande!U49</f>
        <v>0</v>
      </c>
      <c r="B16" t="str">
        <f t="shared" si="5"/>
        <v>0</v>
      </c>
      <c r="C16" t="str">
        <f t="shared" si="6"/>
        <v>0</v>
      </c>
      <c r="D16" s="185">
        <f>IFERROR(VLOOKUP(A16,DataCoutRevenuAux!M:Q,5,FALSE),0)</f>
        <v>0</v>
      </c>
      <c r="E16">
        <f>IFERROR(VLOOKUP(A16,DataDemande!U:Z,2,FALSE),0)</f>
        <v>0</v>
      </c>
      <c r="F16" s="79"/>
      <c r="G16" s="77">
        <f>IFERROR(VLOOKUP(A16,DataDemande!U:Z,3,FALSE),0)</f>
        <v>0</v>
      </c>
      <c r="H16" s="77">
        <f>IFERROR(VLOOKUP($A16,DataDemande!$U:$Z,4,FALSE),0)</f>
        <v>0</v>
      </c>
      <c r="I16" s="77">
        <f>IFERROR(VLOOKUP($A16,DataDemande!$U:$Z,5,FALSE),0)</f>
        <v>0</v>
      </c>
      <c r="J16" s="77">
        <f>IFERROR(VLOOKUP($A16,DataDemande!$U:$Z,6,FALSE),0)</f>
        <v>0</v>
      </c>
      <c r="K16" s="79"/>
      <c r="L16" s="77">
        <f>IFERROR(VLOOKUP($A16,DataPrixBillets!$S:$W,2,FALSE),0)</f>
        <v>0</v>
      </c>
      <c r="M16" s="77">
        <f>IFERROR(VLOOKUP($A16,DataPrixBillets!$S:$W,3,FALSE),0)</f>
        <v>0</v>
      </c>
      <c r="N16" s="77">
        <f>IFERROR(VLOOKUP($A16,DataPrixBillets!$S:$W,4,FALSE),0)</f>
        <v>0</v>
      </c>
      <c r="O16" s="77">
        <f>IFERROR(VLOOKUP($A16,DataPrixBillets!$S:$W,5,FALSE),0)</f>
        <v>0</v>
      </c>
      <c r="P16" s="79"/>
      <c r="Q16" s="77">
        <f t="shared" si="7"/>
        <v>0</v>
      </c>
      <c r="R16" s="77">
        <f t="shared" si="8"/>
        <v>0</v>
      </c>
      <c r="S16" s="77">
        <f t="shared" si="9"/>
        <v>0</v>
      </c>
      <c r="T16" s="77">
        <f t="shared" si="10"/>
        <v>0</v>
      </c>
      <c r="U16" s="79"/>
      <c r="V16" s="77">
        <f t="shared" si="11"/>
        <v>0</v>
      </c>
      <c r="W16" s="77">
        <f>IFERROR(VLOOKUP(A16,DataCoutRevenuAux!W:Y,2,FALSE),0)</f>
        <v>0</v>
      </c>
      <c r="X16" s="77">
        <f>IFERROR(VLOOKUP(A16,DataCoutRevenuAux!W:Y,3,FALSE),0)</f>
        <v>0</v>
      </c>
      <c r="Y16" s="77">
        <f t="shared" si="12"/>
        <v>0</v>
      </c>
      <c r="Z16" s="77">
        <f t="shared" si="13"/>
        <v>0</v>
      </c>
      <c r="AA16" s="77">
        <f t="shared" si="14"/>
        <v>0</v>
      </c>
      <c r="AB16" s="79"/>
      <c r="AC16" s="77">
        <f t="shared" si="15"/>
        <v>0</v>
      </c>
      <c r="AD16" s="77">
        <f t="shared" si="16"/>
        <v>0</v>
      </c>
      <c r="AE16" s="77">
        <f t="shared" si="17"/>
        <v>0</v>
      </c>
      <c r="AF16" s="79"/>
      <c r="AG16" s="6">
        <f t="shared" si="18"/>
        <v>0</v>
      </c>
      <c r="AH16" s="6">
        <f t="shared" si="19"/>
        <v>0</v>
      </c>
      <c r="AI16" s="6">
        <f t="shared" si="20"/>
        <v>0</v>
      </c>
    </row>
    <row r="17" spans="1:35" x14ac:dyDescent="0.3">
      <c r="A17" s="189">
        <f>DataDemande!U50</f>
        <v>0</v>
      </c>
      <c r="B17" t="str">
        <f t="shared" si="5"/>
        <v>0</v>
      </c>
      <c r="C17" t="str">
        <f t="shared" si="6"/>
        <v>0</v>
      </c>
      <c r="D17" s="185">
        <f>IFERROR(VLOOKUP(A17,DataCoutRevenuAux!M:Q,5,FALSE),0)</f>
        <v>0</v>
      </c>
      <c r="E17">
        <f>IFERROR(VLOOKUP(A17,DataDemande!U:Z,2,FALSE),0)</f>
        <v>0</v>
      </c>
      <c r="F17" s="79"/>
      <c r="G17" s="77">
        <f>IFERROR(VLOOKUP(A17,DataDemande!U:Z,3,FALSE),0)</f>
        <v>0</v>
      </c>
      <c r="H17" s="77">
        <f>IFERROR(VLOOKUP($A17,DataDemande!$U:$Z,4,FALSE),0)</f>
        <v>0</v>
      </c>
      <c r="I17" s="77">
        <f>IFERROR(VLOOKUP($A17,DataDemande!$U:$Z,5,FALSE),0)</f>
        <v>0</v>
      </c>
      <c r="J17" s="77">
        <f>IFERROR(VLOOKUP($A17,DataDemande!$U:$Z,6,FALSE),0)</f>
        <v>0</v>
      </c>
      <c r="K17" s="79"/>
      <c r="L17" s="77">
        <f>IFERROR(VLOOKUP($A17,DataPrixBillets!$S:$W,2,FALSE),0)</f>
        <v>0</v>
      </c>
      <c r="M17" s="77">
        <f>IFERROR(VLOOKUP($A17,DataPrixBillets!$S:$W,3,FALSE),0)</f>
        <v>0</v>
      </c>
      <c r="N17" s="77">
        <f>IFERROR(VLOOKUP($A17,DataPrixBillets!$S:$W,4,FALSE),0)</f>
        <v>0</v>
      </c>
      <c r="O17" s="77">
        <f>IFERROR(VLOOKUP($A17,DataPrixBillets!$S:$W,5,FALSE),0)</f>
        <v>0</v>
      </c>
      <c r="P17" s="79"/>
      <c r="Q17" s="77">
        <f t="shared" si="7"/>
        <v>0</v>
      </c>
      <c r="R17" s="77">
        <f t="shared" si="8"/>
        <v>0</v>
      </c>
      <c r="S17" s="77">
        <f t="shared" si="9"/>
        <v>0</v>
      </c>
      <c r="T17" s="77">
        <f t="shared" si="10"/>
        <v>0</v>
      </c>
      <c r="U17" s="79"/>
      <c r="V17" s="77">
        <f t="shared" si="11"/>
        <v>0</v>
      </c>
      <c r="W17" s="77">
        <f>IFERROR(VLOOKUP(A17,DataCoutRevenuAux!W:Y,2,FALSE),0)</f>
        <v>0</v>
      </c>
      <c r="X17" s="77">
        <f>IFERROR(VLOOKUP(A17,DataCoutRevenuAux!W:Y,3,FALSE),0)</f>
        <v>0</v>
      </c>
      <c r="Y17" s="77">
        <f t="shared" si="12"/>
        <v>0</v>
      </c>
      <c r="Z17" s="77">
        <f t="shared" si="13"/>
        <v>0</v>
      </c>
      <c r="AA17" s="77">
        <f t="shared" si="14"/>
        <v>0</v>
      </c>
      <c r="AB17" s="79"/>
      <c r="AC17" s="77">
        <f t="shared" si="15"/>
        <v>0</v>
      </c>
      <c r="AD17" s="77">
        <f t="shared" si="16"/>
        <v>0</v>
      </c>
      <c r="AE17" s="77">
        <f t="shared" si="17"/>
        <v>0</v>
      </c>
      <c r="AF17" s="79"/>
      <c r="AG17" s="6">
        <f t="shared" si="18"/>
        <v>0</v>
      </c>
      <c r="AH17" s="6">
        <f t="shared" si="19"/>
        <v>0</v>
      </c>
      <c r="AI17" s="6">
        <f t="shared" si="20"/>
        <v>0</v>
      </c>
    </row>
    <row r="18" spans="1:35" x14ac:dyDescent="0.3">
      <c r="A18" s="189">
        <f>DataDemande!U51</f>
        <v>0</v>
      </c>
      <c r="B18" t="str">
        <f t="shared" si="5"/>
        <v>0</v>
      </c>
      <c r="C18" t="str">
        <f t="shared" si="6"/>
        <v>0</v>
      </c>
      <c r="D18" s="185">
        <f>IFERROR(VLOOKUP(A18,DataCoutRevenuAux!M:Q,5,FALSE),0)</f>
        <v>0</v>
      </c>
      <c r="E18">
        <f>IFERROR(VLOOKUP(A18,DataDemande!U:Z,2,FALSE),0)</f>
        <v>0</v>
      </c>
      <c r="F18" s="79"/>
      <c r="G18" s="77">
        <f>IFERROR(VLOOKUP(A18,DataDemande!U:Z,3,FALSE),0)</f>
        <v>0</v>
      </c>
      <c r="H18" s="77">
        <f>IFERROR(VLOOKUP($A18,DataDemande!$U:$Z,4,FALSE),0)</f>
        <v>0</v>
      </c>
      <c r="I18" s="77">
        <f>IFERROR(VLOOKUP($A18,DataDemande!$U:$Z,5,FALSE),0)</f>
        <v>0</v>
      </c>
      <c r="J18" s="77">
        <f>IFERROR(VLOOKUP($A18,DataDemande!$U:$Z,6,FALSE),0)</f>
        <v>0</v>
      </c>
      <c r="K18" s="79"/>
      <c r="L18" s="77">
        <f>IFERROR(VLOOKUP($A18,DataPrixBillets!$S:$W,2,FALSE),0)</f>
        <v>0</v>
      </c>
      <c r="M18" s="77">
        <f>IFERROR(VLOOKUP($A18,DataPrixBillets!$S:$W,3,FALSE),0)</f>
        <v>0</v>
      </c>
      <c r="N18" s="77">
        <f>IFERROR(VLOOKUP($A18,DataPrixBillets!$S:$W,4,FALSE),0)</f>
        <v>0</v>
      </c>
      <c r="O18" s="77">
        <f>IFERROR(VLOOKUP($A18,DataPrixBillets!$S:$W,5,FALSE),0)</f>
        <v>0</v>
      </c>
      <c r="P18" s="79"/>
      <c r="Q18" s="77">
        <f t="shared" si="7"/>
        <v>0</v>
      </c>
      <c r="R18" s="77">
        <f t="shared" si="8"/>
        <v>0</v>
      </c>
      <c r="S18" s="77">
        <f t="shared" si="9"/>
        <v>0</v>
      </c>
      <c r="T18" s="77">
        <f t="shared" si="10"/>
        <v>0</v>
      </c>
      <c r="U18" s="79"/>
      <c r="V18" s="77">
        <f t="shared" si="11"/>
        <v>0</v>
      </c>
      <c r="W18" s="77">
        <f>IFERROR(VLOOKUP(A18,DataCoutRevenuAux!W:Y,2,FALSE),0)</f>
        <v>0</v>
      </c>
      <c r="X18" s="77">
        <f>IFERROR(VLOOKUP(A18,DataCoutRevenuAux!W:Y,3,FALSE),0)</f>
        <v>0</v>
      </c>
      <c r="Y18" s="77">
        <f t="shared" si="12"/>
        <v>0</v>
      </c>
      <c r="Z18" s="77">
        <f t="shared" si="13"/>
        <v>0</v>
      </c>
      <c r="AA18" s="77">
        <f t="shared" si="14"/>
        <v>0</v>
      </c>
      <c r="AB18" s="79"/>
      <c r="AC18" s="77">
        <f t="shared" si="15"/>
        <v>0</v>
      </c>
      <c r="AD18" s="77">
        <f t="shared" si="16"/>
        <v>0</v>
      </c>
      <c r="AE18" s="77">
        <f t="shared" si="17"/>
        <v>0</v>
      </c>
      <c r="AF18" s="79"/>
      <c r="AG18" s="6">
        <f t="shared" si="18"/>
        <v>0</v>
      </c>
      <c r="AH18" s="6">
        <f t="shared" si="19"/>
        <v>0</v>
      </c>
      <c r="AI18" s="6">
        <f t="shared" si="20"/>
        <v>0</v>
      </c>
    </row>
    <row r="19" spans="1:35" x14ac:dyDescent="0.3">
      <c r="A19" s="189">
        <f>DataDemande!U52</f>
        <v>0</v>
      </c>
      <c r="B19" t="str">
        <f t="shared" si="5"/>
        <v>0</v>
      </c>
      <c r="C19" t="str">
        <f t="shared" si="6"/>
        <v>0</v>
      </c>
      <c r="D19" s="185">
        <f>IFERROR(VLOOKUP(A19,DataCoutRevenuAux!M:Q,5,FALSE),0)</f>
        <v>0</v>
      </c>
      <c r="E19">
        <f>IFERROR(VLOOKUP(A19,DataDemande!U:Z,2,FALSE),0)</f>
        <v>0</v>
      </c>
      <c r="F19" s="79"/>
      <c r="G19" s="77">
        <f>IFERROR(VLOOKUP(A19,DataDemande!U:Z,3,FALSE),0)</f>
        <v>0</v>
      </c>
      <c r="H19" s="77">
        <f>IFERROR(VLOOKUP($A19,DataDemande!$U:$Z,4,FALSE),0)</f>
        <v>0</v>
      </c>
      <c r="I19" s="77">
        <f>IFERROR(VLOOKUP($A19,DataDemande!$U:$Z,5,FALSE),0)</f>
        <v>0</v>
      </c>
      <c r="J19" s="77">
        <f>IFERROR(VLOOKUP($A19,DataDemande!$U:$Z,6,FALSE),0)</f>
        <v>0</v>
      </c>
      <c r="K19" s="79"/>
      <c r="L19" s="77">
        <f>IFERROR(VLOOKUP($A19,DataPrixBillets!$S:$W,2,FALSE),0)</f>
        <v>0</v>
      </c>
      <c r="M19" s="77">
        <f>IFERROR(VLOOKUP($A19,DataPrixBillets!$S:$W,3,FALSE),0)</f>
        <v>0</v>
      </c>
      <c r="N19" s="77">
        <f>IFERROR(VLOOKUP($A19,DataPrixBillets!$S:$W,4,FALSE),0)</f>
        <v>0</v>
      </c>
      <c r="O19" s="77">
        <f>IFERROR(VLOOKUP($A19,DataPrixBillets!$S:$W,5,FALSE),0)</f>
        <v>0</v>
      </c>
      <c r="P19" s="79"/>
      <c r="Q19" s="77">
        <f t="shared" si="7"/>
        <v>0</v>
      </c>
      <c r="R19" s="77">
        <f t="shared" si="8"/>
        <v>0</v>
      </c>
      <c r="S19" s="77">
        <f t="shared" si="9"/>
        <v>0</v>
      </c>
      <c r="T19" s="77">
        <f t="shared" si="10"/>
        <v>0</v>
      </c>
      <c r="U19" s="79"/>
      <c r="V19" s="77">
        <f t="shared" si="11"/>
        <v>0</v>
      </c>
      <c r="W19" s="77">
        <f>IFERROR(VLOOKUP(A19,DataCoutRevenuAux!W:Y,2,FALSE),0)</f>
        <v>0</v>
      </c>
      <c r="X19" s="77">
        <f>IFERROR(VLOOKUP(A19,DataCoutRevenuAux!W:Y,3,FALSE),0)</f>
        <v>0</v>
      </c>
      <c r="Y19" s="77">
        <f t="shared" si="12"/>
        <v>0</v>
      </c>
      <c r="Z19" s="77">
        <f t="shared" si="13"/>
        <v>0</v>
      </c>
      <c r="AA19" s="77">
        <f t="shared" si="14"/>
        <v>0</v>
      </c>
      <c r="AB19" s="79"/>
      <c r="AC19" s="77">
        <f t="shared" si="15"/>
        <v>0</v>
      </c>
      <c r="AD19" s="77">
        <f t="shared" si="16"/>
        <v>0</v>
      </c>
      <c r="AE19" s="77">
        <f t="shared" si="17"/>
        <v>0</v>
      </c>
      <c r="AF19" s="79"/>
      <c r="AG19" s="6">
        <f t="shared" si="18"/>
        <v>0</v>
      </c>
      <c r="AH19" s="6">
        <f t="shared" si="19"/>
        <v>0</v>
      </c>
      <c r="AI19" s="6">
        <f t="shared" si="20"/>
        <v>0</v>
      </c>
    </row>
    <row r="20" spans="1:35" x14ac:dyDescent="0.3">
      <c r="A20" s="189">
        <f>DataDemande!U53</f>
        <v>0</v>
      </c>
      <c r="B20" t="str">
        <f t="shared" si="5"/>
        <v>0</v>
      </c>
      <c r="C20" t="str">
        <f t="shared" si="6"/>
        <v>0</v>
      </c>
      <c r="D20" s="185">
        <f>IFERROR(VLOOKUP(A20,DataCoutRevenuAux!M:Q,5,FALSE),0)</f>
        <v>0</v>
      </c>
      <c r="E20">
        <f>IFERROR(VLOOKUP(A20,DataDemande!U:Z,2,FALSE),0)</f>
        <v>0</v>
      </c>
      <c r="F20" s="79"/>
      <c r="G20" s="77">
        <f>IFERROR(VLOOKUP(A20,DataDemande!U:Z,3,FALSE),0)</f>
        <v>0</v>
      </c>
      <c r="H20" s="77">
        <f>IFERROR(VLOOKUP($A20,DataDemande!$U:$Z,4,FALSE),0)</f>
        <v>0</v>
      </c>
      <c r="I20" s="77">
        <f>IFERROR(VLOOKUP($A20,DataDemande!$U:$Z,5,FALSE),0)</f>
        <v>0</v>
      </c>
      <c r="J20" s="77">
        <f>IFERROR(VLOOKUP($A20,DataDemande!$U:$Z,6,FALSE),0)</f>
        <v>0</v>
      </c>
      <c r="K20" s="79"/>
      <c r="L20" s="77">
        <f>IFERROR(VLOOKUP($A20,DataPrixBillets!$S:$W,2,FALSE),0)</f>
        <v>0</v>
      </c>
      <c r="M20" s="77">
        <f>IFERROR(VLOOKUP($A20,DataPrixBillets!$S:$W,3,FALSE),0)</f>
        <v>0</v>
      </c>
      <c r="N20" s="77">
        <f>IFERROR(VLOOKUP($A20,DataPrixBillets!$S:$W,4,FALSE),0)</f>
        <v>0</v>
      </c>
      <c r="O20" s="77">
        <f>IFERROR(VLOOKUP($A20,DataPrixBillets!$S:$W,5,FALSE),0)</f>
        <v>0</v>
      </c>
      <c r="P20" s="79"/>
      <c r="Q20" s="77">
        <f t="shared" si="7"/>
        <v>0</v>
      </c>
      <c r="R20" s="77">
        <f t="shared" si="8"/>
        <v>0</v>
      </c>
      <c r="S20" s="77">
        <f t="shared" si="9"/>
        <v>0</v>
      </c>
      <c r="T20" s="77">
        <f t="shared" si="10"/>
        <v>0</v>
      </c>
      <c r="U20" s="79"/>
      <c r="V20" s="77">
        <f t="shared" si="11"/>
        <v>0</v>
      </c>
      <c r="W20" s="77">
        <f>IFERROR(VLOOKUP(A20,DataCoutRevenuAux!W:Y,2,FALSE),0)</f>
        <v>0</v>
      </c>
      <c r="X20" s="77">
        <f>IFERROR(VLOOKUP(A20,DataCoutRevenuAux!W:Y,3,FALSE),0)</f>
        <v>0</v>
      </c>
      <c r="Y20" s="77">
        <f t="shared" si="12"/>
        <v>0</v>
      </c>
      <c r="Z20" s="77">
        <f t="shared" si="13"/>
        <v>0</v>
      </c>
      <c r="AA20" s="77">
        <f t="shared" si="14"/>
        <v>0</v>
      </c>
      <c r="AB20" s="79"/>
      <c r="AC20" s="77">
        <f t="shared" si="15"/>
        <v>0</v>
      </c>
      <c r="AD20" s="77">
        <f t="shared" si="16"/>
        <v>0</v>
      </c>
      <c r="AE20" s="77">
        <f t="shared" si="17"/>
        <v>0</v>
      </c>
      <c r="AF20" s="79"/>
      <c r="AG20" s="6">
        <f t="shared" si="18"/>
        <v>0</v>
      </c>
      <c r="AH20" s="6">
        <f t="shared" si="19"/>
        <v>0</v>
      </c>
      <c r="AI20" s="6">
        <f t="shared" si="20"/>
        <v>0</v>
      </c>
    </row>
    <row r="21" spans="1:35" x14ac:dyDescent="0.3">
      <c r="A21" s="189">
        <f>DataDemande!U54</f>
        <v>0</v>
      </c>
      <c r="B21" t="str">
        <f t="shared" si="5"/>
        <v>0</v>
      </c>
      <c r="C21" t="str">
        <f t="shared" si="6"/>
        <v>0</v>
      </c>
      <c r="D21" s="185">
        <f>IFERROR(VLOOKUP(A21,DataCoutRevenuAux!M:Q,5,FALSE),0)</f>
        <v>0</v>
      </c>
      <c r="E21">
        <f>IFERROR(VLOOKUP(A21,DataDemande!U:Z,2,FALSE),0)</f>
        <v>0</v>
      </c>
      <c r="F21" s="79"/>
      <c r="G21" s="77">
        <f>IFERROR(VLOOKUP(A21,DataDemande!U:Z,3,FALSE),0)</f>
        <v>0</v>
      </c>
      <c r="H21" s="77">
        <f>IFERROR(VLOOKUP($A21,DataDemande!$U:$Z,4,FALSE),0)</f>
        <v>0</v>
      </c>
      <c r="I21" s="77">
        <f>IFERROR(VLOOKUP($A21,DataDemande!$U:$Z,5,FALSE),0)</f>
        <v>0</v>
      </c>
      <c r="J21" s="77">
        <f>IFERROR(VLOOKUP($A21,DataDemande!$U:$Z,6,FALSE),0)</f>
        <v>0</v>
      </c>
      <c r="K21" s="79"/>
      <c r="L21" s="77">
        <f>IFERROR(VLOOKUP($A21,DataPrixBillets!$S:$W,2,FALSE),0)</f>
        <v>0</v>
      </c>
      <c r="M21" s="77">
        <f>IFERROR(VLOOKUP($A21,DataPrixBillets!$S:$W,3,FALSE),0)</f>
        <v>0</v>
      </c>
      <c r="N21" s="77">
        <f>IFERROR(VLOOKUP($A21,DataPrixBillets!$S:$W,4,FALSE),0)</f>
        <v>0</v>
      </c>
      <c r="O21" s="77">
        <f>IFERROR(VLOOKUP($A21,DataPrixBillets!$S:$W,5,FALSE),0)</f>
        <v>0</v>
      </c>
      <c r="P21" s="79"/>
      <c r="Q21" s="77">
        <f t="shared" si="7"/>
        <v>0</v>
      </c>
      <c r="R21" s="77">
        <f t="shared" si="8"/>
        <v>0</v>
      </c>
      <c r="S21" s="77">
        <f t="shared" si="9"/>
        <v>0</v>
      </c>
      <c r="T21" s="77">
        <f t="shared" si="10"/>
        <v>0</v>
      </c>
      <c r="U21" s="79"/>
      <c r="V21" s="77">
        <f t="shared" si="11"/>
        <v>0</v>
      </c>
      <c r="W21" s="77">
        <f>IFERROR(VLOOKUP(A21,DataCoutRevenuAux!W:Y,2,FALSE),0)</f>
        <v>0</v>
      </c>
      <c r="X21" s="77">
        <f>IFERROR(VLOOKUP(A21,DataCoutRevenuAux!W:Y,3,FALSE),0)</f>
        <v>0</v>
      </c>
      <c r="Y21" s="77">
        <f t="shared" si="12"/>
        <v>0</v>
      </c>
      <c r="Z21" s="77">
        <f t="shared" si="13"/>
        <v>0</v>
      </c>
      <c r="AA21" s="77">
        <f t="shared" si="14"/>
        <v>0</v>
      </c>
      <c r="AB21" s="79"/>
      <c r="AC21" s="77">
        <f t="shared" si="15"/>
        <v>0</v>
      </c>
      <c r="AD21" s="77">
        <f t="shared" si="16"/>
        <v>0</v>
      </c>
      <c r="AE21" s="77">
        <f t="shared" si="17"/>
        <v>0</v>
      </c>
      <c r="AF21" s="79"/>
      <c r="AG21" s="6">
        <f t="shared" si="18"/>
        <v>0</v>
      </c>
      <c r="AH21" s="6">
        <f t="shared" si="19"/>
        <v>0</v>
      </c>
      <c r="AI21" s="6">
        <f t="shared" si="20"/>
        <v>0</v>
      </c>
    </row>
    <row r="22" spans="1:35" x14ac:dyDescent="0.3">
      <c r="A22" s="189">
        <f>DataDemande!U55</f>
        <v>0</v>
      </c>
      <c r="B22" t="str">
        <f t="shared" si="5"/>
        <v>0</v>
      </c>
      <c r="C22" t="str">
        <f t="shared" si="6"/>
        <v>0</v>
      </c>
      <c r="D22" s="185">
        <f>IFERROR(VLOOKUP(A22,DataCoutRevenuAux!M:Q,5,FALSE),0)</f>
        <v>0</v>
      </c>
      <c r="E22">
        <f>IFERROR(VLOOKUP(A22,DataDemande!U:Z,2,FALSE),0)</f>
        <v>0</v>
      </c>
      <c r="F22" s="79"/>
      <c r="G22" s="77">
        <f>IFERROR(VLOOKUP(A22,DataDemande!U:Z,3,FALSE),0)</f>
        <v>0</v>
      </c>
      <c r="H22" s="77">
        <f>IFERROR(VLOOKUP($A22,DataDemande!$U:$Z,4,FALSE),0)</f>
        <v>0</v>
      </c>
      <c r="I22" s="77">
        <f>IFERROR(VLOOKUP($A22,DataDemande!$U:$Z,5,FALSE),0)</f>
        <v>0</v>
      </c>
      <c r="J22" s="77">
        <f>IFERROR(VLOOKUP($A22,DataDemande!$U:$Z,6,FALSE),0)</f>
        <v>0</v>
      </c>
      <c r="K22" s="79"/>
      <c r="L22" s="77">
        <f>IFERROR(VLOOKUP($A22,DataPrixBillets!$S:$W,2,FALSE),0)</f>
        <v>0</v>
      </c>
      <c r="M22" s="77">
        <f>IFERROR(VLOOKUP($A22,DataPrixBillets!$S:$W,3,FALSE),0)</f>
        <v>0</v>
      </c>
      <c r="N22" s="77">
        <f>IFERROR(VLOOKUP($A22,DataPrixBillets!$S:$W,4,FALSE),0)</f>
        <v>0</v>
      </c>
      <c r="O22" s="77">
        <f>IFERROR(VLOOKUP($A22,DataPrixBillets!$S:$W,5,FALSE),0)</f>
        <v>0</v>
      </c>
      <c r="P22" s="79"/>
      <c r="Q22" s="77">
        <f t="shared" si="7"/>
        <v>0</v>
      </c>
      <c r="R22" s="77">
        <f t="shared" si="8"/>
        <v>0</v>
      </c>
      <c r="S22" s="77">
        <f t="shared" si="9"/>
        <v>0</v>
      </c>
      <c r="T22" s="77">
        <f t="shared" si="10"/>
        <v>0</v>
      </c>
      <c r="U22" s="79"/>
      <c r="V22" s="77">
        <f t="shared" si="11"/>
        <v>0</v>
      </c>
      <c r="W22" s="77">
        <f>IFERROR(VLOOKUP(A22,DataCoutRevenuAux!W:Y,2,FALSE),0)</f>
        <v>0</v>
      </c>
      <c r="X22" s="77">
        <f>IFERROR(VLOOKUP(A22,DataCoutRevenuAux!W:Y,3,FALSE),0)</f>
        <v>0</v>
      </c>
      <c r="Y22" s="77">
        <f t="shared" si="12"/>
        <v>0</v>
      </c>
      <c r="Z22" s="77">
        <f t="shared" si="13"/>
        <v>0</v>
      </c>
      <c r="AA22" s="77">
        <f t="shared" si="14"/>
        <v>0</v>
      </c>
      <c r="AB22" s="79"/>
      <c r="AC22" s="77">
        <f t="shared" si="15"/>
        <v>0</v>
      </c>
      <c r="AD22" s="77">
        <f t="shared" si="16"/>
        <v>0</v>
      </c>
      <c r="AE22" s="77">
        <f t="shared" si="17"/>
        <v>0</v>
      </c>
      <c r="AF22" s="79"/>
      <c r="AG22" s="6">
        <f t="shared" si="18"/>
        <v>0</v>
      </c>
      <c r="AH22" s="6">
        <f t="shared" si="19"/>
        <v>0</v>
      </c>
      <c r="AI22" s="6">
        <f t="shared" si="20"/>
        <v>0</v>
      </c>
    </row>
    <row r="23" spans="1:35" x14ac:dyDescent="0.3">
      <c r="A23" s="189">
        <f>DataDemande!U56</f>
        <v>0</v>
      </c>
      <c r="B23" t="str">
        <f t="shared" si="5"/>
        <v>0</v>
      </c>
      <c r="C23" t="str">
        <f t="shared" si="6"/>
        <v>0</v>
      </c>
      <c r="D23" s="185">
        <f>IFERROR(VLOOKUP(A23,DataCoutRevenuAux!M:Q,5,FALSE),0)</f>
        <v>0</v>
      </c>
      <c r="E23">
        <f>IFERROR(VLOOKUP(A23,DataDemande!U:Z,2,FALSE),0)</f>
        <v>0</v>
      </c>
      <c r="F23" s="79"/>
      <c r="G23" s="77">
        <f>IFERROR(VLOOKUP(A23,DataDemande!U:Z,3,FALSE),0)</f>
        <v>0</v>
      </c>
      <c r="H23" s="77">
        <f>IFERROR(VLOOKUP($A23,DataDemande!$U:$Z,4,FALSE),0)</f>
        <v>0</v>
      </c>
      <c r="I23" s="77">
        <f>IFERROR(VLOOKUP($A23,DataDemande!$U:$Z,5,FALSE),0)</f>
        <v>0</v>
      </c>
      <c r="J23" s="77">
        <f>IFERROR(VLOOKUP($A23,DataDemande!$U:$Z,6,FALSE),0)</f>
        <v>0</v>
      </c>
      <c r="K23" s="79"/>
      <c r="L23" s="77">
        <f>IFERROR(VLOOKUP($A23,DataPrixBillets!$S:$W,2,FALSE),0)</f>
        <v>0</v>
      </c>
      <c r="M23" s="77">
        <f>IFERROR(VLOOKUP($A23,DataPrixBillets!$S:$W,3,FALSE),0)</f>
        <v>0</v>
      </c>
      <c r="N23" s="77">
        <f>IFERROR(VLOOKUP($A23,DataPrixBillets!$S:$W,4,FALSE),0)</f>
        <v>0</v>
      </c>
      <c r="O23" s="77">
        <f>IFERROR(VLOOKUP($A23,DataPrixBillets!$S:$W,5,FALSE),0)</f>
        <v>0</v>
      </c>
      <c r="P23" s="79"/>
      <c r="Q23" s="77">
        <f t="shared" si="7"/>
        <v>0</v>
      </c>
      <c r="R23" s="77">
        <f t="shared" si="8"/>
        <v>0</v>
      </c>
      <c r="S23" s="77">
        <f t="shared" si="9"/>
        <v>0</v>
      </c>
      <c r="T23" s="77">
        <f t="shared" si="10"/>
        <v>0</v>
      </c>
      <c r="U23" s="79"/>
      <c r="V23" s="77">
        <f t="shared" si="11"/>
        <v>0</v>
      </c>
      <c r="W23" s="77">
        <f>IFERROR(VLOOKUP(A23,DataCoutRevenuAux!W:Y,2,FALSE),0)</f>
        <v>0</v>
      </c>
      <c r="X23" s="77">
        <f>IFERROR(VLOOKUP(A23,DataCoutRevenuAux!W:Y,3,FALSE),0)</f>
        <v>0</v>
      </c>
      <c r="Y23" s="77">
        <f t="shared" si="12"/>
        <v>0</v>
      </c>
      <c r="Z23" s="77">
        <f t="shared" si="13"/>
        <v>0</v>
      </c>
      <c r="AA23" s="77">
        <f t="shared" si="14"/>
        <v>0</v>
      </c>
      <c r="AB23" s="79"/>
      <c r="AC23" s="77">
        <f t="shared" si="15"/>
        <v>0</v>
      </c>
      <c r="AD23" s="77">
        <f t="shared" si="16"/>
        <v>0</v>
      </c>
      <c r="AE23" s="77">
        <f t="shared" si="17"/>
        <v>0</v>
      </c>
      <c r="AF23" s="79"/>
      <c r="AG23" s="6">
        <f t="shared" si="18"/>
        <v>0</v>
      </c>
      <c r="AH23" s="6">
        <f t="shared" si="19"/>
        <v>0</v>
      </c>
      <c r="AI23" s="6">
        <f t="shared" si="20"/>
        <v>0</v>
      </c>
    </row>
    <row r="24" spans="1:35" x14ac:dyDescent="0.3">
      <c r="A24" s="189">
        <f>DataDemande!U57</f>
        <v>0</v>
      </c>
      <c r="B24" t="str">
        <f t="shared" si="5"/>
        <v>0</v>
      </c>
      <c r="C24" t="str">
        <f t="shared" si="6"/>
        <v>0</v>
      </c>
      <c r="D24" s="185">
        <f>IFERROR(VLOOKUP(A24,DataCoutRevenuAux!M:Q,5,FALSE),0)</f>
        <v>0</v>
      </c>
      <c r="E24">
        <f>IFERROR(VLOOKUP(A24,DataDemande!U:Z,2,FALSE),0)</f>
        <v>0</v>
      </c>
      <c r="F24" s="79"/>
      <c r="G24" s="77">
        <f>IFERROR(VLOOKUP(A24,DataDemande!U:Z,3,FALSE),0)</f>
        <v>0</v>
      </c>
      <c r="H24" s="77">
        <f>IFERROR(VLOOKUP($A24,DataDemande!$U:$Z,4,FALSE),0)</f>
        <v>0</v>
      </c>
      <c r="I24" s="77">
        <f>IFERROR(VLOOKUP($A24,DataDemande!$U:$Z,5,FALSE),0)</f>
        <v>0</v>
      </c>
      <c r="J24" s="77">
        <f>IFERROR(VLOOKUP($A24,DataDemande!$U:$Z,6,FALSE),0)</f>
        <v>0</v>
      </c>
      <c r="K24" s="79"/>
      <c r="L24" s="77">
        <f>IFERROR(VLOOKUP($A24,DataPrixBillets!$S:$W,2,FALSE),0)</f>
        <v>0</v>
      </c>
      <c r="M24" s="77">
        <f>IFERROR(VLOOKUP($A24,DataPrixBillets!$S:$W,3,FALSE),0)</f>
        <v>0</v>
      </c>
      <c r="N24" s="77">
        <f>IFERROR(VLOOKUP($A24,DataPrixBillets!$S:$W,4,FALSE),0)</f>
        <v>0</v>
      </c>
      <c r="O24" s="77">
        <f>IFERROR(VLOOKUP($A24,DataPrixBillets!$S:$W,5,FALSE),0)</f>
        <v>0</v>
      </c>
      <c r="P24" s="79"/>
      <c r="Q24" s="77">
        <f t="shared" si="7"/>
        <v>0</v>
      </c>
      <c r="R24" s="77">
        <f t="shared" si="8"/>
        <v>0</v>
      </c>
      <c r="S24" s="77">
        <f t="shared" si="9"/>
        <v>0</v>
      </c>
      <c r="T24" s="77">
        <f t="shared" si="10"/>
        <v>0</v>
      </c>
      <c r="U24" s="79"/>
      <c r="V24" s="77">
        <f t="shared" si="11"/>
        <v>0</v>
      </c>
      <c r="W24" s="77">
        <f>IFERROR(VLOOKUP(A24,DataCoutRevenuAux!W:Y,2,FALSE),0)</f>
        <v>0</v>
      </c>
      <c r="X24" s="77">
        <f>IFERROR(VLOOKUP(A24,DataCoutRevenuAux!W:Y,3,FALSE),0)</f>
        <v>0</v>
      </c>
      <c r="Y24" s="77">
        <f t="shared" si="12"/>
        <v>0</v>
      </c>
      <c r="Z24" s="77">
        <f t="shared" si="13"/>
        <v>0</v>
      </c>
      <c r="AA24" s="77">
        <f t="shared" si="14"/>
        <v>0</v>
      </c>
      <c r="AB24" s="79"/>
      <c r="AC24" s="77">
        <f t="shared" si="15"/>
        <v>0</v>
      </c>
      <c r="AD24" s="77">
        <f t="shared" si="16"/>
        <v>0</v>
      </c>
      <c r="AE24" s="77">
        <f t="shared" si="17"/>
        <v>0</v>
      </c>
      <c r="AF24" s="79"/>
      <c r="AG24" s="6">
        <f t="shared" si="18"/>
        <v>0</v>
      </c>
      <c r="AH24" s="6">
        <f t="shared" si="19"/>
        <v>0</v>
      </c>
      <c r="AI24" s="6">
        <f t="shared" si="20"/>
        <v>0</v>
      </c>
    </row>
    <row r="25" spans="1:35" x14ac:dyDescent="0.3">
      <c r="A25" s="189">
        <f>DataDemande!U58</f>
        <v>0</v>
      </c>
      <c r="B25" t="str">
        <f t="shared" si="5"/>
        <v>0</v>
      </c>
      <c r="C25" t="str">
        <f t="shared" si="6"/>
        <v>0</v>
      </c>
      <c r="D25" s="185">
        <f>IFERROR(VLOOKUP(A25,DataCoutRevenuAux!M:Q,5,FALSE),0)</f>
        <v>0</v>
      </c>
      <c r="E25">
        <f>IFERROR(VLOOKUP(A25,DataDemande!U:Z,2,FALSE),0)</f>
        <v>0</v>
      </c>
      <c r="F25" s="79"/>
      <c r="G25" s="77">
        <f>IFERROR(VLOOKUP(A25,DataDemande!U:Z,3,FALSE),0)</f>
        <v>0</v>
      </c>
      <c r="H25" s="77">
        <f>IFERROR(VLOOKUP($A25,DataDemande!$U:$Z,4,FALSE),0)</f>
        <v>0</v>
      </c>
      <c r="I25" s="77">
        <f>IFERROR(VLOOKUP($A25,DataDemande!$U:$Z,5,FALSE),0)</f>
        <v>0</v>
      </c>
      <c r="J25" s="77">
        <f>IFERROR(VLOOKUP($A25,DataDemande!$U:$Z,6,FALSE),0)</f>
        <v>0</v>
      </c>
      <c r="K25" s="79"/>
      <c r="L25" s="77">
        <f>IFERROR(VLOOKUP($A25,DataPrixBillets!$S:$W,2,FALSE),0)</f>
        <v>0</v>
      </c>
      <c r="M25" s="77">
        <f>IFERROR(VLOOKUP($A25,DataPrixBillets!$S:$W,3,FALSE),0)</f>
        <v>0</v>
      </c>
      <c r="N25" s="77">
        <f>IFERROR(VLOOKUP($A25,DataPrixBillets!$S:$W,4,FALSE),0)</f>
        <v>0</v>
      </c>
      <c r="O25" s="77">
        <f>IFERROR(VLOOKUP($A25,DataPrixBillets!$S:$W,5,FALSE),0)</f>
        <v>0</v>
      </c>
      <c r="P25" s="79"/>
      <c r="Q25" s="77">
        <f t="shared" si="7"/>
        <v>0</v>
      </c>
      <c r="R25" s="77">
        <f t="shared" si="8"/>
        <v>0</v>
      </c>
      <c r="S25" s="77">
        <f t="shared" si="9"/>
        <v>0</v>
      </c>
      <c r="T25" s="77">
        <f t="shared" si="10"/>
        <v>0</v>
      </c>
      <c r="U25" s="79"/>
      <c r="V25" s="77">
        <f t="shared" si="11"/>
        <v>0</v>
      </c>
      <c r="W25" s="77">
        <f>IFERROR(VLOOKUP(A25,DataCoutRevenuAux!W:Y,2,FALSE),0)</f>
        <v>0</v>
      </c>
      <c r="X25" s="77">
        <f>IFERROR(VLOOKUP(A25,DataCoutRevenuAux!W:Y,3,FALSE),0)</f>
        <v>0</v>
      </c>
      <c r="Y25" s="77">
        <f t="shared" si="12"/>
        <v>0</v>
      </c>
      <c r="Z25" s="77">
        <f t="shared" si="13"/>
        <v>0</v>
      </c>
      <c r="AA25" s="77">
        <f t="shared" si="14"/>
        <v>0</v>
      </c>
      <c r="AB25" s="79"/>
      <c r="AC25" s="77">
        <f t="shared" si="15"/>
        <v>0</v>
      </c>
      <c r="AD25" s="77">
        <f t="shared" si="16"/>
        <v>0</v>
      </c>
      <c r="AE25" s="77">
        <f t="shared" si="17"/>
        <v>0</v>
      </c>
      <c r="AF25" s="79"/>
      <c r="AG25" s="6">
        <f t="shared" si="18"/>
        <v>0</v>
      </c>
      <c r="AH25" s="6">
        <f t="shared" si="19"/>
        <v>0</v>
      </c>
      <c r="AI25" s="6">
        <f t="shared" si="20"/>
        <v>0</v>
      </c>
    </row>
    <row r="26" spans="1:35" x14ac:dyDescent="0.3">
      <c r="A26" s="189">
        <f>DataDemande!U59</f>
        <v>0</v>
      </c>
      <c r="B26" t="str">
        <f t="shared" si="5"/>
        <v>0</v>
      </c>
      <c r="C26" t="str">
        <f t="shared" si="6"/>
        <v>0</v>
      </c>
      <c r="D26" s="185">
        <f>IFERROR(VLOOKUP(A26,DataCoutRevenuAux!M:Q,5,FALSE),0)</f>
        <v>0</v>
      </c>
      <c r="E26">
        <f>IFERROR(VLOOKUP(A26,DataDemande!U:Z,2,FALSE),0)</f>
        <v>0</v>
      </c>
      <c r="F26" s="79"/>
      <c r="G26" s="77">
        <f>IFERROR(VLOOKUP(A26,DataDemande!U:Z,3,FALSE),0)</f>
        <v>0</v>
      </c>
      <c r="H26" s="77">
        <f>IFERROR(VLOOKUP($A26,DataDemande!$U:$Z,4,FALSE),0)</f>
        <v>0</v>
      </c>
      <c r="I26" s="77">
        <f>IFERROR(VLOOKUP($A26,DataDemande!$U:$Z,5,FALSE),0)</f>
        <v>0</v>
      </c>
      <c r="J26" s="77">
        <f>IFERROR(VLOOKUP($A26,DataDemande!$U:$Z,6,FALSE),0)</f>
        <v>0</v>
      </c>
      <c r="K26" s="79"/>
      <c r="L26" s="77">
        <f>IFERROR(VLOOKUP($A26,DataPrixBillets!$S:$W,2,FALSE),0)</f>
        <v>0</v>
      </c>
      <c r="M26" s="77">
        <f>IFERROR(VLOOKUP($A26,DataPrixBillets!$S:$W,3,FALSE),0)</f>
        <v>0</v>
      </c>
      <c r="N26" s="77">
        <f>IFERROR(VLOOKUP($A26,DataPrixBillets!$S:$W,4,FALSE),0)</f>
        <v>0</v>
      </c>
      <c r="O26" s="77">
        <f>IFERROR(VLOOKUP($A26,DataPrixBillets!$S:$W,5,FALSE),0)</f>
        <v>0</v>
      </c>
      <c r="P26" s="79"/>
      <c r="Q26" s="77">
        <f t="shared" si="7"/>
        <v>0</v>
      </c>
      <c r="R26" s="77">
        <f t="shared" si="8"/>
        <v>0</v>
      </c>
      <c r="S26" s="77">
        <f t="shared" si="9"/>
        <v>0</v>
      </c>
      <c r="T26" s="77">
        <f t="shared" si="10"/>
        <v>0</v>
      </c>
      <c r="U26" s="79"/>
      <c r="V26" s="77">
        <f t="shared" si="11"/>
        <v>0</v>
      </c>
      <c r="W26" s="77">
        <f>IFERROR(VLOOKUP(A26,DataCoutRevenuAux!W:Y,2,FALSE),0)</f>
        <v>0</v>
      </c>
      <c r="X26" s="77">
        <f>IFERROR(VLOOKUP(A26,DataCoutRevenuAux!W:Y,3,FALSE),0)</f>
        <v>0</v>
      </c>
      <c r="Y26" s="77">
        <f t="shared" si="12"/>
        <v>0</v>
      </c>
      <c r="Z26" s="77">
        <f t="shared" si="13"/>
        <v>0</v>
      </c>
      <c r="AA26" s="77">
        <f t="shared" si="14"/>
        <v>0</v>
      </c>
      <c r="AB26" s="79"/>
      <c r="AC26" s="77">
        <f t="shared" si="15"/>
        <v>0</v>
      </c>
      <c r="AD26" s="77">
        <f t="shared" si="16"/>
        <v>0</v>
      </c>
      <c r="AE26" s="77">
        <f t="shared" si="17"/>
        <v>0</v>
      </c>
      <c r="AF26" s="79"/>
      <c r="AG26" s="6">
        <f t="shared" si="18"/>
        <v>0</v>
      </c>
      <c r="AH26" s="6">
        <f t="shared" si="19"/>
        <v>0</v>
      </c>
      <c r="AI26" s="6">
        <f t="shared" si="20"/>
        <v>0</v>
      </c>
    </row>
    <row r="27" spans="1:35" x14ac:dyDescent="0.3">
      <c r="A27" s="189">
        <f>DataDemande!U60</f>
        <v>0</v>
      </c>
      <c r="B27" t="str">
        <f t="shared" si="5"/>
        <v>0</v>
      </c>
      <c r="C27" t="str">
        <f t="shared" si="6"/>
        <v>0</v>
      </c>
      <c r="D27" s="185">
        <f>IFERROR(VLOOKUP(A27,DataCoutRevenuAux!M:Q,5,FALSE),0)</f>
        <v>0</v>
      </c>
      <c r="E27">
        <f>IFERROR(VLOOKUP(A27,DataDemande!U:Z,2,FALSE),0)</f>
        <v>0</v>
      </c>
      <c r="F27" s="79"/>
      <c r="G27" s="77">
        <f>IFERROR(VLOOKUP(A27,DataDemande!U:Z,3,FALSE),0)</f>
        <v>0</v>
      </c>
      <c r="H27" s="77">
        <f>IFERROR(VLOOKUP($A27,DataDemande!$U:$Z,4,FALSE),0)</f>
        <v>0</v>
      </c>
      <c r="I27" s="77">
        <f>IFERROR(VLOOKUP($A27,DataDemande!$U:$Z,5,FALSE),0)</f>
        <v>0</v>
      </c>
      <c r="J27" s="77">
        <f>IFERROR(VLOOKUP($A27,DataDemande!$U:$Z,6,FALSE),0)</f>
        <v>0</v>
      </c>
      <c r="K27" s="79"/>
      <c r="L27" s="77">
        <f>IFERROR(VLOOKUP($A27,DataPrixBillets!$S:$W,2,FALSE),0)</f>
        <v>0</v>
      </c>
      <c r="M27" s="77">
        <f>IFERROR(VLOOKUP($A27,DataPrixBillets!$S:$W,3,FALSE),0)</f>
        <v>0</v>
      </c>
      <c r="N27" s="77">
        <f>IFERROR(VLOOKUP($A27,DataPrixBillets!$S:$W,4,FALSE),0)</f>
        <v>0</v>
      </c>
      <c r="O27" s="77">
        <f>IFERROR(VLOOKUP($A27,DataPrixBillets!$S:$W,5,FALSE),0)</f>
        <v>0</v>
      </c>
      <c r="P27" s="79"/>
      <c r="Q27" s="77">
        <f t="shared" si="7"/>
        <v>0</v>
      </c>
      <c r="R27" s="77">
        <f t="shared" si="8"/>
        <v>0</v>
      </c>
      <c r="S27" s="77">
        <f t="shared" si="9"/>
        <v>0</v>
      </c>
      <c r="T27" s="77">
        <f t="shared" si="10"/>
        <v>0</v>
      </c>
      <c r="U27" s="79"/>
      <c r="V27" s="77">
        <f t="shared" si="11"/>
        <v>0</v>
      </c>
      <c r="W27" s="77">
        <f>IFERROR(VLOOKUP(A27,DataCoutRevenuAux!W:Y,2,FALSE),0)</f>
        <v>0</v>
      </c>
      <c r="X27" s="77">
        <f>IFERROR(VLOOKUP(A27,DataCoutRevenuAux!W:Y,3,FALSE),0)</f>
        <v>0</v>
      </c>
      <c r="Y27" s="77">
        <f t="shared" si="12"/>
        <v>0</v>
      </c>
      <c r="Z27" s="77">
        <f t="shared" si="13"/>
        <v>0</v>
      </c>
      <c r="AA27" s="77">
        <f t="shared" si="14"/>
        <v>0</v>
      </c>
      <c r="AB27" s="79"/>
      <c r="AC27" s="77">
        <f t="shared" si="15"/>
        <v>0</v>
      </c>
      <c r="AD27" s="77">
        <f t="shared" si="16"/>
        <v>0</v>
      </c>
      <c r="AE27" s="77">
        <f t="shared" si="17"/>
        <v>0</v>
      </c>
      <c r="AF27" s="79"/>
      <c r="AG27" s="6">
        <f t="shared" si="18"/>
        <v>0</v>
      </c>
      <c r="AH27" s="6">
        <f t="shared" si="19"/>
        <v>0</v>
      </c>
      <c r="AI27" s="6">
        <f t="shared" si="20"/>
        <v>0</v>
      </c>
    </row>
    <row r="28" spans="1:35" x14ac:dyDescent="0.3">
      <c r="A28" s="189">
        <f>DataDemande!U61</f>
        <v>0</v>
      </c>
      <c r="B28" t="str">
        <f t="shared" si="5"/>
        <v>0</v>
      </c>
      <c r="C28" t="str">
        <f t="shared" si="6"/>
        <v>0</v>
      </c>
      <c r="D28" s="185">
        <f>IFERROR(VLOOKUP(A28,DataCoutRevenuAux!M:Q,5,FALSE),0)</f>
        <v>0</v>
      </c>
      <c r="E28">
        <f>IFERROR(VLOOKUP(A28,DataDemande!U:Z,2,FALSE),0)</f>
        <v>0</v>
      </c>
      <c r="F28" s="79"/>
      <c r="G28" s="77">
        <f>IFERROR(VLOOKUP(A28,DataDemande!U:Z,3,FALSE),0)</f>
        <v>0</v>
      </c>
      <c r="H28" s="77">
        <f>IFERROR(VLOOKUP($A28,DataDemande!$U:$Z,4,FALSE),0)</f>
        <v>0</v>
      </c>
      <c r="I28" s="77">
        <f>IFERROR(VLOOKUP($A28,DataDemande!$U:$Z,5,FALSE),0)</f>
        <v>0</v>
      </c>
      <c r="J28" s="77">
        <f>IFERROR(VLOOKUP($A28,DataDemande!$U:$Z,6,FALSE),0)</f>
        <v>0</v>
      </c>
      <c r="K28" s="79"/>
      <c r="L28" s="77">
        <f>IFERROR(VLOOKUP($A28,DataPrixBillets!$S:$W,2,FALSE),0)</f>
        <v>0</v>
      </c>
      <c r="M28" s="77">
        <f>IFERROR(VLOOKUP($A28,DataPrixBillets!$S:$W,3,FALSE),0)</f>
        <v>0</v>
      </c>
      <c r="N28" s="77">
        <f>IFERROR(VLOOKUP($A28,DataPrixBillets!$S:$W,4,FALSE),0)</f>
        <v>0</v>
      </c>
      <c r="O28" s="77">
        <f>IFERROR(VLOOKUP($A28,DataPrixBillets!$S:$W,5,FALSE),0)</f>
        <v>0</v>
      </c>
      <c r="P28" s="79"/>
      <c r="Q28" s="77">
        <f t="shared" si="7"/>
        <v>0</v>
      </c>
      <c r="R28" s="77">
        <f t="shared" si="8"/>
        <v>0</v>
      </c>
      <c r="S28" s="77">
        <f t="shared" si="9"/>
        <v>0</v>
      </c>
      <c r="T28" s="77">
        <f t="shared" si="10"/>
        <v>0</v>
      </c>
      <c r="U28" s="79"/>
      <c r="V28" s="77">
        <f t="shared" si="11"/>
        <v>0</v>
      </c>
      <c r="W28" s="77">
        <f>IFERROR(VLOOKUP(A28,DataCoutRevenuAux!W:Y,2,FALSE),0)</f>
        <v>0</v>
      </c>
      <c r="X28" s="77">
        <f>IFERROR(VLOOKUP(A28,DataCoutRevenuAux!W:Y,3,FALSE),0)</f>
        <v>0</v>
      </c>
      <c r="Y28" s="77">
        <f t="shared" si="12"/>
        <v>0</v>
      </c>
      <c r="Z28" s="77">
        <f t="shared" si="13"/>
        <v>0</v>
      </c>
      <c r="AA28" s="77">
        <f t="shared" si="14"/>
        <v>0</v>
      </c>
      <c r="AB28" s="79"/>
      <c r="AC28" s="77">
        <f t="shared" si="15"/>
        <v>0</v>
      </c>
      <c r="AD28" s="77">
        <f t="shared" si="16"/>
        <v>0</v>
      </c>
      <c r="AE28" s="77">
        <f t="shared" si="17"/>
        <v>0</v>
      </c>
      <c r="AF28" s="79"/>
      <c r="AG28" s="6">
        <f t="shared" si="18"/>
        <v>0</v>
      </c>
      <c r="AH28" s="6">
        <f t="shared" si="19"/>
        <v>0</v>
      </c>
      <c r="AI28" s="6">
        <f t="shared" si="20"/>
        <v>0</v>
      </c>
    </row>
    <row r="29" spans="1:35" x14ac:dyDescent="0.3">
      <c r="A29" s="189">
        <f>DataDemande!U62</f>
        <v>0</v>
      </c>
      <c r="B29" t="str">
        <f t="shared" si="5"/>
        <v>0</v>
      </c>
      <c r="C29" t="str">
        <f t="shared" si="6"/>
        <v>0</v>
      </c>
      <c r="D29" s="185">
        <f>IFERROR(VLOOKUP(A29,DataCoutRevenuAux!M:Q,5,FALSE),0)</f>
        <v>0</v>
      </c>
      <c r="E29">
        <f>IFERROR(VLOOKUP(A29,DataDemande!U:Z,2,FALSE),0)</f>
        <v>0</v>
      </c>
      <c r="F29" s="79"/>
      <c r="G29" s="77">
        <f>IFERROR(VLOOKUP(A29,DataDemande!U:Z,3,FALSE),0)</f>
        <v>0</v>
      </c>
      <c r="H29" s="77">
        <f>IFERROR(VLOOKUP($A29,DataDemande!$U:$Z,4,FALSE),0)</f>
        <v>0</v>
      </c>
      <c r="I29" s="77">
        <f>IFERROR(VLOOKUP($A29,DataDemande!$U:$Z,5,FALSE),0)</f>
        <v>0</v>
      </c>
      <c r="J29" s="77">
        <f>IFERROR(VLOOKUP($A29,DataDemande!$U:$Z,6,FALSE),0)</f>
        <v>0</v>
      </c>
      <c r="K29" s="79"/>
      <c r="L29" s="77">
        <f>IFERROR(VLOOKUP($A29,DataPrixBillets!$S:$W,2,FALSE),0)</f>
        <v>0</v>
      </c>
      <c r="M29" s="77">
        <f>IFERROR(VLOOKUP($A29,DataPrixBillets!$S:$W,3,FALSE),0)</f>
        <v>0</v>
      </c>
      <c r="N29" s="77">
        <f>IFERROR(VLOOKUP($A29,DataPrixBillets!$S:$W,4,FALSE),0)</f>
        <v>0</v>
      </c>
      <c r="O29" s="77">
        <f>IFERROR(VLOOKUP($A29,DataPrixBillets!$S:$W,5,FALSE),0)</f>
        <v>0</v>
      </c>
      <c r="P29" s="79"/>
      <c r="Q29" s="77">
        <f t="shared" si="7"/>
        <v>0</v>
      </c>
      <c r="R29" s="77">
        <f t="shared" si="8"/>
        <v>0</v>
      </c>
      <c r="S29" s="77">
        <f t="shared" si="9"/>
        <v>0</v>
      </c>
      <c r="T29" s="77">
        <f t="shared" si="10"/>
        <v>0</v>
      </c>
      <c r="U29" s="79"/>
      <c r="V29" s="77">
        <f t="shared" si="11"/>
        <v>0</v>
      </c>
      <c r="W29" s="77">
        <f>IFERROR(VLOOKUP(A29,DataCoutRevenuAux!W:Y,2,FALSE),0)</f>
        <v>0</v>
      </c>
      <c r="X29" s="77">
        <f>IFERROR(VLOOKUP(A29,DataCoutRevenuAux!W:Y,3,FALSE),0)</f>
        <v>0</v>
      </c>
      <c r="Y29" s="77">
        <f t="shared" si="12"/>
        <v>0</v>
      </c>
      <c r="Z29" s="77">
        <f t="shared" si="13"/>
        <v>0</v>
      </c>
      <c r="AA29" s="77">
        <f t="shared" si="14"/>
        <v>0</v>
      </c>
      <c r="AB29" s="79"/>
      <c r="AC29" s="77">
        <f t="shared" si="15"/>
        <v>0</v>
      </c>
      <c r="AD29" s="77">
        <f t="shared" si="16"/>
        <v>0</v>
      </c>
      <c r="AE29" s="77">
        <f t="shared" si="17"/>
        <v>0</v>
      </c>
      <c r="AF29" s="79"/>
      <c r="AG29" s="6">
        <f t="shared" si="18"/>
        <v>0</v>
      </c>
      <c r="AH29" s="6">
        <f t="shared" si="19"/>
        <v>0</v>
      </c>
      <c r="AI29" s="6">
        <f t="shared" si="20"/>
        <v>0</v>
      </c>
    </row>
    <row r="30" spans="1:35" x14ac:dyDescent="0.3">
      <c r="A30" s="189">
        <f>DataDemande!U63</f>
        <v>0</v>
      </c>
      <c r="B30" t="str">
        <f t="shared" si="5"/>
        <v>0</v>
      </c>
      <c r="C30" t="str">
        <f t="shared" si="6"/>
        <v>0</v>
      </c>
      <c r="D30" s="185">
        <f>IFERROR(VLOOKUP(A30,DataCoutRevenuAux!M:Q,5,FALSE),0)</f>
        <v>0</v>
      </c>
      <c r="E30">
        <f>IFERROR(VLOOKUP(A30,DataDemande!U:Z,2,FALSE),0)</f>
        <v>0</v>
      </c>
      <c r="F30" s="79"/>
      <c r="G30" s="77">
        <f>IFERROR(VLOOKUP(A30,DataDemande!U:Z,3,FALSE),0)</f>
        <v>0</v>
      </c>
      <c r="H30" s="77">
        <f>IFERROR(VLOOKUP($A30,DataDemande!$U:$Z,4,FALSE),0)</f>
        <v>0</v>
      </c>
      <c r="I30" s="77">
        <f>IFERROR(VLOOKUP($A30,DataDemande!$U:$Z,5,FALSE),0)</f>
        <v>0</v>
      </c>
      <c r="J30" s="77">
        <f>IFERROR(VLOOKUP($A30,DataDemande!$U:$Z,6,FALSE),0)</f>
        <v>0</v>
      </c>
      <c r="K30" s="79"/>
      <c r="L30" s="77">
        <f>IFERROR(VLOOKUP($A30,DataPrixBillets!$S:$W,2,FALSE),0)</f>
        <v>0</v>
      </c>
      <c r="M30" s="77">
        <f>IFERROR(VLOOKUP($A30,DataPrixBillets!$S:$W,3,FALSE),0)</f>
        <v>0</v>
      </c>
      <c r="N30" s="77">
        <f>IFERROR(VLOOKUP($A30,DataPrixBillets!$S:$W,4,FALSE),0)</f>
        <v>0</v>
      </c>
      <c r="O30" s="77">
        <f>IFERROR(VLOOKUP($A30,DataPrixBillets!$S:$W,5,FALSE),0)</f>
        <v>0</v>
      </c>
      <c r="P30" s="79"/>
      <c r="Q30" s="77">
        <f t="shared" si="7"/>
        <v>0</v>
      </c>
      <c r="R30" s="77">
        <f t="shared" si="8"/>
        <v>0</v>
      </c>
      <c r="S30" s="77">
        <f t="shared" si="9"/>
        <v>0</v>
      </c>
      <c r="T30" s="77">
        <f t="shared" si="10"/>
        <v>0</v>
      </c>
      <c r="U30" s="79"/>
      <c r="V30" s="77">
        <f t="shared" si="11"/>
        <v>0</v>
      </c>
      <c r="W30" s="77">
        <f>IFERROR(VLOOKUP(A30,DataCoutRevenuAux!W:Y,2,FALSE),0)</f>
        <v>0</v>
      </c>
      <c r="X30" s="77">
        <f>IFERROR(VLOOKUP(A30,DataCoutRevenuAux!W:Y,3,FALSE),0)</f>
        <v>0</v>
      </c>
      <c r="Y30" s="77">
        <f t="shared" si="12"/>
        <v>0</v>
      </c>
      <c r="Z30" s="77">
        <f t="shared" si="13"/>
        <v>0</v>
      </c>
      <c r="AA30" s="77">
        <f t="shared" si="14"/>
        <v>0</v>
      </c>
      <c r="AB30" s="79"/>
      <c r="AC30" s="77">
        <f t="shared" si="15"/>
        <v>0</v>
      </c>
      <c r="AD30" s="77">
        <f t="shared" si="16"/>
        <v>0</v>
      </c>
      <c r="AE30" s="77">
        <f t="shared" si="17"/>
        <v>0</v>
      </c>
      <c r="AF30" s="79"/>
      <c r="AG30" s="6">
        <f t="shared" si="18"/>
        <v>0</v>
      </c>
      <c r="AH30" s="6">
        <f t="shared" si="19"/>
        <v>0</v>
      </c>
      <c r="AI30" s="6">
        <f t="shared" si="20"/>
        <v>0</v>
      </c>
    </row>
    <row r="31" spans="1:35" x14ac:dyDescent="0.3">
      <c r="A31" s="189">
        <f>DataDemande!U64</f>
        <v>0</v>
      </c>
      <c r="B31" t="str">
        <f t="shared" si="5"/>
        <v>0</v>
      </c>
      <c r="C31" t="str">
        <f t="shared" si="6"/>
        <v>0</v>
      </c>
      <c r="D31" s="185">
        <f>IFERROR(VLOOKUP(A31,DataCoutRevenuAux!M:Q,5,FALSE),0)</f>
        <v>0</v>
      </c>
      <c r="E31">
        <f>IFERROR(VLOOKUP(A31,DataDemande!U:Z,2,FALSE),0)</f>
        <v>0</v>
      </c>
      <c r="F31" s="79"/>
      <c r="G31" s="77">
        <f>IFERROR(VLOOKUP(A31,DataDemande!U:Z,3,FALSE),0)</f>
        <v>0</v>
      </c>
      <c r="H31" s="77">
        <f>IFERROR(VLOOKUP($A31,DataDemande!$U:$Z,4,FALSE),0)</f>
        <v>0</v>
      </c>
      <c r="I31" s="77">
        <f>IFERROR(VLOOKUP($A31,DataDemande!$U:$Z,5,FALSE),0)</f>
        <v>0</v>
      </c>
      <c r="J31" s="77">
        <f>IFERROR(VLOOKUP($A31,DataDemande!$U:$Z,6,FALSE),0)</f>
        <v>0</v>
      </c>
      <c r="K31" s="79"/>
      <c r="L31" s="77">
        <f>IFERROR(VLOOKUP($A31,DataPrixBillets!$S:$W,2,FALSE),0)</f>
        <v>0</v>
      </c>
      <c r="M31" s="77">
        <f>IFERROR(VLOOKUP($A31,DataPrixBillets!$S:$W,3,FALSE),0)</f>
        <v>0</v>
      </c>
      <c r="N31" s="77">
        <f>IFERROR(VLOOKUP($A31,DataPrixBillets!$S:$W,4,FALSE),0)</f>
        <v>0</v>
      </c>
      <c r="O31" s="77">
        <f>IFERROR(VLOOKUP($A31,DataPrixBillets!$S:$W,5,FALSE),0)</f>
        <v>0</v>
      </c>
      <c r="P31" s="79"/>
      <c r="Q31" s="77">
        <f t="shared" si="7"/>
        <v>0</v>
      </c>
      <c r="R31" s="77">
        <f t="shared" si="8"/>
        <v>0</v>
      </c>
      <c r="S31" s="77">
        <f t="shared" si="9"/>
        <v>0</v>
      </c>
      <c r="T31" s="77">
        <f t="shared" si="10"/>
        <v>0</v>
      </c>
      <c r="U31" s="79"/>
      <c r="V31" s="77">
        <f t="shared" si="11"/>
        <v>0</v>
      </c>
      <c r="W31" s="77">
        <f>IFERROR(VLOOKUP(A31,DataCoutRevenuAux!W:Y,2,FALSE),0)</f>
        <v>0</v>
      </c>
      <c r="X31" s="77">
        <f>IFERROR(VLOOKUP(A31,DataCoutRevenuAux!W:Y,3,FALSE),0)</f>
        <v>0</v>
      </c>
      <c r="Y31" s="77">
        <f t="shared" si="12"/>
        <v>0</v>
      </c>
      <c r="Z31" s="77">
        <f t="shared" si="13"/>
        <v>0</v>
      </c>
      <c r="AA31" s="77">
        <f t="shared" si="14"/>
        <v>0</v>
      </c>
      <c r="AB31" s="79"/>
      <c r="AC31" s="77">
        <f t="shared" si="15"/>
        <v>0</v>
      </c>
      <c r="AD31" s="77">
        <f t="shared" si="16"/>
        <v>0</v>
      </c>
      <c r="AE31" s="77">
        <f t="shared" si="17"/>
        <v>0</v>
      </c>
      <c r="AF31" s="79"/>
      <c r="AG31" s="6">
        <f t="shared" si="18"/>
        <v>0</v>
      </c>
      <c r="AH31" s="6">
        <f t="shared" si="19"/>
        <v>0</v>
      </c>
      <c r="AI31" s="6">
        <f t="shared" si="20"/>
        <v>0</v>
      </c>
    </row>
    <row r="32" spans="1:35" x14ac:dyDescent="0.3">
      <c r="A32" s="189">
        <f>DataDemande!U65</f>
        <v>0</v>
      </c>
      <c r="B32" t="str">
        <f t="shared" si="5"/>
        <v>0</v>
      </c>
      <c r="C32" t="str">
        <f t="shared" si="6"/>
        <v>0</v>
      </c>
      <c r="D32" s="185">
        <f>IFERROR(VLOOKUP(A32,DataCoutRevenuAux!M:Q,5,FALSE),0)</f>
        <v>0</v>
      </c>
      <c r="E32">
        <f>IFERROR(VLOOKUP(A32,DataDemande!U:Z,2,FALSE),0)</f>
        <v>0</v>
      </c>
      <c r="F32" s="79"/>
      <c r="G32" s="77">
        <f>IFERROR(VLOOKUP(A32,DataDemande!U:Z,3,FALSE),0)</f>
        <v>0</v>
      </c>
      <c r="H32" s="77">
        <f>IFERROR(VLOOKUP($A32,DataDemande!$U:$Z,4,FALSE),0)</f>
        <v>0</v>
      </c>
      <c r="I32" s="77">
        <f>IFERROR(VLOOKUP($A32,DataDemande!$U:$Z,5,FALSE),0)</f>
        <v>0</v>
      </c>
      <c r="J32" s="77">
        <f>IFERROR(VLOOKUP($A32,DataDemande!$U:$Z,6,FALSE),0)</f>
        <v>0</v>
      </c>
      <c r="K32" s="79"/>
      <c r="L32" s="77">
        <f>IFERROR(VLOOKUP($A32,DataPrixBillets!$S:$W,2,FALSE),0)</f>
        <v>0</v>
      </c>
      <c r="M32" s="77">
        <f>IFERROR(VLOOKUP($A32,DataPrixBillets!$S:$W,3,FALSE),0)</f>
        <v>0</v>
      </c>
      <c r="N32" s="77">
        <f>IFERROR(VLOOKUP($A32,DataPrixBillets!$S:$W,4,FALSE),0)</f>
        <v>0</v>
      </c>
      <c r="O32" s="77">
        <f>IFERROR(VLOOKUP($A32,DataPrixBillets!$S:$W,5,FALSE),0)</f>
        <v>0</v>
      </c>
      <c r="P32" s="79"/>
      <c r="Q32" s="77">
        <f t="shared" si="7"/>
        <v>0</v>
      </c>
      <c r="R32" s="77">
        <f t="shared" si="8"/>
        <v>0</v>
      </c>
      <c r="S32" s="77">
        <f t="shared" si="9"/>
        <v>0</v>
      </c>
      <c r="T32" s="77">
        <f t="shared" si="10"/>
        <v>0</v>
      </c>
      <c r="U32" s="79"/>
      <c r="V32" s="77">
        <f t="shared" si="11"/>
        <v>0</v>
      </c>
      <c r="W32" s="77">
        <f>IFERROR(VLOOKUP(A32,DataCoutRevenuAux!W:Y,2,FALSE),0)</f>
        <v>0</v>
      </c>
      <c r="X32" s="77">
        <f>IFERROR(VLOOKUP(A32,DataCoutRevenuAux!W:Y,3,FALSE),0)</f>
        <v>0</v>
      </c>
      <c r="Y32" s="77">
        <f t="shared" si="12"/>
        <v>0</v>
      </c>
      <c r="Z32" s="77">
        <f t="shared" si="13"/>
        <v>0</v>
      </c>
      <c r="AA32" s="77">
        <f t="shared" si="14"/>
        <v>0</v>
      </c>
      <c r="AB32" s="79"/>
      <c r="AC32" s="77">
        <f t="shared" si="15"/>
        <v>0</v>
      </c>
      <c r="AD32" s="77">
        <f t="shared" si="16"/>
        <v>0</v>
      </c>
      <c r="AE32" s="77">
        <f t="shared" si="17"/>
        <v>0</v>
      </c>
      <c r="AF32" s="79"/>
      <c r="AG32" s="6">
        <f t="shared" si="18"/>
        <v>0</v>
      </c>
      <c r="AH32" s="6">
        <f t="shared" si="19"/>
        <v>0</v>
      </c>
      <c r="AI32" s="6">
        <f t="shared" si="20"/>
        <v>0</v>
      </c>
    </row>
    <row r="33" spans="1:35" x14ac:dyDescent="0.3">
      <c r="A33" s="189">
        <f>DataDemande!U66</f>
        <v>0</v>
      </c>
      <c r="B33" t="str">
        <f t="shared" si="5"/>
        <v>0</v>
      </c>
      <c r="C33" t="str">
        <f t="shared" si="6"/>
        <v>0</v>
      </c>
      <c r="D33" s="185">
        <f>IFERROR(VLOOKUP(A33,DataCoutRevenuAux!M:Q,5,FALSE),0)</f>
        <v>0</v>
      </c>
      <c r="E33">
        <f>IFERROR(VLOOKUP(A33,DataDemande!U:Z,2,FALSE),0)</f>
        <v>0</v>
      </c>
      <c r="F33" s="79"/>
      <c r="G33" s="77">
        <f>IFERROR(VLOOKUP(A33,DataDemande!U:Z,3,FALSE),0)</f>
        <v>0</v>
      </c>
      <c r="H33" s="77">
        <f>IFERROR(VLOOKUP($A33,DataDemande!$U:$Z,4,FALSE),0)</f>
        <v>0</v>
      </c>
      <c r="I33" s="77">
        <f>IFERROR(VLOOKUP($A33,DataDemande!$U:$Z,5,FALSE),0)</f>
        <v>0</v>
      </c>
      <c r="J33" s="77">
        <f>IFERROR(VLOOKUP($A33,DataDemande!$U:$Z,6,FALSE),0)</f>
        <v>0</v>
      </c>
      <c r="K33" s="79"/>
      <c r="L33" s="77">
        <f>IFERROR(VLOOKUP($A33,DataPrixBillets!$S:$W,2,FALSE),0)</f>
        <v>0</v>
      </c>
      <c r="M33" s="77">
        <f>IFERROR(VLOOKUP($A33,DataPrixBillets!$S:$W,3,FALSE),0)</f>
        <v>0</v>
      </c>
      <c r="N33" s="77">
        <f>IFERROR(VLOOKUP($A33,DataPrixBillets!$S:$W,4,FALSE),0)</f>
        <v>0</v>
      </c>
      <c r="O33" s="77">
        <f>IFERROR(VLOOKUP($A33,DataPrixBillets!$S:$W,5,FALSE),0)</f>
        <v>0</v>
      </c>
      <c r="P33" s="79"/>
      <c r="Q33" s="77">
        <f t="shared" si="7"/>
        <v>0</v>
      </c>
      <c r="R33" s="77">
        <f t="shared" si="8"/>
        <v>0</v>
      </c>
      <c r="S33" s="77">
        <f t="shared" si="9"/>
        <v>0</v>
      </c>
      <c r="T33" s="77">
        <f t="shared" si="10"/>
        <v>0</v>
      </c>
      <c r="U33" s="79"/>
      <c r="V33" s="77">
        <f t="shared" si="11"/>
        <v>0</v>
      </c>
      <c r="W33" s="77">
        <f>IFERROR(VLOOKUP(A33,DataCoutRevenuAux!W:Y,2,FALSE),0)</f>
        <v>0</v>
      </c>
      <c r="X33" s="77">
        <f>IFERROR(VLOOKUP(A33,DataCoutRevenuAux!W:Y,3,FALSE),0)</f>
        <v>0</v>
      </c>
      <c r="Y33" s="77">
        <f t="shared" si="12"/>
        <v>0</v>
      </c>
      <c r="Z33" s="77">
        <f t="shared" si="13"/>
        <v>0</v>
      </c>
      <c r="AA33" s="77">
        <f t="shared" si="14"/>
        <v>0</v>
      </c>
      <c r="AB33" s="79"/>
      <c r="AC33" s="77">
        <f t="shared" si="15"/>
        <v>0</v>
      </c>
      <c r="AD33" s="77">
        <f t="shared" si="16"/>
        <v>0</v>
      </c>
      <c r="AE33" s="77">
        <f t="shared" si="17"/>
        <v>0</v>
      </c>
      <c r="AF33" s="79"/>
      <c r="AG33" s="6">
        <f t="shared" si="18"/>
        <v>0</v>
      </c>
      <c r="AH33" s="6">
        <f t="shared" si="19"/>
        <v>0</v>
      </c>
      <c r="AI33" s="6">
        <f t="shared" si="20"/>
        <v>0</v>
      </c>
    </row>
    <row r="34" spans="1:35" x14ac:dyDescent="0.3">
      <c r="A34" s="189">
        <f>DataDemande!U67</f>
        <v>0</v>
      </c>
      <c r="B34" t="str">
        <f t="shared" si="5"/>
        <v>0</v>
      </c>
      <c r="C34" t="str">
        <f t="shared" si="6"/>
        <v>0</v>
      </c>
      <c r="D34" s="185">
        <f>IFERROR(VLOOKUP(A34,DataCoutRevenuAux!M:Q,5,FALSE),0)</f>
        <v>0</v>
      </c>
      <c r="E34">
        <f>IFERROR(VLOOKUP(A34,DataDemande!U:Z,2,FALSE),0)</f>
        <v>0</v>
      </c>
      <c r="F34" s="79"/>
      <c r="G34" s="77">
        <f>IFERROR(VLOOKUP(A34,DataDemande!U:Z,3,FALSE),0)</f>
        <v>0</v>
      </c>
      <c r="H34" s="77">
        <f>IFERROR(VLOOKUP($A34,DataDemande!$U:$Z,4,FALSE),0)</f>
        <v>0</v>
      </c>
      <c r="I34" s="77">
        <f>IFERROR(VLOOKUP($A34,DataDemande!$U:$Z,5,FALSE),0)</f>
        <v>0</v>
      </c>
      <c r="J34" s="77">
        <f>IFERROR(VLOOKUP($A34,DataDemande!$U:$Z,6,FALSE),0)</f>
        <v>0</v>
      </c>
      <c r="K34" s="79"/>
      <c r="L34" s="77">
        <f>IFERROR(VLOOKUP($A34,DataPrixBillets!$S:$W,2,FALSE),0)</f>
        <v>0</v>
      </c>
      <c r="M34" s="77">
        <f>IFERROR(VLOOKUP($A34,DataPrixBillets!$S:$W,3,FALSE),0)</f>
        <v>0</v>
      </c>
      <c r="N34" s="77">
        <f>IFERROR(VLOOKUP($A34,DataPrixBillets!$S:$W,4,FALSE),0)</f>
        <v>0</v>
      </c>
      <c r="O34" s="77">
        <f>IFERROR(VLOOKUP($A34,DataPrixBillets!$S:$W,5,FALSE),0)</f>
        <v>0</v>
      </c>
      <c r="P34" s="79"/>
      <c r="Q34" s="77">
        <f t="shared" si="7"/>
        <v>0</v>
      </c>
      <c r="R34" s="77">
        <f t="shared" si="8"/>
        <v>0</v>
      </c>
      <c r="S34" s="77">
        <f t="shared" si="9"/>
        <v>0</v>
      </c>
      <c r="T34" s="77">
        <f t="shared" si="10"/>
        <v>0</v>
      </c>
      <c r="U34" s="79"/>
      <c r="V34" s="77">
        <f t="shared" si="11"/>
        <v>0</v>
      </c>
      <c r="W34" s="77">
        <f>IFERROR(VLOOKUP(A34,DataCoutRevenuAux!W:Y,2,FALSE),0)</f>
        <v>0</v>
      </c>
      <c r="X34" s="77">
        <f>IFERROR(VLOOKUP(A34,DataCoutRevenuAux!W:Y,3,FALSE),0)</f>
        <v>0</v>
      </c>
      <c r="Y34" s="77">
        <f t="shared" si="12"/>
        <v>0</v>
      </c>
      <c r="Z34" s="77">
        <f t="shared" si="13"/>
        <v>0</v>
      </c>
      <c r="AA34" s="77">
        <f t="shared" si="14"/>
        <v>0</v>
      </c>
      <c r="AB34" s="79"/>
      <c r="AC34" s="77">
        <f t="shared" si="15"/>
        <v>0</v>
      </c>
      <c r="AD34" s="77">
        <f t="shared" si="16"/>
        <v>0</v>
      </c>
      <c r="AE34" s="77">
        <f t="shared" si="17"/>
        <v>0</v>
      </c>
      <c r="AF34" s="79"/>
      <c r="AG34" s="6">
        <f t="shared" si="18"/>
        <v>0</v>
      </c>
      <c r="AH34" s="6">
        <f t="shared" si="19"/>
        <v>0</v>
      </c>
      <c r="AI34" s="6">
        <f t="shared" si="20"/>
        <v>0</v>
      </c>
    </row>
    <row r="35" spans="1:35" x14ac:dyDescent="0.3">
      <c r="A35" s="189">
        <f>DataDemande!U68</f>
        <v>0</v>
      </c>
      <c r="B35" t="str">
        <f t="shared" si="5"/>
        <v>0</v>
      </c>
      <c r="C35" t="str">
        <f t="shared" si="6"/>
        <v>0</v>
      </c>
      <c r="D35" s="185">
        <f>IFERROR(VLOOKUP(A35,DataCoutRevenuAux!M:Q,5,FALSE),0)</f>
        <v>0</v>
      </c>
      <c r="E35">
        <f>IFERROR(VLOOKUP(A35,DataDemande!U:Z,2,FALSE),0)</f>
        <v>0</v>
      </c>
      <c r="F35" s="79"/>
      <c r="G35" s="77">
        <f>IFERROR(VLOOKUP(A35,DataDemande!U:Z,3,FALSE),0)</f>
        <v>0</v>
      </c>
      <c r="H35" s="77">
        <f>IFERROR(VLOOKUP($A35,DataDemande!$U:$Z,4,FALSE),0)</f>
        <v>0</v>
      </c>
      <c r="I35" s="77">
        <f>IFERROR(VLOOKUP($A35,DataDemande!$U:$Z,5,FALSE),0)</f>
        <v>0</v>
      </c>
      <c r="J35" s="77">
        <f>IFERROR(VLOOKUP($A35,DataDemande!$U:$Z,6,FALSE),0)</f>
        <v>0</v>
      </c>
      <c r="K35" s="79"/>
      <c r="L35" s="77">
        <f>IFERROR(VLOOKUP($A35,DataPrixBillets!$S:$W,2,FALSE),0)</f>
        <v>0</v>
      </c>
      <c r="M35" s="77">
        <f>IFERROR(VLOOKUP($A35,DataPrixBillets!$S:$W,3,FALSE),0)</f>
        <v>0</v>
      </c>
      <c r="N35" s="77">
        <f>IFERROR(VLOOKUP($A35,DataPrixBillets!$S:$W,4,FALSE),0)</f>
        <v>0</v>
      </c>
      <c r="O35" s="77">
        <f>IFERROR(VLOOKUP($A35,DataPrixBillets!$S:$W,5,FALSE),0)</f>
        <v>0</v>
      </c>
      <c r="P35" s="79"/>
      <c r="Q35" s="77">
        <f t="shared" si="7"/>
        <v>0</v>
      </c>
      <c r="R35" s="77">
        <f t="shared" si="8"/>
        <v>0</v>
      </c>
      <c r="S35" s="77">
        <f t="shared" si="9"/>
        <v>0</v>
      </c>
      <c r="T35" s="77">
        <f t="shared" si="10"/>
        <v>0</v>
      </c>
      <c r="U35" s="79"/>
      <c r="V35" s="77">
        <f t="shared" si="11"/>
        <v>0</v>
      </c>
      <c r="W35" s="77">
        <f>IFERROR(VLOOKUP(A35,DataCoutRevenuAux!W:Y,2,FALSE),0)</f>
        <v>0</v>
      </c>
      <c r="X35" s="77">
        <f>IFERROR(VLOOKUP(A35,DataCoutRevenuAux!W:Y,3,FALSE),0)</f>
        <v>0</v>
      </c>
      <c r="Y35" s="77">
        <f t="shared" si="12"/>
        <v>0</v>
      </c>
      <c r="Z35" s="77">
        <f t="shared" si="13"/>
        <v>0</v>
      </c>
      <c r="AA35" s="77">
        <f t="shared" si="14"/>
        <v>0</v>
      </c>
      <c r="AB35" s="79"/>
      <c r="AC35" s="77">
        <f t="shared" si="15"/>
        <v>0</v>
      </c>
      <c r="AD35" s="77">
        <f t="shared" si="16"/>
        <v>0</v>
      </c>
      <c r="AE35" s="77">
        <f t="shared" si="17"/>
        <v>0</v>
      </c>
      <c r="AF35" s="79"/>
      <c r="AG35" s="6">
        <f t="shared" si="18"/>
        <v>0</v>
      </c>
      <c r="AH35" s="6">
        <f t="shared" si="19"/>
        <v>0</v>
      </c>
      <c r="AI35" s="6">
        <f t="shared" si="20"/>
        <v>0</v>
      </c>
    </row>
    <row r="36" spans="1:35" x14ac:dyDescent="0.3">
      <c r="A36" s="189">
        <f>DataDemande!U69</f>
        <v>0</v>
      </c>
      <c r="B36" t="str">
        <f t="shared" si="5"/>
        <v>0</v>
      </c>
      <c r="C36" t="str">
        <f t="shared" si="6"/>
        <v>0</v>
      </c>
      <c r="D36" s="185">
        <f>IFERROR(VLOOKUP(A36,DataCoutRevenuAux!M:Q,5,FALSE),0)</f>
        <v>0</v>
      </c>
      <c r="E36">
        <f>IFERROR(VLOOKUP(A36,DataDemande!U:Z,2,FALSE),0)</f>
        <v>0</v>
      </c>
      <c r="F36" s="79"/>
      <c r="G36" s="77">
        <f>IFERROR(VLOOKUP(A36,DataDemande!U:Z,3,FALSE),0)</f>
        <v>0</v>
      </c>
      <c r="H36" s="77">
        <f>IFERROR(VLOOKUP($A36,DataDemande!$U:$Z,4,FALSE),0)</f>
        <v>0</v>
      </c>
      <c r="I36" s="77">
        <f>IFERROR(VLOOKUP($A36,DataDemande!$U:$Z,5,FALSE),0)</f>
        <v>0</v>
      </c>
      <c r="J36" s="77">
        <f>IFERROR(VLOOKUP($A36,DataDemande!$U:$Z,6,FALSE),0)</f>
        <v>0</v>
      </c>
      <c r="K36" s="79"/>
      <c r="L36" s="77">
        <f>IFERROR(VLOOKUP($A36,DataPrixBillets!$S:$W,2,FALSE),0)</f>
        <v>0</v>
      </c>
      <c r="M36" s="77">
        <f>IFERROR(VLOOKUP($A36,DataPrixBillets!$S:$W,3,FALSE),0)</f>
        <v>0</v>
      </c>
      <c r="N36" s="77">
        <f>IFERROR(VLOOKUP($A36,DataPrixBillets!$S:$W,4,FALSE),0)</f>
        <v>0</v>
      </c>
      <c r="O36" s="77">
        <f>IFERROR(VLOOKUP($A36,DataPrixBillets!$S:$W,5,FALSE),0)</f>
        <v>0</v>
      </c>
      <c r="P36" s="79"/>
      <c r="Q36" s="77">
        <f t="shared" si="7"/>
        <v>0</v>
      </c>
      <c r="R36" s="77">
        <f t="shared" si="8"/>
        <v>0</v>
      </c>
      <c r="S36" s="77">
        <f t="shared" si="9"/>
        <v>0</v>
      </c>
      <c r="T36" s="77">
        <f t="shared" si="10"/>
        <v>0</v>
      </c>
      <c r="U36" s="79"/>
      <c r="V36" s="77">
        <f t="shared" si="11"/>
        <v>0</v>
      </c>
      <c r="W36" s="77">
        <f>IFERROR(VLOOKUP(A36,DataCoutRevenuAux!W:Y,2,FALSE),0)</f>
        <v>0</v>
      </c>
      <c r="X36" s="77">
        <f>IFERROR(VLOOKUP(A36,DataCoutRevenuAux!W:Y,3,FALSE),0)</f>
        <v>0</v>
      </c>
      <c r="Y36" s="77">
        <f t="shared" si="12"/>
        <v>0</v>
      </c>
      <c r="Z36" s="77">
        <f t="shared" si="13"/>
        <v>0</v>
      </c>
      <c r="AA36" s="77">
        <f t="shared" si="14"/>
        <v>0</v>
      </c>
      <c r="AB36" s="79"/>
      <c r="AC36" s="77">
        <f t="shared" si="15"/>
        <v>0</v>
      </c>
      <c r="AD36" s="77">
        <f t="shared" si="16"/>
        <v>0</v>
      </c>
      <c r="AE36" s="77">
        <f t="shared" si="17"/>
        <v>0</v>
      </c>
      <c r="AF36" s="79"/>
      <c r="AG36" s="6">
        <f t="shared" si="18"/>
        <v>0</v>
      </c>
      <c r="AH36" s="6">
        <f t="shared" si="19"/>
        <v>0</v>
      </c>
      <c r="AI36" s="6">
        <f t="shared" si="20"/>
        <v>0</v>
      </c>
    </row>
    <row r="37" spans="1:35" x14ac:dyDescent="0.3">
      <c r="A37" s="189">
        <f>DataDemande!U70</f>
        <v>0</v>
      </c>
      <c r="B37" t="str">
        <f t="shared" si="5"/>
        <v>0</v>
      </c>
      <c r="C37" t="str">
        <f t="shared" si="6"/>
        <v>0</v>
      </c>
      <c r="D37" s="185">
        <f>IFERROR(VLOOKUP(A37,DataCoutRevenuAux!M:Q,5,FALSE),0)</f>
        <v>0</v>
      </c>
      <c r="E37">
        <f>IFERROR(VLOOKUP(A37,DataDemande!U:Z,2,FALSE),0)</f>
        <v>0</v>
      </c>
      <c r="F37" s="79"/>
      <c r="G37" s="77">
        <f>IFERROR(VLOOKUP(A37,DataDemande!U:Z,3,FALSE),0)</f>
        <v>0</v>
      </c>
      <c r="H37" s="77">
        <f>IFERROR(VLOOKUP($A37,DataDemande!$U:$Z,4,FALSE),0)</f>
        <v>0</v>
      </c>
      <c r="I37" s="77">
        <f>IFERROR(VLOOKUP($A37,DataDemande!$U:$Z,5,FALSE),0)</f>
        <v>0</v>
      </c>
      <c r="J37" s="77">
        <f>IFERROR(VLOOKUP($A37,DataDemande!$U:$Z,6,FALSE),0)</f>
        <v>0</v>
      </c>
      <c r="K37" s="79"/>
      <c r="L37" s="77">
        <f>IFERROR(VLOOKUP($A37,DataPrixBillets!$S:$W,2,FALSE),0)</f>
        <v>0</v>
      </c>
      <c r="M37" s="77">
        <f>IFERROR(VLOOKUP($A37,DataPrixBillets!$S:$W,3,FALSE),0)</f>
        <v>0</v>
      </c>
      <c r="N37" s="77">
        <f>IFERROR(VLOOKUP($A37,DataPrixBillets!$S:$W,4,FALSE),0)</f>
        <v>0</v>
      </c>
      <c r="O37" s="77">
        <f>IFERROR(VLOOKUP($A37,DataPrixBillets!$S:$W,5,FALSE),0)</f>
        <v>0</v>
      </c>
      <c r="P37" s="79"/>
      <c r="Q37" s="77">
        <f t="shared" si="7"/>
        <v>0</v>
      </c>
      <c r="R37" s="77">
        <f t="shared" si="8"/>
        <v>0</v>
      </c>
      <c r="S37" s="77">
        <f t="shared" si="9"/>
        <v>0</v>
      </c>
      <c r="T37" s="77">
        <f t="shared" si="10"/>
        <v>0</v>
      </c>
      <c r="U37" s="79"/>
      <c r="V37" s="77">
        <f t="shared" si="11"/>
        <v>0</v>
      </c>
      <c r="W37" s="77">
        <f>IFERROR(VLOOKUP(A37,DataCoutRevenuAux!W:Y,2,FALSE),0)</f>
        <v>0</v>
      </c>
      <c r="X37" s="77">
        <f>IFERROR(VLOOKUP(A37,DataCoutRevenuAux!W:Y,3,FALSE),0)</f>
        <v>0</v>
      </c>
      <c r="Y37" s="77">
        <f t="shared" si="12"/>
        <v>0</v>
      </c>
      <c r="Z37" s="77">
        <f t="shared" si="13"/>
        <v>0</v>
      </c>
      <c r="AA37" s="77">
        <f t="shared" si="14"/>
        <v>0</v>
      </c>
      <c r="AB37" s="79"/>
      <c r="AC37" s="77">
        <f t="shared" si="15"/>
        <v>0</v>
      </c>
      <c r="AD37" s="77">
        <f t="shared" si="16"/>
        <v>0</v>
      </c>
      <c r="AE37" s="77">
        <f t="shared" si="17"/>
        <v>0</v>
      </c>
      <c r="AF37" s="79"/>
      <c r="AG37" s="6">
        <f t="shared" si="18"/>
        <v>0</v>
      </c>
      <c r="AH37" s="6">
        <f t="shared" si="19"/>
        <v>0</v>
      </c>
      <c r="AI37" s="6">
        <f t="shared" si="20"/>
        <v>0</v>
      </c>
    </row>
    <row r="38" spans="1:35" x14ac:dyDescent="0.3">
      <c r="A38" s="189">
        <f>DataDemande!U71</f>
        <v>0</v>
      </c>
      <c r="B38" t="str">
        <f t="shared" si="5"/>
        <v>0</v>
      </c>
      <c r="C38" t="str">
        <f t="shared" si="6"/>
        <v>0</v>
      </c>
      <c r="D38" s="185">
        <f>IFERROR(VLOOKUP(A38,DataCoutRevenuAux!M:Q,5,FALSE),0)</f>
        <v>0</v>
      </c>
      <c r="E38">
        <f>IFERROR(VLOOKUP(A38,DataDemande!U:Z,2,FALSE),0)</f>
        <v>0</v>
      </c>
      <c r="F38" s="79"/>
      <c r="G38" s="77">
        <f>IFERROR(VLOOKUP(A38,DataDemande!U:Z,3,FALSE),0)</f>
        <v>0</v>
      </c>
      <c r="H38" s="77">
        <f>IFERROR(VLOOKUP($A38,DataDemande!$U:$Z,4,FALSE),0)</f>
        <v>0</v>
      </c>
      <c r="I38" s="77">
        <f>IFERROR(VLOOKUP($A38,DataDemande!$U:$Z,5,FALSE),0)</f>
        <v>0</v>
      </c>
      <c r="J38" s="77">
        <f>IFERROR(VLOOKUP($A38,DataDemande!$U:$Z,6,FALSE),0)</f>
        <v>0</v>
      </c>
      <c r="K38" s="79"/>
      <c r="L38" s="77">
        <f>IFERROR(VLOOKUP($A38,DataPrixBillets!$S:$W,2,FALSE),0)</f>
        <v>0</v>
      </c>
      <c r="M38" s="77">
        <f>IFERROR(VLOOKUP($A38,DataPrixBillets!$S:$W,3,FALSE),0)</f>
        <v>0</v>
      </c>
      <c r="N38" s="77">
        <f>IFERROR(VLOOKUP($A38,DataPrixBillets!$S:$W,4,FALSE),0)</f>
        <v>0</v>
      </c>
      <c r="O38" s="77">
        <f>IFERROR(VLOOKUP($A38,DataPrixBillets!$S:$W,5,FALSE),0)</f>
        <v>0</v>
      </c>
      <c r="P38" s="79"/>
      <c r="Q38" s="77">
        <f t="shared" si="7"/>
        <v>0</v>
      </c>
      <c r="R38" s="77">
        <f t="shared" si="8"/>
        <v>0</v>
      </c>
      <c r="S38" s="77">
        <f t="shared" si="9"/>
        <v>0</v>
      </c>
      <c r="T38" s="77">
        <f t="shared" si="10"/>
        <v>0</v>
      </c>
      <c r="U38" s="79"/>
      <c r="V38" s="77">
        <f t="shared" si="11"/>
        <v>0</v>
      </c>
      <c r="W38" s="77">
        <f>IFERROR(VLOOKUP(A38,DataCoutRevenuAux!W:Y,2,FALSE),0)</f>
        <v>0</v>
      </c>
      <c r="X38" s="77">
        <f>IFERROR(VLOOKUP(A38,DataCoutRevenuAux!W:Y,3,FALSE),0)</f>
        <v>0</v>
      </c>
      <c r="Y38" s="77">
        <f t="shared" si="12"/>
        <v>0</v>
      </c>
      <c r="Z38" s="77">
        <f t="shared" si="13"/>
        <v>0</v>
      </c>
      <c r="AA38" s="77">
        <f t="shared" si="14"/>
        <v>0</v>
      </c>
      <c r="AB38" s="79"/>
      <c r="AC38" s="77">
        <f t="shared" si="15"/>
        <v>0</v>
      </c>
      <c r="AD38" s="77">
        <f t="shared" si="16"/>
        <v>0</v>
      </c>
      <c r="AE38" s="77">
        <f t="shared" si="17"/>
        <v>0</v>
      </c>
      <c r="AF38" s="79"/>
      <c r="AG38" s="6">
        <f t="shared" si="18"/>
        <v>0</v>
      </c>
      <c r="AH38" s="6">
        <f t="shared" si="19"/>
        <v>0</v>
      </c>
      <c r="AI38" s="6">
        <f t="shared" si="20"/>
        <v>0</v>
      </c>
    </row>
    <row r="39" spans="1:35" x14ac:dyDescent="0.3">
      <c r="A39" s="189">
        <f>DataDemande!U72</f>
        <v>0</v>
      </c>
      <c r="B39" t="str">
        <f t="shared" si="5"/>
        <v>0</v>
      </c>
      <c r="C39" t="str">
        <f t="shared" si="6"/>
        <v>0</v>
      </c>
      <c r="D39" s="185">
        <f>IFERROR(VLOOKUP(A39,DataCoutRevenuAux!M:Q,5,FALSE),0)</f>
        <v>0</v>
      </c>
      <c r="E39">
        <f>IFERROR(VLOOKUP(A39,DataDemande!U:Z,2,FALSE),0)</f>
        <v>0</v>
      </c>
      <c r="F39" s="79"/>
      <c r="G39" s="77">
        <f>IFERROR(VLOOKUP(A39,DataDemande!U:Z,3,FALSE),0)</f>
        <v>0</v>
      </c>
      <c r="H39" s="77">
        <f>IFERROR(VLOOKUP($A39,DataDemande!$U:$Z,4,FALSE),0)</f>
        <v>0</v>
      </c>
      <c r="I39" s="77">
        <f>IFERROR(VLOOKUP($A39,DataDemande!$U:$Z,5,FALSE),0)</f>
        <v>0</v>
      </c>
      <c r="J39" s="77">
        <f>IFERROR(VLOOKUP($A39,DataDemande!$U:$Z,6,FALSE),0)</f>
        <v>0</v>
      </c>
      <c r="K39" s="79"/>
      <c r="L39" s="77">
        <f>IFERROR(VLOOKUP($A39,DataPrixBillets!$S:$W,2,FALSE),0)</f>
        <v>0</v>
      </c>
      <c r="M39" s="77">
        <f>IFERROR(VLOOKUP($A39,DataPrixBillets!$S:$W,3,FALSE),0)</f>
        <v>0</v>
      </c>
      <c r="N39" s="77">
        <f>IFERROR(VLOOKUP($A39,DataPrixBillets!$S:$W,4,FALSE),0)</f>
        <v>0</v>
      </c>
      <c r="O39" s="77">
        <f>IFERROR(VLOOKUP($A39,DataPrixBillets!$S:$W,5,FALSE),0)</f>
        <v>0</v>
      </c>
      <c r="P39" s="79"/>
      <c r="Q39" s="77">
        <f t="shared" si="7"/>
        <v>0</v>
      </c>
      <c r="R39" s="77">
        <f t="shared" si="8"/>
        <v>0</v>
      </c>
      <c r="S39" s="77">
        <f t="shared" si="9"/>
        <v>0</v>
      </c>
      <c r="T39" s="77">
        <f t="shared" si="10"/>
        <v>0</v>
      </c>
      <c r="U39" s="79"/>
      <c r="V39" s="77">
        <f t="shared" si="11"/>
        <v>0</v>
      </c>
      <c r="W39" s="77">
        <f>IFERROR(VLOOKUP(A39,DataCoutRevenuAux!W:Y,2,FALSE),0)</f>
        <v>0</v>
      </c>
      <c r="X39" s="77">
        <f>IFERROR(VLOOKUP(A39,DataCoutRevenuAux!W:Y,3,FALSE),0)</f>
        <v>0</v>
      </c>
      <c r="Y39" s="77">
        <f t="shared" si="12"/>
        <v>0</v>
      </c>
      <c r="Z39" s="77">
        <f t="shared" si="13"/>
        <v>0</v>
      </c>
      <c r="AA39" s="77">
        <f t="shared" si="14"/>
        <v>0</v>
      </c>
      <c r="AB39" s="79"/>
      <c r="AC39" s="77">
        <f t="shared" si="15"/>
        <v>0</v>
      </c>
      <c r="AD39" s="77">
        <f t="shared" si="16"/>
        <v>0</v>
      </c>
      <c r="AE39" s="77">
        <f t="shared" si="17"/>
        <v>0</v>
      </c>
      <c r="AF39" s="79"/>
      <c r="AG39" s="6">
        <f t="shared" si="18"/>
        <v>0</v>
      </c>
      <c r="AH39" s="6">
        <f t="shared" si="19"/>
        <v>0</v>
      </c>
      <c r="AI39" s="6">
        <f t="shared" si="20"/>
        <v>0</v>
      </c>
    </row>
    <row r="40" spans="1:35" x14ac:dyDescent="0.3">
      <c r="A40" s="189">
        <f>DataDemande!U73</f>
        <v>0</v>
      </c>
      <c r="B40" t="str">
        <f t="shared" si="5"/>
        <v>0</v>
      </c>
      <c r="C40" t="str">
        <f t="shared" si="6"/>
        <v>0</v>
      </c>
      <c r="D40" s="185">
        <f>IFERROR(VLOOKUP(A40,DataCoutRevenuAux!M:Q,5,FALSE),0)</f>
        <v>0</v>
      </c>
      <c r="E40">
        <f>IFERROR(VLOOKUP(A40,DataDemande!U:Z,2,FALSE),0)</f>
        <v>0</v>
      </c>
      <c r="F40" s="79"/>
      <c r="G40" s="77">
        <f>IFERROR(VLOOKUP(A40,DataDemande!U:Z,3,FALSE),0)</f>
        <v>0</v>
      </c>
      <c r="H40" s="77">
        <f>IFERROR(VLOOKUP($A40,DataDemande!$U:$Z,4,FALSE),0)</f>
        <v>0</v>
      </c>
      <c r="I40" s="77">
        <f>IFERROR(VLOOKUP($A40,DataDemande!$U:$Z,5,FALSE),0)</f>
        <v>0</v>
      </c>
      <c r="J40" s="77">
        <f>IFERROR(VLOOKUP($A40,DataDemande!$U:$Z,6,FALSE),0)</f>
        <v>0</v>
      </c>
      <c r="K40" s="79"/>
      <c r="L40" s="77">
        <f>IFERROR(VLOOKUP($A40,DataPrixBillets!$S:$W,2,FALSE),0)</f>
        <v>0</v>
      </c>
      <c r="M40" s="77">
        <f>IFERROR(VLOOKUP($A40,DataPrixBillets!$S:$W,3,FALSE),0)</f>
        <v>0</v>
      </c>
      <c r="N40" s="77">
        <f>IFERROR(VLOOKUP($A40,DataPrixBillets!$S:$W,4,FALSE),0)</f>
        <v>0</v>
      </c>
      <c r="O40" s="77">
        <f>IFERROR(VLOOKUP($A40,DataPrixBillets!$S:$W,5,FALSE),0)</f>
        <v>0</v>
      </c>
      <c r="P40" s="79"/>
      <c r="Q40" s="77">
        <f t="shared" si="7"/>
        <v>0</v>
      </c>
      <c r="R40" s="77">
        <f t="shared" si="8"/>
        <v>0</v>
      </c>
      <c r="S40" s="77">
        <f t="shared" si="9"/>
        <v>0</v>
      </c>
      <c r="T40" s="77">
        <f t="shared" si="10"/>
        <v>0</v>
      </c>
      <c r="U40" s="79"/>
      <c r="V40" s="77">
        <f t="shared" si="11"/>
        <v>0</v>
      </c>
      <c r="W40" s="77">
        <f>IFERROR(VLOOKUP(A40,DataCoutRevenuAux!W:Y,2,FALSE),0)</f>
        <v>0</v>
      </c>
      <c r="X40" s="77">
        <f>IFERROR(VLOOKUP(A40,DataCoutRevenuAux!W:Y,3,FALSE),0)</f>
        <v>0</v>
      </c>
      <c r="Y40" s="77">
        <f t="shared" si="12"/>
        <v>0</v>
      </c>
      <c r="Z40" s="77">
        <f t="shared" si="13"/>
        <v>0</v>
      </c>
      <c r="AA40" s="77">
        <f t="shared" si="14"/>
        <v>0</v>
      </c>
      <c r="AB40" s="79"/>
      <c r="AC40" s="77">
        <f t="shared" si="15"/>
        <v>0</v>
      </c>
      <c r="AD40" s="77">
        <f t="shared" si="16"/>
        <v>0</v>
      </c>
      <c r="AE40" s="77">
        <f t="shared" si="17"/>
        <v>0</v>
      </c>
      <c r="AF40" s="79"/>
      <c r="AG40" s="6">
        <f t="shared" si="18"/>
        <v>0</v>
      </c>
      <c r="AH40" s="6">
        <f t="shared" si="19"/>
        <v>0</v>
      </c>
      <c r="AI40" s="6">
        <f t="shared" si="20"/>
        <v>0</v>
      </c>
    </row>
    <row r="41" spans="1:35" x14ac:dyDescent="0.3">
      <c r="A41" s="189">
        <f>DataDemande!U74</f>
        <v>0</v>
      </c>
      <c r="B41" t="str">
        <f t="shared" si="5"/>
        <v>0</v>
      </c>
      <c r="C41" t="str">
        <f t="shared" si="6"/>
        <v>0</v>
      </c>
      <c r="D41" s="185">
        <f>IFERROR(VLOOKUP(A41,DataCoutRevenuAux!M:Q,5,FALSE),0)</f>
        <v>0</v>
      </c>
      <c r="E41">
        <f>IFERROR(VLOOKUP(A41,DataDemande!U:Z,2,FALSE),0)</f>
        <v>0</v>
      </c>
      <c r="F41" s="79"/>
      <c r="G41" s="77">
        <f>IFERROR(VLOOKUP(A41,DataDemande!U:Z,3,FALSE),0)</f>
        <v>0</v>
      </c>
      <c r="H41" s="77">
        <f>IFERROR(VLOOKUP($A41,DataDemande!$U:$Z,4,FALSE),0)</f>
        <v>0</v>
      </c>
      <c r="I41" s="77">
        <f>IFERROR(VLOOKUP($A41,DataDemande!$U:$Z,5,FALSE),0)</f>
        <v>0</v>
      </c>
      <c r="J41" s="77">
        <f>IFERROR(VLOOKUP($A41,DataDemande!$U:$Z,6,FALSE),0)</f>
        <v>0</v>
      </c>
      <c r="K41" s="79"/>
      <c r="L41" s="77">
        <f>IFERROR(VLOOKUP($A41,DataPrixBillets!$S:$W,2,FALSE),0)</f>
        <v>0</v>
      </c>
      <c r="M41" s="77">
        <f>IFERROR(VLOOKUP($A41,DataPrixBillets!$S:$W,3,FALSE),0)</f>
        <v>0</v>
      </c>
      <c r="N41" s="77">
        <f>IFERROR(VLOOKUP($A41,DataPrixBillets!$S:$W,4,FALSE),0)</f>
        <v>0</v>
      </c>
      <c r="O41" s="77">
        <f>IFERROR(VLOOKUP($A41,DataPrixBillets!$S:$W,5,FALSE),0)</f>
        <v>0</v>
      </c>
      <c r="P41" s="79"/>
      <c r="Q41" s="77">
        <f t="shared" si="7"/>
        <v>0</v>
      </c>
      <c r="R41" s="77">
        <f t="shared" si="8"/>
        <v>0</v>
      </c>
      <c r="S41" s="77">
        <f t="shared" si="9"/>
        <v>0</v>
      </c>
      <c r="T41" s="77">
        <f t="shared" si="10"/>
        <v>0</v>
      </c>
      <c r="U41" s="79"/>
      <c r="V41" s="77">
        <f t="shared" si="11"/>
        <v>0</v>
      </c>
      <c r="W41" s="77">
        <f>IFERROR(VLOOKUP(A41,DataCoutRevenuAux!W:Y,2,FALSE),0)</f>
        <v>0</v>
      </c>
      <c r="X41" s="77">
        <f>IFERROR(VLOOKUP(A41,DataCoutRevenuAux!W:Y,3,FALSE),0)</f>
        <v>0</v>
      </c>
      <c r="Y41" s="77">
        <f t="shared" si="12"/>
        <v>0</v>
      </c>
      <c r="Z41" s="77">
        <f t="shared" si="13"/>
        <v>0</v>
      </c>
      <c r="AA41" s="77">
        <f t="shared" si="14"/>
        <v>0</v>
      </c>
      <c r="AB41" s="79"/>
      <c r="AC41" s="77">
        <f t="shared" si="15"/>
        <v>0</v>
      </c>
      <c r="AD41" s="77">
        <f t="shared" si="16"/>
        <v>0</v>
      </c>
      <c r="AE41" s="77">
        <f t="shared" si="17"/>
        <v>0</v>
      </c>
      <c r="AF41" s="79"/>
      <c r="AG41" s="6">
        <f t="shared" si="18"/>
        <v>0</v>
      </c>
      <c r="AH41" s="6">
        <f t="shared" si="19"/>
        <v>0</v>
      </c>
      <c r="AI41" s="6">
        <f t="shared" si="20"/>
        <v>0</v>
      </c>
    </row>
    <row r="42" spans="1:35" x14ac:dyDescent="0.3">
      <c r="A42" s="189">
        <f>DataDemande!U75</f>
        <v>0</v>
      </c>
      <c r="B42" t="str">
        <f t="shared" si="5"/>
        <v>0</v>
      </c>
      <c r="C42" t="str">
        <f t="shared" si="6"/>
        <v>0</v>
      </c>
      <c r="D42" s="185">
        <f>IFERROR(VLOOKUP(A42,DataCoutRevenuAux!M:Q,5,FALSE),0)</f>
        <v>0</v>
      </c>
      <c r="E42">
        <f>IFERROR(VLOOKUP(A42,DataDemande!U:Z,2,FALSE),0)</f>
        <v>0</v>
      </c>
      <c r="F42" s="79"/>
      <c r="G42" s="77">
        <f>IFERROR(VLOOKUP(A42,DataDemande!U:Z,3,FALSE),0)</f>
        <v>0</v>
      </c>
      <c r="H42" s="77">
        <f>IFERROR(VLOOKUP($A42,DataDemande!$U:$Z,4,FALSE),0)</f>
        <v>0</v>
      </c>
      <c r="I42" s="77">
        <f>IFERROR(VLOOKUP($A42,DataDemande!$U:$Z,5,FALSE),0)</f>
        <v>0</v>
      </c>
      <c r="J42" s="77">
        <f>IFERROR(VLOOKUP($A42,DataDemande!$U:$Z,6,FALSE),0)</f>
        <v>0</v>
      </c>
      <c r="K42" s="79"/>
      <c r="L42" s="77">
        <f>IFERROR(VLOOKUP($A42,DataPrixBillets!$S:$W,2,FALSE),0)</f>
        <v>0</v>
      </c>
      <c r="M42" s="77">
        <f>IFERROR(VLOOKUP($A42,DataPrixBillets!$S:$W,3,FALSE),0)</f>
        <v>0</v>
      </c>
      <c r="N42" s="77">
        <f>IFERROR(VLOOKUP($A42,DataPrixBillets!$S:$W,4,FALSE),0)</f>
        <v>0</v>
      </c>
      <c r="O42" s="77">
        <f>IFERROR(VLOOKUP($A42,DataPrixBillets!$S:$W,5,FALSE),0)</f>
        <v>0</v>
      </c>
      <c r="P42" s="79"/>
      <c r="Q42" s="77">
        <f t="shared" si="7"/>
        <v>0</v>
      </c>
      <c r="R42" s="77">
        <f t="shared" si="8"/>
        <v>0</v>
      </c>
      <c r="S42" s="77">
        <f t="shared" si="9"/>
        <v>0</v>
      </c>
      <c r="T42" s="77">
        <f t="shared" si="10"/>
        <v>0</v>
      </c>
      <c r="U42" s="79"/>
      <c r="V42" s="77">
        <f t="shared" si="11"/>
        <v>0</v>
      </c>
      <c r="W42" s="77">
        <f>IFERROR(VLOOKUP(A42,DataCoutRevenuAux!W:Y,2,FALSE),0)</f>
        <v>0</v>
      </c>
      <c r="X42" s="77">
        <f>IFERROR(VLOOKUP(A42,DataCoutRevenuAux!W:Y,3,FALSE),0)</f>
        <v>0</v>
      </c>
      <c r="Y42" s="77">
        <f t="shared" si="12"/>
        <v>0</v>
      </c>
      <c r="Z42" s="77">
        <f t="shared" si="13"/>
        <v>0</v>
      </c>
      <c r="AA42" s="77">
        <f t="shared" si="14"/>
        <v>0</v>
      </c>
      <c r="AB42" s="79"/>
      <c r="AC42" s="77">
        <f t="shared" si="15"/>
        <v>0</v>
      </c>
      <c r="AD42" s="77">
        <f t="shared" si="16"/>
        <v>0</v>
      </c>
      <c r="AE42" s="77">
        <f t="shared" si="17"/>
        <v>0</v>
      </c>
      <c r="AF42" s="79"/>
      <c r="AG42" s="6">
        <f t="shared" si="18"/>
        <v>0</v>
      </c>
      <c r="AH42" s="6">
        <f t="shared" si="19"/>
        <v>0</v>
      </c>
      <c r="AI42" s="6">
        <f t="shared" si="20"/>
        <v>0</v>
      </c>
    </row>
    <row r="43" spans="1:35" x14ac:dyDescent="0.3">
      <c r="A43" s="189">
        <f>DataDemande!U76</f>
        <v>0</v>
      </c>
      <c r="B43" t="str">
        <f t="shared" si="5"/>
        <v>0</v>
      </c>
      <c r="C43" t="str">
        <f t="shared" si="6"/>
        <v>0</v>
      </c>
      <c r="D43" s="185">
        <f>IFERROR(VLOOKUP(A43,DataCoutRevenuAux!M:Q,5,FALSE),0)</f>
        <v>0</v>
      </c>
      <c r="E43">
        <f>IFERROR(VLOOKUP(A43,DataDemande!U:Z,2,FALSE),0)</f>
        <v>0</v>
      </c>
      <c r="F43" s="79"/>
      <c r="G43" s="77">
        <f>IFERROR(VLOOKUP(A43,DataDemande!U:Z,3,FALSE),0)</f>
        <v>0</v>
      </c>
      <c r="H43" s="77">
        <f>IFERROR(VLOOKUP($A43,DataDemande!$U:$Z,4,FALSE),0)</f>
        <v>0</v>
      </c>
      <c r="I43" s="77">
        <f>IFERROR(VLOOKUP($A43,DataDemande!$U:$Z,5,FALSE),0)</f>
        <v>0</v>
      </c>
      <c r="J43" s="77">
        <f>IFERROR(VLOOKUP($A43,DataDemande!$U:$Z,6,FALSE),0)</f>
        <v>0</v>
      </c>
      <c r="K43" s="79"/>
      <c r="L43" s="77">
        <f>IFERROR(VLOOKUP($A43,DataPrixBillets!$S:$W,2,FALSE),0)</f>
        <v>0</v>
      </c>
      <c r="M43" s="77">
        <f>IFERROR(VLOOKUP($A43,DataPrixBillets!$S:$W,3,FALSE),0)</f>
        <v>0</v>
      </c>
      <c r="N43" s="77">
        <f>IFERROR(VLOOKUP($A43,DataPrixBillets!$S:$W,4,FALSE),0)</f>
        <v>0</v>
      </c>
      <c r="O43" s="77">
        <f>IFERROR(VLOOKUP($A43,DataPrixBillets!$S:$W,5,FALSE),0)</f>
        <v>0</v>
      </c>
      <c r="P43" s="79"/>
      <c r="Q43" s="77">
        <f t="shared" si="7"/>
        <v>0</v>
      </c>
      <c r="R43" s="77">
        <f t="shared" si="8"/>
        <v>0</v>
      </c>
      <c r="S43" s="77">
        <f t="shared" si="9"/>
        <v>0</v>
      </c>
      <c r="T43" s="77">
        <f t="shared" si="10"/>
        <v>0</v>
      </c>
      <c r="U43" s="79"/>
      <c r="V43" s="77">
        <f t="shared" si="11"/>
        <v>0</v>
      </c>
      <c r="W43" s="77">
        <f>IFERROR(VLOOKUP(A43,DataCoutRevenuAux!W:Y,2,FALSE),0)</f>
        <v>0</v>
      </c>
      <c r="X43" s="77">
        <f>IFERROR(VLOOKUP(A43,DataCoutRevenuAux!W:Y,3,FALSE),0)</f>
        <v>0</v>
      </c>
      <c r="Y43" s="77">
        <f t="shared" si="12"/>
        <v>0</v>
      </c>
      <c r="Z43" s="77">
        <f t="shared" si="13"/>
        <v>0</v>
      </c>
      <c r="AA43" s="77">
        <f t="shared" si="14"/>
        <v>0</v>
      </c>
      <c r="AB43" s="79"/>
      <c r="AC43" s="77">
        <f t="shared" si="15"/>
        <v>0</v>
      </c>
      <c r="AD43" s="77">
        <f t="shared" si="16"/>
        <v>0</v>
      </c>
      <c r="AE43" s="77">
        <f t="shared" si="17"/>
        <v>0</v>
      </c>
      <c r="AF43" s="79"/>
      <c r="AG43" s="6">
        <f t="shared" si="18"/>
        <v>0</v>
      </c>
      <c r="AH43" s="6">
        <f t="shared" si="19"/>
        <v>0</v>
      </c>
      <c r="AI43" s="6">
        <f t="shared" si="20"/>
        <v>0</v>
      </c>
    </row>
    <row r="44" spans="1:35" x14ac:dyDescent="0.3">
      <c r="A44" s="189">
        <f>DataDemande!U77</f>
        <v>0</v>
      </c>
      <c r="B44" t="str">
        <f t="shared" si="5"/>
        <v>0</v>
      </c>
      <c r="C44" t="str">
        <f t="shared" si="6"/>
        <v>0</v>
      </c>
      <c r="D44" s="185">
        <f>IFERROR(VLOOKUP(A44,DataCoutRevenuAux!M:Q,5,FALSE),0)</f>
        <v>0</v>
      </c>
      <c r="E44">
        <f>IFERROR(VLOOKUP(A44,DataDemande!U:Z,2,FALSE),0)</f>
        <v>0</v>
      </c>
      <c r="F44" s="79"/>
      <c r="G44" s="77">
        <f>IFERROR(VLOOKUP(A44,DataDemande!U:Z,3,FALSE),0)</f>
        <v>0</v>
      </c>
      <c r="H44" s="77">
        <f>IFERROR(VLOOKUP($A44,DataDemande!$U:$Z,4,FALSE),0)</f>
        <v>0</v>
      </c>
      <c r="I44" s="77">
        <f>IFERROR(VLOOKUP($A44,DataDemande!$U:$Z,5,FALSE),0)</f>
        <v>0</v>
      </c>
      <c r="J44" s="77">
        <f>IFERROR(VLOOKUP($A44,DataDemande!$U:$Z,6,FALSE),0)</f>
        <v>0</v>
      </c>
      <c r="K44" s="79"/>
      <c r="L44" s="77">
        <f>IFERROR(VLOOKUP($A44,DataPrixBillets!$S:$W,2,FALSE),0)</f>
        <v>0</v>
      </c>
      <c r="M44" s="77">
        <f>IFERROR(VLOOKUP($A44,DataPrixBillets!$S:$W,3,FALSE),0)</f>
        <v>0</v>
      </c>
      <c r="N44" s="77">
        <f>IFERROR(VLOOKUP($A44,DataPrixBillets!$S:$W,4,FALSE),0)</f>
        <v>0</v>
      </c>
      <c r="O44" s="77">
        <f>IFERROR(VLOOKUP($A44,DataPrixBillets!$S:$W,5,FALSE),0)</f>
        <v>0</v>
      </c>
      <c r="P44" s="79"/>
      <c r="Q44" s="77">
        <f t="shared" si="7"/>
        <v>0</v>
      </c>
      <c r="R44" s="77">
        <f t="shared" si="8"/>
        <v>0</v>
      </c>
      <c r="S44" s="77">
        <f t="shared" si="9"/>
        <v>0</v>
      </c>
      <c r="T44" s="77">
        <f t="shared" si="10"/>
        <v>0</v>
      </c>
      <c r="U44" s="79"/>
      <c r="V44" s="77">
        <f t="shared" si="11"/>
        <v>0</v>
      </c>
      <c r="W44" s="77">
        <f>IFERROR(VLOOKUP(A44,DataCoutRevenuAux!W:Y,2,FALSE),0)</f>
        <v>0</v>
      </c>
      <c r="X44" s="77">
        <f>IFERROR(VLOOKUP(A44,DataCoutRevenuAux!W:Y,3,FALSE),0)</f>
        <v>0</v>
      </c>
      <c r="Y44" s="77">
        <f t="shared" si="12"/>
        <v>0</v>
      </c>
      <c r="Z44" s="77">
        <f t="shared" si="13"/>
        <v>0</v>
      </c>
      <c r="AA44" s="77">
        <f t="shared" si="14"/>
        <v>0</v>
      </c>
      <c r="AB44" s="79"/>
      <c r="AC44" s="77">
        <f t="shared" si="15"/>
        <v>0</v>
      </c>
      <c r="AD44" s="77">
        <f t="shared" si="16"/>
        <v>0</v>
      </c>
      <c r="AE44" s="77">
        <f t="shared" si="17"/>
        <v>0</v>
      </c>
      <c r="AF44" s="79"/>
      <c r="AG44" s="6">
        <f t="shared" si="18"/>
        <v>0</v>
      </c>
      <c r="AH44" s="6">
        <f t="shared" si="19"/>
        <v>0</v>
      </c>
      <c r="AI44" s="6">
        <f t="shared" si="20"/>
        <v>0</v>
      </c>
    </row>
    <row r="45" spans="1:35" x14ac:dyDescent="0.3">
      <c r="A45" s="189">
        <f>DataDemande!U78</f>
        <v>0</v>
      </c>
      <c r="B45" t="str">
        <f t="shared" si="5"/>
        <v>0</v>
      </c>
      <c r="C45" t="str">
        <f t="shared" si="6"/>
        <v>0</v>
      </c>
      <c r="D45" s="185">
        <f>IFERROR(VLOOKUP(A45,DataCoutRevenuAux!M:Q,5,FALSE),0)</f>
        <v>0</v>
      </c>
      <c r="E45">
        <f>IFERROR(VLOOKUP(A45,DataDemande!U:Z,2,FALSE),0)</f>
        <v>0</v>
      </c>
      <c r="F45" s="79"/>
      <c r="G45" s="77">
        <f>IFERROR(VLOOKUP(A45,DataDemande!U:Z,3,FALSE),0)</f>
        <v>0</v>
      </c>
      <c r="H45" s="77">
        <f>IFERROR(VLOOKUP($A45,DataDemande!$U:$Z,4,FALSE),0)</f>
        <v>0</v>
      </c>
      <c r="I45" s="77">
        <f>IFERROR(VLOOKUP($A45,DataDemande!$U:$Z,5,FALSE),0)</f>
        <v>0</v>
      </c>
      <c r="J45" s="77">
        <f>IFERROR(VLOOKUP($A45,DataDemande!$U:$Z,6,FALSE),0)</f>
        <v>0</v>
      </c>
      <c r="K45" s="79"/>
      <c r="L45" s="77">
        <f>IFERROR(VLOOKUP($A45,DataPrixBillets!$S:$W,2,FALSE),0)</f>
        <v>0</v>
      </c>
      <c r="M45" s="77">
        <f>IFERROR(VLOOKUP($A45,DataPrixBillets!$S:$W,3,FALSE),0)</f>
        <v>0</v>
      </c>
      <c r="N45" s="77">
        <f>IFERROR(VLOOKUP($A45,DataPrixBillets!$S:$W,4,FALSE),0)</f>
        <v>0</v>
      </c>
      <c r="O45" s="77">
        <f>IFERROR(VLOOKUP($A45,DataPrixBillets!$S:$W,5,FALSE),0)</f>
        <v>0</v>
      </c>
      <c r="P45" s="79"/>
      <c r="Q45" s="77">
        <f t="shared" si="7"/>
        <v>0</v>
      </c>
      <c r="R45" s="77">
        <f t="shared" si="8"/>
        <v>0</v>
      </c>
      <c r="S45" s="77">
        <f t="shared" si="9"/>
        <v>0</v>
      </c>
      <c r="T45" s="77">
        <f t="shared" si="10"/>
        <v>0</v>
      </c>
      <c r="U45" s="79"/>
      <c r="V45" s="77">
        <f t="shared" si="11"/>
        <v>0</v>
      </c>
      <c r="W45" s="77">
        <f>IFERROR(VLOOKUP(A45,DataCoutRevenuAux!W:Y,2,FALSE),0)</f>
        <v>0</v>
      </c>
      <c r="X45" s="77">
        <f>IFERROR(VLOOKUP(A45,DataCoutRevenuAux!W:Y,3,FALSE),0)</f>
        <v>0</v>
      </c>
      <c r="Y45" s="77">
        <f t="shared" si="12"/>
        <v>0</v>
      </c>
      <c r="Z45" s="77">
        <f t="shared" si="13"/>
        <v>0</v>
      </c>
      <c r="AA45" s="77">
        <f t="shared" si="14"/>
        <v>0</v>
      </c>
      <c r="AB45" s="79"/>
      <c r="AC45" s="77">
        <f t="shared" si="15"/>
        <v>0</v>
      </c>
      <c r="AD45" s="77">
        <f t="shared" si="16"/>
        <v>0</v>
      </c>
      <c r="AE45" s="77">
        <f t="shared" si="17"/>
        <v>0</v>
      </c>
      <c r="AF45" s="79"/>
      <c r="AG45" s="6">
        <f t="shared" si="18"/>
        <v>0</v>
      </c>
      <c r="AH45" s="6">
        <f t="shared" si="19"/>
        <v>0</v>
      </c>
      <c r="AI45" s="6">
        <f t="shared" si="20"/>
        <v>0</v>
      </c>
    </row>
    <row r="46" spans="1:35" x14ac:dyDescent="0.3">
      <c r="A46" s="189">
        <f>DataDemande!U79</f>
        <v>0</v>
      </c>
      <c r="B46" t="str">
        <f t="shared" si="5"/>
        <v>0</v>
      </c>
      <c r="C46" t="str">
        <f t="shared" si="6"/>
        <v>0</v>
      </c>
      <c r="D46" s="185">
        <f>IFERROR(VLOOKUP(A46,DataCoutRevenuAux!M:Q,5,FALSE),0)</f>
        <v>0</v>
      </c>
      <c r="E46">
        <f>IFERROR(VLOOKUP(A46,DataDemande!U:Z,2,FALSE),0)</f>
        <v>0</v>
      </c>
      <c r="F46" s="79"/>
      <c r="G46" s="77">
        <f>IFERROR(VLOOKUP(A46,DataDemande!U:Z,3,FALSE),0)</f>
        <v>0</v>
      </c>
      <c r="H46" s="77">
        <f>IFERROR(VLOOKUP($A46,DataDemande!$U:$Z,4,FALSE),0)</f>
        <v>0</v>
      </c>
      <c r="I46" s="77">
        <f>IFERROR(VLOOKUP($A46,DataDemande!$U:$Z,5,FALSE),0)</f>
        <v>0</v>
      </c>
      <c r="J46" s="77">
        <f>IFERROR(VLOOKUP($A46,DataDemande!$U:$Z,6,FALSE),0)</f>
        <v>0</v>
      </c>
      <c r="K46" s="79"/>
      <c r="L46" s="77">
        <f>IFERROR(VLOOKUP($A46,DataPrixBillets!$S:$W,2,FALSE),0)</f>
        <v>0</v>
      </c>
      <c r="M46" s="77">
        <f>IFERROR(VLOOKUP($A46,DataPrixBillets!$S:$W,3,FALSE),0)</f>
        <v>0</v>
      </c>
      <c r="N46" s="77">
        <f>IFERROR(VLOOKUP($A46,DataPrixBillets!$S:$W,4,FALSE),0)</f>
        <v>0</v>
      </c>
      <c r="O46" s="77">
        <f>IFERROR(VLOOKUP($A46,DataPrixBillets!$S:$W,5,FALSE),0)</f>
        <v>0</v>
      </c>
      <c r="P46" s="79"/>
      <c r="Q46" s="77">
        <f t="shared" si="7"/>
        <v>0</v>
      </c>
      <c r="R46" s="77">
        <f t="shared" si="8"/>
        <v>0</v>
      </c>
      <c r="S46" s="77">
        <f t="shared" si="9"/>
        <v>0</v>
      </c>
      <c r="T46" s="77">
        <f t="shared" si="10"/>
        <v>0</v>
      </c>
      <c r="U46" s="79"/>
      <c r="V46" s="77">
        <f t="shared" si="11"/>
        <v>0</v>
      </c>
      <c r="W46" s="77">
        <f>IFERROR(VLOOKUP(A46,DataCoutRevenuAux!W:Y,2,FALSE),0)</f>
        <v>0</v>
      </c>
      <c r="X46" s="77">
        <f>IFERROR(VLOOKUP(A46,DataCoutRevenuAux!W:Y,3,FALSE),0)</f>
        <v>0</v>
      </c>
      <c r="Y46" s="77">
        <f t="shared" si="12"/>
        <v>0</v>
      </c>
      <c r="Z46" s="77">
        <f t="shared" si="13"/>
        <v>0</v>
      </c>
      <c r="AA46" s="77">
        <f t="shared" si="14"/>
        <v>0</v>
      </c>
      <c r="AB46" s="79"/>
      <c r="AC46" s="77">
        <f t="shared" si="15"/>
        <v>0</v>
      </c>
      <c r="AD46" s="77">
        <f t="shared" si="16"/>
        <v>0</v>
      </c>
      <c r="AE46" s="77">
        <f t="shared" si="17"/>
        <v>0</v>
      </c>
      <c r="AF46" s="79"/>
      <c r="AG46" s="6">
        <f t="shared" si="18"/>
        <v>0</v>
      </c>
      <c r="AH46" s="6">
        <f t="shared" si="19"/>
        <v>0</v>
      </c>
      <c r="AI46" s="6">
        <f t="shared" si="20"/>
        <v>0</v>
      </c>
    </row>
    <row r="47" spans="1:35" x14ac:dyDescent="0.3">
      <c r="A47" s="189">
        <f>DataDemande!U80</f>
        <v>0</v>
      </c>
      <c r="B47" t="str">
        <f t="shared" si="5"/>
        <v>0</v>
      </c>
      <c r="C47" t="str">
        <f t="shared" si="6"/>
        <v>0</v>
      </c>
      <c r="D47" s="185">
        <f>IFERROR(VLOOKUP(A47,DataCoutRevenuAux!M:Q,5,FALSE),0)</f>
        <v>0</v>
      </c>
      <c r="E47">
        <f>IFERROR(VLOOKUP(A47,DataDemande!U:Z,2,FALSE),0)</f>
        <v>0</v>
      </c>
      <c r="F47" s="79"/>
      <c r="G47" s="77">
        <f>IFERROR(VLOOKUP(A47,DataDemande!U:Z,3,FALSE),0)</f>
        <v>0</v>
      </c>
      <c r="H47" s="77">
        <f>IFERROR(VLOOKUP($A47,DataDemande!$U:$Z,4,FALSE),0)</f>
        <v>0</v>
      </c>
      <c r="I47" s="77">
        <f>IFERROR(VLOOKUP($A47,DataDemande!$U:$Z,5,FALSE),0)</f>
        <v>0</v>
      </c>
      <c r="J47" s="77">
        <f>IFERROR(VLOOKUP($A47,DataDemande!$U:$Z,6,FALSE),0)</f>
        <v>0</v>
      </c>
      <c r="K47" s="79"/>
      <c r="L47" s="77">
        <f>IFERROR(VLOOKUP($A47,DataPrixBillets!$S:$W,2,FALSE),0)</f>
        <v>0</v>
      </c>
      <c r="M47" s="77">
        <f>IFERROR(VLOOKUP($A47,DataPrixBillets!$S:$W,3,FALSE),0)</f>
        <v>0</v>
      </c>
      <c r="N47" s="77">
        <f>IFERROR(VLOOKUP($A47,DataPrixBillets!$S:$W,4,FALSE),0)</f>
        <v>0</v>
      </c>
      <c r="O47" s="77">
        <f>IFERROR(VLOOKUP($A47,DataPrixBillets!$S:$W,5,FALSE),0)</f>
        <v>0</v>
      </c>
      <c r="P47" s="79"/>
      <c r="Q47" s="77">
        <f t="shared" si="7"/>
        <v>0</v>
      </c>
      <c r="R47" s="77">
        <f t="shared" si="8"/>
        <v>0</v>
      </c>
      <c r="S47" s="77">
        <f t="shared" si="9"/>
        <v>0</v>
      </c>
      <c r="T47" s="77">
        <f t="shared" si="10"/>
        <v>0</v>
      </c>
      <c r="U47" s="79"/>
      <c r="V47" s="77">
        <f t="shared" si="11"/>
        <v>0</v>
      </c>
      <c r="W47" s="77">
        <f>IFERROR(VLOOKUP(A47,DataCoutRevenuAux!W:Y,2,FALSE),0)</f>
        <v>0</v>
      </c>
      <c r="X47" s="77">
        <f>IFERROR(VLOOKUP(A47,DataCoutRevenuAux!W:Y,3,FALSE),0)</f>
        <v>0</v>
      </c>
      <c r="Y47" s="77">
        <f t="shared" si="12"/>
        <v>0</v>
      </c>
      <c r="Z47" s="77">
        <f t="shared" si="13"/>
        <v>0</v>
      </c>
      <c r="AA47" s="77">
        <f t="shared" si="14"/>
        <v>0</v>
      </c>
      <c r="AB47" s="79"/>
      <c r="AC47" s="77">
        <f t="shared" si="15"/>
        <v>0</v>
      </c>
      <c r="AD47" s="77">
        <f t="shared" si="16"/>
        <v>0</v>
      </c>
      <c r="AE47" s="77">
        <f t="shared" si="17"/>
        <v>0</v>
      </c>
      <c r="AF47" s="79"/>
      <c r="AG47" s="6">
        <f t="shared" si="18"/>
        <v>0</v>
      </c>
      <c r="AH47" s="6">
        <f t="shared" si="19"/>
        <v>0</v>
      </c>
      <c r="AI47" s="6">
        <f t="shared" si="20"/>
        <v>0</v>
      </c>
    </row>
    <row r="48" spans="1:35" x14ac:dyDescent="0.3">
      <c r="A48" s="189">
        <f>DataDemande!U81</f>
        <v>0</v>
      </c>
      <c r="B48" t="str">
        <f t="shared" si="5"/>
        <v>0</v>
      </c>
      <c r="C48" t="str">
        <f t="shared" si="6"/>
        <v>0</v>
      </c>
      <c r="D48" s="185">
        <f>IFERROR(VLOOKUP(A48,DataCoutRevenuAux!M:Q,5,FALSE),0)</f>
        <v>0</v>
      </c>
      <c r="E48">
        <f>IFERROR(VLOOKUP(A48,DataDemande!U:Z,2,FALSE),0)</f>
        <v>0</v>
      </c>
      <c r="F48" s="79"/>
      <c r="G48" s="77">
        <f>IFERROR(VLOOKUP(A48,DataDemande!U:Z,3,FALSE),0)</f>
        <v>0</v>
      </c>
      <c r="H48" s="77">
        <f>IFERROR(VLOOKUP($A48,DataDemande!$U:$Z,4,FALSE),0)</f>
        <v>0</v>
      </c>
      <c r="I48" s="77">
        <f>IFERROR(VLOOKUP($A48,DataDemande!$U:$Z,5,FALSE),0)</f>
        <v>0</v>
      </c>
      <c r="J48" s="77">
        <f>IFERROR(VLOOKUP($A48,DataDemande!$U:$Z,6,FALSE),0)</f>
        <v>0</v>
      </c>
      <c r="K48" s="79"/>
      <c r="L48" s="77">
        <f>IFERROR(VLOOKUP($A48,DataPrixBillets!$S:$W,2,FALSE),0)</f>
        <v>0</v>
      </c>
      <c r="M48" s="77">
        <f>IFERROR(VLOOKUP($A48,DataPrixBillets!$S:$W,3,FALSE),0)</f>
        <v>0</v>
      </c>
      <c r="N48" s="77">
        <f>IFERROR(VLOOKUP($A48,DataPrixBillets!$S:$W,4,FALSE),0)</f>
        <v>0</v>
      </c>
      <c r="O48" s="77">
        <f>IFERROR(VLOOKUP($A48,DataPrixBillets!$S:$W,5,FALSE),0)</f>
        <v>0</v>
      </c>
      <c r="P48" s="79"/>
      <c r="Q48" s="77">
        <f t="shared" si="7"/>
        <v>0</v>
      </c>
      <c r="R48" s="77">
        <f t="shared" si="8"/>
        <v>0</v>
      </c>
      <c r="S48" s="77">
        <f t="shared" si="9"/>
        <v>0</v>
      </c>
      <c r="T48" s="77">
        <f t="shared" si="10"/>
        <v>0</v>
      </c>
      <c r="U48" s="79"/>
      <c r="V48" s="77">
        <f t="shared" si="11"/>
        <v>0</v>
      </c>
      <c r="W48" s="77">
        <f>IFERROR(VLOOKUP(A48,DataCoutRevenuAux!W:Y,2,FALSE),0)</f>
        <v>0</v>
      </c>
      <c r="X48" s="77">
        <f>IFERROR(VLOOKUP(A48,DataCoutRevenuAux!W:Y,3,FALSE),0)</f>
        <v>0</v>
      </c>
      <c r="Y48" s="77">
        <f t="shared" si="12"/>
        <v>0</v>
      </c>
      <c r="Z48" s="77">
        <f t="shared" si="13"/>
        <v>0</v>
      </c>
      <c r="AA48" s="77">
        <f t="shared" si="14"/>
        <v>0</v>
      </c>
      <c r="AB48" s="79"/>
      <c r="AC48" s="77">
        <f t="shared" si="15"/>
        <v>0</v>
      </c>
      <c r="AD48" s="77">
        <f t="shared" si="16"/>
        <v>0</v>
      </c>
      <c r="AE48" s="77">
        <f t="shared" si="17"/>
        <v>0</v>
      </c>
      <c r="AF48" s="79"/>
      <c r="AG48" s="6">
        <f t="shared" si="18"/>
        <v>0</v>
      </c>
      <c r="AH48" s="6">
        <f t="shared" si="19"/>
        <v>0</v>
      </c>
      <c r="AI48" s="6">
        <f t="shared" si="20"/>
        <v>0</v>
      </c>
    </row>
    <row r="49" spans="1:35" x14ac:dyDescent="0.3">
      <c r="A49" s="189">
        <f>DataDemande!U82</f>
        <v>0</v>
      </c>
      <c r="B49" t="str">
        <f t="shared" si="5"/>
        <v>0</v>
      </c>
      <c r="C49" t="str">
        <f t="shared" si="6"/>
        <v>0</v>
      </c>
      <c r="D49" s="185">
        <f>IFERROR(VLOOKUP(A49,DataCoutRevenuAux!M:Q,5,FALSE),0)</f>
        <v>0</v>
      </c>
      <c r="E49">
        <f>IFERROR(VLOOKUP(A49,DataDemande!U:Z,2,FALSE),0)</f>
        <v>0</v>
      </c>
      <c r="F49" s="79"/>
      <c r="G49" s="77">
        <f>IFERROR(VLOOKUP(A49,DataDemande!U:Z,3,FALSE),0)</f>
        <v>0</v>
      </c>
      <c r="H49" s="77">
        <f>IFERROR(VLOOKUP($A49,DataDemande!$U:$Z,4,FALSE),0)</f>
        <v>0</v>
      </c>
      <c r="I49" s="77">
        <f>IFERROR(VLOOKUP($A49,DataDemande!$U:$Z,5,FALSE),0)</f>
        <v>0</v>
      </c>
      <c r="J49" s="77">
        <f>IFERROR(VLOOKUP($A49,DataDemande!$U:$Z,6,FALSE),0)</f>
        <v>0</v>
      </c>
      <c r="K49" s="79"/>
      <c r="L49" s="77">
        <f>IFERROR(VLOOKUP($A49,DataPrixBillets!$S:$W,2,FALSE),0)</f>
        <v>0</v>
      </c>
      <c r="M49" s="77">
        <f>IFERROR(VLOOKUP($A49,DataPrixBillets!$S:$W,3,FALSE),0)</f>
        <v>0</v>
      </c>
      <c r="N49" s="77">
        <f>IFERROR(VLOOKUP($A49,DataPrixBillets!$S:$W,4,FALSE),0)</f>
        <v>0</v>
      </c>
      <c r="O49" s="77">
        <f>IFERROR(VLOOKUP($A49,DataPrixBillets!$S:$W,5,FALSE),0)</f>
        <v>0</v>
      </c>
      <c r="P49" s="79"/>
      <c r="Q49" s="77">
        <f t="shared" si="7"/>
        <v>0</v>
      </c>
      <c r="R49" s="77">
        <f t="shared" si="8"/>
        <v>0</v>
      </c>
      <c r="S49" s="77">
        <f t="shared" si="9"/>
        <v>0</v>
      </c>
      <c r="T49" s="77">
        <f t="shared" si="10"/>
        <v>0</v>
      </c>
      <c r="U49" s="79"/>
      <c r="V49" s="77">
        <f t="shared" si="11"/>
        <v>0</v>
      </c>
      <c r="W49" s="77">
        <f>IFERROR(VLOOKUP(A49,DataCoutRevenuAux!W:Y,2,FALSE),0)</f>
        <v>0</v>
      </c>
      <c r="X49" s="77">
        <f>IFERROR(VLOOKUP(A49,DataCoutRevenuAux!W:Y,3,FALSE),0)</f>
        <v>0</v>
      </c>
      <c r="Y49" s="77">
        <f t="shared" si="12"/>
        <v>0</v>
      </c>
      <c r="Z49" s="77">
        <f t="shared" si="13"/>
        <v>0</v>
      </c>
      <c r="AA49" s="77">
        <f t="shared" si="14"/>
        <v>0</v>
      </c>
      <c r="AB49" s="79"/>
      <c r="AC49" s="77">
        <f t="shared" si="15"/>
        <v>0</v>
      </c>
      <c r="AD49" s="77">
        <f t="shared" si="16"/>
        <v>0</v>
      </c>
      <c r="AE49" s="77">
        <f t="shared" si="17"/>
        <v>0</v>
      </c>
      <c r="AF49" s="79"/>
      <c r="AG49" s="6">
        <f t="shared" si="18"/>
        <v>0</v>
      </c>
      <c r="AH49" s="6">
        <f t="shared" si="19"/>
        <v>0</v>
      </c>
      <c r="AI49" s="6">
        <f t="shared" si="20"/>
        <v>0</v>
      </c>
    </row>
    <row r="50" spans="1:35" x14ac:dyDescent="0.3">
      <c r="A50" s="189">
        <f>DataDemande!U83</f>
        <v>0</v>
      </c>
      <c r="B50" t="str">
        <f t="shared" si="5"/>
        <v>0</v>
      </c>
      <c r="C50" t="str">
        <f t="shared" si="6"/>
        <v>0</v>
      </c>
      <c r="D50" s="185">
        <f>IFERROR(VLOOKUP(A50,DataCoutRevenuAux!M:Q,5,FALSE),0)</f>
        <v>0</v>
      </c>
      <c r="E50">
        <f>IFERROR(VLOOKUP(A50,DataDemande!U:Z,2,FALSE),0)</f>
        <v>0</v>
      </c>
      <c r="F50" s="79"/>
      <c r="G50" s="77">
        <f>IFERROR(VLOOKUP(A50,DataDemande!U:Z,3,FALSE),0)</f>
        <v>0</v>
      </c>
      <c r="H50" s="77">
        <f>IFERROR(VLOOKUP($A50,DataDemande!$U:$Z,4,FALSE),0)</f>
        <v>0</v>
      </c>
      <c r="I50" s="77">
        <f>IFERROR(VLOOKUP($A50,DataDemande!$U:$Z,5,FALSE),0)</f>
        <v>0</v>
      </c>
      <c r="J50" s="77">
        <f>IFERROR(VLOOKUP($A50,DataDemande!$U:$Z,6,FALSE),0)</f>
        <v>0</v>
      </c>
      <c r="K50" s="79"/>
      <c r="L50" s="77">
        <f>IFERROR(VLOOKUP($A50,DataPrixBillets!$S:$W,2,FALSE),0)</f>
        <v>0</v>
      </c>
      <c r="M50" s="77">
        <f>IFERROR(VLOOKUP($A50,DataPrixBillets!$S:$W,3,FALSE),0)</f>
        <v>0</v>
      </c>
      <c r="N50" s="77">
        <f>IFERROR(VLOOKUP($A50,DataPrixBillets!$S:$W,4,FALSE),0)</f>
        <v>0</v>
      </c>
      <c r="O50" s="77">
        <f>IFERROR(VLOOKUP($A50,DataPrixBillets!$S:$W,5,FALSE),0)</f>
        <v>0</v>
      </c>
      <c r="P50" s="79"/>
      <c r="Q50" s="77">
        <f t="shared" si="7"/>
        <v>0</v>
      </c>
      <c r="R50" s="77">
        <f t="shared" si="8"/>
        <v>0</v>
      </c>
      <c r="S50" s="77">
        <f t="shared" si="9"/>
        <v>0</v>
      </c>
      <c r="T50" s="77">
        <f t="shared" si="10"/>
        <v>0</v>
      </c>
      <c r="U50" s="79"/>
      <c r="V50" s="77">
        <f t="shared" si="11"/>
        <v>0</v>
      </c>
      <c r="W50" s="77">
        <f>IFERROR(VLOOKUP(A50,DataCoutRevenuAux!W:Y,2,FALSE),0)</f>
        <v>0</v>
      </c>
      <c r="X50" s="77">
        <f>IFERROR(VLOOKUP(A50,DataCoutRevenuAux!W:Y,3,FALSE),0)</f>
        <v>0</v>
      </c>
      <c r="Y50" s="77">
        <f t="shared" si="12"/>
        <v>0</v>
      </c>
      <c r="Z50" s="77">
        <f t="shared" si="13"/>
        <v>0</v>
      </c>
      <c r="AA50" s="77">
        <f t="shared" si="14"/>
        <v>0</v>
      </c>
      <c r="AB50" s="79"/>
      <c r="AC50" s="77">
        <f t="shared" si="15"/>
        <v>0</v>
      </c>
      <c r="AD50" s="77">
        <f t="shared" si="16"/>
        <v>0</v>
      </c>
      <c r="AE50" s="77">
        <f t="shared" si="17"/>
        <v>0</v>
      </c>
      <c r="AF50" s="79"/>
      <c r="AG50" s="6">
        <f t="shared" si="18"/>
        <v>0</v>
      </c>
      <c r="AH50" s="6">
        <f t="shared" si="19"/>
        <v>0</v>
      </c>
      <c r="AI50" s="6">
        <f t="shared" si="20"/>
        <v>0</v>
      </c>
    </row>
    <row r="51" spans="1:35" x14ac:dyDescent="0.3">
      <c r="A51" s="189">
        <f>DataDemande!U84</f>
        <v>0</v>
      </c>
      <c r="B51" t="str">
        <f t="shared" si="5"/>
        <v>0</v>
      </c>
      <c r="C51" t="str">
        <f t="shared" si="6"/>
        <v>0</v>
      </c>
      <c r="D51" s="185">
        <f>IFERROR(VLOOKUP(A51,DataCoutRevenuAux!M:Q,5,FALSE),0)</f>
        <v>0</v>
      </c>
      <c r="E51">
        <f>IFERROR(VLOOKUP(A51,DataDemande!U:Z,2,FALSE),0)</f>
        <v>0</v>
      </c>
      <c r="F51" s="79"/>
      <c r="G51" s="77">
        <f>IFERROR(VLOOKUP(A51,DataDemande!U:Z,3,FALSE),0)</f>
        <v>0</v>
      </c>
      <c r="H51" s="77">
        <f>IFERROR(VLOOKUP($A51,DataDemande!$U:$Z,4,FALSE),0)</f>
        <v>0</v>
      </c>
      <c r="I51" s="77">
        <f>IFERROR(VLOOKUP($A51,DataDemande!$U:$Z,5,FALSE),0)</f>
        <v>0</v>
      </c>
      <c r="J51" s="77">
        <f>IFERROR(VLOOKUP($A51,DataDemande!$U:$Z,6,FALSE),0)</f>
        <v>0</v>
      </c>
      <c r="K51" s="79"/>
      <c r="L51" s="77">
        <f>IFERROR(VLOOKUP($A51,DataPrixBillets!$S:$W,2,FALSE),0)</f>
        <v>0</v>
      </c>
      <c r="M51" s="77">
        <f>IFERROR(VLOOKUP($A51,DataPrixBillets!$S:$W,3,FALSE),0)</f>
        <v>0</v>
      </c>
      <c r="N51" s="77">
        <f>IFERROR(VLOOKUP($A51,DataPrixBillets!$S:$W,4,FALSE),0)</f>
        <v>0</v>
      </c>
      <c r="O51" s="77">
        <f>IFERROR(VLOOKUP($A51,DataPrixBillets!$S:$W,5,FALSE),0)</f>
        <v>0</v>
      </c>
      <c r="P51" s="79"/>
      <c r="Q51" s="77">
        <f t="shared" si="7"/>
        <v>0</v>
      </c>
      <c r="R51" s="77">
        <f t="shared" si="8"/>
        <v>0</v>
      </c>
      <c r="S51" s="77">
        <f t="shared" si="9"/>
        <v>0</v>
      </c>
      <c r="T51" s="77">
        <f t="shared" si="10"/>
        <v>0</v>
      </c>
      <c r="U51" s="79"/>
      <c r="V51" s="77">
        <f t="shared" si="11"/>
        <v>0</v>
      </c>
      <c r="W51" s="77">
        <f>IFERROR(VLOOKUP(A51,DataCoutRevenuAux!W:Y,2,FALSE),0)</f>
        <v>0</v>
      </c>
      <c r="X51" s="77">
        <f>IFERROR(VLOOKUP(A51,DataCoutRevenuAux!W:Y,3,FALSE),0)</f>
        <v>0</v>
      </c>
      <c r="Y51" s="77">
        <f t="shared" si="12"/>
        <v>0</v>
      </c>
      <c r="Z51" s="77">
        <f t="shared" si="13"/>
        <v>0</v>
      </c>
      <c r="AA51" s="77">
        <f t="shared" si="14"/>
        <v>0</v>
      </c>
      <c r="AB51" s="79"/>
      <c r="AC51" s="77">
        <f t="shared" si="15"/>
        <v>0</v>
      </c>
      <c r="AD51" s="77">
        <f t="shared" si="16"/>
        <v>0</v>
      </c>
      <c r="AE51" s="77">
        <f t="shared" si="17"/>
        <v>0</v>
      </c>
      <c r="AF51" s="79"/>
      <c r="AG51" s="6">
        <f t="shared" si="18"/>
        <v>0</v>
      </c>
      <c r="AH51" s="6">
        <f t="shared" si="19"/>
        <v>0</v>
      </c>
      <c r="AI51" s="6">
        <f t="shared" si="20"/>
        <v>0</v>
      </c>
    </row>
    <row r="52" spans="1:35" x14ac:dyDescent="0.3">
      <c r="A52" s="189">
        <f>DataDemande!U85</f>
        <v>0</v>
      </c>
      <c r="B52" t="str">
        <f t="shared" si="5"/>
        <v>0</v>
      </c>
      <c r="C52" t="str">
        <f t="shared" si="6"/>
        <v>0</v>
      </c>
      <c r="D52" s="185">
        <f>IFERROR(VLOOKUP(A52,DataCoutRevenuAux!M:Q,5,FALSE),0)</f>
        <v>0</v>
      </c>
      <c r="E52">
        <f>IFERROR(VLOOKUP(A52,DataDemande!U:Z,2,FALSE),0)</f>
        <v>0</v>
      </c>
      <c r="F52" s="79"/>
      <c r="G52" s="77">
        <f>IFERROR(VLOOKUP(A52,DataDemande!U:Z,3,FALSE),0)</f>
        <v>0</v>
      </c>
      <c r="H52" s="77">
        <f>IFERROR(VLOOKUP($A52,DataDemande!$U:$Z,4,FALSE),0)</f>
        <v>0</v>
      </c>
      <c r="I52" s="77">
        <f>IFERROR(VLOOKUP($A52,DataDemande!$U:$Z,5,FALSE),0)</f>
        <v>0</v>
      </c>
      <c r="J52" s="77">
        <f>IFERROR(VLOOKUP($A52,DataDemande!$U:$Z,6,FALSE),0)</f>
        <v>0</v>
      </c>
      <c r="K52" s="79"/>
      <c r="L52" s="77">
        <f>IFERROR(VLOOKUP($A52,DataPrixBillets!$S:$W,2,FALSE),0)</f>
        <v>0</v>
      </c>
      <c r="M52" s="77">
        <f>IFERROR(VLOOKUP($A52,DataPrixBillets!$S:$W,3,FALSE),0)</f>
        <v>0</v>
      </c>
      <c r="N52" s="77">
        <f>IFERROR(VLOOKUP($A52,DataPrixBillets!$S:$W,4,FALSE),0)</f>
        <v>0</v>
      </c>
      <c r="O52" s="77">
        <f>IFERROR(VLOOKUP($A52,DataPrixBillets!$S:$W,5,FALSE),0)</f>
        <v>0</v>
      </c>
      <c r="P52" s="79"/>
      <c r="Q52" s="77">
        <f t="shared" si="7"/>
        <v>0</v>
      </c>
      <c r="R52" s="77">
        <f t="shared" si="8"/>
        <v>0</v>
      </c>
      <c r="S52" s="77">
        <f t="shared" si="9"/>
        <v>0</v>
      </c>
      <c r="T52" s="77">
        <f t="shared" si="10"/>
        <v>0</v>
      </c>
      <c r="U52" s="79"/>
      <c r="V52" s="77">
        <f t="shared" si="11"/>
        <v>0</v>
      </c>
      <c r="W52" s="77">
        <f>IFERROR(VLOOKUP(A52,DataCoutRevenuAux!W:Y,2,FALSE),0)</f>
        <v>0</v>
      </c>
      <c r="X52" s="77">
        <f>IFERROR(VLOOKUP(A52,DataCoutRevenuAux!W:Y,3,FALSE),0)</f>
        <v>0</v>
      </c>
      <c r="Y52" s="77">
        <f t="shared" si="12"/>
        <v>0</v>
      </c>
      <c r="Z52" s="77">
        <f t="shared" si="13"/>
        <v>0</v>
      </c>
      <c r="AA52" s="77">
        <f t="shared" si="14"/>
        <v>0</v>
      </c>
      <c r="AB52" s="79"/>
      <c r="AC52" s="77">
        <f t="shared" si="15"/>
        <v>0</v>
      </c>
      <c r="AD52" s="77">
        <f t="shared" si="16"/>
        <v>0</v>
      </c>
      <c r="AE52" s="77">
        <f t="shared" si="17"/>
        <v>0</v>
      </c>
      <c r="AF52" s="79"/>
      <c r="AG52" s="6">
        <f t="shared" si="18"/>
        <v>0</v>
      </c>
      <c r="AH52" s="6">
        <f t="shared" si="19"/>
        <v>0</v>
      </c>
      <c r="AI52" s="6">
        <f t="shared" si="20"/>
        <v>0</v>
      </c>
    </row>
    <row r="53" spans="1:35" x14ac:dyDescent="0.3">
      <c r="A53" s="189">
        <f>DataDemande!U86</f>
        <v>0</v>
      </c>
      <c r="B53" t="str">
        <f t="shared" si="5"/>
        <v>0</v>
      </c>
      <c r="C53" t="str">
        <f t="shared" si="6"/>
        <v>0</v>
      </c>
      <c r="D53" s="185">
        <f>IFERROR(VLOOKUP(A53,DataCoutRevenuAux!M:Q,5,FALSE),0)</f>
        <v>0</v>
      </c>
      <c r="E53">
        <f>IFERROR(VLOOKUP(A53,DataDemande!U:Z,2,FALSE),0)</f>
        <v>0</v>
      </c>
      <c r="F53" s="79"/>
      <c r="G53" s="77">
        <f>IFERROR(VLOOKUP(A53,DataDemande!U:Z,3,FALSE),0)</f>
        <v>0</v>
      </c>
      <c r="H53" s="77">
        <f>IFERROR(VLOOKUP($A53,DataDemande!$U:$Z,4,FALSE),0)</f>
        <v>0</v>
      </c>
      <c r="I53" s="77">
        <f>IFERROR(VLOOKUP($A53,DataDemande!$U:$Z,5,FALSE),0)</f>
        <v>0</v>
      </c>
      <c r="J53" s="77">
        <f>IFERROR(VLOOKUP($A53,DataDemande!$U:$Z,6,FALSE),0)</f>
        <v>0</v>
      </c>
      <c r="K53" s="79"/>
      <c r="L53" s="77">
        <f>IFERROR(VLOOKUP($A53,DataPrixBillets!$S:$W,2,FALSE),0)</f>
        <v>0</v>
      </c>
      <c r="M53" s="77">
        <f>IFERROR(VLOOKUP($A53,DataPrixBillets!$S:$W,3,FALSE),0)</f>
        <v>0</v>
      </c>
      <c r="N53" s="77">
        <f>IFERROR(VLOOKUP($A53,DataPrixBillets!$S:$W,4,FALSE),0)</f>
        <v>0</v>
      </c>
      <c r="O53" s="77">
        <f>IFERROR(VLOOKUP($A53,DataPrixBillets!$S:$W,5,FALSE),0)</f>
        <v>0</v>
      </c>
      <c r="P53" s="79"/>
      <c r="Q53" s="77">
        <f t="shared" si="7"/>
        <v>0</v>
      </c>
      <c r="R53" s="77">
        <f t="shared" si="8"/>
        <v>0</v>
      </c>
      <c r="S53" s="77">
        <f t="shared" si="9"/>
        <v>0</v>
      </c>
      <c r="T53" s="77">
        <f t="shared" si="10"/>
        <v>0</v>
      </c>
      <c r="U53" s="79"/>
      <c r="V53" s="77">
        <f t="shared" si="11"/>
        <v>0</v>
      </c>
      <c r="W53" s="77">
        <f>IFERROR(VLOOKUP(A53,DataCoutRevenuAux!W:Y,2,FALSE),0)</f>
        <v>0</v>
      </c>
      <c r="X53" s="77">
        <f>IFERROR(VLOOKUP(A53,DataCoutRevenuAux!W:Y,3,FALSE),0)</f>
        <v>0</v>
      </c>
      <c r="Y53" s="77">
        <f t="shared" si="12"/>
        <v>0</v>
      </c>
      <c r="Z53" s="77">
        <f t="shared" si="13"/>
        <v>0</v>
      </c>
      <c r="AA53" s="77">
        <f t="shared" si="14"/>
        <v>0</v>
      </c>
      <c r="AB53" s="79"/>
      <c r="AC53" s="77">
        <f t="shared" si="15"/>
        <v>0</v>
      </c>
      <c r="AD53" s="77">
        <f t="shared" si="16"/>
        <v>0</v>
      </c>
      <c r="AE53" s="77">
        <f t="shared" si="17"/>
        <v>0</v>
      </c>
      <c r="AF53" s="79"/>
      <c r="AG53" s="6">
        <f t="shared" si="18"/>
        <v>0</v>
      </c>
      <c r="AH53" s="6">
        <f t="shared" si="19"/>
        <v>0</v>
      </c>
      <c r="AI53" s="6">
        <f t="shared" si="20"/>
        <v>0</v>
      </c>
    </row>
    <row r="54" spans="1:35" x14ac:dyDescent="0.3">
      <c r="A54" s="189">
        <f>DataDemande!U87</f>
        <v>0</v>
      </c>
      <c r="B54" t="str">
        <f t="shared" si="5"/>
        <v>0</v>
      </c>
      <c r="C54" t="str">
        <f t="shared" si="6"/>
        <v>0</v>
      </c>
      <c r="D54" s="185">
        <f>IFERROR(VLOOKUP(A54,DataCoutRevenuAux!M:Q,5,FALSE),0)</f>
        <v>0</v>
      </c>
      <c r="E54">
        <f>IFERROR(VLOOKUP(A54,DataDemande!U:Z,2,FALSE),0)</f>
        <v>0</v>
      </c>
      <c r="F54" s="79"/>
      <c r="G54" s="77">
        <f>IFERROR(VLOOKUP(A54,DataDemande!U:Z,3,FALSE),0)</f>
        <v>0</v>
      </c>
      <c r="H54" s="77">
        <f>IFERROR(VLOOKUP($A54,DataDemande!$U:$Z,4,FALSE),0)</f>
        <v>0</v>
      </c>
      <c r="I54" s="77">
        <f>IFERROR(VLOOKUP($A54,DataDemande!$U:$Z,5,FALSE),0)</f>
        <v>0</v>
      </c>
      <c r="J54" s="77">
        <f>IFERROR(VLOOKUP($A54,DataDemande!$U:$Z,6,FALSE),0)</f>
        <v>0</v>
      </c>
      <c r="K54" s="79"/>
      <c r="L54" s="77">
        <f>IFERROR(VLOOKUP($A54,DataPrixBillets!$S:$W,2,FALSE),0)</f>
        <v>0</v>
      </c>
      <c r="M54" s="77">
        <f>IFERROR(VLOOKUP($A54,DataPrixBillets!$S:$W,3,FALSE),0)</f>
        <v>0</v>
      </c>
      <c r="N54" s="77">
        <f>IFERROR(VLOOKUP($A54,DataPrixBillets!$S:$W,4,FALSE),0)</f>
        <v>0</v>
      </c>
      <c r="O54" s="77">
        <f>IFERROR(VLOOKUP($A54,DataPrixBillets!$S:$W,5,FALSE),0)</f>
        <v>0</v>
      </c>
      <c r="P54" s="79"/>
      <c r="Q54" s="77">
        <f t="shared" si="7"/>
        <v>0</v>
      </c>
      <c r="R54" s="77">
        <f t="shared" si="8"/>
        <v>0</v>
      </c>
      <c r="S54" s="77">
        <f t="shared" si="9"/>
        <v>0</v>
      </c>
      <c r="T54" s="77">
        <f t="shared" si="10"/>
        <v>0</v>
      </c>
      <c r="U54" s="79"/>
      <c r="V54" s="77">
        <f t="shared" si="11"/>
        <v>0</v>
      </c>
      <c r="W54" s="77">
        <f>IFERROR(VLOOKUP(A54,DataCoutRevenuAux!W:Y,2,FALSE),0)</f>
        <v>0</v>
      </c>
      <c r="X54" s="77">
        <f>IFERROR(VLOOKUP(A54,DataCoutRevenuAux!W:Y,3,FALSE),0)</f>
        <v>0</v>
      </c>
      <c r="Y54" s="77">
        <f t="shared" si="12"/>
        <v>0</v>
      </c>
      <c r="Z54" s="77">
        <f t="shared" si="13"/>
        <v>0</v>
      </c>
      <c r="AA54" s="77">
        <f t="shared" si="14"/>
        <v>0</v>
      </c>
      <c r="AB54" s="79"/>
      <c r="AC54" s="77">
        <f t="shared" si="15"/>
        <v>0</v>
      </c>
      <c r="AD54" s="77">
        <f t="shared" si="16"/>
        <v>0</v>
      </c>
      <c r="AE54" s="77">
        <f t="shared" si="17"/>
        <v>0</v>
      </c>
      <c r="AF54" s="79"/>
      <c r="AG54" s="6">
        <f t="shared" si="18"/>
        <v>0</v>
      </c>
      <c r="AH54" s="6">
        <f t="shared" si="19"/>
        <v>0</v>
      </c>
      <c r="AI54" s="6">
        <f t="shared" si="20"/>
        <v>0</v>
      </c>
    </row>
    <row r="55" spans="1:35" x14ac:dyDescent="0.3">
      <c r="A55" s="189">
        <f>DataDemande!U88</f>
        <v>0</v>
      </c>
      <c r="B55" t="str">
        <f t="shared" si="5"/>
        <v>0</v>
      </c>
      <c r="C55" t="str">
        <f t="shared" si="6"/>
        <v>0</v>
      </c>
      <c r="D55" s="185">
        <f>IFERROR(VLOOKUP(A55,DataCoutRevenuAux!M:Q,5,FALSE),0)</f>
        <v>0</v>
      </c>
      <c r="E55">
        <f>IFERROR(VLOOKUP(A55,DataDemande!U:Z,2,FALSE),0)</f>
        <v>0</v>
      </c>
      <c r="F55" s="79"/>
      <c r="G55" s="77">
        <f>IFERROR(VLOOKUP(A55,DataDemande!U:Z,3,FALSE),0)</f>
        <v>0</v>
      </c>
      <c r="H55" s="77">
        <f>IFERROR(VLOOKUP($A55,DataDemande!$U:$Z,4,FALSE),0)</f>
        <v>0</v>
      </c>
      <c r="I55" s="77">
        <f>IFERROR(VLOOKUP($A55,DataDemande!$U:$Z,5,FALSE),0)</f>
        <v>0</v>
      </c>
      <c r="J55" s="77">
        <f>IFERROR(VLOOKUP($A55,DataDemande!$U:$Z,6,FALSE),0)</f>
        <v>0</v>
      </c>
      <c r="K55" s="79"/>
      <c r="L55" s="77">
        <f>IFERROR(VLOOKUP($A55,DataPrixBillets!$S:$W,2,FALSE),0)</f>
        <v>0</v>
      </c>
      <c r="M55" s="77">
        <f>IFERROR(VLOOKUP($A55,DataPrixBillets!$S:$W,3,FALSE),0)</f>
        <v>0</v>
      </c>
      <c r="N55" s="77">
        <f>IFERROR(VLOOKUP($A55,DataPrixBillets!$S:$W,4,FALSE),0)</f>
        <v>0</v>
      </c>
      <c r="O55" s="77">
        <f>IFERROR(VLOOKUP($A55,DataPrixBillets!$S:$W,5,FALSE),0)</f>
        <v>0</v>
      </c>
      <c r="P55" s="79"/>
      <c r="Q55" s="77">
        <f t="shared" si="7"/>
        <v>0</v>
      </c>
      <c r="R55" s="77">
        <f t="shared" si="8"/>
        <v>0</v>
      </c>
      <c r="S55" s="77">
        <f t="shared" si="9"/>
        <v>0</v>
      </c>
      <c r="T55" s="77">
        <f t="shared" si="10"/>
        <v>0</v>
      </c>
      <c r="U55" s="79"/>
      <c r="V55" s="77">
        <f t="shared" si="11"/>
        <v>0</v>
      </c>
      <c r="W55" s="77">
        <f>IFERROR(VLOOKUP(A55,DataCoutRevenuAux!W:Y,2,FALSE),0)</f>
        <v>0</v>
      </c>
      <c r="X55" s="77">
        <f>IFERROR(VLOOKUP(A55,DataCoutRevenuAux!W:Y,3,FALSE),0)</f>
        <v>0</v>
      </c>
      <c r="Y55" s="77">
        <f t="shared" si="12"/>
        <v>0</v>
      </c>
      <c r="Z55" s="77">
        <f t="shared" si="13"/>
        <v>0</v>
      </c>
      <c r="AA55" s="77">
        <f t="shared" si="14"/>
        <v>0</v>
      </c>
      <c r="AB55" s="79"/>
      <c r="AC55" s="77">
        <f t="shared" si="15"/>
        <v>0</v>
      </c>
      <c r="AD55" s="77">
        <f t="shared" si="16"/>
        <v>0</v>
      </c>
      <c r="AE55" s="77">
        <f t="shared" si="17"/>
        <v>0</v>
      </c>
      <c r="AF55" s="79"/>
      <c r="AG55" s="6">
        <f t="shared" si="18"/>
        <v>0</v>
      </c>
      <c r="AH55" s="6">
        <f t="shared" si="19"/>
        <v>0</v>
      </c>
      <c r="AI55" s="6">
        <f t="shared" si="20"/>
        <v>0</v>
      </c>
    </row>
    <row r="56" spans="1:35" x14ac:dyDescent="0.3">
      <c r="A56" s="189">
        <f>DataDemande!U89</f>
        <v>0</v>
      </c>
      <c r="B56" t="str">
        <f t="shared" si="5"/>
        <v>0</v>
      </c>
      <c r="C56" t="str">
        <f t="shared" si="6"/>
        <v>0</v>
      </c>
      <c r="D56" s="185">
        <f>IFERROR(VLOOKUP(A56,DataCoutRevenuAux!M:Q,5,FALSE),0)</f>
        <v>0</v>
      </c>
      <c r="E56">
        <f>IFERROR(VLOOKUP(A56,DataDemande!U:Z,2,FALSE),0)</f>
        <v>0</v>
      </c>
      <c r="F56" s="79"/>
      <c r="G56" s="77">
        <f>IFERROR(VLOOKUP(A56,DataDemande!U:Z,3,FALSE),0)</f>
        <v>0</v>
      </c>
      <c r="H56" s="77">
        <f>IFERROR(VLOOKUP($A56,DataDemande!$U:$Z,4,FALSE),0)</f>
        <v>0</v>
      </c>
      <c r="I56" s="77">
        <f>IFERROR(VLOOKUP($A56,DataDemande!$U:$Z,5,FALSE),0)</f>
        <v>0</v>
      </c>
      <c r="J56" s="77">
        <f>IFERROR(VLOOKUP($A56,DataDemande!$U:$Z,6,FALSE),0)</f>
        <v>0</v>
      </c>
      <c r="K56" s="79"/>
      <c r="L56" s="77">
        <f>IFERROR(VLOOKUP($A56,DataPrixBillets!$S:$W,2,FALSE),0)</f>
        <v>0</v>
      </c>
      <c r="M56" s="77">
        <f>IFERROR(VLOOKUP($A56,DataPrixBillets!$S:$W,3,FALSE),0)</f>
        <v>0</v>
      </c>
      <c r="N56" s="77">
        <f>IFERROR(VLOOKUP($A56,DataPrixBillets!$S:$W,4,FALSE),0)</f>
        <v>0</v>
      </c>
      <c r="O56" s="77">
        <f>IFERROR(VLOOKUP($A56,DataPrixBillets!$S:$W,5,FALSE),0)</f>
        <v>0</v>
      </c>
      <c r="P56" s="79"/>
      <c r="Q56" s="77">
        <f t="shared" si="7"/>
        <v>0</v>
      </c>
      <c r="R56" s="77">
        <f t="shared" si="8"/>
        <v>0</v>
      </c>
      <c r="S56" s="77">
        <f t="shared" si="9"/>
        <v>0</v>
      </c>
      <c r="T56" s="77">
        <f t="shared" si="10"/>
        <v>0</v>
      </c>
      <c r="U56" s="79"/>
      <c r="V56" s="77">
        <f t="shared" si="11"/>
        <v>0</v>
      </c>
      <c r="W56" s="77">
        <f>IFERROR(VLOOKUP(A56,DataCoutRevenuAux!W:Y,2,FALSE),0)</f>
        <v>0</v>
      </c>
      <c r="X56" s="77">
        <f>IFERROR(VLOOKUP(A56,DataCoutRevenuAux!W:Y,3,FALSE),0)</f>
        <v>0</v>
      </c>
      <c r="Y56" s="77">
        <f t="shared" si="12"/>
        <v>0</v>
      </c>
      <c r="Z56" s="77">
        <f t="shared" si="13"/>
        <v>0</v>
      </c>
      <c r="AA56" s="77">
        <f t="shared" si="14"/>
        <v>0</v>
      </c>
      <c r="AB56" s="79"/>
      <c r="AC56" s="77">
        <f t="shared" si="15"/>
        <v>0</v>
      </c>
      <c r="AD56" s="77">
        <f t="shared" si="16"/>
        <v>0</v>
      </c>
      <c r="AE56" s="77">
        <f t="shared" si="17"/>
        <v>0</v>
      </c>
      <c r="AF56" s="79"/>
      <c r="AG56" s="6">
        <f t="shared" si="18"/>
        <v>0</v>
      </c>
      <c r="AH56" s="6">
        <f t="shared" si="19"/>
        <v>0</v>
      </c>
      <c r="AI56" s="6">
        <f t="shared" si="20"/>
        <v>0</v>
      </c>
    </row>
    <row r="57" spans="1:35" x14ac:dyDescent="0.3">
      <c r="A57" s="189">
        <f>DataDemande!U90</f>
        <v>0</v>
      </c>
      <c r="B57" t="str">
        <f t="shared" si="5"/>
        <v>0</v>
      </c>
      <c r="C57" t="str">
        <f t="shared" si="6"/>
        <v>0</v>
      </c>
      <c r="D57" s="185">
        <f>IFERROR(VLOOKUP(A57,DataCoutRevenuAux!M:Q,5,FALSE),0)</f>
        <v>0</v>
      </c>
      <c r="E57">
        <f>IFERROR(VLOOKUP(A57,DataDemande!U:Z,2,FALSE),0)</f>
        <v>0</v>
      </c>
      <c r="F57" s="79"/>
      <c r="G57" s="77">
        <f>IFERROR(VLOOKUP(A57,DataDemande!U:Z,3,FALSE),0)</f>
        <v>0</v>
      </c>
      <c r="H57" s="77">
        <f>IFERROR(VLOOKUP($A57,DataDemande!$U:$Z,4,FALSE),0)</f>
        <v>0</v>
      </c>
      <c r="I57" s="77">
        <f>IFERROR(VLOOKUP($A57,DataDemande!$U:$Z,5,FALSE),0)</f>
        <v>0</v>
      </c>
      <c r="J57" s="77">
        <f>IFERROR(VLOOKUP($A57,DataDemande!$U:$Z,6,FALSE),0)</f>
        <v>0</v>
      </c>
      <c r="K57" s="79"/>
      <c r="L57" s="77">
        <f>IFERROR(VLOOKUP($A57,DataPrixBillets!$S:$W,2,FALSE),0)</f>
        <v>0</v>
      </c>
      <c r="M57" s="77">
        <f>IFERROR(VLOOKUP($A57,DataPrixBillets!$S:$W,3,FALSE),0)</f>
        <v>0</v>
      </c>
      <c r="N57" s="77">
        <f>IFERROR(VLOOKUP($A57,DataPrixBillets!$S:$W,4,FALSE),0)</f>
        <v>0</v>
      </c>
      <c r="O57" s="77">
        <f>IFERROR(VLOOKUP($A57,DataPrixBillets!$S:$W,5,FALSE),0)</f>
        <v>0</v>
      </c>
      <c r="P57" s="79"/>
      <c r="Q57" s="77">
        <f t="shared" si="7"/>
        <v>0</v>
      </c>
      <c r="R57" s="77">
        <f t="shared" si="8"/>
        <v>0</v>
      </c>
      <c r="S57" s="77">
        <f t="shared" si="9"/>
        <v>0</v>
      </c>
      <c r="T57" s="77">
        <f t="shared" si="10"/>
        <v>0</v>
      </c>
      <c r="U57" s="79"/>
      <c r="V57" s="77">
        <f t="shared" si="11"/>
        <v>0</v>
      </c>
      <c r="W57" s="77">
        <f>IFERROR(VLOOKUP(A57,DataCoutRevenuAux!W:Y,2,FALSE),0)</f>
        <v>0</v>
      </c>
      <c r="X57" s="77">
        <f>IFERROR(VLOOKUP(A57,DataCoutRevenuAux!W:Y,3,FALSE),0)</f>
        <v>0</v>
      </c>
      <c r="Y57" s="77">
        <f t="shared" si="12"/>
        <v>0</v>
      </c>
      <c r="Z57" s="77">
        <f t="shared" si="13"/>
        <v>0</v>
      </c>
      <c r="AA57" s="77">
        <f t="shared" si="14"/>
        <v>0</v>
      </c>
      <c r="AB57" s="79"/>
      <c r="AC57" s="77">
        <f t="shared" si="15"/>
        <v>0</v>
      </c>
      <c r="AD57" s="77">
        <f t="shared" si="16"/>
        <v>0</v>
      </c>
      <c r="AE57" s="77">
        <f t="shared" si="17"/>
        <v>0</v>
      </c>
      <c r="AF57" s="79"/>
      <c r="AG57" s="6">
        <f t="shared" si="18"/>
        <v>0</v>
      </c>
      <c r="AH57" s="6">
        <f t="shared" si="19"/>
        <v>0</v>
      </c>
      <c r="AI57" s="6">
        <f t="shared" si="20"/>
        <v>0</v>
      </c>
    </row>
    <row r="58" spans="1:35" x14ac:dyDescent="0.3">
      <c r="A58" s="189">
        <f>DataDemande!U91</f>
        <v>0</v>
      </c>
      <c r="B58" t="str">
        <f t="shared" si="5"/>
        <v>0</v>
      </c>
      <c r="C58" t="str">
        <f t="shared" si="6"/>
        <v>0</v>
      </c>
      <c r="D58" s="185">
        <f>IFERROR(VLOOKUP(A58,DataCoutRevenuAux!M:Q,5,FALSE),0)</f>
        <v>0</v>
      </c>
      <c r="E58">
        <f>IFERROR(VLOOKUP(A58,DataDemande!U:Z,2,FALSE),0)</f>
        <v>0</v>
      </c>
      <c r="F58" s="79"/>
      <c r="G58" s="77">
        <f>IFERROR(VLOOKUP(A58,DataDemande!U:Z,3,FALSE),0)</f>
        <v>0</v>
      </c>
      <c r="H58" s="77">
        <f>IFERROR(VLOOKUP($A58,DataDemande!$U:$Z,4,FALSE),0)</f>
        <v>0</v>
      </c>
      <c r="I58" s="77">
        <f>IFERROR(VLOOKUP($A58,DataDemande!$U:$Z,5,FALSE),0)</f>
        <v>0</v>
      </c>
      <c r="J58" s="77">
        <f>IFERROR(VLOOKUP($A58,DataDemande!$U:$Z,6,FALSE),0)</f>
        <v>0</v>
      </c>
      <c r="K58" s="79"/>
      <c r="L58" s="77">
        <f>IFERROR(VLOOKUP($A58,DataPrixBillets!$S:$W,2,FALSE),0)</f>
        <v>0</v>
      </c>
      <c r="M58" s="77">
        <f>IFERROR(VLOOKUP($A58,DataPrixBillets!$S:$W,3,FALSE),0)</f>
        <v>0</v>
      </c>
      <c r="N58" s="77">
        <f>IFERROR(VLOOKUP($A58,DataPrixBillets!$S:$W,4,FALSE),0)</f>
        <v>0</v>
      </c>
      <c r="O58" s="77">
        <f>IFERROR(VLOOKUP($A58,DataPrixBillets!$S:$W,5,FALSE),0)</f>
        <v>0</v>
      </c>
      <c r="P58" s="79"/>
      <c r="Q58" s="77">
        <f t="shared" si="7"/>
        <v>0</v>
      </c>
      <c r="R58" s="77">
        <f t="shared" si="8"/>
        <v>0</v>
      </c>
      <c r="S58" s="77">
        <f t="shared" si="9"/>
        <v>0</v>
      </c>
      <c r="T58" s="77">
        <f t="shared" si="10"/>
        <v>0</v>
      </c>
      <c r="U58" s="79"/>
      <c r="V58" s="77">
        <f t="shared" si="11"/>
        <v>0</v>
      </c>
      <c r="W58" s="77">
        <f>IFERROR(VLOOKUP(A58,DataCoutRevenuAux!W:Y,2,FALSE),0)</f>
        <v>0</v>
      </c>
      <c r="X58" s="77">
        <f>IFERROR(VLOOKUP(A58,DataCoutRevenuAux!W:Y,3,FALSE),0)</f>
        <v>0</v>
      </c>
      <c r="Y58" s="77">
        <f t="shared" si="12"/>
        <v>0</v>
      </c>
      <c r="Z58" s="77">
        <f t="shared" si="13"/>
        <v>0</v>
      </c>
      <c r="AA58" s="77">
        <f t="shared" si="14"/>
        <v>0</v>
      </c>
      <c r="AB58" s="79"/>
      <c r="AC58" s="77">
        <f t="shared" si="15"/>
        <v>0</v>
      </c>
      <c r="AD58" s="77">
        <f t="shared" si="16"/>
        <v>0</v>
      </c>
      <c r="AE58" s="77">
        <f t="shared" si="17"/>
        <v>0</v>
      </c>
      <c r="AF58" s="79"/>
      <c r="AG58" s="6">
        <f t="shared" si="18"/>
        <v>0</v>
      </c>
      <c r="AH58" s="6">
        <f t="shared" si="19"/>
        <v>0</v>
      </c>
      <c r="AI58" s="6">
        <f t="shared" si="20"/>
        <v>0</v>
      </c>
    </row>
    <row r="59" spans="1:35" x14ac:dyDescent="0.3">
      <c r="A59" s="189">
        <f>DataDemande!U92</f>
        <v>0</v>
      </c>
      <c r="B59" t="str">
        <f t="shared" si="5"/>
        <v>0</v>
      </c>
      <c r="C59" t="str">
        <f t="shared" si="6"/>
        <v>0</v>
      </c>
      <c r="D59" s="185">
        <f>IFERROR(VLOOKUP(A59,DataCoutRevenuAux!M:Q,5,FALSE),0)</f>
        <v>0</v>
      </c>
      <c r="E59">
        <f>IFERROR(VLOOKUP(A59,DataDemande!U:Z,2,FALSE),0)</f>
        <v>0</v>
      </c>
      <c r="F59" s="79"/>
      <c r="G59" s="77">
        <f>IFERROR(VLOOKUP(A59,DataDemande!U:Z,3,FALSE),0)</f>
        <v>0</v>
      </c>
      <c r="H59" s="77">
        <f>IFERROR(VLOOKUP($A59,DataDemande!$U:$Z,4,FALSE),0)</f>
        <v>0</v>
      </c>
      <c r="I59" s="77">
        <f>IFERROR(VLOOKUP($A59,DataDemande!$U:$Z,5,FALSE),0)</f>
        <v>0</v>
      </c>
      <c r="J59" s="77">
        <f>IFERROR(VLOOKUP($A59,DataDemande!$U:$Z,6,FALSE),0)</f>
        <v>0</v>
      </c>
      <c r="K59" s="79"/>
      <c r="L59" s="77">
        <f>IFERROR(VLOOKUP($A59,DataPrixBillets!$S:$W,2,FALSE),0)</f>
        <v>0</v>
      </c>
      <c r="M59" s="77">
        <f>IFERROR(VLOOKUP($A59,DataPrixBillets!$S:$W,3,FALSE),0)</f>
        <v>0</v>
      </c>
      <c r="N59" s="77">
        <f>IFERROR(VLOOKUP($A59,DataPrixBillets!$S:$W,4,FALSE),0)</f>
        <v>0</v>
      </c>
      <c r="O59" s="77">
        <f>IFERROR(VLOOKUP($A59,DataPrixBillets!$S:$W,5,FALSE),0)</f>
        <v>0</v>
      </c>
      <c r="P59" s="79"/>
      <c r="Q59" s="77">
        <f t="shared" si="7"/>
        <v>0</v>
      </c>
      <c r="R59" s="77">
        <f t="shared" si="8"/>
        <v>0</v>
      </c>
      <c r="S59" s="77">
        <f t="shared" si="9"/>
        <v>0</v>
      </c>
      <c r="T59" s="77">
        <f t="shared" si="10"/>
        <v>0</v>
      </c>
      <c r="U59" s="79"/>
      <c r="V59" s="77">
        <f t="shared" si="11"/>
        <v>0</v>
      </c>
      <c r="W59" s="77">
        <f>IFERROR(VLOOKUP(A59,DataCoutRevenuAux!W:Y,2,FALSE),0)</f>
        <v>0</v>
      </c>
      <c r="X59" s="77">
        <f>IFERROR(VLOOKUP(A59,DataCoutRevenuAux!W:Y,3,FALSE),0)</f>
        <v>0</v>
      </c>
      <c r="Y59" s="77">
        <f t="shared" si="12"/>
        <v>0</v>
      </c>
      <c r="Z59" s="77">
        <f t="shared" si="13"/>
        <v>0</v>
      </c>
      <c r="AA59" s="77">
        <f t="shared" si="14"/>
        <v>0</v>
      </c>
      <c r="AB59" s="79"/>
      <c r="AC59" s="77">
        <f t="shared" si="15"/>
        <v>0</v>
      </c>
      <c r="AD59" s="77">
        <f t="shared" si="16"/>
        <v>0</v>
      </c>
      <c r="AE59" s="77">
        <f t="shared" si="17"/>
        <v>0</v>
      </c>
      <c r="AF59" s="79"/>
      <c r="AG59" s="6">
        <f t="shared" si="18"/>
        <v>0</v>
      </c>
      <c r="AH59" s="6">
        <f t="shared" si="19"/>
        <v>0</v>
      </c>
      <c r="AI59" s="6">
        <f t="shared" si="20"/>
        <v>0</v>
      </c>
    </row>
    <row r="60" spans="1:35" x14ac:dyDescent="0.3">
      <c r="A60" s="189">
        <f>DataDemande!U93</f>
        <v>0</v>
      </c>
      <c r="B60" t="str">
        <f t="shared" si="5"/>
        <v>0</v>
      </c>
      <c r="C60" t="str">
        <f t="shared" si="6"/>
        <v>0</v>
      </c>
      <c r="D60" s="185">
        <f>IFERROR(VLOOKUP(A60,DataCoutRevenuAux!M:Q,5,FALSE),0)</f>
        <v>0</v>
      </c>
      <c r="E60">
        <f>IFERROR(VLOOKUP(A60,DataDemande!U:Z,2,FALSE),0)</f>
        <v>0</v>
      </c>
      <c r="F60" s="79"/>
      <c r="G60" s="77">
        <f>IFERROR(VLOOKUP(A60,DataDemande!U:Z,3,FALSE),0)</f>
        <v>0</v>
      </c>
      <c r="H60" s="77">
        <f>IFERROR(VLOOKUP($A60,DataDemande!$U:$Z,4,FALSE),0)</f>
        <v>0</v>
      </c>
      <c r="I60" s="77">
        <f>IFERROR(VLOOKUP($A60,DataDemande!$U:$Z,5,FALSE),0)</f>
        <v>0</v>
      </c>
      <c r="J60" s="77">
        <f>IFERROR(VLOOKUP($A60,DataDemande!$U:$Z,6,FALSE),0)</f>
        <v>0</v>
      </c>
      <c r="K60" s="79"/>
      <c r="L60" s="77">
        <f>IFERROR(VLOOKUP($A60,DataPrixBillets!$S:$W,2,FALSE),0)</f>
        <v>0</v>
      </c>
      <c r="M60" s="77">
        <f>IFERROR(VLOOKUP($A60,DataPrixBillets!$S:$W,3,FALSE),0)</f>
        <v>0</v>
      </c>
      <c r="N60" s="77">
        <f>IFERROR(VLOOKUP($A60,DataPrixBillets!$S:$W,4,FALSE),0)</f>
        <v>0</v>
      </c>
      <c r="O60" s="77">
        <f>IFERROR(VLOOKUP($A60,DataPrixBillets!$S:$W,5,FALSE),0)</f>
        <v>0</v>
      </c>
      <c r="P60" s="79"/>
      <c r="Q60" s="77">
        <f t="shared" si="7"/>
        <v>0</v>
      </c>
      <c r="R60" s="77">
        <f t="shared" si="8"/>
        <v>0</v>
      </c>
      <c r="S60" s="77">
        <f t="shared" si="9"/>
        <v>0</v>
      </c>
      <c r="T60" s="77">
        <f t="shared" si="10"/>
        <v>0</v>
      </c>
      <c r="U60" s="79"/>
      <c r="V60" s="77">
        <f t="shared" si="11"/>
        <v>0</v>
      </c>
      <c r="W60" s="77">
        <f>IFERROR(VLOOKUP(A60,DataCoutRevenuAux!W:Y,2,FALSE),0)</f>
        <v>0</v>
      </c>
      <c r="X60" s="77">
        <f>IFERROR(VLOOKUP(A60,DataCoutRevenuAux!W:Y,3,FALSE),0)</f>
        <v>0</v>
      </c>
      <c r="Y60" s="77">
        <f t="shared" si="12"/>
        <v>0</v>
      </c>
      <c r="Z60" s="77">
        <f t="shared" si="13"/>
        <v>0</v>
      </c>
      <c r="AA60" s="77">
        <f t="shared" si="14"/>
        <v>0</v>
      </c>
      <c r="AB60" s="79"/>
      <c r="AC60" s="77">
        <f t="shared" si="15"/>
        <v>0</v>
      </c>
      <c r="AD60" s="77">
        <f t="shared" si="16"/>
        <v>0</v>
      </c>
      <c r="AE60" s="77">
        <f t="shared" si="17"/>
        <v>0</v>
      </c>
      <c r="AF60" s="79"/>
      <c r="AG60" s="6">
        <f t="shared" si="18"/>
        <v>0</v>
      </c>
      <c r="AH60" s="6">
        <f t="shared" si="19"/>
        <v>0</v>
      </c>
      <c r="AI60" s="6">
        <f t="shared" si="20"/>
        <v>0</v>
      </c>
    </row>
    <row r="61" spans="1:35" x14ac:dyDescent="0.3">
      <c r="A61" s="189">
        <f>DataDemande!U94</f>
        <v>0</v>
      </c>
      <c r="B61" t="str">
        <f t="shared" si="5"/>
        <v>0</v>
      </c>
      <c r="C61" t="str">
        <f t="shared" si="6"/>
        <v>0</v>
      </c>
      <c r="D61" s="185">
        <f>IFERROR(VLOOKUP(A61,DataCoutRevenuAux!M:Q,5,FALSE),0)</f>
        <v>0</v>
      </c>
      <c r="E61">
        <f>IFERROR(VLOOKUP(A61,DataDemande!U:Z,2,FALSE),0)</f>
        <v>0</v>
      </c>
      <c r="F61" s="79"/>
      <c r="G61" s="77">
        <f>IFERROR(VLOOKUP(A61,DataDemande!U:Z,3,FALSE),0)</f>
        <v>0</v>
      </c>
      <c r="H61" s="77">
        <f>IFERROR(VLOOKUP($A61,DataDemande!$U:$Z,4,FALSE),0)</f>
        <v>0</v>
      </c>
      <c r="I61" s="77">
        <f>IFERROR(VLOOKUP($A61,DataDemande!$U:$Z,5,FALSE),0)</f>
        <v>0</v>
      </c>
      <c r="J61" s="77">
        <f>IFERROR(VLOOKUP($A61,DataDemande!$U:$Z,6,FALSE),0)</f>
        <v>0</v>
      </c>
      <c r="K61" s="79"/>
      <c r="L61" s="77">
        <f>IFERROR(VLOOKUP($A61,DataPrixBillets!$S:$W,2,FALSE),0)</f>
        <v>0</v>
      </c>
      <c r="M61" s="77">
        <f>IFERROR(VLOOKUP($A61,DataPrixBillets!$S:$W,3,FALSE),0)</f>
        <v>0</v>
      </c>
      <c r="N61" s="77">
        <f>IFERROR(VLOOKUP($A61,DataPrixBillets!$S:$W,4,FALSE),0)</f>
        <v>0</v>
      </c>
      <c r="O61" s="77">
        <f>IFERROR(VLOOKUP($A61,DataPrixBillets!$S:$W,5,FALSE),0)</f>
        <v>0</v>
      </c>
      <c r="P61" s="79"/>
      <c r="Q61" s="77">
        <f t="shared" si="7"/>
        <v>0</v>
      </c>
      <c r="R61" s="77">
        <f t="shared" si="8"/>
        <v>0</v>
      </c>
      <c r="S61" s="77">
        <f t="shared" si="9"/>
        <v>0</v>
      </c>
      <c r="T61" s="77">
        <f t="shared" si="10"/>
        <v>0</v>
      </c>
      <c r="U61" s="79"/>
      <c r="V61" s="77">
        <f t="shared" si="11"/>
        <v>0</v>
      </c>
      <c r="W61" s="77">
        <f>IFERROR(VLOOKUP(A61,DataCoutRevenuAux!W:Y,2,FALSE),0)</f>
        <v>0</v>
      </c>
      <c r="X61" s="77">
        <f>IFERROR(VLOOKUP(A61,DataCoutRevenuAux!W:Y,3,FALSE),0)</f>
        <v>0</v>
      </c>
      <c r="Y61" s="77">
        <f t="shared" si="12"/>
        <v>0</v>
      </c>
      <c r="Z61" s="77">
        <f t="shared" si="13"/>
        <v>0</v>
      </c>
      <c r="AA61" s="77">
        <f t="shared" si="14"/>
        <v>0</v>
      </c>
      <c r="AB61" s="79"/>
      <c r="AC61" s="77">
        <f t="shared" si="15"/>
        <v>0</v>
      </c>
      <c r="AD61" s="77">
        <f t="shared" si="16"/>
        <v>0</v>
      </c>
      <c r="AE61" s="77">
        <f t="shared" si="17"/>
        <v>0</v>
      </c>
      <c r="AF61" s="79"/>
      <c r="AG61" s="6">
        <f t="shared" si="18"/>
        <v>0</v>
      </c>
      <c r="AH61" s="6">
        <f t="shared" si="19"/>
        <v>0</v>
      </c>
      <c r="AI61" s="6">
        <f t="shared" si="20"/>
        <v>0</v>
      </c>
    </row>
    <row r="62" spans="1:35" x14ac:dyDescent="0.3">
      <c r="A62" s="189">
        <f>DataDemande!U95</f>
        <v>0</v>
      </c>
      <c r="B62" t="str">
        <f t="shared" si="5"/>
        <v>0</v>
      </c>
      <c r="C62" t="str">
        <f t="shared" si="6"/>
        <v>0</v>
      </c>
      <c r="D62" s="185">
        <f>IFERROR(VLOOKUP(A62,DataCoutRevenuAux!M:Q,5,FALSE),0)</f>
        <v>0</v>
      </c>
      <c r="E62">
        <f>IFERROR(VLOOKUP(A62,DataDemande!U:Z,2,FALSE),0)</f>
        <v>0</v>
      </c>
      <c r="F62" s="79"/>
      <c r="G62" s="77">
        <f>IFERROR(VLOOKUP(A62,DataDemande!U:Z,3,FALSE),0)</f>
        <v>0</v>
      </c>
      <c r="H62" s="77">
        <f>IFERROR(VLOOKUP($A62,DataDemande!$U:$Z,4,FALSE),0)</f>
        <v>0</v>
      </c>
      <c r="I62" s="77">
        <f>IFERROR(VLOOKUP($A62,DataDemande!$U:$Z,5,FALSE),0)</f>
        <v>0</v>
      </c>
      <c r="J62" s="77">
        <f>IFERROR(VLOOKUP($A62,DataDemande!$U:$Z,6,FALSE),0)</f>
        <v>0</v>
      </c>
      <c r="K62" s="79"/>
      <c r="L62" s="77">
        <f>IFERROR(VLOOKUP($A62,DataPrixBillets!$S:$W,2,FALSE),0)</f>
        <v>0</v>
      </c>
      <c r="M62" s="77">
        <f>IFERROR(VLOOKUP($A62,DataPrixBillets!$S:$W,3,FALSE),0)</f>
        <v>0</v>
      </c>
      <c r="N62" s="77">
        <f>IFERROR(VLOOKUP($A62,DataPrixBillets!$S:$W,4,FALSE),0)</f>
        <v>0</v>
      </c>
      <c r="O62" s="77">
        <f>IFERROR(VLOOKUP($A62,DataPrixBillets!$S:$W,5,FALSE),0)</f>
        <v>0</v>
      </c>
      <c r="P62" s="79"/>
      <c r="Q62" s="77">
        <f t="shared" si="7"/>
        <v>0</v>
      </c>
      <c r="R62" s="77">
        <f t="shared" si="8"/>
        <v>0</v>
      </c>
      <c r="S62" s="77">
        <f t="shared" si="9"/>
        <v>0</v>
      </c>
      <c r="T62" s="77">
        <f t="shared" si="10"/>
        <v>0</v>
      </c>
      <c r="U62" s="79"/>
      <c r="V62" s="77">
        <f t="shared" si="11"/>
        <v>0</v>
      </c>
      <c r="W62" s="77">
        <f>IFERROR(VLOOKUP(A62,DataCoutRevenuAux!W:Y,2,FALSE),0)</f>
        <v>0</v>
      </c>
      <c r="X62" s="77">
        <f>IFERROR(VLOOKUP(A62,DataCoutRevenuAux!W:Y,3,FALSE),0)</f>
        <v>0</v>
      </c>
      <c r="Y62" s="77">
        <f t="shared" si="12"/>
        <v>0</v>
      </c>
      <c r="Z62" s="77">
        <f t="shared" si="13"/>
        <v>0</v>
      </c>
      <c r="AA62" s="77">
        <f t="shared" si="14"/>
        <v>0</v>
      </c>
      <c r="AB62" s="79"/>
      <c r="AC62" s="77">
        <f t="shared" si="15"/>
        <v>0</v>
      </c>
      <c r="AD62" s="77">
        <f t="shared" si="16"/>
        <v>0</v>
      </c>
      <c r="AE62" s="77">
        <f t="shared" si="17"/>
        <v>0</v>
      </c>
      <c r="AF62" s="79"/>
      <c r="AG62" s="6">
        <f t="shared" si="18"/>
        <v>0</v>
      </c>
      <c r="AH62" s="6">
        <f t="shared" si="19"/>
        <v>0</v>
      </c>
      <c r="AI62" s="6">
        <f t="shared" si="20"/>
        <v>0</v>
      </c>
    </row>
    <row r="63" spans="1:35" x14ac:dyDescent="0.3">
      <c r="A63" s="189">
        <f>DataDemande!U96</f>
        <v>0</v>
      </c>
      <c r="B63" t="str">
        <f t="shared" si="5"/>
        <v>0</v>
      </c>
      <c r="C63" t="str">
        <f t="shared" si="6"/>
        <v>0</v>
      </c>
      <c r="D63" s="185">
        <f>IFERROR(VLOOKUP(A63,DataCoutRevenuAux!M:Q,5,FALSE),0)</f>
        <v>0</v>
      </c>
      <c r="E63">
        <f>IFERROR(VLOOKUP(A63,DataDemande!U:Z,2,FALSE),0)</f>
        <v>0</v>
      </c>
      <c r="F63" s="79"/>
      <c r="G63" s="77">
        <f>IFERROR(VLOOKUP(A63,DataDemande!U:Z,3,FALSE),0)</f>
        <v>0</v>
      </c>
      <c r="H63" s="77">
        <f>IFERROR(VLOOKUP($A63,DataDemande!$U:$Z,4,FALSE),0)</f>
        <v>0</v>
      </c>
      <c r="I63" s="77">
        <f>IFERROR(VLOOKUP($A63,DataDemande!$U:$Z,5,FALSE),0)</f>
        <v>0</v>
      </c>
      <c r="J63" s="77">
        <f>IFERROR(VLOOKUP($A63,DataDemande!$U:$Z,6,FALSE),0)</f>
        <v>0</v>
      </c>
      <c r="K63" s="79"/>
      <c r="L63" s="77">
        <f>IFERROR(VLOOKUP($A63,DataPrixBillets!$S:$W,2,FALSE),0)</f>
        <v>0</v>
      </c>
      <c r="M63" s="77">
        <f>IFERROR(VLOOKUP($A63,DataPrixBillets!$S:$W,3,FALSE),0)</f>
        <v>0</v>
      </c>
      <c r="N63" s="77">
        <f>IFERROR(VLOOKUP($A63,DataPrixBillets!$S:$W,4,FALSE),0)</f>
        <v>0</v>
      </c>
      <c r="O63" s="77">
        <f>IFERROR(VLOOKUP($A63,DataPrixBillets!$S:$W,5,FALSE),0)</f>
        <v>0</v>
      </c>
      <c r="P63" s="79"/>
      <c r="Q63" s="77">
        <f t="shared" si="7"/>
        <v>0</v>
      </c>
      <c r="R63" s="77">
        <f t="shared" si="8"/>
        <v>0</v>
      </c>
      <c r="S63" s="77">
        <f t="shared" si="9"/>
        <v>0</v>
      </c>
      <c r="T63" s="77">
        <f t="shared" si="10"/>
        <v>0</v>
      </c>
      <c r="U63" s="79"/>
      <c r="V63" s="77">
        <f t="shared" si="11"/>
        <v>0</v>
      </c>
      <c r="W63" s="77">
        <f>IFERROR(VLOOKUP(A63,DataCoutRevenuAux!W:Y,2,FALSE),0)</f>
        <v>0</v>
      </c>
      <c r="X63" s="77">
        <f>IFERROR(VLOOKUP(A63,DataCoutRevenuAux!W:Y,3,FALSE),0)</f>
        <v>0</v>
      </c>
      <c r="Y63" s="77">
        <f t="shared" si="12"/>
        <v>0</v>
      </c>
      <c r="Z63" s="77">
        <f t="shared" si="13"/>
        <v>0</v>
      </c>
      <c r="AA63" s="77">
        <f t="shared" si="14"/>
        <v>0</v>
      </c>
      <c r="AB63" s="79"/>
      <c r="AC63" s="77">
        <f t="shared" si="15"/>
        <v>0</v>
      </c>
      <c r="AD63" s="77">
        <f t="shared" si="16"/>
        <v>0</v>
      </c>
      <c r="AE63" s="77">
        <f t="shared" si="17"/>
        <v>0</v>
      </c>
      <c r="AF63" s="79"/>
      <c r="AG63" s="6">
        <f t="shared" si="18"/>
        <v>0</v>
      </c>
      <c r="AH63" s="6">
        <f t="shared" si="19"/>
        <v>0</v>
      </c>
      <c r="AI63" s="6">
        <f t="shared" si="20"/>
        <v>0</v>
      </c>
    </row>
    <row r="64" spans="1:35" x14ac:dyDescent="0.3">
      <c r="A64" s="189">
        <f>DataDemande!U97</f>
        <v>0</v>
      </c>
      <c r="B64" t="str">
        <f t="shared" si="5"/>
        <v>0</v>
      </c>
      <c r="C64" t="str">
        <f t="shared" si="6"/>
        <v>0</v>
      </c>
      <c r="D64" s="185">
        <f>IFERROR(VLOOKUP(A64,DataCoutRevenuAux!M:Q,5,FALSE),0)</f>
        <v>0</v>
      </c>
      <c r="E64">
        <f>IFERROR(VLOOKUP(A64,DataDemande!U:Z,2,FALSE),0)</f>
        <v>0</v>
      </c>
      <c r="F64" s="79"/>
      <c r="G64" s="77">
        <f>IFERROR(VLOOKUP(A64,DataDemande!U:Z,3,FALSE),0)</f>
        <v>0</v>
      </c>
      <c r="H64" s="77">
        <f>IFERROR(VLOOKUP($A64,DataDemande!$U:$Z,4,FALSE),0)</f>
        <v>0</v>
      </c>
      <c r="I64" s="77">
        <f>IFERROR(VLOOKUP($A64,DataDemande!$U:$Z,5,FALSE),0)</f>
        <v>0</v>
      </c>
      <c r="J64" s="77">
        <f>IFERROR(VLOOKUP($A64,DataDemande!$U:$Z,6,FALSE),0)</f>
        <v>0</v>
      </c>
      <c r="K64" s="79"/>
      <c r="L64" s="77">
        <f>IFERROR(VLOOKUP($A64,DataPrixBillets!$S:$W,2,FALSE),0)</f>
        <v>0</v>
      </c>
      <c r="M64" s="77">
        <f>IFERROR(VLOOKUP($A64,DataPrixBillets!$S:$W,3,FALSE),0)</f>
        <v>0</v>
      </c>
      <c r="N64" s="77">
        <f>IFERROR(VLOOKUP($A64,DataPrixBillets!$S:$W,4,FALSE),0)</f>
        <v>0</v>
      </c>
      <c r="O64" s="77">
        <f>IFERROR(VLOOKUP($A64,DataPrixBillets!$S:$W,5,FALSE),0)</f>
        <v>0</v>
      </c>
      <c r="P64" s="79"/>
      <c r="Q64" s="77">
        <f t="shared" si="7"/>
        <v>0</v>
      </c>
      <c r="R64" s="77">
        <f t="shared" si="8"/>
        <v>0</v>
      </c>
      <c r="S64" s="77">
        <f t="shared" si="9"/>
        <v>0</v>
      </c>
      <c r="T64" s="77">
        <f t="shared" si="10"/>
        <v>0</v>
      </c>
      <c r="U64" s="79"/>
      <c r="V64" s="77">
        <f t="shared" si="11"/>
        <v>0</v>
      </c>
      <c r="W64" s="77">
        <f>IFERROR(VLOOKUP(A64,DataCoutRevenuAux!W:Y,2,FALSE),0)</f>
        <v>0</v>
      </c>
      <c r="X64" s="77">
        <f>IFERROR(VLOOKUP(A64,DataCoutRevenuAux!W:Y,3,FALSE),0)</f>
        <v>0</v>
      </c>
      <c r="Y64" s="77">
        <f t="shared" si="12"/>
        <v>0</v>
      </c>
      <c r="Z64" s="77">
        <f t="shared" si="13"/>
        <v>0</v>
      </c>
      <c r="AA64" s="77">
        <f t="shared" si="14"/>
        <v>0</v>
      </c>
      <c r="AB64" s="79"/>
      <c r="AC64" s="77">
        <f t="shared" si="15"/>
        <v>0</v>
      </c>
      <c r="AD64" s="77">
        <f t="shared" si="16"/>
        <v>0</v>
      </c>
      <c r="AE64" s="77">
        <f t="shared" si="17"/>
        <v>0</v>
      </c>
      <c r="AF64" s="79"/>
      <c r="AG64" s="6">
        <f t="shared" si="18"/>
        <v>0</v>
      </c>
      <c r="AH64" s="6">
        <f t="shared" si="19"/>
        <v>0</v>
      </c>
      <c r="AI64" s="6">
        <f t="shared" si="20"/>
        <v>0</v>
      </c>
    </row>
    <row r="65" spans="1:35" x14ac:dyDescent="0.3">
      <c r="A65" s="189">
        <f>DataDemande!U98</f>
        <v>0</v>
      </c>
      <c r="B65" t="str">
        <f t="shared" si="5"/>
        <v>0</v>
      </c>
      <c r="C65" t="str">
        <f t="shared" si="6"/>
        <v>0</v>
      </c>
      <c r="D65" s="185">
        <f>IFERROR(VLOOKUP(A65,DataCoutRevenuAux!M:Q,5,FALSE),0)</f>
        <v>0</v>
      </c>
      <c r="E65">
        <f>IFERROR(VLOOKUP(A65,DataDemande!U:Z,2,FALSE),0)</f>
        <v>0</v>
      </c>
      <c r="F65" s="79"/>
      <c r="G65" s="77">
        <f>IFERROR(VLOOKUP(A65,DataDemande!U:Z,3,FALSE),0)</f>
        <v>0</v>
      </c>
      <c r="H65" s="77">
        <f>IFERROR(VLOOKUP($A65,DataDemande!$U:$Z,4,FALSE),0)</f>
        <v>0</v>
      </c>
      <c r="I65" s="77">
        <f>IFERROR(VLOOKUP($A65,DataDemande!$U:$Z,5,FALSE),0)</f>
        <v>0</v>
      </c>
      <c r="J65" s="77">
        <f>IFERROR(VLOOKUP($A65,DataDemande!$U:$Z,6,FALSE),0)</f>
        <v>0</v>
      </c>
      <c r="K65" s="79"/>
      <c r="L65" s="77">
        <f>IFERROR(VLOOKUP($A65,DataPrixBillets!$S:$W,2,FALSE),0)</f>
        <v>0</v>
      </c>
      <c r="M65" s="77">
        <f>IFERROR(VLOOKUP($A65,DataPrixBillets!$S:$W,3,FALSE),0)</f>
        <v>0</v>
      </c>
      <c r="N65" s="77">
        <f>IFERROR(VLOOKUP($A65,DataPrixBillets!$S:$W,4,FALSE),0)</f>
        <v>0</v>
      </c>
      <c r="O65" s="77">
        <f>IFERROR(VLOOKUP($A65,DataPrixBillets!$S:$W,5,FALSE),0)</f>
        <v>0</v>
      </c>
      <c r="P65" s="79"/>
      <c r="Q65" s="77">
        <f t="shared" si="7"/>
        <v>0</v>
      </c>
      <c r="R65" s="77">
        <f t="shared" si="8"/>
        <v>0</v>
      </c>
      <c r="S65" s="77">
        <f t="shared" si="9"/>
        <v>0</v>
      </c>
      <c r="T65" s="77">
        <f t="shared" si="10"/>
        <v>0</v>
      </c>
      <c r="U65" s="79"/>
      <c r="V65" s="77">
        <f t="shared" si="11"/>
        <v>0</v>
      </c>
      <c r="W65" s="77">
        <f>IFERROR(VLOOKUP(A65,DataCoutRevenuAux!W:Y,2,FALSE),0)</f>
        <v>0</v>
      </c>
      <c r="X65" s="77">
        <f>IFERROR(VLOOKUP(A65,DataCoutRevenuAux!W:Y,3,FALSE),0)</f>
        <v>0</v>
      </c>
      <c r="Y65" s="77">
        <f t="shared" si="12"/>
        <v>0</v>
      </c>
      <c r="Z65" s="77">
        <f t="shared" si="13"/>
        <v>0</v>
      </c>
      <c r="AA65" s="77">
        <f t="shared" si="14"/>
        <v>0</v>
      </c>
      <c r="AB65" s="79"/>
      <c r="AC65" s="77">
        <f t="shared" si="15"/>
        <v>0</v>
      </c>
      <c r="AD65" s="77">
        <f t="shared" si="16"/>
        <v>0</v>
      </c>
      <c r="AE65" s="77">
        <f t="shared" si="17"/>
        <v>0</v>
      </c>
      <c r="AF65" s="79"/>
      <c r="AG65" s="6">
        <f t="shared" si="18"/>
        <v>0</v>
      </c>
      <c r="AH65" s="6">
        <f t="shared" si="19"/>
        <v>0</v>
      </c>
      <c r="AI65" s="6">
        <f t="shared" si="20"/>
        <v>0</v>
      </c>
    </row>
    <row r="66" spans="1:35" x14ac:dyDescent="0.3">
      <c r="A66" s="189">
        <f>DataDemande!U99</f>
        <v>0</v>
      </c>
      <c r="B66" t="str">
        <f t="shared" si="5"/>
        <v>0</v>
      </c>
      <c r="C66" t="str">
        <f t="shared" si="6"/>
        <v>0</v>
      </c>
      <c r="D66" s="185">
        <f>IFERROR(VLOOKUP(A66,DataCoutRevenuAux!M:Q,5,FALSE),0)</f>
        <v>0</v>
      </c>
      <c r="E66">
        <f>IFERROR(VLOOKUP(A66,DataDemande!U:Z,2,FALSE),0)</f>
        <v>0</v>
      </c>
      <c r="F66" s="79"/>
      <c r="G66" s="77">
        <f>IFERROR(VLOOKUP(A66,DataDemande!U:Z,3,FALSE),0)</f>
        <v>0</v>
      </c>
      <c r="H66" s="77">
        <f>IFERROR(VLOOKUP($A66,DataDemande!$U:$Z,4,FALSE),0)</f>
        <v>0</v>
      </c>
      <c r="I66" s="77">
        <f>IFERROR(VLOOKUP($A66,DataDemande!$U:$Z,5,FALSE),0)</f>
        <v>0</v>
      </c>
      <c r="J66" s="77">
        <f>IFERROR(VLOOKUP($A66,DataDemande!$U:$Z,6,FALSE),0)</f>
        <v>0</v>
      </c>
      <c r="K66" s="79"/>
      <c r="L66" s="77">
        <f>IFERROR(VLOOKUP($A66,DataPrixBillets!$S:$W,2,FALSE),0)</f>
        <v>0</v>
      </c>
      <c r="M66" s="77">
        <f>IFERROR(VLOOKUP($A66,DataPrixBillets!$S:$W,3,FALSE),0)</f>
        <v>0</v>
      </c>
      <c r="N66" s="77">
        <f>IFERROR(VLOOKUP($A66,DataPrixBillets!$S:$W,4,FALSE),0)</f>
        <v>0</v>
      </c>
      <c r="O66" s="77">
        <f>IFERROR(VLOOKUP($A66,DataPrixBillets!$S:$W,5,FALSE),0)</f>
        <v>0</v>
      </c>
      <c r="P66" s="79"/>
      <c r="Q66" s="77">
        <f t="shared" si="7"/>
        <v>0</v>
      </c>
      <c r="R66" s="77">
        <f t="shared" si="8"/>
        <v>0</v>
      </c>
      <c r="S66" s="77">
        <f t="shared" si="9"/>
        <v>0</v>
      </c>
      <c r="T66" s="77">
        <f t="shared" si="10"/>
        <v>0</v>
      </c>
      <c r="U66" s="79"/>
      <c r="V66" s="77">
        <f t="shared" si="11"/>
        <v>0</v>
      </c>
      <c r="W66" s="77">
        <f>IFERROR(VLOOKUP(A66,DataCoutRevenuAux!W:Y,2,FALSE),0)</f>
        <v>0</v>
      </c>
      <c r="X66" s="77">
        <f>IFERROR(VLOOKUP(A66,DataCoutRevenuAux!W:Y,3,FALSE),0)</f>
        <v>0</v>
      </c>
      <c r="Y66" s="77">
        <f t="shared" si="12"/>
        <v>0</v>
      </c>
      <c r="Z66" s="77">
        <f t="shared" si="13"/>
        <v>0</v>
      </c>
      <c r="AA66" s="77">
        <f t="shared" si="14"/>
        <v>0</v>
      </c>
      <c r="AB66" s="79"/>
      <c r="AC66" s="77">
        <f t="shared" si="15"/>
        <v>0</v>
      </c>
      <c r="AD66" s="77">
        <f t="shared" si="16"/>
        <v>0</v>
      </c>
      <c r="AE66" s="77">
        <f t="shared" si="17"/>
        <v>0</v>
      </c>
      <c r="AF66" s="79"/>
      <c r="AG66" s="6">
        <f t="shared" si="18"/>
        <v>0</v>
      </c>
      <c r="AH66" s="6">
        <f t="shared" si="19"/>
        <v>0</v>
      </c>
      <c r="AI66" s="6">
        <f t="shared" si="20"/>
        <v>0</v>
      </c>
    </row>
    <row r="67" spans="1:35" x14ac:dyDescent="0.3">
      <c r="A67" s="189">
        <f>DataDemande!U100</f>
        <v>0</v>
      </c>
      <c r="B67" t="str">
        <f t="shared" si="5"/>
        <v>0</v>
      </c>
      <c r="C67" t="str">
        <f t="shared" si="6"/>
        <v>0</v>
      </c>
      <c r="D67" s="185">
        <f>IFERROR(VLOOKUP(A67,DataCoutRevenuAux!M:Q,5,FALSE),0)</f>
        <v>0</v>
      </c>
      <c r="E67">
        <f>IFERROR(VLOOKUP(A67,DataDemande!U:Z,2,FALSE),0)</f>
        <v>0</v>
      </c>
      <c r="F67" s="79"/>
      <c r="G67" s="77">
        <f>IFERROR(VLOOKUP(A67,DataDemande!U:Z,3,FALSE),0)</f>
        <v>0</v>
      </c>
      <c r="H67" s="77">
        <f>IFERROR(VLOOKUP($A67,DataDemande!$U:$Z,4,FALSE),0)</f>
        <v>0</v>
      </c>
      <c r="I67" s="77">
        <f>IFERROR(VLOOKUP($A67,DataDemande!$U:$Z,5,FALSE),0)</f>
        <v>0</v>
      </c>
      <c r="J67" s="77">
        <f>IFERROR(VLOOKUP($A67,DataDemande!$U:$Z,6,FALSE),0)</f>
        <v>0</v>
      </c>
      <c r="K67" s="79"/>
      <c r="L67" s="77">
        <f>IFERROR(VLOOKUP($A67,DataPrixBillets!$S:$W,2,FALSE),0)</f>
        <v>0</v>
      </c>
      <c r="M67" s="77">
        <f>IFERROR(VLOOKUP($A67,DataPrixBillets!$S:$W,3,FALSE),0)</f>
        <v>0</v>
      </c>
      <c r="N67" s="77">
        <f>IFERROR(VLOOKUP($A67,DataPrixBillets!$S:$W,4,FALSE),0)</f>
        <v>0</v>
      </c>
      <c r="O67" s="77">
        <f>IFERROR(VLOOKUP($A67,DataPrixBillets!$S:$W,5,FALSE),0)</f>
        <v>0</v>
      </c>
      <c r="P67" s="79"/>
      <c r="Q67" s="77">
        <f t="shared" si="7"/>
        <v>0</v>
      </c>
      <c r="R67" s="77">
        <f t="shared" si="8"/>
        <v>0</v>
      </c>
      <c r="S67" s="77">
        <f t="shared" si="9"/>
        <v>0</v>
      </c>
      <c r="T67" s="77">
        <f t="shared" si="10"/>
        <v>0</v>
      </c>
      <c r="U67" s="79"/>
      <c r="V67" s="77">
        <f t="shared" si="11"/>
        <v>0</v>
      </c>
      <c r="W67" s="77">
        <f>IFERROR(VLOOKUP(A67,DataCoutRevenuAux!W:Y,2,FALSE),0)</f>
        <v>0</v>
      </c>
      <c r="X67" s="77">
        <f>IFERROR(VLOOKUP(A67,DataCoutRevenuAux!W:Y,3,FALSE),0)</f>
        <v>0</v>
      </c>
      <c r="Y67" s="77">
        <f t="shared" si="12"/>
        <v>0</v>
      </c>
      <c r="Z67" s="77">
        <f t="shared" si="13"/>
        <v>0</v>
      </c>
      <c r="AA67" s="77">
        <f t="shared" si="14"/>
        <v>0</v>
      </c>
      <c r="AB67" s="79"/>
      <c r="AC67" s="77">
        <f t="shared" si="15"/>
        <v>0</v>
      </c>
      <c r="AD67" s="77">
        <f t="shared" si="16"/>
        <v>0</v>
      </c>
      <c r="AE67" s="77">
        <f t="shared" si="17"/>
        <v>0</v>
      </c>
      <c r="AF67" s="79"/>
      <c r="AG67" s="6">
        <f t="shared" si="18"/>
        <v>0</v>
      </c>
      <c r="AH67" s="6">
        <f t="shared" si="19"/>
        <v>0</v>
      </c>
      <c r="AI67" s="6">
        <f t="shared" si="20"/>
        <v>0</v>
      </c>
    </row>
    <row r="68" spans="1:35" x14ac:dyDescent="0.3">
      <c r="A68" s="189">
        <f>DataDemande!U101</f>
        <v>0</v>
      </c>
      <c r="B68" t="str">
        <f t="shared" si="5"/>
        <v>0</v>
      </c>
      <c r="C68" t="str">
        <f t="shared" si="6"/>
        <v>0</v>
      </c>
      <c r="D68" s="185">
        <f>IFERROR(VLOOKUP(A68,DataCoutRevenuAux!M:Q,5,FALSE),0)</f>
        <v>0</v>
      </c>
      <c r="E68">
        <f>IFERROR(VLOOKUP(A68,DataDemande!U:Z,2,FALSE),0)</f>
        <v>0</v>
      </c>
      <c r="F68" s="79"/>
      <c r="G68" s="77">
        <f>IFERROR(VLOOKUP(A68,DataDemande!U:Z,3,FALSE),0)</f>
        <v>0</v>
      </c>
      <c r="H68" s="77">
        <f>IFERROR(VLOOKUP($A68,DataDemande!$U:$Z,4,FALSE),0)</f>
        <v>0</v>
      </c>
      <c r="I68" s="77">
        <f>IFERROR(VLOOKUP($A68,DataDemande!$U:$Z,5,FALSE),0)</f>
        <v>0</v>
      </c>
      <c r="J68" s="77">
        <f>IFERROR(VLOOKUP($A68,DataDemande!$U:$Z,6,FALSE),0)</f>
        <v>0</v>
      </c>
      <c r="K68" s="79"/>
      <c r="L68" s="77">
        <f>IFERROR(VLOOKUP($A68,DataPrixBillets!$S:$W,2,FALSE),0)</f>
        <v>0</v>
      </c>
      <c r="M68" s="77">
        <f>IFERROR(VLOOKUP($A68,DataPrixBillets!$S:$W,3,FALSE),0)</f>
        <v>0</v>
      </c>
      <c r="N68" s="77">
        <f>IFERROR(VLOOKUP($A68,DataPrixBillets!$S:$W,4,FALSE),0)</f>
        <v>0</v>
      </c>
      <c r="O68" s="77">
        <f>IFERROR(VLOOKUP($A68,DataPrixBillets!$S:$W,5,FALSE),0)</f>
        <v>0</v>
      </c>
      <c r="P68" s="79"/>
      <c r="Q68" s="77">
        <f t="shared" si="7"/>
        <v>0</v>
      </c>
      <c r="R68" s="77">
        <f t="shared" si="8"/>
        <v>0</v>
      </c>
      <c r="S68" s="77">
        <f t="shared" si="9"/>
        <v>0</v>
      </c>
      <c r="T68" s="77">
        <f t="shared" si="10"/>
        <v>0</v>
      </c>
      <c r="U68" s="79"/>
      <c r="V68" s="77">
        <f t="shared" si="11"/>
        <v>0</v>
      </c>
      <c r="W68" s="77">
        <f>IFERROR(VLOOKUP(A68,DataCoutRevenuAux!W:Y,2,FALSE),0)</f>
        <v>0</v>
      </c>
      <c r="X68" s="77">
        <f>IFERROR(VLOOKUP(A68,DataCoutRevenuAux!W:Y,3,FALSE),0)</f>
        <v>0</v>
      </c>
      <c r="Y68" s="77">
        <f t="shared" si="12"/>
        <v>0</v>
      </c>
      <c r="Z68" s="77">
        <f t="shared" si="13"/>
        <v>0</v>
      </c>
      <c r="AA68" s="77">
        <f t="shared" si="14"/>
        <v>0</v>
      </c>
      <c r="AB68" s="79"/>
      <c r="AC68" s="77">
        <f t="shared" si="15"/>
        <v>0</v>
      </c>
      <c r="AD68" s="77">
        <f t="shared" si="16"/>
        <v>0</v>
      </c>
      <c r="AE68" s="77">
        <f t="shared" si="17"/>
        <v>0</v>
      </c>
      <c r="AF68" s="79"/>
      <c r="AG68" s="6">
        <f t="shared" si="18"/>
        <v>0</v>
      </c>
      <c r="AH68" s="6">
        <f t="shared" si="19"/>
        <v>0</v>
      </c>
      <c r="AI68" s="6">
        <f t="shared" si="20"/>
        <v>0</v>
      </c>
    </row>
    <row r="69" spans="1:35" x14ac:dyDescent="0.3">
      <c r="A69" s="189">
        <f>DataDemande!U102</f>
        <v>0</v>
      </c>
      <c r="B69" t="str">
        <f t="shared" ref="B69:B109" si="21">LEFT(A69,3)</f>
        <v>0</v>
      </c>
      <c r="C69" t="str">
        <f t="shared" ref="C69:C109" si="22">RIGHT(A69,3)</f>
        <v>0</v>
      </c>
      <c r="D69" s="185">
        <f>IFERROR(VLOOKUP(A69,DataCoutRevenuAux!M:Q,5,FALSE),0)</f>
        <v>0</v>
      </c>
      <c r="E69">
        <f>IFERROR(VLOOKUP(A69,DataDemande!U:Z,2,FALSE),0)</f>
        <v>0</v>
      </c>
      <c r="F69" s="79"/>
      <c r="G69" s="77">
        <f>IFERROR(VLOOKUP(A69,DataDemande!U:Z,3,FALSE),0)</f>
        <v>0</v>
      </c>
      <c r="H69" s="77">
        <f>IFERROR(VLOOKUP($A69,DataDemande!$U:$Z,4,FALSE),0)</f>
        <v>0</v>
      </c>
      <c r="I69" s="77">
        <f>IFERROR(VLOOKUP($A69,DataDemande!$U:$Z,5,FALSE),0)</f>
        <v>0</v>
      </c>
      <c r="J69" s="77">
        <f>IFERROR(VLOOKUP($A69,DataDemande!$U:$Z,6,FALSE),0)</f>
        <v>0</v>
      </c>
      <c r="K69" s="79"/>
      <c r="L69" s="77">
        <f>IFERROR(VLOOKUP($A69,DataPrixBillets!$S:$W,2,FALSE),0)</f>
        <v>0</v>
      </c>
      <c r="M69" s="77">
        <f>IFERROR(VLOOKUP($A69,DataPrixBillets!$S:$W,3,FALSE),0)</f>
        <v>0</v>
      </c>
      <c r="N69" s="77">
        <f>IFERROR(VLOOKUP($A69,DataPrixBillets!$S:$W,4,FALSE),0)</f>
        <v>0</v>
      </c>
      <c r="O69" s="77">
        <f>IFERROR(VLOOKUP($A69,DataPrixBillets!$S:$W,5,FALSE),0)</f>
        <v>0</v>
      </c>
      <c r="P69" s="79"/>
      <c r="Q69" s="77">
        <f t="shared" ref="Q69:Q101" si="23">L69*G69</f>
        <v>0</v>
      </c>
      <c r="R69" s="77">
        <f t="shared" ref="R69:R101" si="24">M69*H69</f>
        <v>0</v>
      </c>
      <c r="S69" s="77">
        <f t="shared" ref="S69:S101" si="25">N69*I69</f>
        <v>0</v>
      </c>
      <c r="T69" s="77">
        <f t="shared" ref="T69:T101" si="26">O69*J69</f>
        <v>0</v>
      </c>
      <c r="U69" s="79"/>
      <c r="V69" s="77">
        <f t="shared" ref="V69:V101" si="27">(G69*L69+H69*M69+I69*N69+J69*O69)</f>
        <v>0</v>
      </c>
      <c r="W69" s="77">
        <f>IFERROR(VLOOKUP(A69,DataCoutRevenuAux!W:Y,2,FALSE),0)</f>
        <v>0</v>
      </c>
      <c r="X69" s="77">
        <f>IFERROR(VLOOKUP(A69,DataCoutRevenuAux!W:Y,3,FALSE),0)</f>
        <v>0</v>
      </c>
      <c r="Y69" s="77">
        <f t="shared" ref="Y69:Y101" si="28">V69+W69</f>
        <v>0</v>
      </c>
      <c r="Z69" s="77">
        <f t="shared" ref="Z69:Z101" si="29">Y69*(365/12)</f>
        <v>0</v>
      </c>
      <c r="AA69" s="77">
        <f t="shared" ref="AA69:AA101" si="30">Z69*12</f>
        <v>0</v>
      </c>
      <c r="AB69" s="79"/>
      <c r="AC69" s="77">
        <f t="shared" ref="AC69:AC101" si="31">V69+W69-X69</f>
        <v>0</v>
      </c>
      <c r="AD69" s="77">
        <f t="shared" ref="AD69:AD100" si="32">(AC69*365)/12</f>
        <v>0</v>
      </c>
      <c r="AE69" s="77">
        <f t="shared" ref="AE69:AE101" si="33">AD69*12</f>
        <v>0</v>
      </c>
      <c r="AF69" s="79"/>
      <c r="AG69" s="6">
        <f t="shared" ref="AG69:AG101" si="34">IFERROR(AE69/AA69,0)</f>
        <v>0</v>
      </c>
      <c r="AH69" s="6">
        <f t="shared" ref="AH69:AH101" si="35">IFERROR(W69/Y69,0)</f>
        <v>0</v>
      </c>
      <c r="AI69" s="6">
        <f t="shared" ref="AI69:AI101" si="36">IFERROR(X69/Y69,0)</f>
        <v>0</v>
      </c>
    </row>
    <row r="70" spans="1:35" x14ac:dyDescent="0.3">
      <c r="A70" s="189">
        <f>DataDemande!U103</f>
        <v>0</v>
      </c>
      <c r="B70" t="str">
        <f t="shared" si="21"/>
        <v>0</v>
      </c>
      <c r="C70" t="str">
        <f t="shared" si="22"/>
        <v>0</v>
      </c>
      <c r="D70" s="185">
        <f>IFERROR(VLOOKUP(A70,DataCoutRevenuAux!M:Q,5,FALSE),0)</f>
        <v>0</v>
      </c>
      <c r="E70">
        <f>IFERROR(VLOOKUP(A70,DataDemande!U:Z,2,FALSE),0)</f>
        <v>0</v>
      </c>
      <c r="F70" s="79"/>
      <c r="G70" s="77">
        <f>IFERROR(VLOOKUP(A70,DataDemande!U:Z,3,FALSE),0)</f>
        <v>0</v>
      </c>
      <c r="H70" s="77">
        <f>IFERROR(VLOOKUP($A70,DataDemande!$U:$Z,4,FALSE),0)</f>
        <v>0</v>
      </c>
      <c r="I70" s="77">
        <f>IFERROR(VLOOKUP($A70,DataDemande!$U:$Z,5,FALSE),0)</f>
        <v>0</v>
      </c>
      <c r="J70" s="77">
        <f>IFERROR(VLOOKUP($A70,DataDemande!$U:$Z,6,FALSE),0)</f>
        <v>0</v>
      </c>
      <c r="K70" s="79"/>
      <c r="L70" s="77">
        <f>IFERROR(VLOOKUP($A70,DataPrixBillets!$S:$W,2,FALSE),0)</f>
        <v>0</v>
      </c>
      <c r="M70" s="77">
        <f>IFERROR(VLOOKUP($A70,DataPrixBillets!$S:$W,3,FALSE),0)</f>
        <v>0</v>
      </c>
      <c r="N70" s="77">
        <f>IFERROR(VLOOKUP($A70,DataPrixBillets!$S:$W,4,FALSE),0)</f>
        <v>0</v>
      </c>
      <c r="O70" s="77">
        <f>IFERROR(VLOOKUP($A70,DataPrixBillets!$S:$W,5,FALSE),0)</f>
        <v>0</v>
      </c>
      <c r="P70" s="79"/>
      <c r="Q70" s="77">
        <f t="shared" si="23"/>
        <v>0</v>
      </c>
      <c r="R70" s="77">
        <f t="shared" si="24"/>
        <v>0</v>
      </c>
      <c r="S70" s="77">
        <f t="shared" si="25"/>
        <v>0</v>
      </c>
      <c r="T70" s="77">
        <f t="shared" si="26"/>
        <v>0</v>
      </c>
      <c r="U70" s="79"/>
      <c r="V70" s="77">
        <f t="shared" si="27"/>
        <v>0</v>
      </c>
      <c r="W70" s="77">
        <f>IFERROR(VLOOKUP(A70,DataCoutRevenuAux!W:Y,2,FALSE),0)</f>
        <v>0</v>
      </c>
      <c r="X70" s="77">
        <f>IFERROR(VLOOKUP(A70,DataCoutRevenuAux!W:Y,3,FALSE),0)</f>
        <v>0</v>
      </c>
      <c r="Y70" s="77">
        <f t="shared" si="28"/>
        <v>0</v>
      </c>
      <c r="Z70" s="77">
        <f t="shared" si="29"/>
        <v>0</v>
      </c>
      <c r="AA70" s="77">
        <f t="shared" si="30"/>
        <v>0</v>
      </c>
      <c r="AB70" s="79"/>
      <c r="AC70" s="77">
        <f t="shared" si="31"/>
        <v>0</v>
      </c>
      <c r="AD70" s="77">
        <f t="shared" si="32"/>
        <v>0</v>
      </c>
      <c r="AE70" s="77">
        <f t="shared" si="33"/>
        <v>0</v>
      </c>
      <c r="AF70" s="79"/>
      <c r="AG70" s="6">
        <f t="shared" si="34"/>
        <v>0</v>
      </c>
      <c r="AH70" s="6">
        <f t="shared" si="35"/>
        <v>0</v>
      </c>
      <c r="AI70" s="6">
        <f t="shared" si="36"/>
        <v>0</v>
      </c>
    </row>
    <row r="71" spans="1:35" x14ac:dyDescent="0.3">
      <c r="A71" s="189">
        <f>DataDemande!U104</f>
        <v>0</v>
      </c>
      <c r="B71" t="str">
        <f t="shared" si="21"/>
        <v>0</v>
      </c>
      <c r="C71" t="str">
        <f t="shared" si="22"/>
        <v>0</v>
      </c>
      <c r="D71" s="185">
        <f>IFERROR(VLOOKUP(A71,DataCoutRevenuAux!M:Q,5,FALSE),0)</f>
        <v>0</v>
      </c>
      <c r="E71">
        <f>IFERROR(VLOOKUP(A71,DataDemande!U:Z,2,FALSE),0)</f>
        <v>0</v>
      </c>
      <c r="F71" s="79"/>
      <c r="G71" s="77">
        <f>IFERROR(VLOOKUP(A71,DataDemande!U:Z,3,FALSE),0)</f>
        <v>0</v>
      </c>
      <c r="H71" s="77">
        <f>IFERROR(VLOOKUP($A71,DataDemande!$U:$Z,4,FALSE),0)</f>
        <v>0</v>
      </c>
      <c r="I71" s="77">
        <f>IFERROR(VLOOKUP($A71,DataDemande!$U:$Z,5,FALSE),0)</f>
        <v>0</v>
      </c>
      <c r="J71" s="77">
        <f>IFERROR(VLOOKUP($A71,DataDemande!$U:$Z,6,FALSE),0)</f>
        <v>0</v>
      </c>
      <c r="K71" s="79"/>
      <c r="L71" s="77">
        <f>IFERROR(VLOOKUP($A71,DataPrixBillets!$S:$W,2,FALSE),0)</f>
        <v>0</v>
      </c>
      <c r="M71" s="77">
        <f>IFERROR(VLOOKUP($A71,DataPrixBillets!$S:$W,3,FALSE),0)</f>
        <v>0</v>
      </c>
      <c r="N71" s="77">
        <f>IFERROR(VLOOKUP($A71,DataPrixBillets!$S:$W,4,FALSE),0)</f>
        <v>0</v>
      </c>
      <c r="O71" s="77">
        <f>IFERROR(VLOOKUP($A71,DataPrixBillets!$S:$W,5,FALSE),0)</f>
        <v>0</v>
      </c>
      <c r="P71" s="79"/>
      <c r="Q71" s="77">
        <f t="shared" si="23"/>
        <v>0</v>
      </c>
      <c r="R71" s="77">
        <f t="shared" si="24"/>
        <v>0</v>
      </c>
      <c r="S71" s="77">
        <f t="shared" si="25"/>
        <v>0</v>
      </c>
      <c r="T71" s="77">
        <f t="shared" si="26"/>
        <v>0</v>
      </c>
      <c r="U71" s="79"/>
      <c r="V71" s="77">
        <f t="shared" si="27"/>
        <v>0</v>
      </c>
      <c r="W71" s="77">
        <f>IFERROR(VLOOKUP(A71,DataCoutRevenuAux!W:Y,2,FALSE),0)</f>
        <v>0</v>
      </c>
      <c r="X71" s="77">
        <f>IFERROR(VLOOKUP(A71,DataCoutRevenuAux!W:Y,3,FALSE),0)</f>
        <v>0</v>
      </c>
      <c r="Y71" s="77">
        <f t="shared" si="28"/>
        <v>0</v>
      </c>
      <c r="Z71" s="77">
        <f t="shared" si="29"/>
        <v>0</v>
      </c>
      <c r="AA71" s="77">
        <f t="shared" si="30"/>
        <v>0</v>
      </c>
      <c r="AB71" s="79"/>
      <c r="AC71" s="77">
        <f t="shared" si="31"/>
        <v>0</v>
      </c>
      <c r="AD71" s="77">
        <f t="shared" si="32"/>
        <v>0</v>
      </c>
      <c r="AE71" s="77">
        <f t="shared" si="33"/>
        <v>0</v>
      </c>
      <c r="AF71" s="79"/>
      <c r="AG71" s="6">
        <f t="shared" si="34"/>
        <v>0</v>
      </c>
      <c r="AH71" s="6">
        <f t="shared" si="35"/>
        <v>0</v>
      </c>
      <c r="AI71" s="6">
        <f t="shared" si="36"/>
        <v>0</v>
      </c>
    </row>
    <row r="72" spans="1:35" x14ac:dyDescent="0.3">
      <c r="A72" s="189">
        <f>DataDemande!U105</f>
        <v>0</v>
      </c>
      <c r="B72" t="str">
        <f t="shared" si="21"/>
        <v>0</v>
      </c>
      <c r="C72" t="str">
        <f t="shared" si="22"/>
        <v>0</v>
      </c>
      <c r="D72" s="185">
        <f>IFERROR(VLOOKUP(A72,DataCoutRevenuAux!M:Q,5,FALSE),0)</f>
        <v>0</v>
      </c>
      <c r="E72">
        <f>IFERROR(VLOOKUP(A72,DataDemande!U:Z,2,FALSE),0)</f>
        <v>0</v>
      </c>
      <c r="F72" s="79"/>
      <c r="G72" s="77">
        <f>IFERROR(VLOOKUP(A72,DataDemande!U:Z,3,FALSE),0)</f>
        <v>0</v>
      </c>
      <c r="H72" s="77">
        <f>IFERROR(VLOOKUP($A72,DataDemande!$U:$Z,4,FALSE),0)</f>
        <v>0</v>
      </c>
      <c r="I72" s="77">
        <f>IFERROR(VLOOKUP($A72,DataDemande!$U:$Z,5,FALSE),0)</f>
        <v>0</v>
      </c>
      <c r="J72" s="77">
        <f>IFERROR(VLOOKUP($A72,DataDemande!$U:$Z,6,FALSE),0)</f>
        <v>0</v>
      </c>
      <c r="K72" s="79"/>
      <c r="L72" s="77">
        <f>IFERROR(VLOOKUP($A72,DataPrixBillets!$S:$W,2,FALSE),0)</f>
        <v>0</v>
      </c>
      <c r="M72" s="77">
        <f>IFERROR(VLOOKUP($A72,DataPrixBillets!$S:$W,3,FALSE),0)</f>
        <v>0</v>
      </c>
      <c r="N72" s="77">
        <f>IFERROR(VLOOKUP($A72,DataPrixBillets!$S:$W,4,FALSE),0)</f>
        <v>0</v>
      </c>
      <c r="O72" s="77">
        <f>IFERROR(VLOOKUP($A72,DataPrixBillets!$S:$W,5,FALSE),0)</f>
        <v>0</v>
      </c>
      <c r="P72" s="79"/>
      <c r="Q72" s="77">
        <f t="shared" si="23"/>
        <v>0</v>
      </c>
      <c r="R72" s="77">
        <f t="shared" si="24"/>
        <v>0</v>
      </c>
      <c r="S72" s="77">
        <f t="shared" si="25"/>
        <v>0</v>
      </c>
      <c r="T72" s="77">
        <f t="shared" si="26"/>
        <v>0</v>
      </c>
      <c r="U72" s="79"/>
      <c r="V72" s="77">
        <f t="shared" si="27"/>
        <v>0</v>
      </c>
      <c r="W72" s="77">
        <f>IFERROR(VLOOKUP(A72,DataCoutRevenuAux!W:Y,2,FALSE),0)</f>
        <v>0</v>
      </c>
      <c r="X72" s="77">
        <f>IFERROR(VLOOKUP(A72,DataCoutRevenuAux!W:Y,3,FALSE),0)</f>
        <v>0</v>
      </c>
      <c r="Y72" s="77">
        <f t="shared" si="28"/>
        <v>0</v>
      </c>
      <c r="Z72" s="77">
        <f t="shared" si="29"/>
        <v>0</v>
      </c>
      <c r="AA72" s="77">
        <f t="shared" si="30"/>
        <v>0</v>
      </c>
      <c r="AB72" s="79"/>
      <c r="AC72" s="77">
        <f t="shared" si="31"/>
        <v>0</v>
      </c>
      <c r="AD72" s="77">
        <f t="shared" si="32"/>
        <v>0</v>
      </c>
      <c r="AE72" s="77">
        <f t="shared" si="33"/>
        <v>0</v>
      </c>
      <c r="AF72" s="79"/>
      <c r="AG72" s="6">
        <f t="shared" si="34"/>
        <v>0</v>
      </c>
      <c r="AH72" s="6">
        <f t="shared" si="35"/>
        <v>0</v>
      </c>
      <c r="AI72" s="6">
        <f t="shared" si="36"/>
        <v>0</v>
      </c>
    </row>
    <row r="73" spans="1:35" x14ac:dyDescent="0.3">
      <c r="A73" s="189">
        <f>DataDemande!U106</f>
        <v>0</v>
      </c>
      <c r="B73" t="str">
        <f t="shared" si="21"/>
        <v>0</v>
      </c>
      <c r="C73" t="str">
        <f t="shared" si="22"/>
        <v>0</v>
      </c>
      <c r="D73" s="185">
        <f>IFERROR(VLOOKUP(A73,DataCoutRevenuAux!M:Q,5,FALSE),0)</f>
        <v>0</v>
      </c>
      <c r="E73">
        <f>IFERROR(VLOOKUP(A73,DataDemande!U:Z,2,FALSE),0)</f>
        <v>0</v>
      </c>
      <c r="F73" s="79"/>
      <c r="G73" s="77">
        <f>IFERROR(VLOOKUP(A73,DataDemande!U:Z,3,FALSE),0)</f>
        <v>0</v>
      </c>
      <c r="H73" s="77">
        <f>IFERROR(VLOOKUP($A73,DataDemande!$U:$Z,4,FALSE),0)</f>
        <v>0</v>
      </c>
      <c r="I73" s="77">
        <f>IFERROR(VLOOKUP($A73,DataDemande!$U:$Z,5,FALSE),0)</f>
        <v>0</v>
      </c>
      <c r="J73" s="77">
        <f>IFERROR(VLOOKUP($A73,DataDemande!$U:$Z,6,FALSE),0)</f>
        <v>0</v>
      </c>
      <c r="K73" s="79"/>
      <c r="L73" s="77">
        <f>IFERROR(VLOOKUP($A73,DataPrixBillets!$S:$W,2,FALSE),0)</f>
        <v>0</v>
      </c>
      <c r="M73" s="77">
        <f>IFERROR(VLOOKUP($A73,DataPrixBillets!$S:$W,3,FALSE),0)</f>
        <v>0</v>
      </c>
      <c r="N73" s="77">
        <f>IFERROR(VLOOKUP($A73,DataPrixBillets!$S:$W,4,FALSE),0)</f>
        <v>0</v>
      </c>
      <c r="O73" s="77">
        <f>IFERROR(VLOOKUP($A73,DataPrixBillets!$S:$W,5,FALSE),0)</f>
        <v>0</v>
      </c>
      <c r="P73" s="79"/>
      <c r="Q73" s="77">
        <f t="shared" si="23"/>
        <v>0</v>
      </c>
      <c r="R73" s="77">
        <f t="shared" si="24"/>
        <v>0</v>
      </c>
      <c r="S73" s="77">
        <f t="shared" si="25"/>
        <v>0</v>
      </c>
      <c r="T73" s="77">
        <f t="shared" si="26"/>
        <v>0</v>
      </c>
      <c r="U73" s="79"/>
      <c r="V73" s="77">
        <f t="shared" si="27"/>
        <v>0</v>
      </c>
      <c r="W73" s="77">
        <f>IFERROR(VLOOKUP(A73,DataCoutRevenuAux!W:Y,2,FALSE),0)</f>
        <v>0</v>
      </c>
      <c r="X73" s="77">
        <f>IFERROR(VLOOKUP(A73,DataCoutRevenuAux!W:Y,3,FALSE),0)</f>
        <v>0</v>
      </c>
      <c r="Y73" s="77">
        <f t="shared" si="28"/>
        <v>0</v>
      </c>
      <c r="Z73" s="77">
        <f t="shared" si="29"/>
        <v>0</v>
      </c>
      <c r="AA73" s="77">
        <f t="shared" si="30"/>
        <v>0</v>
      </c>
      <c r="AB73" s="79"/>
      <c r="AC73" s="77">
        <f t="shared" si="31"/>
        <v>0</v>
      </c>
      <c r="AD73" s="77">
        <f t="shared" si="32"/>
        <v>0</v>
      </c>
      <c r="AE73" s="77">
        <f t="shared" si="33"/>
        <v>0</v>
      </c>
      <c r="AF73" s="79"/>
      <c r="AG73" s="6">
        <f t="shared" si="34"/>
        <v>0</v>
      </c>
      <c r="AH73" s="6">
        <f t="shared" si="35"/>
        <v>0</v>
      </c>
      <c r="AI73" s="6">
        <f t="shared" si="36"/>
        <v>0</v>
      </c>
    </row>
    <row r="74" spans="1:35" x14ac:dyDescent="0.3">
      <c r="A74" s="189">
        <f>DataDemande!U107</f>
        <v>0</v>
      </c>
      <c r="B74" t="str">
        <f t="shared" si="21"/>
        <v>0</v>
      </c>
      <c r="C74" t="str">
        <f t="shared" si="22"/>
        <v>0</v>
      </c>
      <c r="D74" s="185">
        <f>IFERROR(VLOOKUP(A74,DataCoutRevenuAux!M:Q,5,FALSE),0)</f>
        <v>0</v>
      </c>
      <c r="E74">
        <f>IFERROR(VLOOKUP(A74,DataDemande!U:Z,2,FALSE),0)</f>
        <v>0</v>
      </c>
      <c r="F74" s="79"/>
      <c r="G74" s="77">
        <f>IFERROR(VLOOKUP(A74,DataDemande!U:Z,3,FALSE),0)</f>
        <v>0</v>
      </c>
      <c r="H74" s="77">
        <f>IFERROR(VLOOKUP($A74,DataDemande!$U:$Z,4,FALSE),0)</f>
        <v>0</v>
      </c>
      <c r="I74" s="77">
        <f>IFERROR(VLOOKUP($A74,DataDemande!$U:$Z,5,FALSE),0)</f>
        <v>0</v>
      </c>
      <c r="J74" s="77">
        <f>IFERROR(VLOOKUP($A74,DataDemande!$U:$Z,6,FALSE),0)</f>
        <v>0</v>
      </c>
      <c r="K74" s="79"/>
      <c r="L74" s="77">
        <f>IFERROR(VLOOKUP($A74,DataPrixBillets!$S:$W,2,FALSE),0)</f>
        <v>0</v>
      </c>
      <c r="M74" s="77">
        <f>IFERROR(VLOOKUP($A74,DataPrixBillets!$S:$W,3,FALSE),0)</f>
        <v>0</v>
      </c>
      <c r="N74" s="77">
        <f>IFERROR(VLOOKUP($A74,DataPrixBillets!$S:$W,4,FALSE),0)</f>
        <v>0</v>
      </c>
      <c r="O74" s="77">
        <f>IFERROR(VLOOKUP($A74,DataPrixBillets!$S:$W,5,FALSE),0)</f>
        <v>0</v>
      </c>
      <c r="P74" s="79"/>
      <c r="Q74" s="77">
        <f t="shared" si="23"/>
        <v>0</v>
      </c>
      <c r="R74" s="77">
        <f t="shared" si="24"/>
        <v>0</v>
      </c>
      <c r="S74" s="77">
        <f t="shared" si="25"/>
        <v>0</v>
      </c>
      <c r="T74" s="77">
        <f t="shared" si="26"/>
        <v>0</v>
      </c>
      <c r="U74" s="79"/>
      <c r="V74" s="77">
        <f t="shared" si="27"/>
        <v>0</v>
      </c>
      <c r="W74" s="77">
        <f>IFERROR(VLOOKUP(A74,DataCoutRevenuAux!W:Y,2,FALSE),0)</f>
        <v>0</v>
      </c>
      <c r="X74" s="77">
        <f>IFERROR(VLOOKUP(A74,DataCoutRevenuAux!W:Y,3,FALSE),0)</f>
        <v>0</v>
      </c>
      <c r="Y74" s="77">
        <f t="shared" si="28"/>
        <v>0</v>
      </c>
      <c r="Z74" s="77">
        <f t="shared" si="29"/>
        <v>0</v>
      </c>
      <c r="AA74" s="77">
        <f t="shared" si="30"/>
        <v>0</v>
      </c>
      <c r="AB74" s="79"/>
      <c r="AC74" s="77">
        <f t="shared" si="31"/>
        <v>0</v>
      </c>
      <c r="AD74" s="77">
        <f t="shared" si="32"/>
        <v>0</v>
      </c>
      <c r="AE74" s="77">
        <f t="shared" si="33"/>
        <v>0</v>
      </c>
      <c r="AF74" s="79"/>
      <c r="AG74" s="6">
        <f t="shared" si="34"/>
        <v>0</v>
      </c>
      <c r="AH74" s="6">
        <f t="shared" si="35"/>
        <v>0</v>
      </c>
      <c r="AI74" s="6">
        <f t="shared" si="36"/>
        <v>0</v>
      </c>
    </row>
    <row r="75" spans="1:35" x14ac:dyDescent="0.3">
      <c r="A75" s="189">
        <f>DataDemande!U108</f>
        <v>0</v>
      </c>
      <c r="B75" t="str">
        <f t="shared" si="21"/>
        <v>0</v>
      </c>
      <c r="C75" t="str">
        <f t="shared" si="22"/>
        <v>0</v>
      </c>
      <c r="D75" s="185">
        <f>IFERROR(VLOOKUP(A75,DataCoutRevenuAux!M:Q,5,FALSE),0)</f>
        <v>0</v>
      </c>
      <c r="E75">
        <f>IFERROR(VLOOKUP(A75,DataDemande!U:Z,2,FALSE),0)</f>
        <v>0</v>
      </c>
      <c r="F75" s="79"/>
      <c r="G75" s="77">
        <f>IFERROR(VLOOKUP(A75,DataDemande!U:Z,3,FALSE),0)</f>
        <v>0</v>
      </c>
      <c r="H75" s="77">
        <f>IFERROR(VLOOKUP($A75,DataDemande!$U:$Z,4,FALSE),0)</f>
        <v>0</v>
      </c>
      <c r="I75" s="77">
        <f>IFERROR(VLOOKUP($A75,DataDemande!$U:$Z,5,FALSE),0)</f>
        <v>0</v>
      </c>
      <c r="J75" s="77">
        <f>IFERROR(VLOOKUP($A75,DataDemande!$U:$Z,6,FALSE),0)</f>
        <v>0</v>
      </c>
      <c r="K75" s="79"/>
      <c r="L75" s="77">
        <f>IFERROR(VLOOKUP($A75,DataPrixBillets!$S:$W,2,FALSE),0)</f>
        <v>0</v>
      </c>
      <c r="M75" s="77">
        <f>IFERROR(VLOOKUP($A75,DataPrixBillets!$S:$W,3,FALSE),0)</f>
        <v>0</v>
      </c>
      <c r="N75" s="77">
        <f>IFERROR(VLOOKUP($A75,DataPrixBillets!$S:$W,4,FALSE),0)</f>
        <v>0</v>
      </c>
      <c r="O75" s="77">
        <f>IFERROR(VLOOKUP($A75,DataPrixBillets!$S:$W,5,FALSE),0)</f>
        <v>0</v>
      </c>
      <c r="P75" s="79"/>
      <c r="Q75" s="77">
        <f t="shared" si="23"/>
        <v>0</v>
      </c>
      <c r="R75" s="77">
        <f t="shared" si="24"/>
        <v>0</v>
      </c>
      <c r="S75" s="77">
        <f t="shared" si="25"/>
        <v>0</v>
      </c>
      <c r="T75" s="77">
        <f t="shared" si="26"/>
        <v>0</v>
      </c>
      <c r="U75" s="79"/>
      <c r="V75" s="77">
        <f t="shared" si="27"/>
        <v>0</v>
      </c>
      <c r="W75" s="77">
        <f>IFERROR(VLOOKUP(A75,DataCoutRevenuAux!W:Y,2,FALSE),0)</f>
        <v>0</v>
      </c>
      <c r="X75" s="77">
        <f>IFERROR(VLOOKUP(A75,DataCoutRevenuAux!W:Y,3,FALSE),0)</f>
        <v>0</v>
      </c>
      <c r="Y75" s="77">
        <f t="shared" si="28"/>
        <v>0</v>
      </c>
      <c r="Z75" s="77">
        <f t="shared" si="29"/>
        <v>0</v>
      </c>
      <c r="AA75" s="77">
        <f t="shared" si="30"/>
        <v>0</v>
      </c>
      <c r="AB75" s="79"/>
      <c r="AC75" s="77">
        <f t="shared" si="31"/>
        <v>0</v>
      </c>
      <c r="AD75" s="77">
        <f t="shared" si="32"/>
        <v>0</v>
      </c>
      <c r="AE75" s="77">
        <f t="shared" si="33"/>
        <v>0</v>
      </c>
      <c r="AF75" s="79"/>
      <c r="AG75" s="6">
        <f t="shared" si="34"/>
        <v>0</v>
      </c>
      <c r="AH75" s="6">
        <f t="shared" si="35"/>
        <v>0</v>
      </c>
      <c r="AI75" s="6">
        <f t="shared" si="36"/>
        <v>0</v>
      </c>
    </row>
    <row r="76" spans="1:35" x14ac:dyDescent="0.3">
      <c r="A76" s="189">
        <f>DataDemande!U109</f>
        <v>0</v>
      </c>
      <c r="B76" t="str">
        <f t="shared" si="21"/>
        <v>0</v>
      </c>
      <c r="C76" t="str">
        <f t="shared" si="22"/>
        <v>0</v>
      </c>
      <c r="D76" s="185">
        <f>IFERROR(VLOOKUP(A76,DataCoutRevenuAux!M:Q,5,FALSE),0)</f>
        <v>0</v>
      </c>
      <c r="E76">
        <f>IFERROR(VLOOKUP(A76,DataDemande!U:Z,2,FALSE),0)</f>
        <v>0</v>
      </c>
      <c r="F76" s="79"/>
      <c r="G76" s="77">
        <f>IFERROR(VLOOKUP(A76,DataDemande!U:Z,3,FALSE),0)</f>
        <v>0</v>
      </c>
      <c r="H76" s="77">
        <f>IFERROR(VLOOKUP($A76,DataDemande!$U:$Z,4,FALSE),0)</f>
        <v>0</v>
      </c>
      <c r="I76" s="77">
        <f>IFERROR(VLOOKUP($A76,DataDemande!$U:$Z,5,FALSE),0)</f>
        <v>0</v>
      </c>
      <c r="J76" s="77">
        <f>IFERROR(VLOOKUP($A76,DataDemande!$U:$Z,6,FALSE),0)</f>
        <v>0</v>
      </c>
      <c r="K76" s="79"/>
      <c r="L76" s="77">
        <f>IFERROR(VLOOKUP($A76,DataPrixBillets!$S:$W,2,FALSE),0)</f>
        <v>0</v>
      </c>
      <c r="M76" s="77">
        <f>IFERROR(VLOOKUP($A76,DataPrixBillets!$S:$W,3,FALSE),0)</f>
        <v>0</v>
      </c>
      <c r="N76" s="77">
        <f>IFERROR(VLOOKUP($A76,DataPrixBillets!$S:$W,4,FALSE),0)</f>
        <v>0</v>
      </c>
      <c r="O76" s="77">
        <f>IFERROR(VLOOKUP($A76,DataPrixBillets!$S:$W,5,FALSE),0)</f>
        <v>0</v>
      </c>
      <c r="P76" s="79"/>
      <c r="Q76" s="77">
        <f t="shared" si="23"/>
        <v>0</v>
      </c>
      <c r="R76" s="77">
        <f t="shared" si="24"/>
        <v>0</v>
      </c>
      <c r="S76" s="77">
        <f t="shared" si="25"/>
        <v>0</v>
      </c>
      <c r="T76" s="77">
        <f t="shared" si="26"/>
        <v>0</v>
      </c>
      <c r="U76" s="79"/>
      <c r="V76" s="77">
        <f t="shared" si="27"/>
        <v>0</v>
      </c>
      <c r="W76" s="77">
        <f>IFERROR(VLOOKUP(A76,DataCoutRevenuAux!W:Y,2,FALSE),0)</f>
        <v>0</v>
      </c>
      <c r="X76" s="77">
        <f>IFERROR(VLOOKUP(A76,DataCoutRevenuAux!W:Y,3,FALSE),0)</f>
        <v>0</v>
      </c>
      <c r="Y76" s="77">
        <f t="shared" si="28"/>
        <v>0</v>
      </c>
      <c r="Z76" s="77">
        <f t="shared" si="29"/>
        <v>0</v>
      </c>
      <c r="AA76" s="77">
        <f t="shared" si="30"/>
        <v>0</v>
      </c>
      <c r="AB76" s="79"/>
      <c r="AC76" s="77">
        <f t="shared" si="31"/>
        <v>0</v>
      </c>
      <c r="AD76" s="77">
        <f t="shared" si="32"/>
        <v>0</v>
      </c>
      <c r="AE76" s="77">
        <f t="shared" si="33"/>
        <v>0</v>
      </c>
      <c r="AF76" s="79"/>
      <c r="AG76" s="6">
        <f t="shared" si="34"/>
        <v>0</v>
      </c>
      <c r="AH76" s="6">
        <f t="shared" si="35"/>
        <v>0</v>
      </c>
      <c r="AI76" s="6">
        <f t="shared" si="36"/>
        <v>0</v>
      </c>
    </row>
    <row r="77" spans="1:35" x14ac:dyDescent="0.3">
      <c r="A77" s="189">
        <f>DataDemande!U110</f>
        <v>0</v>
      </c>
      <c r="B77" t="str">
        <f t="shared" si="21"/>
        <v>0</v>
      </c>
      <c r="C77" t="str">
        <f t="shared" si="22"/>
        <v>0</v>
      </c>
      <c r="D77" s="185">
        <f>IFERROR(VLOOKUP(A77,DataCoutRevenuAux!M:Q,5,FALSE),0)</f>
        <v>0</v>
      </c>
      <c r="E77">
        <f>IFERROR(VLOOKUP(A77,DataDemande!U:Z,2,FALSE),0)</f>
        <v>0</v>
      </c>
      <c r="F77" s="79"/>
      <c r="G77" s="77">
        <f>IFERROR(VLOOKUP(A77,DataDemande!U:Z,3,FALSE),0)</f>
        <v>0</v>
      </c>
      <c r="H77" s="77">
        <f>IFERROR(VLOOKUP($A77,DataDemande!$U:$Z,4,FALSE),0)</f>
        <v>0</v>
      </c>
      <c r="I77" s="77">
        <f>IFERROR(VLOOKUP($A77,DataDemande!$U:$Z,5,FALSE),0)</f>
        <v>0</v>
      </c>
      <c r="J77" s="77">
        <f>IFERROR(VLOOKUP($A77,DataDemande!$U:$Z,6,FALSE),0)</f>
        <v>0</v>
      </c>
      <c r="K77" s="79"/>
      <c r="L77" s="77">
        <f>IFERROR(VLOOKUP($A77,DataPrixBillets!$S:$W,2,FALSE),0)</f>
        <v>0</v>
      </c>
      <c r="M77" s="77">
        <f>IFERROR(VLOOKUP($A77,DataPrixBillets!$S:$W,3,FALSE),0)</f>
        <v>0</v>
      </c>
      <c r="N77" s="77">
        <f>IFERROR(VLOOKUP($A77,DataPrixBillets!$S:$W,4,FALSE),0)</f>
        <v>0</v>
      </c>
      <c r="O77" s="77">
        <f>IFERROR(VLOOKUP($A77,DataPrixBillets!$S:$W,5,FALSE),0)</f>
        <v>0</v>
      </c>
      <c r="P77" s="79"/>
      <c r="Q77" s="77">
        <f t="shared" si="23"/>
        <v>0</v>
      </c>
      <c r="R77" s="77">
        <f t="shared" si="24"/>
        <v>0</v>
      </c>
      <c r="S77" s="77">
        <f t="shared" si="25"/>
        <v>0</v>
      </c>
      <c r="T77" s="77">
        <f t="shared" si="26"/>
        <v>0</v>
      </c>
      <c r="U77" s="79"/>
      <c r="V77" s="77">
        <f t="shared" si="27"/>
        <v>0</v>
      </c>
      <c r="W77" s="77">
        <f>IFERROR(VLOOKUP(A77,DataCoutRevenuAux!W:Y,2,FALSE),0)</f>
        <v>0</v>
      </c>
      <c r="X77" s="77">
        <f>IFERROR(VLOOKUP(A77,DataCoutRevenuAux!W:Y,3,FALSE),0)</f>
        <v>0</v>
      </c>
      <c r="Y77" s="77">
        <f t="shared" si="28"/>
        <v>0</v>
      </c>
      <c r="Z77" s="77">
        <f t="shared" si="29"/>
        <v>0</v>
      </c>
      <c r="AA77" s="77">
        <f t="shared" si="30"/>
        <v>0</v>
      </c>
      <c r="AB77" s="79"/>
      <c r="AC77" s="77">
        <f t="shared" si="31"/>
        <v>0</v>
      </c>
      <c r="AD77" s="77">
        <f t="shared" si="32"/>
        <v>0</v>
      </c>
      <c r="AE77" s="77">
        <f t="shared" si="33"/>
        <v>0</v>
      </c>
      <c r="AF77" s="79"/>
      <c r="AG77" s="6">
        <f t="shared" si="34"/>
        <v>0</v>
      </c>
      <c r="AH77" s="6">
        <f t="shared" si="35"/>
        <v>0</v>
      </c>
      <c r="AI77" s="6">
        <f t="shared" si="36"/>
        <v>0</v>
      </c>
    </row>
    <row r="78" spans="1:35" x14ac:dyDescent="0.3">
      <c r="A78" s="189">
        <f>DataDemande!U111</f>
        <v>0</v>
      </c>
      <c r="B78" t="str">
        <f t="shared" si="21"/>
        <v>0</v>
      </c>
      <c r="C78" t="str">
        <f t="shared" si="22"/>
        <v>0</v>
      </c>
      <c r="D78" s="185">
        <f>IFERROR(VLOOKUP(A78,DataCoutRevenuAux!M:Q,5,FALSE),0)</f>
        <v>0</v>
      </c>
      <c r="E78">
        <f>IFERROR(VLOOKUP(A78,DataDemande!U:Z,2,FALSE),0)</f>
        <v>0</v>
      </c>
      <c r="F78" s="79"/>
      <c r="G78" s="77">
        <f>IFERROR(VLOOKUP(A78,DataDemande!U:Z,3,FALSE),0)</f>
        <v>0</v>
      </c>
      <c r="H78" s="77">
        <f>IFERROR(VLOOKUP($A78,DataDemande!$U:$Z,4,FALSE),0)</f>
        <v>0</v>
      </c>
      <c r="I78" s="77">
        <f>IFERROR(VLOOKUP($A78,DataDemande!$U:$Z,5,FALSE),0)</f>
        <v>0</v>
      </c>
      <c r="J78" s="77">
        <f>IFERROR(VLOOKUP($A78,DataDemande!$U:$Z,6,FALSE),0)</f>
        <v>0</v>
      </c>
      <c r="K78" s="79"/>
      <c r="L78" s="77">
        <f>IFERROR(VLOOKUP($A78,DataPrixBillets!$S:$W,2,FALSE),0)</f>
        <v>0</v>
      </c>
      <c r="M78" s="77">
        <f>IFERROR(VLOOKUP($A78,DataPrixBillets!$S:$W,3,FALSE),0)</f>
        <v>0</v>
      </c>
      <c r="N78" s="77">
        <f>IFERROR(VLOOKUP($A78,DataPrixBillets!$S:$W,4,FALSE),0)</f>
        <v>0</v>
      </c>
      <c r="O78" s="77">
        <f>IFERROR(VLOOKUP($A78,DataPrixBillets!$S:$W,5,FALSE),0)</f>
        <v>0</v>
      </c>
      <c r="P78" s="79"/>
      <c r="Q78" s="77">
        <f t="shared" si="23"/>
        <v>0</v>
      </c>
      <c r="R78" s="77">
        <f t="shared" si="24"/>
        <v>0</v>
      </c>
      <c r="S78" s="77">
        <f t="shared" si="25"/>
        <v>0</v>
      </c>
      <c r="T78" s="77">
        <f t="shared" si="26"/>
        <v>0</v>
      </c>
      <c r="U78" s="79"/>
      <c r="V78" s="77">
        <f t="shared" si="27"/>
        <v>0</v>
      </c>
      <c r="W78" s="77">
        <f>IFERROR(VLOOKUP(A78,DataCoutRevenuAux!W:Y,2,FALSE),0)</f>
        <v>0</v>
      </c>
      <c r="X78" s="77">
        <f>IFERROR(VLOOKUP(A78,DataCoutRevenuAux!W:Y,3,FALSE),0)</f>
        <v>0</v>
      </c>
      <c r="Y78" s="77">
        <f t="shared" si="28"/>
        <v>0</v>
      </c>
      <c r="Z78" s="77">
        <f t="shared" si="29"/>
        <v>0</v>
      </c>
      <c r="AA78" s="77">
        <f t="shared" si="30"/>
        <v>0</v>
      </c>
      <c r="AB78" s="79"/>
      <c r="AC78" s="77">
        <f t="shared" si="31"/>
        <v>0</v>
      </c>
      <c r="AD78" s="77">
        <f t="shared" si="32"/>
        <v>0</v>
      </c>
      <c r="AE78" s="77">
        <f t="shared" si="33"/>
        <v>0</v>
      </c>
      <c r="AF78" s="79"/>
      <c r="AG78" s="6">
        <f t="shared" si="34"/>
        <v>0</v>
      </c>
      <c r="AH78" s="6">
        <f t="shared" si="35"/>
        <v>0</v>
      </c>
      <c r="AI78" s="6">
        <f t="shared" si="36"/>
        <v>0</v>
      </c>
    </row>
    <row r="79" spans="1:35" x14ac:dyDescent="0.3">
      <c r="A79" s="189">
        <f>DataDemande!U112</f>
        <v>0</v>
      </c>
      <c r="B79" t="str">
        <f t="shared" si="21"/>
        <v>0</v>
      </c>
      <c r="C79" t="str">
        <f t="shared" si="22"/>
        <v>0</v>
      </c>
      <c r="D79" s="185">
        <f>IFERROR(VLOOKUP(A79,DataCoutRevenuAux!M:Q,5,FALSE),0)</f>
        <v>0</v>
      </c>
      <c r="E79">
        <f>IFERROR(VLOOKUP(A79,DataDemande!U:Z,2,FALSE),0)</f>
        <v>0</v>
      </c>
      <c r="F79" s="79"/>
      <c r="G79" s="77">
        <f>IFERROR(VLOOKUP(A79,DataDemande!U:Z,3,FALSE),0)</f>
        <v>0</v>
      </c>
      <c r="H79" s="77">
        <f>IFERROR(VLOOKUP($A79,DataDemande!$U:$Z,4,FALSE),0)</f>
        <v>0</v>
      </c>
      <c r="I79" s="77">
        <f>IFERROR(VLOOKUP($A79,DataDemande!$U:$Z,5,FALSE),0)</f>
        <v>0</v>
      </c>
      <c r="J79" s="77">
        <f>IFERROR(VLOOKUP($A79,DataDemande!$U:$Z,6,FALSE),0)</f>
        <v>0</v>
      </c>
      <c r="K79" s="79"/>
      <c r="L79" s="77">
        <f>IFERROR(VLOOKUP($A79,DataPrixBillets!$S:$W,2,FALSE),0)</f>
        <v>0</v>
      </c>
      <c r="M79" s="77">
        <f>IFERROR(VLOOKUP($A79,DataPrixBillets!$S:$W,3,FALSE),0)</f>
        <v>0</v>
      </c>
      <c r="N79" s="77">
        <f>IFERROR(VLOOKUP($A79,DataPrixBillets!$S:$W,4,FALSE),0)</f>
        <v>0</v>
      </c>
      <c r="O79" s="77">
        <f>IFERROR(VLOOKUP($A79,DataPrixBillets!$S:$W,5,FALSE),0)</f>
        <v>0</v>
      </c>
      <c r="P79" s="79"/>
      <c r="Q79" s="77">
        <f t="shared" si="23"/>
        <v>0</v>
      </c>
      <c r="R79" s="77">
        <f t="shared" si="24"/>
        <v>0</v>
      </c>
      <c r="S79" s="77">
        <f t="shared" si="25"/>
        <v>0</v>
      </c>
      <c r="T79" s="77">
        <f t="shared" si="26"/>
        <v>0</v>
      </c>
      <c r="U79" s="79"/>
      <c r="V79" s="77">
        <f t="shared" si="27"/>
        <v>0</v>
      </c>
      <c r="W79" s="77">
        <f>IFERROR(VLOOKUP(A79,DataCoutRevenuAux!W:Y,2,FALSE),0)</f>
        <v>0</v>
      </c>
      <c r="X79" s="77">
        <f>IFERROR(VLOOKUP(A79,DataCoutRevenuAux!W:Y,3,FALSE),0)</f>
        <v>0</v>
      </c>
      <c r="Y79" s="77">
        <f t="shared" si="28"/>
        <v>0</v>
      </c>
      <c r="Z79" s="77">
        <f t="shared" si="29"/>
        <v>0</v>
      </c>
      <c r="AA79" s="77">
        <f t="shared" si="30"/>
        <v>0</v>
      </c>
      <c r="AB79" s="79"/>
      <c r="AC79" s="77">
        <f t="shared" si="31"/>
        <v>0</v>
      </c>
      <c r="AD79" s="77">
        <f t="shared" si="32"/>
        <v>0</v>
      </c>
      <c r="AE79" s="77">
        <f t="shared" si="33"/>
        <v>0</v>
      </c>
      <c r="AF79" s="79"/>
      <c r="AG79" s="6">
        <f t="shared" si="34"/>
        <v>0</v>
      </c>
      <c r="AH79" s="6">
        <f t="shared" si="35"/>
        <v>0</v>
      </c>
      <c r="AI79" s="6">
        <f t="shared" si="36"/>
        <v>0</v>
      </c>
    </row>
    <row r="80" spans="1:35" x14ac:dyDescent="0.3">
      <c r="A80" s="189">
        <f>DataDemande!U113</f>
        <v>0</v>
      </c>
      <c r="B80" t="str">
        <f t="shared" si="21"/>
        <v>0</v>
      </c>
      <c r="C80" t="str">
        <f t="shared" si="22"/>
        <v>0</v>
      </c>
      <c r="D80" s="185">
        <f>IFERROR(VLOOKUP(A80,DataCoutRevenuAux!M:Q,5,FALSE),0)</f>
        <v>0</v>
      </c>
      <c r="E80">
        <f>IFERROR(VLOOKUP(A80,DataDemande!U:Z,2,FALSE),0)</f>
        <v>0</v>
      </c>
      <c r="F80" s="79"/>
      <c r="G80" s="77">
        <f>IFERROR(VLOOKUP(A80,DataDemande!U:Z,3,FALSE),0)</f>
        <v>0</v>
      </c>
      <c r="H80" s="77">
        <f>IFERROR(VLOOKUP($A80,DataDemande!$U:$Z,4,FALSE),0)</f>
        <v>0</v>
      </c>
      <c r="I80" s="77">
        <f>IFERROR(VLOOKUP($A80,DataDemande!$U:$Z,5,FALSE),0)</f>
        <v>0</v>
      </c>
      <c r="J80" s="77">
        <f>IFERROR(VLOOKUP($A80,DataDemande!$U:$Z,6,FALSE),0)</f>
        <v>0</v>
      </c>
      <c r="K80" s="79"/>
      <c r="L80" s="77">
        <f>IFERROR(VLOOKUP($A80,DataPrixBillets!$S:$W,2,FALSE),0)</f>
        <v>0</v>
      </c>
      <c r="M80" s="77">
        <f>IFERROR(VLOOKUP($A80,DataPrixBillets!$S:$W,3,FALSE),0)</f>
        <v>0</v>
      </c>
      <c r="N80" s="77">
        <f>IFERROR(VLOOKUP($A80,DataPrixBillets!$S:$W,4,FALSE),0)</f>
        <v>0</v>
      </c>
      <c r="O80" s="77">
        <f>IFERROR(VLOOKUP($A80,DataPrixBillets!$S:$W,5,FALSE),0)</f>
        <v>0</v>
      </c>
      <c r="P80" s="79"/>
      <c r="Q80" s="77">
        <f t="shared" si="23"/>
        <v>0</v>
      </c>
      <c r="R80" s="77">
        <f t="shared" si="24"/>
        <v>0</v>
      </c>
      <c r="S80" s="77">
        <f t="shared" si="25"/>
        <v>0</v>
      </c>
      <c r="T80" s="77">
        <f t="shared" si="26"/>
        <v>0</v>
      </c>
      <c r="U80" s="79"/>
      <c r="V80" s="77">
        <f t="shared" si="27"/>
        <v>0</v>
      </c>
      <c r="W80" s="77">
        <f>IFERROR(VLOOKUP(A80,DataCoutRevenuAux!W:Y,2,FALSE),0)</f>
        <v>0</v>
      </c>
      <c r="X80" s="77">
        <f>IFERROR(VLOOKUP(A80,DataCoutRevenuAux!W:Y,3,FALSE),0)</f>
        <v>0</v>
      </c>
      <c r="Y80" s="77">
        <f t="shared" si="28"/>
        <v>0</v>
      </c>
      <c r="Z80" s="77">
        <f t="shared" si="29"/>
        <v>0</v>
      </c>
      <c r="AA80" s="77">
        <f t="shared" si="30"/>
        <v>0</v>
      </c>
      <c r="AB80" s="79"/>
      <c r="AC80" s="77">
        <f t="shared" si="31"/>
        <v>0</v>
      </c>
      <c r="AD80" s="77">
        <f t="shared" si="32"/>
        <v>0</v>
      </c>
      <c r="AE80" s="77">
        <f t="shared" si="33"/>
        <v>0</v>
      </c>
      <c r="AF80" s="79"/>
      <c r="AG80" s="6">
        <f t="shared" si="34"/>
        <v>0</v>
      </c>
      <c r="AH80" s="6">
        <f t="shared" si="35"/>
        <v>0</v>
      </c>
      <c r="AI80" s="6">
        <f t="shared" si="36"/>
        <v>0</v>
      </c>
    </row>
    <row r="81" spans="1:35" x14ac:dyDescent="0.3">
      <c r="A81" s="189">
        <f>DataDemande!U114</f>
        <v>0</v>
      </c>
      <c r="B81" t="str">
        <f t="shared" si="21"/>
        <v>0</v>
      </c>
      <c r="C81" t="str">
        <f t="shared" si="22"/>
        <v>0</v>
      </c>
      <c r="D81" s="185">
        <f>IFERROR(VLOOKUP(A81,DataCoutRevenuAux!M:Q,5,FALSE),0)</f>
        <v>0</v>
      </c>
      <c r="E81">
        <f>IFERROR(VLOOKUP(A81,DataDemande!U:Z,2,FALSE),0)</f>
        <v>0</v>
      </c>
      <c r="F81" s="79"/>
      <c r="G81" s="77">
        <f>IFERROR(VLOOKUP(A81,DataDemande!U:Z,3,FALSE),0)</f>
        <v>0</v>
      </c>
      <c r="H81" s="77">
        <f>IFERROR(VLOOKUP($A81,DataDemande!$U:$Z,4,FALSE),0)</f>
        <v>0</v>
      </c>
      <c r="I81" s="77">
        <f>IFERROR(VLOOKUP($A81,DataDemande!$U:$Z,5,FALSE),0)</f>
        <v>0</v>
      </c>
      <c r="J81" s="77">
        <f>IFERROR(VLOOKUP($A81,DataDemande!$U:$Z,6,FALSE),0)</f>
        <v>0</v>
      </c>
      <c r="K81" s="79"/>
      <c r="L81" s="77">
        <f>IFERROR(VLOOKUP($A81,DataPrixBillets!$S:$W,2,FALSE),0)</f>
        <v>0</v>
      </c>
      <c r="M81" s="77">
        <f>IFERROR(VLOOKUP($A81,DataPrixBillets!$S:$W,3,FALSE),0)</f>
        <v>0</v>
      </c>
      <c r="N81" s="77">
        <f>IFERROR(VLOOKUP($A81,DataPrixBillets!$S:$W,4,FALSE),0)</f>
        <v>0</v>
      </c>
      <c r="O81" s="77">
        <f>IFERROR(VLOOKUP($A81,DataPrixBillets!$S:$W,5,FALSE),0)</f>
        <v>0</v>
      </c>
      <c r="P81" s="79"/>
      <c r="Q81" s="77">
        <f t="shared" si="23"/>
        <v>0</v>
      </c>
      <c r="R81" s="77">
        <f t="shared" si="24"/>
        <v>0</v>
      </c>
      <c r="S81" s="77">
        <f t="shared" si="25"/>
        <v>0</v>
      </c>
      <c r="T81" s="77">
        <f t="shared" si="26"/>
        <v>0</v>
      </c>
      <c r="U81" s="79"/>
      <c r="V81" s="77">
        <f t="shared" si="27"/>
        <v>0</v>
      </c>
      <c r="W81" s="77">
        <f>IFERROR(VLOOKUP(A81,DataCoutRevenuAux!W:Y,2,FALSE),0)</f>
        <v>0</v>
      </c>
      <c r="X81" s="77">
        <f>IFERROR(VLOOKUP(A81,DataCoutRevenuAux!W:Y,3,FALSE),0)</f>
        <v>0</v>
      </c>
      <c r="Y81" s="77">
        <f t="shared" si="28"/>
        <v>0</v>
      </c>
      <c r="Z81" s="77">
        <f t="shared" si="29"/>
        <v>0</v>
      </c>
      <c r="AA81" s="77">
        <f t="shared" si="30"/>
        <v>0</v>
      </c>
      <c r="AB81" s="79"/>
      <c r="AC81" s="77">
        <f t="shared" si="31"/>
        <v>0</v>
      </c>
      <c r="AD81" s="77">
        <f t="shared" si="32"/>
        <v>0</v>
      </c>
      <c r="AE81" s="77">
        <f t="shared" si="33"/>
        <v>0</v>
      </c>
      <c r="AF81" s="79"/>
      <c r="AG81" s="6">
        <f t="shared" si="34"/>
        <v>0</v>
      </c>
      <c r="AH81" s="6">
        <f t="shared" si="35"/>
        <v>0</v>
      </c>
      <c r="AI81" s="6">
        <f t="shared" si="36"/>
        <v>0</v>
      </c>
    </row>
    <row r="82" spans="1:35" x14ac:dyDescent="0.3">
      <c r="A82" s="189">
        <f>DataDemande!U115</f>
        <v>0</v>
      </c>
      <c r="B82" t="str">
        <f t="shared" si="21"/>
        <v>0</v>
      </c>
      <c r="C82" t="str">
        <f t="shared" si="22"/>
        <v>0</v>
      </c>
      <c r="D82" s="185">
        <f>IFERROR(VLOOKUP(A82,DataCoutRevenuAux!M:Q,5,FALSE),0)</f>
        <v>0</v>
      </c>
      <c r="E82">
        <f>IFERROR(VLOOKUP(A82,DataDemande!U:Z,2,FALSE),0)</f>
        <v>0</v>
      </c>
      <c r="F82" s="79"/>
      <c r="G82" s="77">
        <f>IFERROR(VLOOKUP(A82,DataDemande!U:Z,3,FALSE),0)</f>
        <v>0</v>
      </c>
      <c r="H82" s="77">
        <f>IFERROR(VLOOKUP($A82,DataDemande!$U:$Z,4,FALSE),0)</f>
        <v>0</v>
      </c>
      <c r="I82" s="77">
        <f>IFERROR(VLOOKUP($A82,DataDemande!$U:$Z,5,FALSE),0)</f>
        <v>0</v>
      </c>
      <c r="J82" s="77">
        <f>IFERROR(VLOOKUP($A82,DataDemande!$U:$Z,6,FALSE),0)</f>
        <v>0</v>
      </c>
      <c r="K82" s="79"/>
      <c r="L82" s="77">
        <f>IFERROR(VLOOKUP($A82,DataPrixBillets!$S:$W,2,FALSE),0)</f>
        <v>0</v>
      </c>
      <c r="M82" s="77">
        <f>IFERROR(VLOOKUP($A82,DataPrixBillets!$S:$W,3,FALSE),0)</f>
        <v>0</v>
      </c>
      <c r="N82" s="77">
        <f>IFERROR(VLOOKUP($A82,DataPrixBillets!$S:$W,4,FALSE),0)</f>
        <v>0</v>
      </c>
      <c r="O82" s="77">
        <f>IFERROR(VLOOKUP($A82,DataPrixBillets!$S:$W,5,FALSE),0)</f>
        <v>0</v>
      </c>
      <c r="P82" s="79"/>
      <c r="Q82" s="77">
        <f t="shared" si="23"/>
        <v>0</v>
      </c>
      <c r="R82" s="77">
        <f t="shared" si="24"/>
        <v>0</v>
      </c>
      <c r="S82" s="77">
        <f t="shared" si="25"/>
        <v>0</v>
      </c>
      <c r="T82" s="77">
        <f t="shared" si="26"/>
        <v>0</v>
      </c>
      <c r="U82" s="79"/>
      <c r="V82" s="77">
        <f t="shared" si="27"/>
        <v>0</v>
      </c>
      <c r="W82" s="77">
        <f>IFERROR(VLOOKUP(A82,DataCoutRevenuAux!W:Y,2,FALSE),0)</f>
        <v>0</v>
      </c>
      <c r="X82" s="77">
        <f>IFERROR(VLOOKUP(A82,DataCoutRevenuAux!W:Y,3,FALSE),0)</f>
        <v>0</v>
      </c>
      <c r="Y82" s="77">
        <f t="shared" si="28"/>
        <v>0</v>
      </c>
      <c r="Z82" s="77">
        <f t="shared" si="29"/>
        <v>0</v>
      </c>
      <c r="AA82" s="77">
        <f t="shared" si="30"/>
        <v>0</v>
      </c>
      <c r="AB82" s="79"/>
      <c r="AC82" s="77">
        <f t="shared" si="31"/>
        <v>0</v>
      </c>
      <c r="AD82" s="77">
        <f t="shared" si="32"/>
        <v>0</v>
      </c>
      <c r="AE82" s="77">
        <f t="shared" si="33"/>
        <v>0</v>
      </c>
      <c r="AF82" s="79"/>
      <c r="AG82" s="6">
        <f t="shared" si="34"/>
        <v>0</v>
      </c>
      <c r="AH82" s="6">
        <f t="shared" si="35"/>
        <v>0</v>
      </c>
      <c r="AI82" s="6">
        <f t="shared" si="36"/>
        <v>0</v>
      </c>
    </row>
    <row r="83" spans="1:35" x14ac:dyDescent="0.3">
      <c r="A83" s="189">
        <f>DataDemande!U116</f>
        <v>0</v>
      </c>
      <c r="B83" t="str">
        <f t="shared" si="21"/>
        <v>0</v>
      </c>
      <c r="C83" t="str">
        <f t="shared" si="22"/>
        <v>0</v>
      </c>
      <c r="D83" s="185">
        <f>IFERROR(VLOOKUP(A83,DataCoutRevenuAux!M:Q,5,FALSE),0)</f>
        <v>0</v>
      </c>
      <c r="E83">
        <f>IFERROR(VLOOKUP(A83,DataDemande!U:Z,2,FALSE),0)</f>
        <v>0</v>
      </c>
      <c r="F83" s="79"/>
      <c r="G83" s="77">
        <f>IFERROR(VLOOKUP(A83,DataDemande!U:Z,3,FALSE),0)</f>
        <v>0</v>
      </c>
      <c r="H83" s="77">
        <f>IFERROR(VLOOKUP($A83,DataDemande!$U:$Z,4,FALSE),0)</f>
        <v>0</v>
      </c>
      <c r="I83" s="77">
        <f>IFERROR(VLOOKUP($A83,DataDemande!$U:$Z,5,FALSE),0)</f>
        <v>0</v>
      </c>
      <c r="J83" s="77">
        <f>IFERROR(VLOOKUP($A83,DataDemande!$U:$Z,6,FALSE),0)</f>
        <v>0</v>
      </c>
      <c r="K83" s="79"/>
      <c r="L83" s="77">
        <f>IFERROR(VLOOKUP($A83,DataPrixBillets!$S:$W,2,FALSE),0)</f>
        <v>0</v>
      </c>
      <c r="M83" s="77">
        <f>IFERROR(VLOOKUP($A83,DataPrixBillets!$S:$W,3,FALSE),0)</f>
        <v>0</v>
      </c>
      <c r="N83" s="77">
        <f>IFERROR(VLOOKUP($A83,DataPrixBillets!$S:$W,4,FALSE),0)</f>
        <v>0</v>
      </c>
      <c r="O83" s="77">
        <f>IFERROR(VLOOKUP($A83,DataPrixBillets!$S:$W,5,FALSE),0)</f>
        <v>0</v>
      </c>
      <c r="P83" s="79"/>
      <c r="Q83" s="77">
        <f t="shared" si="23"/>
        <v>0</v>
      </c>
      <c r="R83" s="77">
        <f t="shared" si="24"/>
        <v>0</v>
      </c>
      <c r="S83" s="77">
        <f t="shared" si="25"/>
        <v>0</v>
      </c>
      <c r="T83" s="77">
        <f t="shared" si="26"/>
        <v>0</v>
      </c>
      <c r="U83" s="79"/>
      <c r="V83" s="77">
        <f t="shared" si="27"/>
        <v>0</v>
      </c>
      <c r="W83" s="77">
        <f>IFERROR(VLOOKUP(A83,DataCoutRevenuAux!W:Y,2,FALSE),0)</f>
        <v>0</v>
      </c>
      <c r="X83" s="77">
        <f>IFERROR(VLOOKUP(A83,DataCoutRevenuAux!W:Y,3,FALSE),0)</f>
        <v>0</v>
      </c>
      <c r="Y83" s="77">
        <f t="shared" si="28"/>
        <v>0</v>
      </c>
      <c r="Z83" s="77">
        <f t="shared" si="29"/>
        <v>0</v>
      </c>
      <c r="AA83" s="77">
        <f t="shared" si="30"/>
        <v>0</v>
      </c>
      <c r="AB83" s="79"/>
      <c r="AC83" s="77">
        <f t="shared" si="31"/>
        <v>0</v>
      </c>
      <c r="AD83" s="77">
        <f t="shared" si="32"/>
        <v>0</v>
      </c>
      <c r="AE83" s="77">
        <f t="shared" si="33"/>
        <v>0</v>
      </c>
      <c r="AF83" s="79"/>
      <c r="AG83" s="6">
        <f t="shared" si="34"/>
        <v>0</v>
      </c>
      <c r="AH83" s="6">
        <f t="shared" si="35"/>
        <v>0</v>
      </c>
      <c r="AI83" s="6">
        <f t="shared" si="36"/>
        <v>0</v>
      </c>
    </row>
    <row r="84" spans="1:35" x14ac:dyDescent="0.3">
      <c r="A84" s="189">
        <f>DataDemande!U117</f>
        <v>0</v>
      </c>
      <c r="B84" t="str">
        <f t="shared" si="21"/>
        <v>0</v>
      </c>
      <c r="C84" t="str">
        <f t="shared" si="22"/>
        <v>0</v>
      </c>
      <c r="D84" s="185">
        <f>IFERROR(VLOOKUP(A84,DataCoutRevenuAux!M:Q,5,FALSE),0)</f>
        <v>0</v>
      </c>
      <c r="E84">
        <f>IFERROR(VLOOKUP(A84,DataDemande!U:Z,2,FALSE),0)</f>
        <v>0</v>
      </c>
      <c r="F84" s="79"/>
      <c r="G84" s="77">
        <f>IFERROR(VLOOKUP(A84,DataDemande!U:Z,3,FALSE),0)</f>
        <v>0</v>
      </c>
      <c r="H84" s="77">
        <f>IFERROR(VLOOKUP($A84,DataDemande!$U:$Z,4,FALSE),0)</f>
        <v>0</v>
      </c>
      <c r="I84" s="77">
        <f>IFERROR(VLOOKUP($A84,DataDemande!$U:$Z,5,FALSE),0)</f>
        <v>0</v>
      </c>
      <c r="J84" s="77">
        <f>IFERROR(VLOOKUP($A84,DataDemande!$U:$Z,6,FALSE),0)</f>
        <v>0</v>
      </c>
      <c r="K84" s="79"/>
      <c r="L84" s="77">
        <f>IFERROR(VLOOKUP($A84,DataPrixBillets!$S:$W,2,FALSE),0)</f>
        <v>0</v>
      </c>
      <c r="M84" s="77">
        <f>IFERROR(VLOOKUP($A84,DataPrixBillets!$S:$W,3,FALSE),0)</f>
        <v>0</v>
      </c>
      <c r="N84" s="77">
        <f>IFERROR(VLOOKUP($A84,DataPrixBillets!$S:$W,4,FALSE),0)</f>
        <v>0</v>
      </c>
      <c r="O84" s="77">
        <f>IFERROR(VLOOKUP($A84,DataPrixBillets!$S:$W,5,FALSE),0)</f>
        <v>0</v>
      </c>
      <c r="P84" s="79"/>
      <c r="Q84" s="77">
        <f t="shared" si="23"/>
        <v>0</v>
      </c>
      <c r="R84" s="77">
        <f t="shared" si="24"/>
        <v>0</v>
      </c>
      <c r="S84" s="77">
        <f t="shared" si="25"/>
        <v>0</v>
      </c>
      <c r="T84" s="77">
        <f t="shared" si="26"/>
        <v>0</v>
      </c>
      <c r="U84" s="79"/>
      <c r="V84" s="77">
        <f t="shared" si="27"/>
        <v>0</v>
      </c>
      <c r="W84" s="77">
        <f>IFERROR(VLOOKUP(A84,DataCoutRevenuAux!W:Y,2,FALSE),0)</f>
        <v>0</v>
      </c>
      <c r="X84" s="77">
        <f>IFERROR(VLOOKUP(A84,DataCoutRevenuAux!W:Y,3,FALSE),0)</f>
        <v>0</v>
      </c>
      <c r="Y84" s="77">
        <f t="shared" si="28"/>
        <v>0</v>
      </c>
      <c r="Z84" s="77">
        <f t="shared" si="29"/>
        <v>0</v>
      </c>
      <c r="AA84" s="77">
        <f t="shared" si="30"/>
        <v>0</v>
      </c>
      <c r="AB84" s="79"/>
      <c r="AC84" s="77">
        <f t="shared" si="31"/>
        <v>0</v>
      </c>
      <c r="AD84" s="77">
        <f t="shared" si="32"/>
        <v>0</v>
      </c>
      <c r="AE84" s="77">
        <f t="shared" si="33"/>
        <v>0</v>
      </c>
      <c r="AF84" s="79"/>
      <c r="AG84" s="6">
        <f t="shared" si="34"/>
        <v>0</v>
      </c>
      <c r="AH84" s="6">
        <f t="shared" si="35"/>
        <v>0</v>
      </c>
      <c r="AI84" s="6">
        <f t="shared" si="36"/>
        <v>0</v>
      </c>
    </row>
    <row r="85" spans="1:35" x14ac:dyDescent="0.3">
      <c r="A85" s="189">
        <f>DataDemande!U118</f>
        <v>0</v>
      </c>
      <c r="B85" t="str">
        <f t="shared" si="21"/>
        <v>0</v>
      </c>
      <c r="C85" t="str">
        <f t="shared" si="22"/>
        <v>0</v>
      </c>
      <c r="D85" s="185">
        <f>IFERROR(VLOOKUP(A85,DataCoutRevenuAux!M:Q,5,FALSE),0)</f>
        <v>0</v>
      </c>
      <c r="E85">
        <f>IFERROR(VLOOKUP(A85,DataDemande!U:Z,2,FALSE),0)</f>
        <v>0</v>
      </c>
      <c r="F85" s="79"/>
      <c r="G85" s="77">
        <f>IFERROR(VLOOKUP(A85,DataDemande!U:Z,3,FALSE),0)</f>
        <v>0</v>
      </c>
      <c r="H85" s="77">
        <f>IFERROR(VLOOKUP($A85,DataDemande!$U:$Z,4,FALSE),0)</f>
        <v>0</v>
      </c>
      <c r="I85" s="77">
        <f>IFERROR(VLOOKUP($A85,DataDemande!$U:$Z,5,FALSE),0)</f>
        <v>0</v>
      </c>
      <c r="J85" s="77">
        <f>IFERROR(VLOOKUP($A85,DataDemande!$U:$Z,6,FALSE),0)</f>
        <v>0</v>
      </c>
      <c r="K85" s="79"/>
      <c r="L85" s="77">
        <f>IFERROR(VLOOKUP($A85,DataPrixBillets!$S:$W,2,FALSE),0)</f>
        <v>0</v>
      </c>
      <c r="M85" s="77">
        <f>IFERROR(VLOOKUP($A85,DataPrixBillets!$S:$W,3,FALSE),0)</f>
        <v>0</v>
      </c>
      <c r="N85" s="77">
        <f>IFERROR(VLOOKUP($A85,DataPrixBillets!$S:$W,4,FALSE),0)</f>
        <v>0</v>
      </c>
      <c r="O85" s="77">
        <f>IFERROR(VLOOKUP($A85,DataPrixBillets!$S:$W,5,FALSE),0)</f>
        <v>0</v>
      </c>
      <c r="P85" s="79"/>
      <c r="Q85" s="77">
        <f t="shared" si="23"/>
        <v>0</v>
      </c>
      <c r="R85" s="77">
        <f t="shared" si="24"/>
        <v>0</v>
      </c>
      <c r="S85" s="77">
        <f t="shared" si="25"/>
        <v>0</v>
      </c>
      <c r="T85" s="77">
        <f t="shared" si="26"/>
        <v>0</v>
      </c>
      <c r="U85" s="79"/>
      <c r="V85" s="77">
        <f t="shared" si="27"/>
        <v>0</v>
      </c>
      <c r="W85" s="77">
        <f>IFERROR(VLOOKUP(A85,DataCoutRevenuAux!W:Y,2,FALSE),0)</f>
        <v>0</v>
      </c>
      <c r="X85" s="77">
        <f>IFERROR(VLOOKUP(A85,DataCoutRevenuAux!W:Y,3,FALSE),0)</f>
        <v>0</v>
      </c>
      <c r="Y85" s="77">
        <f t="shared" si="28"/>
        <v>0</v>
      </c>
      <c r="Z85" s="77">
        <f t="shared" si="29"/>
        <v>0</v>
      </c>
      <c r="AA85" s="77">
        <f t="shared" si="30"/>
        <v>0</v>
      </c>
      <c r="AB85" s="79"/>
      <c r="AC85" s="77">
        <f t="shared" si="31"/>
        <v>0</v>
      </c>
      <c r="AD85" s="77">
        <f t="shared" si="32"/>
        <v>0</v>
      </c>
      <c r="AE85" s="77">
        <f t="shared" si="33"/>
        <v>0</v>
      </c>
      <c r="AF85" s="79"/>
      <c r="AG85" s="6">
        <f t="shared" si="34"/>
        <v>0</v>
      </c>
      <c r="AH85" s="6">
        <f t="shared" si="35"/>
        <v>0</v>
      </c>
      <c r="AI85" s="6">
        <f t="shared" si="36"/>
        <v>0</v>
      </c>
    </row>
    <row r="86" spans="1:35" x14ac:dyDescent="0.3">
      <c r="A86" s="189">
        <f>DataDemande!U119</f>
        <v>0</v>
      </c>
      <c r="B86" t="str">
        <f t="shared" si="21"/>
        <v>0</v>
      </c>
      <c r="C86" t="str">
        <f t="shared" si="22"/>
        <v>0</v>
      </c>
      <c r="D86" s="185">
        <f>IFERROR(VLOOKUP(A86,DataCoutRevenuAux!M:Q,5,FALSE),0)</f>
        <v>0</v>
      </c>
      <c r="E86">
        <f>IFERROR(VLOOKUP(A86,DataDemande!U:Z,2,FALSE),0)</f>
        <v>0</v>
      </c>
      <c r="F86" s="79"/>
      <c r="G86" s="77">
        <f>IFERROR(VLOOKUP(A86,DataDemande!U:Z,3,FALSE),0)</f>
        <v>0</v>
      </c>
      <c r="H86" s="77">
        <f>IFERROR(VLOOKUP($A86,DataDemande!$U:$Z,4,FALSE),0)</f>
        <v>0</v>
      </c>
      <c r="I86" s="77">
        <f>IFERROR(VLOOKUP($A86,DataDemande!$U:$Z,5,FALSE),0)</f>
        <v>0</v>
      </c>
      <c r="J86" s="77">
        <f>IFERROR(VLOOKUP($A86,DataDemande!$U:$Z,6,FALSE),0)</f>
        <v>0</v>
      </c>
      <c r="K86" s="79"/>
      <c r="L86" s="77">
        <f>IFERROR(VLOOKUP($A86,DataPrixBillets!$S:$W,2,FALSE),0)</f>
        <v>0</v>
      </c>
      <c r="M86" s="77">
        <f>IFERROR(VLOOKUP($A86,DataPrixBillets!$S:$W,3,FALSE),0)</f>
        <v>0</v>
      </c>
      <c r="N86" s="77">
        <f>IFERROR(VLOOKUP($A86,DataPrixBillets!$S:$W,4,FALSE),0)</f>
        <v>0</v>
      </c>
      <c r="O86" s="77">
        <f>IFERROR(VLOOKUP($A86,DataPrixBillets!$S:$W,5,FALSE),0)</f>
        <v>0</v>
      </c>
      <c r="P86" s="79"/>
      <c r="Q86" s="77">
        <f t="shared" si="23"/>
        <v>0</v>
      </c>
      <c r="R86" s="77">
        <f t="shared" si="24"/>
        <v>0</v>
      </c>
      <c r="S86" s="77">
        <f t="shared" si="25"/>
        <v>0</v>
      </c>
      <c r="T86" s="77">
        <f t="shared" si="26"/>
        <v>0</v>
      </c>
      <c r="U86" s="79"/>
      <c r="V86" s="77">
        <f t="shared" si="27"/>
        <v>0</v>
      </c>
      <c r="W86" s="77">
        <f>IFERROR(VLOOKUP(A86,DataCoutRevenuAux!W:Y,2,FALSE),0)</f>
        <v>0</v>
      </c>
      <c r="X86" s="77">
        <f>IFERROR(VLOOKUP(A86,DataCoutRevenuAux!W:Y,3,FALSE),0)</f>
        <v>0</v>
      </c>
      <c r="Y86" s="77">
        <f t="shared" si="28"/>
        <v>0</v>
      </c>
      <c r="Z86" s="77">
        <f t="shared" si="29"/>
        <v>0</v>
      </c>
      <c r="AA86" s="77">
        <f t="shared" si="30"/>
        <v>0</v>
      </c>
      <c r="AB86" s="79"/>
      <c r="AC86" s="77">
        <f t="shared" si="31"/>
        <v>0</v>
      </c>
      <c r="AD86" s="77">
        <f t="shared" si="32"/>
        <v>0</v>
      </c>
      <c r="AE86" s="77">
        <f t="shared" si="33"/>
        <v>0</v>
      </c>
      <c r="AF86" s="79"/>
      <c r="AG86" s="6">
        <f t="shared" si="34"/>
        <v>0</v>
      </c>
      <c r="AH86" s="6">
        <f t="shared" si="35"/>
        <v>0</v>
      </c>
      <c r="AI86" s="6">
        <f t="shared" si="36"/>
        <v>0</v>
      </c>
    </row>
    <row r="87" spans="1:35" x14ac:dyDescent="0.3">
      <c r="A87" s="189">
        <f>DataDemande!U120</f>
        <v>0</v>
      </c>
      <c r="B87" t="str">
        <f t="shared" si="21"/>
        <v>0</v>
      </c>
      <c r="C87" t="str">
        <f t="shared" si="22"/>
        <v>0</v>
      </c>
      <c r="D87" s="185">
        <f>IFERROR(VLOOKUP(A87,DataCoutRevenuAux!M:Q,5,FALSE),0)</f>
        <v>0</v>
      </c>
      <c r="E87">
        <f>IFERROR(VLOOKUP(A87,DataDemande!U:Z,2,FALSE),0)</f>
        <v>0</v>
      </c>
      <c r="F87" s="79"/>
      <c r="G87" s="77">
        <f>IFERROR(VLOOKUP(A87,DataDemande!U:Z,3,FALSE),0)</f>
        <v>0</v>
      </c>
      <c r="H87" s="77">
        <f>IFERROR(VLOOKUP($A87,DataDemande!$U:$Z,4,FALSE),0)</f>
        <v>0</v>
      </c>
      <c r="I87" s="77">
        <f>IFERROR(VLOOKUP($A87,DataDemande!$U:$Z,5,FALSE),0)</f>
        <v>0</v>
      </c>
      <c r="J87" s="77">
        <f>IFERROR(VLOOKUP($A87,DataDemande!$U:$Z,6,FALSE),0)</f>
        <v>0</v>
      </c>
      <c r="K87" s="79"/>
      <c r="L87" s="77">
        <f>IFERROR(VLOOKUP($A87,DataPrixBillets!$S:$W,2,FALSE),0)</f>
        <v>0</v>
      </c>
      <c r="M87" s="77">
        <f>IFERROR(VLOOKUP($A87,DataPrixBillets!$S:$W,3,FALSE),0)</f>
        <v>0</v>
      </c>
      <c r="N87" s="77">
        <f>IFERROR(VLOOKUP($A87,DataPrixBillets!$S:$W,4,FALSE),0)</f>
        <v>0</v>
      </c>
      <c r="O87" s="77">
        <f>IFERROR(VLOOKUP($A87,DataPrixBillets!$S:$W,5,FALSE),0)</f>
        <v>0</v>
      </c>
      <c r="P87" s="79"/>
      <c r="Q87" s="77">
        <f t="shared" si="23"/>
        <v>0</v>
      </c>
      <c r="R87" s="77">
        <f t="shared" si="24"/>
        <v>0</v>
      </c>
      <c r="S87" s="77">
        <f t="shared" si="25"/>
        <v>0</v>
      </c>
      <c r="T87" s="77">
        <f t="shared" si="26"/>
        <v>0</v>
      </c>
      <c r="U87" s="79"/>
      <c r="V87" s="77">
        <f t="shared" si="27"/>
        <v>0</v>
      </c>
      <c r="W87" s="77">
        <f>IFERROR(VLOOKUP(A87,DataCoutRevenuAux!W:Y,2,FALSE),0)</f>
        <v>0</v>
      </c>
      <c r="X87" s="77">
        <f>IFERROR(VLOOKUP(A87,DataCoutRevenuAux!W:Y,3,FALSE),0)</f>
        <v>0</v>
      </c>
      <c r="Y87" s="77">
        <f t="shared" si="28"/>
        <v>0</v>
      </c>
      <c r="Z87" s="77">
        <f t="shared" si="29"/>
        <v>0</v>
      </c>
      <c r="AA87" s="77">
        <f t="shared" si="30"/>
        <v>0</v>
      </c>
      <c r="AB87" s="79"/>
      <c r="AC87" s="77">
        <f t="shared" si="31"/>
        <v>0</v>
      </c>
      <c r="AD87" s="77">
        <f t="shared" si="32"/>
        <v>0</v>
      </c>
      <c r="AE87" s="77">
        <f t="shared" si="33"/>
        <v>0</v>
      </c>
      <c r="AF87" s="79"/>
      <c r="AG87" s="6">
        <f t="shared" si="34"/>
        <v>0</v>
      </c>
      <c r="AH87" s="6">
        <f t="shared" si="35"/>
        <v>0</v>
      </c>
      <c r="AI87" s="6">
        <f t="shared" si="36"/>
        <v>0</v>
      </c>
    </row>
    <row r="88" spans="1:35" x14ac:dyDescent="0.3">
      <c r="A88" s="189">
        <f>DataDemande!U121</f>
        <v>0</v>
      </c>
      <c r="B88" t="str">
        <f t="shared" si="21"/>
        <v>0</v>
      </c>
      <c r="C88" t="str">
        <f t="shared" si="22"/>
        <v>0</v>
      </c>
      <c r="D88" s="185">
        <f>IFERROR(VLOOKUP(A88,DataCoutRevenuAux!M:Q,5,FALSE),0)</f>
        <v>0</v>
      </c>
      <c r="E88">
        <f>IFERROR(VLOOKUP(A88,DataDemande!U:Z,2,FALSE),0)</f>
        <v>0</v>
      </c>
      <c r="F88" s="79"/>
      <c r="G88" s="77">
        <f>IFERROR(VLOOKUP(A88,DataDemande!U:Z,3,FALSE),0)</f>
        <v>0</v>
      </c>
      <c r="H88" s="77">
        <f>IFERROR(VLOOKUP($A88,DataDemande!$U:$Z,4,FALSE),0)</f>
        <v>0</v>
      </c>
      <c r="I88" s="77">
        <f>IFERROR(VLOOKUP($A88,DataDemande!$U:$Z,5,FALSE),0)</f>
        <v>0</v>
      </c>
      <c r="J88" s="77">
        <f>IFERROR(VLOOKUP($A88,DataDemande!$U:$Z,6,FALSE),0)</f>
        <v>0</v>
      </c>
      <c r="K88" s="79"/>
      <c r="L88" s="77">
        <f>IFERROR(VLOOKUP($A88,DataPrixBillets!$S:$W,2,FALSE),0)</f>
        <v>0</v>
      </c>
      <c r="M88" s="77">
        <f>IFERROR(VLOOKUP($A88,DataPrixBillets!$S:$W,3,FALSE),0)</f>
        <v>0</v>
      </c>
      <c r="N88" s="77">
        <f>IFERROR(VLOOKUP($A88,DataPrixBillets!$S:$W,4,FALSE),0)</f>
        <v>0</v>
      </c>
      <c r="O88" s="77">
        <f>IFERROR(VLOOKUP($A88,DataPrixBillets!$S:$W,5,FALSE),0)</f>
        <v>0</v>
      </c>
      <c r="P88" s="79"/>
      <c r="Q88" s="77">
        <f t="shared" si="23"/>
        <v>0</v>
      </c>
      <c r="R88" s="77">
        <f t="shared" si="24"/>
        <v>0</v>
      </c>
      <c r="S88" s="77">
        <f t="shared" si="25"/>
        <v>0</v>
      </c>
      <c r="T88" s="77">
        <f t="shared" si="26"/>
        <v>0</v>
      </c>
      <c r="U88" s="79"/>
      <c r="V88" s="77">
        <f t="shared" si="27"/>
        <v>0</v>
      </c>
      <c r="W88" s="77">
        <f>IFERROR(VLOOKUP(A88,DataCoutRevenuAux!W:Y,2,FALSE),0)</f>
        <v>0</v>
      </c>
      <c r="X88" s="77">
        <f>IFERROR(VLOOKUP(A88,DataCoutRevenuAux!W:Y,3,FALSE),0)</f>
        <v>0</v>
      </c>
      <c r="Y88" s="77">
        <f t="shared" si="28"/>
        <v>0</v>
      </c>
      <c r="Z88" s="77">
        <f t="shared" si="29"/>
        <v>0</v>
      </c>
      <c r="AA88" s="77">
        <f t="shared" si="30"/>
        <v>0</v>
      </c>
      <c r="AB88" s="79"/>
      <c r="AC88" s="77">
        <f t="shared" si="31"/>
        <v>0</v>
      </c>
      <c r="AD88" s="77">
        <f t="shared" si="32"/>
        <v>0</v>
      </c>
      <c r="AE88" s="77">
        <f t="shared" si="33"/>
        <v>0</v>
      </c>
      <c r="AF88" s="79"/>
      <c r="AG88" s="6">
        <f t="shared" si="34"/>
        <v>0</v>
      </c>
      <c r="AH88" s="6">
        <f t="shared" si="35"/>
        <v>0</v>
      </c>
      <c r="AI88" s="6">
        <f t="shared" si="36"/>
        <v>0</v>
      </c>
    </row>
    <row r="89" spans="1:35" x14ac:dyDescent="0.3">
      <c r="A89" s="189">
        <f>DataDemande!U122</f>
        <v>0</v>
      </c>
      <c r="B89" t="str">
        <f t="shared" si="21"/>
        <v>0</v>
      </c>
      <c r="C89" t="str">
        <f t="shared" si="22"/>
        <v>0</v>
      </c>
      <c r="D89" s="185">
        <f>IFERROR(VLOOKUP(A89,DataCoutRevenuAux!M:Q,5,FALSE),0)</f>
        <v>0</v>
      </c>
      <c r="E89">
        <f>IFERROR(VLOOKUP(A89,DataDemande!U:Z,2,FALSE),0)</f>
        <v>0</v>
      </c>
      <c r="F89" s="79"/>
      <c r="G89" s="77">
        <f>IFERROR(VLOOKUP(A89,DataDemande!U:Z,3,FALSE),0)</f>
        <v>0</v>
      </c>
      <c r="H89" s="77">
        <f>IFERROR(VLOOKUP($A89,DataDemande!$U:$Z,4,FALSE),0)</f>
        <v>0</v>
      </c>
      <c r="I89" s="77">
        <f>IFERROR(VLOOKUP($A89,DataDemande!$U:$Z,5,FALSE),0)</f>
        <v>0</v>
      </c>
      <c r="J89" s="77">
        <f>IFERROR(VLOOKUP($A89,DataDemande!$U:$Z,6,FALSE),0)</f>
        <v>0</v>
      </c>
      <c r="K89" s="79"/>
      <c r="L89" s="77">
        <f>IFERROR(VLOOKUP($A89,DataPrixBillets!$S:$W,2,FALSE),0)</f>
        <v>0</v>
      </c>
      <c r="M89" s="77">
        <f>IFERROR(VLOOKUP($A89,DataPrixBillets!$S:$W,3,FALSE),0)</f>
        <v>0</v>
      </c>
      <c r="N89" s="77">
        <f>IFERROR(VLOOKUP($A89,DataPrixBillets!$S:$W,4,FALSE),0)</f>
        <v>0</v>
      </c>
      <c r="O89" s="77">
        <f>IFERROR(VLOOKUP($A89,DataPrixBillets!$S:$W,5,FALSE),0)</f>
        <v>0</v>
      </c>
      <c r="P89" s="79"/>
      <c r="Q89" s="77">
        <f t="shared" si="23"/>
        <v>0</v>
      </c>
      <c r="R89" s="77">
        <f t="shared" si="24"/>
        <v>0</v>
      </c>
      <c r="S89" s="77">
        <f t="shared" si="25"/>
        <v>0</v>
      </c>
      <c r="T89" s="77">
        <f t="shared" si="26"/>
        <v>0</v>
      </c>
      <c r="U89" s="79"/>
      <c r="V89" s="77">
        <f t="shared" si="27"/>
        <v>0</v>
      </c>
      <c r="W89" s="77">
        <f>IFERROR(VLOOKUP(A89,DataCoutRevenuAux!W:Y,2,FALSE),0)</f>
        <v>0</v>
      </c>
      <c r="X89" s="77">
        <f>IFERROR(VLOOKUP(A89,DataCoutRevenuAux!W:Y,3,FALSE),0)</f>
        <v>0</v>
      </c>
      <c r="Y89" s="77">
        <f t="shared" si="28"/>
        <v>0</v>
      </c>
      <c r="Z89" s="77">
        <f t="shared" si="29"/>
        <v>0</v>
      </c>
      <c r="AA89" s="77">
        <f t="shared" si="30"/>
        <v>0</v>
      </c>
      <c r="AB89" s="79"/>
      <c r="AC89" s="77">
        <f t="shared" si="31"/>
        <v>0</v>
      </c>
      <c r="AD89" s="77">
        <f t="shared" si="32"/>
        <v>0</v>
      </c>
      <c r="AE89" s="77">
        <f t="shared" si="33"/>
        <v>0</v>
      </c>
      <c r="AF89" s="79"/>
      <c r="AG89" s="6">
        <f t="shared" si="34"/>
        <v>0</v>
      </c>
      <c r="AH89" s="6">
        <f t="shared" si="35"/>
        <v>0</v>
      </c>
      <c r="AI89" s="6">
        <f t="shared" si="36"/>
        <v>0</v>
      </c>
    </row>
    <row r="90" spans="1:35" x14ac:dyDescent="0.3">
      <c r="A90" s="189">
        <f>DataDemande!U123</f>
        <v>0</v>
      </c>
      <c r="B90" t="str">
        <f t="shared" si="21"/>
        <v>0</v>
      </c>
      <c r="C90" t="str">
        <f t="shared" si="22"/>
        <v>0</v>
      </c>
      <c r="D90" s="185">
        <f>IFERROR(VLOOKUP(A90,DataCoutRevenuAux!M:Q,5,FALSE),0)</f>
        <v>0</v>
      </c>
      <c r="E90">
        <f>IFERROR(VLOOKUP(A90,DataDemande!U:Z,2,FALSE),0)</f>
        <v>0</v>
      </c>
      <c r="F90" s="79"/>
      <c r="G90" s="77">
        <f>IFERROR(VLOOKUP(A90,DataDemande!U:Z,3,FALSE),0)</f>
        <v>0</v>
      </c>
      <c r="H90" s="77">
        <f>IFERROR(VLOOKUP($A90,DataDemande!$U:$Z,4,FALSE),0)</f>
        <v>0</v>
      </c>
      <c r="I90" s="77">
        <f>IFERROR(VLOOKUP($A90,DataDemande!$U:$Z,5,FALSE),0)</f>
        <v>0</v>
      </c>
      <c r="J90" s="77">
        <f>IFERROR(VLOOKUP($A90,DataDemande!$U:$Z,6,FALSE),0)</f>
        <v>0</v>
      </c>
      <c r="K90" s="79"/>
      <c r="L90" s="77">
        <f>IFERROR(VLOOKUP($A90,DataPrixBillets!$S:$W,2,FALSE),0)</f>
        <v>0</v>
      </c>
      <c r="M90" s="77">
        <f>IFERROR(VLOOKUP($A90,DataPrixBillets!$S:$W,3,FALSE),0)</f>
        <v>0</v>
      </c>
      <c r="N90" s="77">
        <f>IFERROR(VLOOKUP($A90,DataPrixBillets!$S:$W,4,FALSE),0)</f>
        <v>0</v>
      </c>
      <c r="O90" s="77">
        <f>IFERROR(VLOOKUP($A90,DataPrixBillets!$S:$W,5,FALSE),0)</f>
        <v>0</v>
      </c>
      <c r="P90" s="79"/>
      <c r="Q90" s="77">
        <f t="shared" si="23"/>
        <v>0</v>
      </c>
      <c r="R90" s="77">
        <f t="shared" si="24"/>
        <v>0</v>
      </c>
      <c r="S90" s="77">
        <f t="shared" si="25"/>
        <v>0</v>
      </c>
      <c r="T90" s="77">
        <f t="shared" si="26"/>
        <v>0</v>
      </c>
      <c r="U90" s="79"/>
      <c r="V90" s="77">
        <f t="shared" si="27"/>
        <v>0</v>
      </c>
      <c r="W90" s="77">
        <f>IFERROR(VLOOKUP(A90,DataCoutRevenuAux!W:Y,2,FALSE),0)</f>
        <v>0</v>
      </c>
      <c r="X90" s="77">
        <f>IFERROR(VLOOKUP(A90,DataCoutRevenuAux!W:Y,3,FALSE),0)</f>
        <v>0</v>
      </c>
      <c r="Y90" s="77">
        <f t="shared" si="28"/>
        <v>0</v>
      </c>
      <c r="Z90" s="77">
        <f t="shared" si="29"/>
        <v>0</v>
      </c>
      <c r="AA90" s="77">
        <f t="shared" si="30"/>
        <v>0</v>
      </c>
      <c r="AB90" s="79"/>
      <c r="AC90" s="77">
        <f t="shared" si="31"/>
        <v>0</v>
      </c>
      <c r="AD90" s="77">
        <f t="shared" si="32"/>
        <v>0</v>
      </c>
      <c r="AE90" s="77">
        <f t="shared" si="33"/>
        <v>0</v>
      </c>
      <c r="AF90" s="79"/>
      <c r="AG90" s="6">
        <f t="shared" si="34"/>
        <v>0</v>
      </c>
      <c r="AH90" s="6">
        <f t="shared" si="35"/>
        <v>0</v>
      </c>
      <c r="AI90" s="6">
        <f t="shared" si="36"/>
        <v>0</v>
      </c>
    </row>
    <row r="91" spans="1:35" x14ac:dyDescent="0.3">
      <c r="A91" s="189">
        <f>DataDemande!U124</f>
        <v>0</v>
      </c>
      <c r="B91" t="str">
        <f t="shared" si="21"/>
        <v>0</v>
      </c>
      <c r="C91" t="str">
        <f t="shared" si="22"/>
        <v>0</v>
      </c>
      <c r="D91" s="185">
        <f>IFERROR(VLOOKUP(A91,DataCoutRevenuAux!M:Q,5,FALSE),0)</f>
        <v>0</v>
      </c>
      <c r="E91">
        <f>IFERROR(VLOOKUP(A91,DataDemande!U:Z,2,FALSE),0)</f>
        <v>0</v>
      </c>
      <c r="F91" s="79"/>
      <c r="G91" s="77">
        <f>IFERROR(VLOOKUP(A91,DataDemande!U:Z,3,FALSE),0)</f>
        <v>0</v>
      </c>
      <c r="H91" s="77">
        <f>IFERROR(VLOOKUP($A91,DataDemande!$U:$Z,4,FALSE),0)</f>
        <v>0</v>
      </c>
      <c r="I91" s="77">
        <f>IFERROR(VLOOKUP($A91,DataDemande!$U:$Z,5,FALSE),0)</f>
        <v>0</v>
      </c>
      <c r="J91" s="77">
        <f>IFERROR(VLOOKUP($A91,DataDemande!$U:$Z,6,FALSE),0)</f>
        <v>0</v>
      </c>
      <c r="K91" s="79"/>
      <c r="L91" s="77">
        <f>IFERROR(VLOOKUP($A91,DataPrixBillets!$S:$W,2,FALSE),0)</f>
        <v>0</v>
      </c>
      <c r="M91" s="77">
        <f>IFERROR(VLOOKUP($A91,DataPrixBillets!$S:$W,3,FALSE),0)</f>
        <v>0</v>
      </c>
      <c r="N91" s="77">
        <f>IFERROR(VLOOKUP($A91,DataPrixBillets!$S:$W,4,FALSE),0)</f>
        <v>0</v>
      </c>
      <c r="O91" s="77">
        <f>IFERROR(VLOOKUP($A91,DataPrixBillets!$S:$W,5,FALSE),0)</f>
        <v>0</v>
      </c>
      <c r="P91" s="79"/>
      <c r="Q91" s="77">
        <f t="shared" si="23"/>
        <v>0</v>
      </c>
      <c r="R91" s="77">
        <f t="shared" si="24"/>
        <v>0</v>
      </c>
      <c r="S91" s="77">
        <f t="shared" si="25"/>
        <v>0</v>
      </c>
      <c r="T91" s="77">
        <f t="shared" si="26"/>
        <v>0</v>
      </c>
      <c r="U91" s="79"/>
      <c r="V91" s="77">
        <f t="shared" si="27"/>
        <v>0</v>
      </c>
      <c r="W91" s="77">
        <f>IFERROR(VLOOKUP(A91,DataCoutRevenuAux!W:Y,2,FALSE),0)</f>
        <v>0</v>
      </c>
      <c r="X91" s="77">
        <f>IFERROR(VLOOKUP(A91,DataCoutRevenuAux!W:Y,3,FALSE),0)</f>
        <v>0</v>
      </c>
      <c r="Y91" s="77">
        <f t="shared" si="28"/>
        <v>0</v>
      </c>
      <c r="Z91" s="77">
        <f t="shared" si="29"/>
        <v>0</v>
      </c>
      <c r="AA91" s="77">
        <f t="shared" si="30"/>
        <v>0</v>
      </c>
      <c r="AB91" s="79"/>
      <c r="AC91" s="77">
        <f t="shared" si="31"/>
        <v>0</v>
      </c>
      <c r="AD91" s="77">
        <f t="shared" si="32"/>
        <v>0</v>
      </c>
      <c r="AE91" s="77">
        <f t="shared" si="33"/>
        <v>0</v>
      </c>
      <c r="AF91" s="79"/>
      <c r="AG91" s="6">
        <f t="shared" si="34"/>
        <v>0</v>
      </c>
      <c r="AH91" s="6">
        <f t="shared" si="35"/>
        <v>0</v>
      </c>
      <c r="AI91" s="6">
        <f t="shared" si="36"/>
        <v>0</v>
      </c>
    </row>
    <row r="92" spans="1:35" x14ac:dyDescent="0.3">
      <c r="A92" s="189">
        <f>DataDemande!U125</f>
        <v>0</v>
      </c>
      <c r="B92" t="str">
        <f t="shared" si="21"/>
        <v>0</v>
      </c>
      <c r="C92" t="str">
        <f t="shared" si="22"/>
        <v>0</v>
      </c>
      <c r="D92" s="185">
        <f>IFERROR(VLOOKUP(A92,DataCoutRevenuAux!M:Q,5,FALSE),0)</f>
        <v>0</v>
      </c>
      <c r="E92">
        <f>IFERROR(VLOOKUP(A92,DataDemande!U:Z,2,FALSE),0)</f>
        <v>0</v>
      </c>
      <c r="F92" s="79"/>
      <c r="G92" s="77">
        <f>IFERROR(VLOOKUP(A92,DataDemande!U:Z,3,FALSE),0)</f>
        <v>0</v>
      </c>
      <c r="H92" s="77">
        <f>IFERROR(VLOOKUP($A92,DataDemande!$U:$Z,4,FALSE),0)</f>
        <v>0</v>
      </c>
      <c r="I92" s="77">
        <f>IFERROR(VLOOKUP($A92,DataDemande!$U:$Z,5,FALSE),0)</f>
        <v>0</v>
      </c>
      <c r="J92" s="77">
        <f>IFERROR(VLOOKUP($A92,DataDemande!$U:$Z,6,FALSE),0)</f>
        <v>0</v>
      </c>
      <c r="K92" s="79"/>
      <c r="L92" s="77">
        <f>IFERROR(VLOOKUP($A92,DataPrixBillets!$S:$W,2,FALSE),0)</f>
        <v>0</v>
      </c>
      <c r="M92" s="77">
        <f>IFERROR(VLOOKUP($A92,DataPrixBillets!$S:$W,3,FALSE),0)</f>
        <v>0</v>
      </c>
      <c r="N92" s="77">
        <f>IFERROR(VLOOKUP($A92,DataPrixBillets!$S:$W,4,FALSE),0)</f>
        <v>0</v>
      </c>
      <c r="O92" s="77">
        <f>IFERROR(VLOOKUP($A92,DataPrixBillets!$S:$W,5,FALSE),0)</f>
        <v>0</v>
      </c>
      <c r="P92" s="79"/>
      <c r="Q92" s="77">
        <f t="shared" si="23"/>
        <v>0</v>
      </c>
      <c r="R92" s="77">
        <f t="shared" si="24"/>
        <v>0</v>
      </c>
      <c r="S92" s="77">
        <f t="shared" si="25"/>
        <v>0</v>
      </c>
      <c r="T92" s="77">
        <f t="shared" si="26"/>
        <v>0</v>
      </c>
      <c r="U92" s="79"/>
      <c r="V92" s="77">
        <f t="shared" si="27"/>
        <v>0</v>
      </c>
      <c r="W92" s="77">
        <f>IFERROR(VLOOKUP(A92,DataCoutRevenuAux!W:Y,2,FALSE),0)</f>
        <v>0</v>
      </c>
      <c r="X92" s="77">
        <f>IFERROR(VLOOKUP(A92,DataCoutRevenuAux!W:Y,3,FALSE),0)</f>
        <v>0</v>
      </c>
      <c r="Y92" s="77">
        <f t="shared" si="28"/>
        <v>0</v>
      </c>
      <c r="Z92" s="77">
        <f t="shared" si="29"/>
        <v>0</v>
      </c>
      <c r="AA92" s="77">
        <f t="shared" si="30"/>
        <v>0</v>
      </c>
      <c r="AB92" s="79"/>
      <c r="AC92" s="77">
        <f t="shared" si="31"/>
        <v>0</v>
      </c>
      <c r="AD92" s="77">
        <f t="shared" si="32"/>
        <v>0</v>
      </c>
      <c r="AE92" s="77">
        <f t="shared" si="33"/>
        <v>0</v>
      </c>
      <c r="AF92" s="79"/>
      <c r="AG92" s="6">
        <f t="shared" si="34"/>
        <v>0</v>
      </c>
      <c r="AH92" s="6">
        <f t="shared" si="35"/>
        <v>0</v>
      </c>
      <c r="AI92" s="6">
        <f t="shared" si="36"/>
        <v>0</v>
      </c>
    </row>
    <row r="93" spans="1:35" x14ac:dyDescent="0.3">
      <c r="A93" s="189">
        <f>DataDemande!U126</f>
        <v>0</v>
      </c>
      <c r="B93" t="str">
        <f t="shared" si="21"/>
        <v>0</v>
      </c>
      <c r="C93" t="str">
        <f t="shared" si="22"/>
        <v>0</v>
      </c>
      <c r="D93" s="185">
        <f>IFERROR(VLOOKUP(A93,DataCoutRevenuAux!M:Q,5,FALSE),0)</f>
        <v>0</v>
      </c>
      <c r="E93">
        <f>IFERROR(VLOOKUP(A93,DataDemande!U:Z,2,FALSE),0)</f>
        <v>0</v>
      </c>
      <c r="F93" s="79"/>
      <c r="G93" s="77">
        <f>IFERROR(VLOOKUP(A93,DataDemande!U:Z,3,FALSE),0)</f>
        <v>0</v>
      </c>
      <c r="H93" s="77">
        <f>IFERROR(VLOOKUP($A93,DataDemande!$U:$Z,4,FALSE),0)</f>
        <v>0</v>
      </c>
      <c r="I93" s="77">
        <f>IFERROR(VLOOKUP($A93,DataDemande!$U:$Z,5,FALSE),0)</f>
        <v>0</v>
      </c>
      <c r="J93" s="77">
        <f>IFERROR(VLOOKUP($A93,DataDemande!$U:$Z,6,FALSE),0)</f>
        <v>0</v>
      </c>
      <c r="K93" s="79"/>
      <c r="L93" s="77">
        <f>IFERROR(VLOOKUP($A93,DataPrixBillets!$S:$W,2,FALSE),0)</f>
        <v>0</v>
      </c>
      <c r="M93" s="77">
        <f>IFERROR(VLOOKUP($A93,DataPrixBillets!$S:$W,3,FALSE),0)</f>
        <v>0</v>
      </c>
      <c r="N93" s="77">
        <f>IFERROR(VLOOKUP($A93,DataPrixBillets!$S:$W,4,FALSE),0)</f>
        <v>0</v>
      </c>
      <c r="O93" s="77">
        <f>IFERROR(VLOOKUP($A93,DataPrixBillets!$S:$W,5,FALSE),0)</f>
        <v>0</v>
      </c>
      <c r="P93" s="79"/>
      <c r="Q93" s="77">
        <f t="shared" si="23"/>
        <v>0</v>
      </c>
      <c r="R93" s="77">
        <f t="shared" si="24"/>
        <v>0</v>
      </c>
      <c r="S93" s="77">
        <f t="shared" si="25"/>
        <v>0</v>
      </c>
      <c r="T93" s="77">
        <f t="shared" si="26"/>
        <v>0</v>
      </c>
      <c r="U93" s="79"/>
      <c r="V93" s="77">
        <f t="shared" si="27"/>
        <v>0</v>
      </c>
      <c r="W93" s="77">
        <f>IFERROR(VLOOKUP(A93,DataCoutRevenuAux!W:Y,2,FALSE),0)</f>
        <v>0</v>
      </c>
      <c r="X93" s="77">
        <f>IFERROR(VLOOKUP(A93,DataCoutRevenuAux!W:Y,3,FALSE),0)</f>
        <v>0</v>
      </c>
      <c r="Y93" s="77">
        <f t="shared" si="28"/>
        <v>0</v>
      </c>
      <c r="Z93" s="77">
        <f t="shared" si="29"/>
        <v>0</v>
      </c>
      <c r="AA93" s="77">
        <f t="shared" si="30"/>
        <v>0</v>
      </c>
      <c r="AB93" s="79"/>
      <c r="AC93" s="77">
        <f t="shared" si="31"/>
        <v>0</v>
      </c>
      <c r="AD93" s="77">
        <f t="shared" si="32"/>
        <v>0</v>
      </c>
      <c r="AE93" s="77">
        <f t="shared" si="33"/>
        <v>0</v>
      </c>
      <c r="AF93" s="79"/>
      <c r="AG93" s="6">
        <f t="shared" si="34"/>
        <v>0</v>
      </c>
      <c r="AH93" s="6">
        <f t="shared" si="35"/>
        <v>0</v>
      </c>
      <c r="AI93" s="6">
        <f t="shared" si="36"/>
        <v>0</v>
      </c>
    </row>
    <row r="94" spans="1:35" x14ac:dyDescent="0.3">
      <c r="A94" s="189">
        <f>DataDemande!U127</f>
        <v>0</v>
      </c>
      <c r="B94" t="str">
        <f t="shared" si="21"/>
        <v>0</v>
      </c>
      <c r="C94" t="str">
        <f t="shared" si="22"/>
        <v>0</v>
      </c>
      <c r="D94" s="185">
        <f>IFERROR(VLOOKUP(A94,DataCoutRevenuAux!M:Q,5,FALSE),0)</f>
        <v>0</v>
      </c>
      <c r="E94">
        <f>IFERROR(VLOOKUP(A94,DataDemande!U:Z,2,FALSE),0)</f>
        <v>0</v>
      </c>
      <c r="F94" s="79"/>
      <c r="G94" s="77">
        <f>IFERROR(VLOOKUP(A94,DataDemande!U:Z,3,FALSE),0)</f>
        <v>0</v>
      </c>
      <c r="H94" s="77">
        <f>IFERROR(VLOOKUP($A94,DataDemande!$U:$Z,4,FALSE),0)</f>
        <v>0</v>
      </c>
      <c r="I94" s="77">
        <f>IFERROR(VLOOKUP($A94,DataDemande!$U:$Z,5,FALSE),0)</f>
        <v>0</v>
      </c>
      <c r="J94" s="77">
        <f>IFERROR(VLOOKUP($A94,DataDemande!$U:$Z,6,FALSE),0)</f>
        <v>0</v>
      </c>
      <c r="K94" s="79"/>
      <c r="L94" s="77">
        <f>IFERROR(VLOOKUP($A94,DataPrixBillets!$S:$W,2,FALSE),0)</f>
        <v>0</v>
      </c>
      <c r="M94" s="77">
        <f>IFERROR(VLOOKUP($A94,DataPrixBillets!$S:$W,3,FALSE),0)</f>
        <v>0</v>
      </c>
      <c r="N94" s="77">
        <f>IFERROR(VLOOKUP($A94,DataPrixBillets!$S:$W,4,FALSE),0)</f>
        <v>0</v>
      </c>
      <c r="O94" s="77">
        <f>IFERROR(VLOOKUP($A94,DataPrixBillets!$S:$W,5,FALSE),0)</f>
        <v>0</v>
      </c>
      <c r="P94" s="79"/>
      <c r="Q94" s="77">
        <f t="shared" si="23"/>
        <v>0</v>
      </c>
      <c r="R94" s="77">
        <f t="shared" si="24"/>
        <v>0</v>
      </c>
      <c r="S94" s="77">
        <f t="shared" si="25"/>
        <v>0</v>
      </c>
      <c r="T94" s="77">
        <f t="shared" si="26"/>
        <v>0</v>
      </c>
      <c r="U94" s="79"/>
      <c r="V94" s="77">
        <f t="shared" si="27"/>
        <v>0</v>
      </c>
      <c r="W94" s="77">
        <f>IFERROR(VLOOKUP(A94,DataCoutRevenuAux!W:Y,2,FALSE),0)</f>
        <v>0</v>
      </c>
      <c r="X94" s="77">
        <f>IFERROR(VLOOKUP(A94,DataCoutRevenuAux!W:Y,3,FALSE),0)</f>
        <v>0</v>
      </c>
      <c r="Y94" s="77">
        <f t="shared" si="28"/>
        <v>0</v>
      </c>
      <c r="Z94" s="77">
        <f t="shared" si="29"/>
        <v>0</v>
      </c>
      <c r="AA94" s="77">
        <f t="shared" si="30"/>
        <v>0</v>
      </c>
      <c r="AB94" s="79"/>
      <c r="AC94" s="77">
        <f t="shared" si="31"/>
        <v>0</v>
      </c>
      <c r="AD94" s="77">
        <f t="shared" si="32"/>
        <v>0</v>
      </c>
      <c r="AE94" s="77">
        <f t="shared" si="33"/>
        <v>0</v>
      </c>
      <c r="AF94" s="79"/>
      <c r="AG94" s="6">
        <f t="shared" si="34"/>
        <v>0</v>
      </c>
      <c r="AH94" s="6">
        <f t="shared" si="35"/>
        <v>0</v>
      </c>
      <c r="AI94" s="6">
        <f t="shared" si="36"/>
        <v>0</v>
      </c>
    </row>
    <row r="95" spans="1:35" x14ac:dyDescent="0.3">
      <c r="A95" s="189">
        <f>DataDemande!U128</f>
        <v>0</v>
      </c>
      <c r="B95" t="str">
        <f t="shared" si="21"/>
        <v>0</v>
      </c>
      <c r="C95" t="str">
        <f t="shared" si="22"/>
        <v>0</v>
      </c>
      <c r="D95" s="185">
        <f>IFERROR(VLOOKUP(A95,DataCoutRevenuAux!M:Q,5,FALSE),0)</f>
        <v>0</v>
      </c>
      <c r="E95">
        <f>IFERROR(VLOOKUP(A95,DataDemande!U:Z,2,FALSE),0)</f>
        <v>0</v>
      </c>
      <c r="F95" s="79"/>
      <c r="G95" s="77">
        <f>IFERROR(VLOOKUP(A95,DataDemande!U:Z,3,FALSE),0)</f>
        <v>0</v>
      </c>
      <c r="H95" s="77">
        <f>IFERROR(VLOOKUP($A95,DataDemande!$U:$Z,4,FALSE),0)</f>
        <v>0</v>
      </c>
      <c r="I95" s="77">
        <f>IFERROR(VLOOKUP($A95,DataDemande!$U:$Z,5,FALSE),0)</f>
        <v>0</v>
      </c>
      <c r="J95" s="77">
        <f>IFERROR(VLOOKUP($A95,DataDemande!$U:$Z,6,FALSE),0)</f>
        <v>0</v>
      </c>
      <c r="K95" s="79"/>
      <c r="L95" s="77">
        <f>IFERROR(VLOOKUP($A95,DataPrixBillets!$S:$W,2,FALSE),0)</f>
        <v>0</v>
      </c>
      <c r="M95" s="77">
        <f>IFERROR(VLOOKUP($A95,DataPrixBillets!$S:$W,3,FALSE),0)</f>
        <v>0</v>
      </c>
      <c r="N95" s="77">
        <f>IFERROR(VLOOKUP($A95,DataPrixBillets!$S:$W,4,FALSE),0)</f>
        <v>0</v>
      </c>
      <c r="O95" s="77">
        <f>IFERROR(VLOOKUP($A95,DataPrixBillets!$S:$W,5,FALSE),0)</f>
        <v>0</v>
      </c>
      <c r="P95" s="79"/>
      <c r="Q95" s="77">
        <f t="shared" si="23"/>
        <v>0</v>
      </c>
      <c r="R95" s="77">
        <f t="shared" si="24"/>
        <v>0</v>
      </c>
      <c r="S95" s="77">
        <f t="shared" si="25"/>
        <v>0</v>
      </c>
      <c r="T95" s="77">
        <f t="shared" si="26"/>
        <v>0</v>
      </c>
      <c r="U95" s="79"/>
      <c r="V95" s="77">
        <f t="shared" si="27"/>
        <v>0</v>
      </c>
      <c r="W95" s="77">
        <f>IFERROR(VLOOKUP(A95,DataCoutRevenuAux!W:Y,2,FALSE),0)</f>
        <v>0</v>
      </c>
      <c r="X95" s="77">
        <f>IFERROR(VLOOKUP(A95,DataCoutRevenuAux!W:Y,3,FALSE),0)</f>
        <v>0</v>
      </c>
      <c r="Y95" s="77">
        <f t="shared" si="28"/>
        <v>0</v>
      </c>
      <c r="Z95" s="77">
        <f t="shared" si="29"/>
        <v>0</v>
      </c>
      <c r="AA95" s="77">
        <f t="shared" si="30"/>
        <v>0</v>
      </c>
      <c r="AB95" s="79"/>
      <c r="AC95" s="77">
        <f t="shared" si="31"/>
        <v>0</v>
      </c>
      <c r="AD95" s="77">
        <f t="shared" si="32"/>
        <v>0</v>
      </c>
      <c r="AE95" s="77">
        <f t="shared" si="33"/>
        <v>0</v>
      </c>
      <c r="AF95" s="79"/>
      <c r="AG95" s="6">
        <f t="shared" si="34"/>
        <v>0</v>
      </c>
      <c r="AH95" s="6">
        <f t="shared" si="35"/>
        <v>0</v>
      </c>
      <c r="AI95" s="6">
        <f t="shared" si="36"/>
        <v>0</v>
      </c>
    </row>
    <row r="96" spans="1:35" x14ac:dyDescent="0.3">
      <c r="A96" s="189">
        <f>DataDemande!U129</f>
        <v>0</v>
      </c>
      <c r="B96" t="str">
        <f t="shared" si="21"/>
        <v>0</v>
      </c>
      <c r="C96" t="str">
        <f t="shared" si="22"/>
        <v>0</v>
      </c>
      <c r="D96" s="185">
        <f>IFERROR(VLOOKUP(A96,DataCoutRevenuAux!M:Q,5,FALSE),0)</f>
        <v>0</v>
      </c>
      <c r="E96">
        <f>IFERROR(VLOOKUP(A96,DataDemande!U:Z,2,FALSE),0)</f>
        <v>0</v>
      </c>
      <c r="F96" s="79"/>
      <c r="G96" s="77">
        <f>IFERROR(VLOOKUP(A96,DataDemande!U:Z,3,FALSE),0)</f>
        <v>0</v>
      </c>
      <c r="H96" s="77">
        <f>IFERROR(VLOOKUP($A96,DataDemande!$U:$Z,4,FALSE),0)</f>
        <v>0</v>
      </c>
      <c r="I96" s="77">
        <f>IFERROR(VLOOKUP($A96,DataDemande!$U:$Z,5,FALSE),0)</f>
        <v>0</v>
      </c>
      <c r="J96" s="77">
        <f>IFERROR(VLOOKUP($A96,DataDemande!$U:$Z,6,FALSE),0)</f>
        <v>0</v>
      </c>
      <c r="K96" s="79"/>
      <c r="L96" s="77">
        <f>IFERROR(VLOOKUP($A96,DataPrixBillets!$S:$W,2,FALSE),0)</f>
        <v>0</v>
      </c>
      <c r="M96" s="77">
        <f>IFERROR(VLOOKUP($A96,DataPrixBillets!$S:$W,3,FALSE),0)</f>
        <v>0</v>
      </c>
      <c r="N96" s="77">
        <f>IFERROR(VLOOKUP($A96,DataPrixBillets!$S:$W,4,FALSE),0)</f>
        <v>0</v>
      </c>
      <c r="O96" s="77">
        <f>IFERROR(VLOOKUP($A96,DataPrixBillets!$S:$W,5,FALSE),0)</f>
        <v>0</v>
      </c>
      <c r="P96" s="79"/>
      <c r="Q96" s="77">
        <f t="shared" si="23"/>
        <v>0</v>
      </c>
      <c r="R96" s="77">
        <f t="shared" si="24"/>
        <v>0</v>
      </c>
      <c r="S96" s="77">
        <f t="shared" si="25"/>
        <v>0</v>
      </c>
      <c r="T96" s="77">
        <f t="shared" si="26"/>
        <v>0</v>
      </c>
      <c r="U96" s="79"/>
      <c r="V96" s="77">
        <f t="shared" si="27"/>
        <v>0</v>
      </c>
      <c r="W96" s="77">
        <f>IFERROR(VLOOKUP(A96,DataCoutRevenuAux!W:Y,2,FALSE),0)</f>
        <v>0</v>
      </c>
      <c r="X96" s="77">
        <f>IFERROR(VLOOKUP(A96,DataCoutRevenuAux!W:Y,3,FALSE),0)</f>
        <v>0</v>
      </c>
      <c r="Y96" s="77">
        <f t="shared" si="28"/>
        <v>0</v>
      </c>
      <c r="Z96" s="77">
        <f t="shared" si="29"/>
        <v>0</v>
      </c>
      <c r="AA96" s="77">
        <f t="shared" si="30"/>
        <v>0</v>
      </c>
      <c r="AB96" s="79"/>
      <c r="AC96" s="77">
        <f t="shared" si="31"/>
        <v>0</v>
      </c>
      <c r="AD96" s="77">
        <f t="shared" si="32"/>
        <v>0</v>
      </c>
      <c r="AE96" s="77">
        <f t="shared" si="33"/>
        <v>0</v>
      </c>
      <c r="AF96" s="79"/>
      <c r="AG96" s="6">
        <f t="shared" si="34"/>
        <v>0</v>
      </c>
      <c r="AH96" s="6">
        <f t="shared" si="35"/>
        <v>0</v>
      </c>
      <c r="AI96" s="6">
        <f t="shared" si="36"/>
        <v>0</v>
      </c>
    </row>
    <row r="97" spans="1:35" x14ac:dyDescent="0.3">
      <c r="A97" s="189">
        <f>DataDemande!U130</f>
        <v>0</v>
      </c>
      <c r="B97" t="str">
        <f t="shared" si="21"/>
        <v>0</v>
      </c>
      <c r="C97" t="str">
        <f t="shared" si="22"/>
        <v>0</v>
      </c>
      <c r="D97" s="185">
        <f>IFERROR(VLOOKUP(A97,DataCoutRevenuAux!M:Q,5,FALSE),0)</f>
        <v>0</v>
      </c>
      <c r="E97">
        <f>IFERROR(VLOOKUP(A97,DataDemande!U:Z,2,FALSE),0)</f>
        <v>0</v>
      </c>
      <c r="F97" s="79"/>
      <c r="G97" s="77">
        <f>IFERROR(VLOOKUP(A97,DataDemande!U:Z,3,FALSE),0)</f>
        <v>0</v>
      </c>
      <c r="H97" s="77">
        <f>IFERROR(VLOOKUP($A97,DataDemande!$U:$Z,4,FALSE),0)</f>
        <v>0</v>
      </c>
      <c r="I97" s="77">
        <f>IFERROR(VLOOKUP($A97,DataDemande!$U:$Z,5,FALSE),0)</f>
        <v>0</v>
      </c>
      <c r="J97" s="77">
        <f>IFERROR(VLOOKUP($A97,DataDemande!$U:$Z,6,FALSE),0)</f>
        <v>0</v>
      </c>
      <c r="K97" s="79"/>
      <c r="L97" s="77">
        <f>IFERROR(VLOOKUP($A97,DataPrixBillets!$S:$W,2,FALSE),0)</f>
        <v>0</v>
      </c>
      <c r="M97" s="77">
        <f>IFERROR(VLOOKUP($A97,DataPrixBillets!$S:$W,3,FALSE),0)</f>
        <v>0</v>
      </c>
      <c r="N97" s="77">
        <f>IFERROR(VLOOKUP($A97,DataPrixBillets!$S:$W,4,FALSE),0)</f>
        <v>0</v>
      </c>
      <c r="O97" s="77">
        <f>IFERROR(VLOOKUP($A97,DataPrixBillets!$S:$W,5,FALSE),0)</f>
        <v>0</v>
      </c>
      <c r="P97" s="79"/>
      <c r="Q97" s="77">
        <f t="shared" si="23"/>
        <v>0</v>
      </c>
      <c r="R97" s="77">
        <f t="shared" si="24"/>
        <v>0</v>
      </c>
      <c r="S97" s="77">
        <f t="shared" si="25"/>
        <v>0</v>
      </c>
      <c r="T97" s="77">
        <f t="shared" si="26"/>
        <v>0</v>
      </c>
      <c r="U97" s="79"/>
      <c r="V97" s="77">
        <f t="shared" si="27"/>
        <v>0</v>
      </c>
      <c r="W97" s="77">
        <f>IFERROR(VLOOKUP(A97,DataCoutRevenuAux!W:Y,2,FALSE),0)</f>
        <v>0</v>
      </c>
      <c r="X97" s="77">
        <f>IFERROR(VLOOKUP(A97,DataCoutRevenuAux!W:Y,3,FALSE),0)</f>
        <v>0</v>
      </c>
      <c r="Y97" s="77">
        <f t="shared" si="28"/>
        <v>0</v>
      </c>
      <c r="Z97" s="77">
        <f t="shared" si="29"/>
        <v>0</v>
      </c>
      <c r="AA97" s="77">
        <f t="shared" si="30"/>
        <v>0</v>
      </c>
      <c r="AB97" s="79"/>
      <c r="AC97" s="77">
        <f t="shared" si="31"/>
        <v>0</v>
      </c>
      <c r="AD97" s="77">
        <f t="shared" si="32"/>
        <v>0</v>
      </c>
      <c r="AE97" s="77">
        <f t="shared" si="33"/>
        <v>0</v>
      </c>
      <c r="AF97" s="79"/>
      <c r="AG97" s="6">
        <f t="shared" si="34"/>
        <v>0</v>
      </c>
      <c r="AH97" s="6">
        <f t="shared" si="35"/>
        <v>0</v>
      </c>
      <c r="AI97" s="6">
        <f t="shared" si="36"/>
        <v>0</v>
      </c>
    </row>
    <row r="98" spans="1:35" x14ac:dyDescent="0.3">
      <c r="A98" s="189">
        <f>DataDemande!U131</f>
        <v>0</v>
      </c>
      <c r="B98" t="str">
        <f t="shared" si="21"/>
        <v>0</v>
      </c>
      <c r="C98" t="str">
        <f t="shared" si="22"/>
        <v>0</v>
      </c>
      <c r="D98" s="185">
        <f>IFERROR(VLOOKUP(A98,DataCoutRevenuAux!M:Q,5,FALSE),0)</f>
        <v>0</v>
      </c>
      <c r="E98">
        <f>IFERROR(VLOOKUP(A98,DataDemande!U:Z,2,FALSE),0)</f>
        <v>0</v>
      </c>
      <c r="F98" s="79"/>
      <c r="G98" s="77">
        <f>IFERROR(VLOOKUP(A98,DataDemande!U:Z,3,FALSE),0)</f>
        <v>0</v>
      </c>
      <c r="H98" s="77">
        <f>IFERROR(VLOOKUP($A98,DataDemande!$U:$Z,4,FALSE),0)</f>
        <v>0</v>
      </c>
      <c r="I98" s="77">
        <f>IFERROR(VLOOKUP($A98,DataDemande!$U:$Z,5,FALSE),0)</f>
        <v>0</v>
      </c>
      <c r="J98" s="77">
        <f>IFERROR(VLOOKUP($A98,DataDemande!$U:$Z,6,FALSE),0)</f>
        <v>0</v>
      </c>
      <c r="K98" s="79"/>
      <c r="L98" s="77">
        <f>IFERROR(VLOOKUP($A98,DataPrixBillets!$S:$W,2,FALSE),0)</f>
        <v>0</v>
      </c>
      <c r="M98" s="77">
        <f>IFERROR(VLOOKUP($A98,DataPrixBillets!$S:$W,3,FALSE),0)</f>
        <v>0</v>
      </c>
      <c r="N98" s="77">
        <f>IFERROR(VLOOKUP($A98,DataPrixBillets!$S:$W,4,FALSE),0)</f>
        <v>0</v>
      </c>
      <c r="O98" s="77">
        <f>IFERROR(VLOOKUP($A98,DataPrixBillets!$S:$W,5,FALSE),0)</f>
        <v>0</v>
      </c>
      <c r="P98" s="79"/>
      <c r="Q98" s="77">
        <f t="shared" si="23"/>
        <v>0</v>
      </c>
      <c r="R98" s="77">
        <f t="shared" si="24"/>
        <v>0</v>
      </c>
      <c r="S98" s="77">
        <f t="shared" si="25"/>
        <v>0</v>
      </c>
      <c r="T98" s="77">
        <f t="shared" si="26"/>
        <v>0</v>
      </c>
      <c r="U98" s="79"/>
      <c r="V98" s="77">
        <f t="shared" si="27"/>
        <v>0</v>
      </c>
      <c r="W98" s="77">
        <f>IFERROR(VLOOKUP(A98,DataCoutRevenuAux!W:Y,2,FALSE),0)</f>
        <v>0</v>
      </c>
      <c r="X98" s="77">
        <f>IFERROR(VLOOKUP(A98,DataCoutRevenuAux!W:Y,3,FALSE),0)</f>
        <v>0</v>
      </c>
      <c r="Y98" s="77">
        <f t="shared" si="28"/>
        <v>0</v>
      </c>
      <c r="Z98" s="77">
        <f t="shared" si="29"/>
        <v>0</v>
      </c>
      <c r="AA98" s="77">
        <f t="shared" si="30"/>
        <v>0</v>
      </c>
      <c r="AB98" s="79"/>
      <c r="AC98" s="77">
        <f t="shared" si="31"/>
        <v>0</v>
      </c>
      <c r="AD98" s="77">
        <f t="shared" si="32"/>
        <v>0</v>
      </c>
      <c r="AE98" s="77">
        <f t="shared" si="33"/>
        <v>0</v>
      </c>
      <c r="AF98" s="79"/>
      <c r="AG98" s="6">
        <f t="shared" si="34"/>
        <v>0</v>
      </c>
      <c r="AH98" s="6">
        <f t="shared" si="35"/>
        <v>0</v>
      </c>
      <c r="AI98" s="6">
        <f t="shared" si="36"/>
        <v>0</v>
      </c>
    </row>
    <row r="99" spans="1:35" x14ac:dyDescent="0.3">
      <c r="A99" s="189">
        <f>DataDemande!U132</f>
        <v>0</v>
      </c>
      <c r="B99" t="str">
        <f t="shared" si="21"/>
        <v>0</v>
      </c>
      <c r="C99" t="str">
        <f t="shared" si="22"/>
        <v>0</v>
      </c>
      <c r="D99" s="185">
        <f>IFERROR(VLOOKUP(A99,DataCoutRevenuAux!M:Q,5,FALSE),0)</f>
        <v>0</v>
      </c>
      <c r="E99">
        <f>IFERROR(VLOOKUP(A99,DataDemande!U:Z,2,FALSE),0)</f>
        <v>0</v>
      </c>
      <c r="F99" s="79"/>
      <c r="G99" s="77">
        <f>IFERROR(VLOOKUP(A99,DataDemande!U:Z,3,FALSE),0)</f>
        <v>0</v>
      </c>
      <c r="H99" s="77">
        <f>IFERROR(VLOOKUP($A99,DataDemande!$U:$Z,4,FALSE),0)</f>
        <v>0</v>
      </c>
      <c r="I99" s="77">
        <f>IFERROR(VLOOKUP($A99,DataDemande!$U:$Z,5,FALSE),0)</f>
        <v>0</v>
      </c>
      <c r="J99" s="77">
        <f>IFERROR(VLOOKUP($A99,DataDemande!$U:$Z,6,FALSE),0)</f>
        <v>0</v>
      </c>
      <c r="K99" s="79"/>
      <c r="L99" s="77">
        <f>IFERROR(VLOOKUP($A99,DataPrixBillets!$S:$W,2,FALSE),0)</f>
        <v>0</v>
      </c>
      <c r="M99" s="77">
        <f>IFERROR(VLOOKUP($A99,DataPrixBillets!$S:$W,3,FALSE),0)</f>
        <v>0</v>
      </c>
      <c r="N99" s="77">
        <f>IFERROR(VLOOKUP($A99,DataPrixBillets!$S:$W,4,FALSE),0)</f>
        <v>0</v>
      </c>
      <c r="O99" s="77">
        <f>IFERROR(VLOOKUP($A99,DataPrixBillets!$S:$W,5,FALSE),0)</f>
        <v>0</v>
      </c>
      <c r="P99" s="79"/>
      <c r="Q99" s="77">
        <f t="shared" si="23"/>
        <v>0</v>
      </c>
      <c r="R99" s="77">
        <f t="shared" si="24"/>
        <v>0</v>
      </c>
      <c r="S99" s="77">
        <f t="shared" si="25"/>
        <v>0</v>
      </c>
      <c r="T99" s="77">
        <f t="shared" si="26"/>
        <v>0</v>
      </c>
      <c r="U99" s="79"/>
      <c r="V99" s="77">
        <f t="shared" si="27"/>
        <v>0</v>
      </c>
      <c r="W99" s="77">
        <f>IFERROR(VLOOKUP(A99,DataCoutRevenuAux!W:Y,2,FALSE),0)</f>
        <v>0</v>
      </c>
      <c r="X99" s="77">
        <f>IFERROR(VLOOKUP(A99,DataCoutRevenuAux!W:Y,3,FALSE),0)</f>
        <v>0</v>
      </c>
      <c r="Y99" s="77">
        <f t="shared" si="28"/>
        <v>0</v>
      </c>
      <c r="Z99" s="77">
        <f t="shared" si="29"/>
        <v>0</v>
      </c>
      <c r="AA99" s="77">
        <f t="shared" si="30"/>
        <v>0</v>
      </c>
      <c r="AB99" s="79"/>
      <c r="AC99" s="77">
        <f t="shared" si="31"/>
        <v>0</v>
      </c>
      <c r="AD99" s="77">
        <f t="shared" si="32"/>
        <v>0</v>
      </c>
      <c r="AE99" s="77">
        <f t="shared" si="33"/>
        <v>0</v>
      </c>
      <c r="AF99" s="79"/>
      <c r="AG99" s="6">
        <f t="shared" si="34"/>
        <v>0</v>
      </c>
      <c r="AH99" s="6">
        <f t="shared" si="35"/>
        <v>0</v>
      </c>
      <c r="AI99" s="6">
        <f t="shared" si="36"/>
        <v>0</v>
      </c>
    </row>
    <row r="100" spans="1:35" x14ac:dyDescent="0.3">
      <c r="A100" s="189">
        <f>DataDemande!U133</f>
        <v>0</v>
      </c>
      <c r="B100" t="str">
        <f t="shared" si="21"/>
        <v>0</v>
      </c>
      <c r="C100" t="str">
        <f t="shared" si="22"/>
        <v>0</v>
      </c>
      <c r="D100" s="185">
        <f>IFERROR(VLOOKUP(A100,DataCoutRevenuAux!M:Q,5,FALSE),0)</f>
        <v>0</v>
      </c>
      <c r="E100">
        <f>IFERROR(VLOOKUP(A100,DataDemande!U:Z,2,FALSE),0)</f>
        <v>0</v>
      </c>
      <c r="F100" s="79"/>
      <c r="G100" s="77">
        <f>IFERROR(VLOOKUP(A100,DataDemande!U:Z,3,FALSE),0)</f>
        <v>0</v>
      </c>
      <c r="H100" s="77">
        <f>IFERROR(VLOOKUP($A100,DataDemande!$U:$Z,4,FALSE),0)</f>
        <v>0</v>
      </c>
      <c r="I100" s="77">
        <f>IFERROR(VLOOKUP($A100,DataDemande!$U:$Z,5,FALSE),0)</f>
        <v>0</v>
      </c>
      <c r="J100" s="77">
        <f>IFERROR(VLOOKUP($A100,DataDemande!$U:$Z,6,FALSE),0)</f>
        <v>0</v>
      </c>
      <c r="K100" s="79"/>
      <c r="L100" s="77">
        <f>IFERROR(VLOOKUP($A100,DataPrixBillets!$S:$W,2,FALSE),0)</f>
        <v>0</v>
      </c>
      <c r="M100" s="77">
        <f>IFERROR(VLOOKUP($A100,DataPrixBillets!$S:$W,3,FALSE),0)</f>
        <v>0</v>
      </c>
      <c r="N100" s="77">
        <f>IFERROR(VLOOKUP($A100,DataPrixBillets!$S:$W,4,FALSE),0)</f>
        <v>0</v>
      </c>
      <c r="O100" s="77">
        <f>IFERROR(VLOOKUP($A100,DataPrixBillets!$S:$W,5,FALSE),0)</f>
        <v>0</v>
      </c>
      <c r="P100" s="79"/>
      <c r="Q100" s="77">
        <f t="shared" si="23"/>
        <v>0</v>
      </c>
      <c r="R100" s="77">
        <f t="shared" si="24"/>
        <v>0</v>
      </c>
      <c r="S100" s="77">
        <f t="shared" si="25"/>
        <v>0</v>
      </c>
      <c r="T100" s="77">
        <f t="shared" si="26"/>
        <v>0</v>
      </c>
      <c r="U100" s="79"/>
      <c r="V100" s="77">
        <f t="shared" si="27"/>
        <v>0</v>
      </c>
      <c r="W100" s="77">
        <f>IFERROR(VLOOKUP(A100,DataCoutRevenuAux!W:Y,2,FALSE),0)</f>
        <v>0</v>
      </c>
      <c r="X100" s="77">
        <f>IFERROR(VLOOKUP(A100,DataCoutRevenuAux!W:Y,3,FALSE),0)</f>
        <v>0</v>
      </c>
      <c r="Y100" s="77">
        <f t="shared" si="28"/>
        <v>0</v>
      </c>
      <c r="Z100" s="77">
        <f t="shared" si="29"/>
        <v>0</v>
      </c>
      <c r="AA100" s="77">
        <f t="shared" si="30"/>
        <v>0</v>
      </c>
      <c r="AB100" s="79"/>
      <c r="AC100" s="77">
        <f t="shared" si="31"/>
        <v>0</v>
      </c>
      <c r="AD100" s="77">
        <f t="shared" si="32"/>
        <v>0</v>
      </c>
      <c r="AE100" s="77">
        <f t="shared" si="33"/>
        <v>0</v>
      </c>
      <c r="AF100" s="79"/>
      <c r="AG100" s="6">
        <f t="shared" si="34"/>
        <v>0</v>
      </c>
      <c r="AH100" s="6">
        <f t="shared" si="35"/>
        <v>0</v>
      </c>
      <c r="AI100" s="6">
        <f t="shared" si="36"/>
        <v>0</v>
      </c>
    </row>
    <row r="101" spans="1:35" x14ac:dyDescent="0.3">
      <c r="A101" s="189">
        <f>DataDemande!U134</f>
        <v>0</v>
      </c>
      <c r="B101" t="str">
        <f t="shared" si="21"/>
        <v>0</v>
      </c>
      <c r="C101" t="str">
        <f t="shared" si="22"/>
        <v>0</v>
      </c>
      <c r="D101" s="185">
        <f>IFERROR(VLOOKUP(A101,DataCoutRevenuAux!M:Q,5,FALSE),0)</f>
        <v>0</v>
      </c>
      <c r="E101">
        <f>IFERROR(VLOOKUP(A101,DataDemande!U:Z,2,FALSE),0)</f>
        <v>0</v>
      </c>
      <c r="F101" s="79"/>
      <c r="G101" s="77">
        <f>IFERROR(VLOOKUP(A101,DataDemande!U:Z,3,FALSE),0)</f>
        <v>0</v>
      </c>
      <c r="H101" s="77">
        <f>IFERROR(VLOOKUP($A101,DataDemande!$U:$Z,4,FALSE),0)</f>
        <v>0</v>
      </c>
      <c r="I101" s="77">
        <f>IFERROR(VLOOKUP($A101,DataDemande!$U:$Z,5,FALSE),0)</f>
        <v>0</v>
      </c>
      <c r="J101" s="77">
        <f>IFERROR(VLOOKUP($A101,DataDemande!$U:$Z,6,FALSE),0)</f>
        <v>0</v>
      </c>
      <c r="K101" s="79"/>
      <c r="L101" s="77">
        <f>IFERROR(VLOOKUP($A101,DataPrixBillets!$S:$W,2,FALSE),0)</f>
        <v>0</v>
      </c>
      <c r="M101" s="77">
        <f>IFERROR(VLOOKUP($A101,DataPrixBillets!$S:$W,3,FALSE),0)</f>
        <v>0</v>
      </c>
      <c r="N101" s="77">
        <f>IFERROR(VLOOKUP($A101,DataPrixBillets!$S:$W,4,FALSE),0)</f>
        <v>0</v>
      </c>
      <c r="O101" s="77">
        <f>IFERROR(VLOOKUP($A101,DataPrixBillets!$S:$W,5,FALSE),0)</f>
        <v>0</v>
      </c>
      <c r="P101" s="79"/>
      <c r="Q101" s="77">
        <f t="shared" si="23"/>
        <v>0</v>
      </c>
      <c r="R101" s="77">
        <f t="shared" si="24"/>
        <v>0</v>
      </c>
      <c r="S101" s="77">
        <f t="shared" si="25"/>
        <v>0</v>
      </c>
      <c r="T101" s="77">
        <f t="shared" si="26"/>
        <v>0</v>
      </c>
      <c r="U101" s="79"/>
      <c r="V101" s="77">
        <f t="shared" si="27"/>
        <v>0</v>
      </c>
      <c r="W101" s="77">
        <f>IFERROR(VLOOKUP(A101,DataCoutRevenuAux!W:Y,2,FALSE),0)</f>
        <v>0</v>
      </c>
      <c r="X101" s="77">
        <f>IFERROR(VLOOKUP(A101,DataCoutRevenuAux!W:Y,3,FALSE),0)</f>
        <v>0</v>
      </c>
      <c r="Y101" s="77">
        <f t="shared" si="28"/>
        <v>0</v>
      </c>
      <c r="Z101" s="77">
        <f t="shared" si="29"/>
        <v>0</v>
      </c>
      <c r="AA101" s="77">
        <f t="shared" si="30"/>
        <v>0</v>
      </c>
      <c r="AB101" s="79"/>
      <c r="AC101" s="77">
        <f t="shared" si="31"/>
        <v>0</v>
      </c>
      <c r="AD101" s="77">
        <f>(AC101*365)/12</f>
        <v>0</v>
      </c>
      <c r="AE101" s="77">
        <f t="shared" si="33"/>
        <v>0</v>
      </c>
      <c r="AF101" s="79"/>
      <c r="AG101" s="6">
        <f t="shared" si="34"/>
        <v>0</v>
      </c>
      <c r="AH101" s="6">
        <f t="shared" si="35"/>
        <v>0</v>
      </c>
      <c r="AI101" s="6">
        <f t="shared" si="36"/>
        <v>0</v>
      </c>
    </row>
    <row r="102" spans="1:35" x14ac:dyDescent="0.3">
      <c r="A102" s="189">
        <f>DataDemande!U135</f>
        <v>0</v>
      </c>
      <c r="B102" t="str">
        <f t="shared" si="21"/>
        <v>0</v>
      </c>
      <c r="C102" t="str">
        <f t="shared" si="22"/>
        <v>0</v>
      </c>
      <c r="D102" s="189">
        <f>IFERROR(VLOOKUP(A102,DataCoutRevenuAux!M:Q,5,FALSE),0)</f>
        <v>0</v>
      </c>
      <c r="E102" s="189">
        <f>IFERROR(VLOOKUP(A102,DataDemande!U:Z,2,FALSE),0)</f>
        <v>0</v>
      </c>
      <c r="G102" s="77">
        <f>IFERROR(VLOOKUP(A102,DataDemande!U:Z,3,FALSE),0)</f>
        <v>0</v>
      </c>
      <c r="H102" s="77">
        <f>IFERROR(VLOOKUP($A102,DataDemande!$U:$Z,4,FALSE),0)</f>
        <v>0</v>
      </c>
      <c r="I102" s="77">
        <f>IFERROR(VLOOKUP($A102,DataDemande!$U:$Z,5,FALSE),0)</f>
        <v>0</v>
      </c>
      <c r="J102" s="77">
        <f>IFERROR(VLOOKUP($A102,DataDemande!$U:$Z,6,FALSE),0)</f>
        <v>0</v>
      </c>
      <c r="K102" s="79"/>
      <c r="L102" s="77">
        <f>IFERROR(VLOOKUP($A102,DataPrixBillets!$S:$W,2,FALSE),0)</f>
        <v>0</v>
      </c>
      <c r="M102" s="77">
        <f>IFERROR(VLOOKUP($A102,DataPrixBillets!$S:$W,3,FALSE),0)</f>
        <v>0</v>
      </c>
      <c r="N102" s="77">
        <f>IFERROR(VLOOKUP($A102,DataPrixBillets!$S:$W,4,FALSE),0)</f>
        <v>0</v>
      </c>
      <c r="O102" s="77">
        <f>IFERROR(VLOOKUP($A102,DataPrixBillets!$S:$W,5,FALSE),0)</f>
        <v>0</v>
      </c>
      <c r="P102" s="79"/>
      <c r="Q102" s="77">
        <f t="shared" ref="Q102:Q165" si="37">L102*G102</f>
        <v>0</v>
      </c>
      <c r="R102" s="77">
        <f t="shared" ref="R102:R165" si="38">M102*H102</f>
        <v>0</v>
      </c>
      <c r="S102" s="77">
        <f t="shared" ref="S102:S165" si="39">N102*I102</f>
        <v>0</v>
      </c>
      <c r="T102" s="77">
        <f t="shared" ref="T102:T165" si="40">O102*J102</f>
        <v>0</v>
      </c>
      <c r="U102" s="79"/>
      <c r="V102" s="77">
        <f t="shared" ref="V102:V165" si="41">(G102*L102+H102*M102+I102*N102+J102*O102)</f>
        <v>0</v>
      </c>
      <c r="W102" s="77">
        <f>IFERROR(VLOOKUP(A102,DataCoutRevenuAux!W:Y,2,FALSE),0)</f>
        <v>0</v>
      </c>
      <c r="X102" s="77">
        <f>IFERROR(VLOOKUP(A102,DataCoutRevenuAux!W:Y,3,FALSE),0)</f>
        <v>0</v>
      </c>
      <c r="Y102" s="77">
        <f t="shared" ref="Y102:Y165" si="42">V102+W102</f>
        <v>0</v>
      </c>
      <c r="Z102" s="77">
        <f t="shared" ref="Z102:Z165" si="43">Y102*(365/12)</f>
        <v>0</v>
      </c>
      <c r="AA102" s="77">
        <f t="shared" ref="AA102:AA165" si="44">Z102*12</f>
        <v>0</v>
      </c>
      <c r="AB102" s="79"/>
      <c r="AC102" s="77">
        <f t="shared" ref="AC102:AC165" si="45">V102+W102-X102</f>
        <v>0</v>
      </c>
      <c r="AD102" s="77">
        <f t="shared" ref="AD102:AD165" si="46">(AC102*365)/12</f>
        <v>0</v>
      </c>
      <c r="AE102" s="77">
        <f t="shared" ref="AE102:AE165" si="47">AD102*12</f>
        <v>0</v>
      </c>
      <c r="AF102" s="79"/>
      <c r="AG102" s="6">
        <f t="shared" ref="AG102:AG165" si="48">IFERROR(AE102/AA102,0)</f>
        <v>0</v>
      </c>
      <c r="AH102" s="6">
        <f t="shared" ref="AH102:AH165" si="49">IFERROR(W102/Y102,0)</f>
        <v>0</v>
      </c>
      <c r="AI102" s="6">
        <f t="shared" ref="AI102:AI165" si="50">IFERROR(X102/Y102,0)</f>
        <v>0</v>
      </c>
    </row>
    <row r="103" spans="1:35" x14ac:dyDescent="0.3">
      <c r="A103" s="189">
        <f>DataDemande!U136</f>
        <v>0</v>
      </c>
      <c r="B103" t="str">
        <f t="shared" si="21"/>
        <v>0</v>
      </c>
      <c r="C103" t="str">
        <f t="shared" si="22"/>
        <v>0</v>
      </c>
      <c r="D103" s="189">
        <f>IFERROR(VLOOKUP(A103,DataCoutRevenuAux!M:Q,5,FALSE),0)</f>
        <v>0</v>
      </c>
      <c r="E103" s="189">
        <f>IFERROR(VLOOKUP(A103,DataDemande!U:Z,2,FALSE),0)</f>
        <v>0</v>
      </c>
      <c r="G103" s="77">
        <f>IFERROR(VLOOKUP(A103,DataDemande!U:Z,3,FALSE),0)</f>
        <v>0</v>
      </c>
      <c r="H103" s="77">
        <f>IFERROR(VLOOKUP($A103,DataDemande!$U:$Z,4,FALSE),0)</f>
        <v>0</v>
      </c>
      <c r="I103" s="77">
        <f>IFERROR(VLOOKUP($A103,DataDemande!$U:$Z,5,FALSE),0)</f>
        <v>0</v>
      </c>
      <c r="J103" s="77">
        <f>IFERROR(VLOOKUP($A103,DataDemande!$U:$Z,6,FALSE),0)</f>
        <v>0</v>
      </c>
      <c r="K103" s="79"/>
      <c r="L103" s="77">
        <f>IFERROR(VLOOKUP($A103,DataPrixBillets!$S:$W,2,FALSE),0)</f>
        <v>0</v>
      </c>
      <c r="M103" s="77">
        <f>IFERROR(VLOOKUP($A103,DataPrixBillets!$S:$W,3,FALSE),0)</f>
        <v>0</v>
      </c>
      <c r="N103" s="77">
        <f>IFERROR(VLOOKUP($A103,DataPrixBillets!$S:$W,4,FALSE),0)</f>
        <v>0</v>
      </c>
      <c r="O103" s="77">
        <f>IFERROR(VLOOKUP($A103,DataPrixBillets!$S:$W,5,FALSE),0)</f>
        <v>0</v>
      </c>
      <c r="P103" s="79"/>
      <c r="Q103" s="77">
        <f t="shared" si="37"/>
        <v>0</v>
      </c>
      <c r="R103" s="77">
        <f t="shared" si="38"/>
        <v>0</v>
      </c>
      <c r="S103" s="77">
        <f t="shared" si="39"/>
        <v>0</v>
      </c>
      <c r="T103" s="77">
        <f t="shared" si="40"/>
        <v>0</v>
      </c>
      <c r="U103" s="79"/>
      <c r="V103" s="77">
        <f t="shared" si="41"/>
        <v>0</v>
      </c>
      <c r="W103" s="77">
        <f>IFERROR(VLOOKUP(A103,DataCoutRevenuAux!W:Y,2,FALSE),0)</f>
        <v>0</v>
      </c>
      <c r="X103" s="77">
        <f>IFERROR(VLOOKUP(A103,DataCoutRevenuAux!W:Y,3,FALSE),0)</f>
        <v>0</v>
      </c>
      <c r="Y103" s="77">
        <f t="shared" si="42"/>
        <v>0</v>
      </c>
      <c r="Z103" s="77">
        <f t="shared" si="43"/>
        <v>0</v>
      </c>
      <c r="AA103" s="77">
        <f t="shared" si="44"/>
        <v>0</v>
      </c>
      <c r="AB103" s="79"/>
      <c r="AC103" s="77">
        <f t="shared" si="45"/>
        <v>0</v>
      </c>
      <c r="AD103" s="77">
        <f t="shared" si="46"/>
        <v>0</v>
      </c>
      <c r="AE103" s="77">
        <f t="shared" si="47"/>
        <v>0</v>
      </c>
      <c r="AF103" s="79"/>
      <c r="AG103" s="6">
        <f t="shared" si="48"/>
        <v>0</v>
      </c>
      <c r="AH103" s="6">
        <f t="shared" si="49"/>
        <v>0</v>
      </c>
      <c r="AI103" s="6">
        <f t="shared" si="50"/>
        <v>0</v>
      </c>
    </row>
    <row r="104" spans="1:35" x14ac:dyDescent="0.3">
      <c r="A104" s="189">
        <f>DataDemande!U137</f>
        <v>0</v>
      </c>
      <c r="B104" t="str">
        <f t="shared" si="21"/>
        <v>0</v>
      </c>
      <c r="C104" t="str">
        <f t="shared" si="22"/>
        <v>0</v>
      </c>
      <c r="D104" s="189">
        <f>IFERROR(VLOOKUP(A104,DataCoutRevenuAux!M:Q,5,FALSE),0)</f>
        <v>0</v>
      </c>
      <c r="E104" s="189">
        <f>IFERROR(VLOOKUP(A104,DataDemande!U:Z,2,FALSE),0)</f>
        <v>0</v>
      </c>
      <c r="G104" s="77">
        <f>IFERROR(VLOOKUP(A104,DataDemande!U:Z,3,FALSE),0)</f>
        <v>0</v>
      </c>
      <c r="H104" s="77">
        <f>IFERROR(VLOOKUP($A104,DataDemande!$U:$Z,4,FALSE),0)</f>
        <v>0</v>
      </c>
      <c r="I104" s="77">
        <f>IFERROR(VLOOKUP($A104,DataDemande!$U:$Z,5,FALSE),0)</f>
        <v>0</v>
      </c>
      <c r="J104" s="77">
        <f>IFERROR(VLOOKUP($A104,DataDemande!$U:$Z,6,FALSE),0)</f>
        <v>0</v>
      </c>
      <c r="K104" s="79"/>
      <c r="L104" s="77">
        <f>IFERROR(VLOOKUP($A104,DataPrixBillets!$S:$W,2,FALSE),0)</f>
        <v>0</v>
      </c>
      <c r="M104" s="77">
        <f>IFERROR(VLOOKUP($A104,DataPrixBillets!$S:$W,3,FALSE),0)</f>
        <v>0</v>
      </c>
      <c r="N104" s="77">
        <f>IFERROR(VLOOKUP($A104,DataPrixBillets!$S:$W,4,FALSE),0)</f>
        <v>0</v>
      </c>
      <c r="O104" s="77">
        <f>IFERROR(VLOOKUP($A104,DataPrixBillets!$S:$W,5,FALSE),0)</f>
        <v>0</v>
      </c>
      <c r="P104" s="79"/>
      <c r="Q104" s="77">
        <f t="shared" si="37"/>
        <v>0</v>
      </c>
      <c r="R104" s="77">
        <f t="shared" si="38"/>
        <v>0</v>
      </c>
      <c r="S104" s="77">
        <f t="shared" si="39"/>
        <v>0</v>
      </c>
      <c r="T104" s="77">
        <f t="shared" si="40"/>
        <v>0</v>
      </c>
      <c r="U104" s="79"/>
      <c r="V104" s="77">
        <f t="shared" si="41"/>
        <v>0</v>
      </c>
      <c r="W104" s="77">
        <f>IFERROR(VLOOKUP(A104,DataCoutRevenuAux!W:Y,2,FALSE),0)</f>
        <v>0</v>
      </c>
      <c r="X104" s="77">
        <f>IFERROR(VLOOKUP(A104,DataCoutRevenuAux!W:Y,3,FALSE),0)</f>
        <v>0</v>
      </c>
      <c r="Y104" s="77">
        <f t="shared" si="42"/>
        <v>0</v>
      </c>
      <c r="Z104" s="77">
        <f t="shared" si="43"/>
        <v>0</v>
      </c>
      <c r="AA104" s="77">
        <f t="shared" si="44"/>
        <v>0</v>
      </c>
      <c r="AB104" s="79"/>
      <c r="AC104" s="77">
        <f t="shared" si="45"/>
        <v>0</v>
      </c>
      <c r="AD104" s="77">
        <f t="shared" si="46"/>
        <v>0</v>
      </c>
      <c r="AE104" s="77">
        <f t="shared" si="47"/>
        <v>0</v>
      </c>
      <c r="AF104" s="79"/>
      <c r="AG104" s="6">
        <f t="shared" si="48"/>
        <v>0</v>
      </c>
      <c r="AH104" s="6">
        <f t="shared" si="49"/>
        <v>0</v>
      </c>
      <c r="AI104" s="6">
        <f t="shared" si="50"/>
        <v>0</v>
      </c>
    </row>
    <row r="105" spans="1:35" x14ac:dyDescent="0.3">
      <c r="A105" s="189">
        <f>DataDemande!U138</f>
        <v>0</v>
      </c>
      <c r="B105" t="str">
        <f t="shared" si="21"/>
        <v>0</v>
      </c>
      <c r="C105" t="str">
        <f t="shared" si="22"/>
        <v>0</v>
      </c>
      <c r="D105" s="189">
        <f>IFERROR(VLOOKUP(A105,DataCoutRevenuAux!M:Q,5,FALSE),0)</f>
        <v>0</v>
      </c>
      <c r="E105" s="189">
        <f>IFERROR(VLOOKUP(A105,DataDemande!U:Z,2,FALSE),0)</f>
        <v>0</v>
      </c>
      <c r="G105" s="77">
        <f>IFERROR(VLOOKUP(A105,DataDemande!U:Z,3,FALSE),0)</f>
        <v>0</v>
      </c>
      <c r="H105" s="77">
        <f>IFERROR(VLOOKUP($A105,DataDemande!$U:$Z,4,FALSE),0)</f>
        <v>0</v>
      </c>
      <c r="I105" s="77">
        <f>IFERROR(VLOOKUP($A105,DataDemande!$U:$Z,5,FALSE),0)</f>
        <v>0</v>
      </c>
      <c r="J105" s="77">
        <f>IFERROR(VLOOKUP($A105,DataDemande!$U:$Z,6,FALSE),0)</f>
        <v>0</v>
      </c>
      <c r="K105" s="79"/>
      <c r="L105" s="77">
        <f>IFERROR(VLOOKUP($A105,DataPrixBillets!$S:$W,2,FALSE),0)</f>
        <v>0</v>
      </c>
      <c r="M105" s="77">
        <f>IFERROR(VLOOKUP($A105,DataPrixBillets!$S:$W,3,FALSE),0)</f>
        <v>0</v>
      </c>
      <c r="N105" s="77">
        <f>IFERROR(VLOOKUP($A105,DataPrixBillets!$S:$W,4,FALSE),0)</f>
        <v>0</v>
      </c>
      <c r="O105" s="77">
        <f>IFERROR(VLOOKUP($A105,DataPrixBillets!$S:$W,5,FALSE),0)</f>
        <v>0</v>
      </c>
      <c r="P105" s="79"/>
      <c r="Q105" s="77">
        <f t="shared" si="37"/>
        <v>0</v>
      </c>
      <c r="R105" s="77">
        <f t="shared" si="38"/>
        <v>0</v>
      </c>
      <c r="S105" s="77">
        <f t="shared" si="39"/>
        <v>0</v>
      </c>
      <c r="T105" s="77">
        <f t="shared" si="40"/>
        <v>0</v>
      </c>
      <c r="U105" s="79"/>
      <c r="V105" s="77">
        <f t="shared" si="41"/>
        <v>0</v>
      </c>
      <c r="W105" s="77">
        <f>IFERROR(VLOOKUP(A105,DataCoutRevenuAux!W:Y,2,FALSE),0)</f>
        <v>0</v>
      </c>
      <c r="X105" s="77">
        <f>IFERROR(VLOOKUP(A105,DataCoutRevenuAux!W:Y,3,FALSE),0)</f>
        <v>0</v>
      </c>
      <c r="Y105" s="77">
        <f t="shared" si="42"/>
        <v>0</v>
      </c>
      <c r="Z105" s="77">
        <f t="shared" si="43"/>
        <v>0</v>
      </c>
      <c r="AA105" s="77">
        <f t="shared" si="44"/>
        <v>0</v>
      </c>
      <c r="AB105" s="79"/>
      <c r="AC105" s="77">
        <f t="shared" si="45"/>
        <v>0</v>
      </c>
      <c r="AD105" s="77">
        <f t="shared" si="46"/>
        <v>0</v>
      </c>
      <c r="AE105" s="77">
        <f t="shared" si="47"/>
        <v>0</v>
      </c>
      <c r="AF105" s="79"/>
      <c r="AG105" s="6">
        <f t="shared" si="48"/>
        <v>0</v>
      </c>
      <c r="AH105" s="6">
        <f t="shared" si="49"/>
        <v>0</v>
      </c>
      <c r="AI105" s="6">
        <f t="shared" si="50"/>
        <v>0</v>
      </c>
    </row>
    <row r="106" spans="1:35" x14ac:dyDescent="0.3">
      <c r="A106" s="189">
        <f>DataDemande!U139</f>
        <v>0</v>
      </c>
      <c r="B106" t="str">
        <f t="shared" si="21"/>
        <v>0</v>
      </c>
      <c r="C106" t="str">
        <f t="shared" si="22"/>
        <v>0</v>
      </c>
      <c r="D106" s="189">
        <f>IFERROR(VLOOKUP(A106,DataCoutRevenuAux!M:Q,5,FALSE),0)</f>
        <v>0</v>
      </c>
      <c r="E106" s="189">
        <f>IFERROR(VLOOKUP(A106,DataDemande!U:Z,2,FALSE),0)</f>
        <v>0</v>
      </c>
      <c r="G106" s="77">
        <f>IFERROR(VLOOKUP(A106,DataDemande!U:Z,3,FALSE),0)</f>
        <v>0</v>
      </c>
      <c r="H106" s="77">
        <f>IFERROR(VLOOKUP($A106,DataDemande!$U:$Z,4,FALSE),0)</f>
        <v>0</v>
      </c>
      <c r="I106" s="77">
        <f>IFERROR(VLOOKUP($A106,DataDemande!$U:$Z,5,FALSE),0)</f>
        <v>0</v>
      </c>
      <c r="J106" s="77">
        <f>IFERROR(VLOOKUP($A106,DataDemande!$U:$Z,6,FALSE),0)</f>
        <v>0</v>
      </c>
      <c r="K106" s="79"/>
      <c r="L106" s="77">
        <f>IFERROR(VLOOKUP($A106,DataPrixBillets!$S:$W,2,FALSE),0)</f>
        <v>0</v>
      </c>
      <c r="M106" s="77">
        <f>IFERROR(VLOOKUP($A106,DataPrixBillets!$S:$W,3,FALSE),0)</f>
        <v>0</v>
      </c>
      <c r="N106" s="77">
        <f>IFERROR(VLOOKUP($A106,DataPrixBillets!$S:$W,4,FALSE),0)</f>
        <v>0</v>
      </c>
      <c r="O106" s="77">
        <f>IFERROR(VLOOKUP($A106,DataPrixBillets!$S:$W,5,FALSE),0)</f>
        <v>0</v>
      </c>
      <c r="P106" s="79"/>
      <c r="Q106" s="77">
        <f t="shared" si="37"/>
        <v>0</v>
      </c>
      <c r="R106" s="77">
        <f t="shared" si="38"/>
        <v>0</v>
      </c>
      <c r="S106" s="77">
        <f t="shared" si="39"/>
        <v>0</v>
      </c>
      <c r="T106" s="77">
        <f t="shared" si="40"/>
        <v>0</v>
      </c>
      <c r="U106" s="79"/>
      <c r="V106" s="77">
        <f t="shared" si="41"/>
        <v>0</v>
      </c>
      <c r="W106" s="77">
        <f>IFERROR(VLOOKUP(A106,DataCoutRevenuAux!W:Y,2,FALSE),0)</f>
        <v>0</v>
      </c>
      <c r="X106" s="77">
        <f>IFERROR(VLOOKUP(A106,DataCoutRevenuAux!W:Y,3,FALSE),0)</f>
        <v>0</v>
      </c>
      <c r="Y106" s="77">
        <f t="shared" si="42"/>
        <v>0</v>
      </c>
      <c r="Z106" s="77">
        <f t="shared" si="43"/>
        <v>0</v>
      </c>
      <c r="AA106" s="77">
        <f t="shared" si="44"/>
        <v>0</v>
      </c>
      <c r="AB106" s="79"/>
      <c r="AC106" s="77">
        <f t="shared" si="45"/>
        <v>0</v>
      </c>
      <c r="AD106" s="77">
        <f t="shared" si="46"/>
        <v>0</v>
      </c>
      <c r="AE106" s="77">
        <f t="shared" si="47"/>
        <v>0</v>
      </c>
      <c r="AF106" s="79"/>
      <c r="AG106" s="6">
        <f t="shared" si="48"/>
        <v>0</v>
      </c>
      <c r="AH106" s="6">
        <f t="shared" si="49"/>
        <v>0</v>
      </c>
      <c r="AI106" s="6">
        <f t="shared" si="50"/>
        <v>0</v>
      </c>
    </row>
    <row r="107" spans="1:35" x14ac:dyDescent="0.3">
      <c r="A107" s="189">
        <f>DataDemande!U140</f>
        <v>0</v>
      </c>
      <c r="B107" t="str">
        <f t="shared" si="21"/>
        <v>0</v>
      </c>
      <c r="C107" t="str">
        <f t="shared" si="22"/>
        <v>0</v>
      </c>
      <c r="D107" s="189">
        <f>IFERROR(VLOOKUP(A107,DataCoutRevenuAux!M:Q,5,FALSE),0)</f>
        <v>0</v>
      </c>
      <c r="E107" s="189">
        <f>IFERROR(VLOOKUP(A107,DataDemande!U:Z,2,FALSE),0)</f>
        <v>0</v>
      </c>
      <c r="G107" s="77">
        <f>IFERROR(VLOOKUP(A107,DataDemande!U:Z,3,FALSE),0)</f>
        <v>0</v>
      </c>
      <c r="H107" s="77">
        <f>IFERROR(VLOOKUP($A107,DataDemande!$U:$Z,4,FALSE),0)</f>
        <v>0</v>
      </c>
      <c r="I107" s="77">
        <f>IFERROR(VLOOKUP($A107,DataDemande!$U:$Z,5,FALSE),0)</f>
        <v>0</v>
      </c>
      <c r="J107" s="77">
        <f>IFERROR(VLOOKUP($A107,DataDemande!$U:$Z,6,FALSE),0)</f>
        <v>0</v>
      </c>
      <c r="K107" s="79"/>
      <c r="L107" s="77">
        <f>IFERROR(VLOOKUP($A107,DataPrixBillets!$S:$W,2,FALSE),0)</f>
        <v>0</v>
      </c>
      <c r="M107" s="77">
        <f>IFERROR(VLOOKUP($A107,DataPrixBillets!$S:$W,3,FALSE),0)</f>
        <v>0</v>
      </c>
      <c r="N107" s="77">
        <f>IFERROR(VLOOKUP($A107,DataPrixBillets!$S:$W,4,FALSE),0)</f>
        <v>0</v>
      </c>
      <c r="O107" s="77">
        <f>IFERROR(VLOOKUP($A107,DataPrixBillets!$S:$W,5,FALSE),0)</f>
        <v>0</v>
      </c>
      <c r="P107" s="79"/>
      <c r="Q107" s="77">
        <f t="shared" si="37"/>
        <v>0</v>
      </c>
      <c r="R107" s="77">
        <f t="shared" si="38"/>
        <v>0</v>
      </c>
      <c r="S107" s="77">
        <f t="shared" si="39"/>
        <v>0</v>
      </c>
      <c r="T107" s="77">
        <f t="shared" si="40"/>
        <v>0</v>
      </c>
      <c r="U107" s="79"/>
      <c r="V107" s="77">
        <f t="shared" si="41"/>
        <v>0</v>
      </c>
      <c r="W107" s="77">
        <f>IFERROR(VLOOKUP(A107,DataCoutRevenuAux!W:Y,2,FALSE),0)</f>
        <v>0</v>
      </c>
      <c r="X107" s="77">
        <f>IFERROR(VLOOKUP(A107,DataCoutRevenuAux!W:Y,3,FALSE),0)</f>
        <v>0</v>
      </c>
      <c r="Y107" s="77">
        <f t="shared" si="42"/>
        <v>0</v>
      </c>
      <c r="Z107" s="77">
        <f t="shared" si="43"/>
        <v>0</v>
      </c>
      <c r="AA107" s="77">
        <f t="shared" si="44"/>
        <v>0</v>
      </c>
      <c r="AB107" s="79"/>
      <c r="AC107" s="77">
        <f t="shared" si="45"/>
        <v>0</v>
      </c>
      <c r="AD107" s="77">
        <f t="shared" si="46"/>
        <v>0</v>
      </c>
      <c r="AE107" s="77">
        <f t="shared" si="47"/>
        <v>0</v>
      </c>
      <c r="AF107" s="79"/>
      <c r="AG107" s="6">
        <f t="shared" si="48"/>
        <v>0</v>
      </c>
      <c r="AH107" s="6">
        <f t="shared" si="49"/>
        <v>0</v>
      </c>
      <c r="AI107" s="6">
        <f t="shared" si="50"/>
        <v>0</v>
      </c>
    </row>
    <row r="108" spans="1:35" x14ac:dyDescent="0.3">
      <c r="A108" s="189">
        <f>DataDemande!U141</f>
        <v>0</v>
      </c>
      <c r="B108" t="str">
        <f t="shared" si="21"/>
        <v>0</v>
      </c>
      <c r="C108" t="str">
        <f t="shared" si="22"/>
        <v>0</v>
      </c>
      <c r="D108" s="189">
        <f>IFERROR(VLOOKUP(A108,DataCoutRevenuAux!M:Q,5,FALSE),0)</f>
        <v>0</v>
      </c>
      <c r="E108" s="189">
        <f>IFERROR(VLOOKUP(A108,DataDemande!U:Z,2,FALSE),0)</f>
        <v>0</v>
      </c>
      <c r="G108" s="77">
        <f>IFERROR(VLOOKUP(A108,DataDemande!U:Z,3,FALSE),0)</f>
        <v>0</v>
      </c>
      <c r="H108" s="77">
        <f>IFERROR(VLOOKUP($A108,DataDemande!$U:$Z,4,FALSE),0)</f>
        <v>0</v>
      </c>
      <c r="I108" s="77">
        <f>IFERROR(VLOOKUP($A108,DataDemande!$U:$Z,5,FALSE),0)</f>
        <v>0</v>
      </c>
      <c r="J108" s="77">
        <f>IFERROR(VLOOKUP($A108,DataDemande!$U:$Z,6,FALSE),0)</f>
        <v>0</v>
      </c>
      <c r="K108" s="79"/>
      <c r="L108" s="77">
        <f>IFERROR(VLOOKUP($A108,DataPrixBillets!$S:$W,2,FALSE),0)</f>
        <v>0</v>
      </c>
      <c r="M108" s="77">
        <f>IFERROR(VLOOKUP($A108,DataPrixBillets!$S:$W,3,FALSE),0)</f>
        <v>0</v>
      </c>
      <c r="N108" s="77">
        <f>IFERROR(VLOOKUP($A108,DataPrixBillets!$S:$W,4,FALSE),0)</f>
        <v>0</v>
      </c>
      <c r="O108" s="77">
        <f>IFERROR(VLOOKUP($A108,DataPrixBillets!$S:$W,5,FALSE),0)</f>
        <v>0</v>
      </c>
      <c r="P108" s="79"/>
      <c r="Q108" s="77">
        <f t="shared" si="37"/>
        <v>0</v>
      </c>
      <c r="R108" s="77">
        <f t="shared" si="38"/>
        <v>0</v>
      </c>
      <c r="S108" s="77">
        <f t="shared" si="39"/>
        <v>0</v>
      </c>
      <c r="T108" s="77">
        <f t="shared" si="40"/>
        <v>0</v>
      </c>
      <c r="U108" s="79"/>
      <c r="V108" s="77">
        <f t="shared" si="41"/>
        <v>0</v>
      </c>
      <c r="W108" s="77">
        <f>IFERROR(VLOOKUP(A108,DataCoutRevenuAux!W:Y,2,FALSE),0)</f>
        <v>0</v>
      </c>
      <c r="X108" s="77">
        <f>IFERROR(VLOOKUP(A108,DataCoutRevenuAux!W:Y,3,FALSE),0)</f>
        <v>0</v>
      </c>
      <c r="Y108" s="77">
        <f t="shared" si="42"/>
        <v>0</v>
      </c>
      <c r="Z108" s="77">
        <f t="shared" si="43"/>
        <v>0</v>
      </c>
      <c r="AA108" s="77">
        <f t="shared" si="44"/>
        <v>0</v>
      </c>
      <c r="AB108" s="79"/>
      <c r="AC108" s="77">
        <f t="shared" si="45"/>
        <v>0</v>
      </c>
      <c r="AD108" s="77">
        <f t="shared" si="46"/>
        <v>0</v>
      </c>
      <c r="AE108" s="77">
        <f t="shared" si="47"/>
        <v>0</v>
      </c>
      <c r="AF108" s="79"/>
      <c r="AG108" s="6">
        <f t="shared" si="48"/>
        <v>0</v>
      </c>
      <c r="AH108" s="6">
        <f t="shared" si="49"/>
        <v>0</v>
      </c>
      <c r="AI108" s="6">
        <f t="shared" si="50"/>
        <v>0</v>
      </c>
    </row>
    <row r="109" spans="1:35" x14ac:dyDescent="0.3">
      <c r="A109" s="189">
        <f>DataDemande!U142</f>
        <v>0</v>
      </c>
      <c r="B109" t="str">
        <f t="shared" si="21"/>
        <v>0</v>
      </c>
      <c r="C109" t="str">
        <f t="shared" si="22"/>
        <v>0</v>
      </c>
      <c r="D109" s="189">
        <f>IFERROR(VLOOKUP(A109,DataCoutRevenuAux!M:Q,5,FALSE),0)</f>
        <v>0</v>
      </c>
      <c r="E109" s="189">
        <f>IFERROR(VLOOKUP(A109,DataDemande!U:Z,2,FALSE),0)</f>
        <v>0</v>
      </c>
      <c r="G109" s="77">
        <f>IFERROR(VLOOKUP(A109,DataDemande!U:Z,3,FALSE),0)</f>
        <v>0</v>
      </c>
      <c r="H109" s="77">
        <f>IFERROR(VLOOKUP($A109,DataDemande!$U:$Z,4,FALSE),0)</f>
        <v>0</v>
      </c>
      <c r="I109" s="77">
        <f>IFERROR(VLOOKUP($A109,DataDemande!$U:$Z,5,FALSE),0)</f>
        <v>0</v>
      </c>
      <c r="J109" s="77">
        <f>IFERROR(VLOOKUP($A109,DataDemande!$U:$Z,6,FALSE),0)</f>
        <v>0</v>
      </c>
      <c r="K109" s="79"/>
      <c r="L109" s="77">
        <f>IFERROR(VLOOKUP($A109,DataPrixBillets!$S:$W,2,FALSE),0)</f>
        <v>0</v>
      </c>
      <c r="M109" s="77">
        <f>IFERROR(VLOOKUP($A109,DataPrixBillets!$S:$W,3,FALSE),0)</f>
        <v>0</v>
      </c>
      <c r="N109" s="77">
        <f>IFERROR(VLOOKUP($A109,DataPrixBillets!$S:$W,4,FALSE),0)</f>
        <v>0</v>
      </c>
      <c r="O109" s="77">
        <f>IFERROR(VLOOKUP($A109,DataPrixBillets!$S:$W,5,FALSE),0)</f>
        <v>0</v>
      </c>
      <c r="P109" s="79"/>
      <c r="Q109" s="77">
        <f t="shared" si="37"/>
        <v>0</v>
      </c>
      <c r="R109" s="77">
        <f t="shared" si="38"/>
        <v>0</v>
      </c>
      <c r="S109" s="77">
        <f t="shared" si="39"/>
        <v>0</v>
      </c>
      <c r="T109" s="77">
        <f t="shared" si="40"/>
        <v>0</v>
      </c>
      <c r="U109" s="79"/>
      <c r="V109" s="77">
        <f t="shared" si="41"/>
        <v>0</v>
      </c>
      <c r="W109" s="77">
        <f>IFERROR(VLOOKUP(A109,DataCoutRevenuAux!W:Y,2,FALSE),0)</f>
        <v>0</v>
      </c>
      <c r="X109" s="77">
        <f>IFERROR(VLOOKUP(A109,DataCoutRevenuAux!W:Y,3,FALSE),0)</f>
        <v>0</v>
      </c>
      <c r="Y109" s="77">
        <f t="shared" si="42"/>
        <v>0</v>
      </c>
      <c r="Z109" s="77">
        <f t="shared" si="43"/>
        <v>0</v>
      </c>
      <c r="AA109" s="77">
        <f t="shared" si="44"/>
        <v>0</v>
      </c>
      <c r="AB109" s="79"/>
      <c r="AC109" s="77">
        <f t="shared" si="45"/>
        <v>0</v>
      </c>
      <c r="AD109" s="77">
        <f t="shared" si="46"/>
        <v>0</v>
      </c>
      <c r="AE109" s="77">
        <f t="shared" si="47"/>
        <v>0</v>
      </c>
      <c r="AF109" s="79"/>
      <c r="AG109" s="6">
        <f t="shared" si="48"/>
        <v>0</v>
      </c>
      <c r="AH109" s="6">
        <f t="shared" si="49"/>
        <v>0</v>
      </c>
      <c r="AI109" s="6">
        <f t="shared" si="50"/>
        <v>0</v>
      </c>
    </row>
    <row r="110" spans="1:35" x14ac:dyDescent="0.3">
      <c r="A110" s="189">
        <f>DataDemande!U143</f>
        <v>0</v>
      </c>
      <c r="B110" s="185" t="str">
        <f t="shared" ref="B110:B117" si="51">LEFT(A110,3)</f>
        <v>0</v>
      </c>
      <c r="C110" s="185" t="str">
        <f t="shared" ref="C110:C117" si="52">RIGHT(A110,3)</f>
        <v>0</v>
      </c>
      <c r="D110" s="189">
        <f>IFERROR(VLOOKUP(A110,DataCoutRevenuAux!M:Q,5,FALSE),0)</f>
        <v>0</v>
      </c>
      <c r="E110" s="189">
        <f>IFERROR(VLOOKUP(A110,DataDemande!U:Z,2,FALSE),0)</f>
        <v>0</v>
      </c>
      <c r="G110" s="77">
        <f>IFERROR(VLOOKUP(A110,DataDemande!U:Z,3,FALSE),0)</f>
        <v>0</v>
      </c>
      <c r="H110" s="77">
        <f>IFERROR(VLOOKUP($A110,DataDemande!$U:$Z,4,FALSE),0)</f>
        <v>0</v>
      </c>
      <c r="I110" s="77">
        <f>IFERROR(VLOOKUP($A110,DataDemande!$U:$Z,5,FALSE),0)</f>
        <v>0</v>
      </c>
      <c r="J110" s="77">
        <f>IFERROR(VLOOKUP($A110,DataDemande!$U:$Z,6,FALSE),0)</f>
        <v>0</v>
      </c>
      <c r="K110" s="79"/>
      <c r="L110" s="77">
        <f>IFERROR(VLOOKUP($A110,DataPrixBillets!$S:$W,2,FALSE),0)</f>
        <v>0</v>
      </c>
      <c r="M110" s="77">
        <f>IFERROR(VLOOKUP($A110,DataPrixBillets!$S:$W,3,FALSE),0)</f>
        <v>0</v>
      </c>
      <c r="N110" s="77">
        <f>IFERROR(VLOOKUP($A110,DataPrixBillets!$S:$W,4,FALSE),0)</f>
        <v>0</v>
      </c>
      <c r="O110" s="77">
        <f>IFERROR(VLOOKUP($A110,DataPrixBillets!$S:$W,5,FALSE),0)</f>
        <v>0</v>
      </c>
      <c r="P110" s="79"/>
      <c r="Q110" s="77">
        <f t="shared" si="37"/>
        <v>0</v>
      </c>
      <c r="R110" s="77">
        <f t="shared" si="38"/>
        <v>0</v>
      </c>
      <c r="S110" s="77">
        <f t="shared" si="39"/>
        <v>0</v>
      </c>
      <c r="T110" s="77">
        <f t="shared" si="40"/>
        <v>0</v>
      </c>
      <c r="U110" s="79"/>
      <c r="V110" s="77">
        <f t="shared" si="41"/>
        <v>0</v>
      </c>
      <c r="W110" s="77">
        <f>IFERROR(VLOOKUP(A110,DataCoutRevenuAux!W:Y,2,FALSE),0)</f>
        <v>0</v>
      </c>
      <c r="X110" s="77">
        <f>IFERROR(VLOOKUP(A110,DataCoutRevenuAux!W:Y,3,FALSE),0)</f>
        <v>0</v>
      </c>
      <c r="Y110" s="77">
        <f t="shared" si="42"/>
        <v>0</v>
      </c>
      <c r="Z110" s="77">
        <f t="shared" si="43"/>
        <v>0</v>
      </c>
      <c r="AA110" s="77">
        <f t="shared" si="44"/>
        <v>0</v>
      </c>
      <c r="AB110" s="79"/>
      <c r="AC110" s="77">
        <f t="shared" si="45"/>
        <v>0</v>
      </c>
      <c r="AD110" s="77">
        <f t="shared" si="46"/>
        <v>0</v>
      </c>
      <c r="AE110" s="77">
        <f t="shared" si="47"/>
        <v>0</v>
      </c>
      <c r="AF110" s="79"/>
      <c r="AG110" s="6">
        <f t="shared" si="48"/>
        <v>0</v>
      </c>
      <c r="AH110" s="6">
        <f t="shared" si="49"/>
        <v>0</v>
      </c>
      <c r="AI110" s="6">
        <f t="shared" si="50"/>
        <v>0</v>
      </c>
    </row>
    <row r="111" spans="1:35" x14ac:dyDescent="0.3">
      <c r="A111" s="189">
        <f>DataDemande!U144</f>
        <v>0</v>
      </c>
      <c r="B111" s="185" t="str">
        <f t="shared" si="51"/>
        <v>0</v>
      </c>
      <c r="C111" s="185" t="str">
        <f t="shared" si="52"/>
        <v>0</v>
      </c>
      <c r="D111" s="189">
        <f>IFERROR(VLOOKUP(A111,DataCoutRevenuAux!M:Q,5,FALSE),0)</f>
        <v>0</v>
      </c>
      <c r="E111" s="189">
        <f>IFERROR(VLOOKUP(A111,DataDemande!U:Z,2,FALSE),0)</f>
        <v>0</v>
      </c>
      <c r="G111" s="77">
        <f>IFERROR(VLOOKUP(A111,DataDemande!U:Z,3,FALSE),0)</f>
        <v>0</v>
      </c>
      <c r="H111" s="77">
        <f>IFERROR(VLOOKUP($A111,DataDemande!$U:$Z,4,FALSE),0)</f>
        <v>0</v>
      </c>
      <c r="I111" s="77">
        <f>IFERROR(VLOOKUP($A111,DataDemande!$U:$Z,5,FALSE),0)</f>
        <v>0</v>
      </c>
      <c r="J111" s="77">
        <f>IFERROR(VLOOKUP($A111,DataDemande!$U:$Z,6,FALSE),0)</f>
        <v>0</v>
      </c>
      <c r="K111" s="79"/>
      <c r="L111" s="77">
        <f>IFERROR(VLOOKUP($A111,DataPrixBillets!$S:$W,2,FALSE),0)</f>
        <v>0</v>
      </c>
      <c r="M111" s="77">
        <f>IFERROR(VLOOKUP($A111,DataPrixBillets!$S:$W,3,FALSE),0)</f>
        <v>0</v>
      </c>
      <c r="N111" s="77">
        <f>IFERROR(VLOOKUP($A111,DataPrixBillets!$S:$W,4,FALSE),0)</f>
        <v>0</v>
      </c>
      <c r="O111" s="77">
        <f>IFERROR(VLOOKUP($A111,DataPrixBillets!$S:$W,5,FALSE),0)</f>
        <v>0</v>
      </c>
      <c r="P111" s="79"/>
      <c r="Q111" s="77">
        <f t="shared" si="37"/>
        <v>0</v>
      </c>
      <c r="R111" s="77">
        <f t="shared" si="38"/>
        <v>0</v>
      </c>
      <c r="S111" s="77">
        <f t="shared" si="39"/>
        <v>0</v>
      </c>
      <c r="T111" s="77">
        <f t="shared" si="40"/>
        <v>0</v>
      </c>
      <c r="U111" s="79"/>
      <c r="V111" s="77">
        <f t="shared" si="41"/>
        <v>0</v>
      </c>
      <c r="W111" s="77">
        <f>IFERROR(VLOOKUP(A111,DataCoutRevenuAux!W:Y,2,FALSE),0)</f>
        <v>0</v>
      </c>
      <c r="X111" s="77">
        <f>IFERROR(VLOOKUP(A111,DataCoutRevenuAux!W:Y,3,FALSE),0)</f>
        <v>0</v>
      </c>
      <c r="Y111" s="77">
        <f t="shared" si="42"/>
        <v>0</v>
      </c>
      <c r="Z111" s="77">
        <f t="shared" si="43"/>
        <v>0</v>
      </c>
      <c r="AA111" s="77">
        <f t="shared" si="44"/>
        <v>0</v>
      </c>
      <c r="AB111" s="79"/>
      <c r="AC111" s="77">
        <f t="shared" si="45"/>
        <v>0</v>
      </c>
      <c r="AD111" s="77">
        <f t="shared" si="46"/>
        <v>0</v>
      </c>
      <c r="AE111" s="77">
        <f t="shared" si="47"/>
        <v>0</v>
      </c>
      <c r="AF111" s="79"/>
      <c r="AG111" s="6">
        <f t="shared" si="48"/>
        <v>0</v>
      </c>
      <c r="AH111" s="6">
        <f t="shared" si="49"/>
        <v>0</v>
      </c>
      <c r="AI111" s="6">
        <f t="shared" si="50"/>
        <v>0</v>
      </c>
    </row>
    <row r="112" spans="1:35" x14ac:dyDescent="0.3">
      <c r="A112" s="189">
        <f>DataDemande!U145</f>
        <v>0</v>
      </c>
      <c r="B112" s="185" t="str">
        <f t="shared" si="51"/>
        <v>0</v>
      </c>
      <c r="C112" s="185" t="str">
        <f t="shared" si="52"/>
        <v>0</v>
      </c>
      <c r="D112" s="189">
        <f>IFERROR(VLOOKUP(A112,DataCoutRevenuAux!M:Q,5,FALSE),0)</f>
        <v>0</v>
      </c>
      <c r="E112" s="189">
        <f>IFERROR(VLOOKUP(A112,DataDemande!U:Z,2,FALSE),0)</f>
        <v>0</v>
      </c>
      <c r="G112" s="77">
        <f>IFERROR(VLOOKUP(A112,DataDemande!U:Z,3,FALSE),0)</f>
        <v>0</v>
      </c>
      <c r="H112" s="77">
        <f>IFERROR(VLOOKUP($A112,DataDemande!$U:$Z,4,FALSE),0)</f>
        <v>0</v>
      </c>
      <c r="I112" s="77">
        <f>IFERROR(VLOOKUP($A112,DataDemande!$U:$Z,5,FALSE),0)</f>
        <v>0</v>
      </c>
      <c r="J112" s="77">
        <f>IFERROR(VLOOKUP($A112,DataDemande!$U:$Z,6,FALSE),0)</f>
        <v>0</v>
      </c>
      <c r="K112" s="79"/>
      <c r="L112" s="77">
        <f>IFERROR(VLOOKUP($A112,DataPrixBillets!$S:$W,2,FALSE),0)</f>
        <v>0</v>
      </c>
      <c r="M112" s="77">
        <f>IFERROR(VLOOKUP($A112,DataPrixBillets!$S:$W,3,FALSE),0)</f>
        <v>0</v>
      </c>
      <c r="N112" s="77">
        <f>IFERROR(VLOOKUP($A112,DataPrixBillets!$S:$W,4,FALSE),0)</f>
        <v>0</v>
      </c>
      <c r="O112" s="77">
        <f>IFERROR(VLOOKUP($A112,DataPrixBillets!$S:$W,5,FALSE),0)</f>
        <v>0</v>
      </c>
      <c r="P112" s="79"/>
      <c r="Q112" s="77">
        <f t="shared" si="37"/>
        <v>0</v>
      </c>
      <c r="R112" s="77">
        <f t="shared" si="38"/>
        <v>0</v>
      </c>
      <c r="S112" s="77">
        <f t="shared" si="39"/>
        <v>0</v>
      </c>
      <c r="T112" s="77">
        <f t="shared" si="40"/>
        <v>0</v>
      </c>
      <c r="U112" s="79"/>
      <c r="V112" s="77">
        <f t="shared" si="41"/>
        <v>0</v>
      </c>
      <c r="W112" s="77">
        <f>IFERROR(VLOOKUP(A112,DataCoutRevenuAux!W:Y,2,FALSE),0)</f>
        <v>0</v>
      </c>
      <c r="X112" s="77">
        <f>IFERROR(VLOOKUP(A112,DataCoutRevenuAux!W:Y,3,FALSE),0)</f>
        <v>0</v>
      </c>
      <c r="Y112" s="77">
        <f t="shared" si="42"/>
        <v>0</v>
      </c>
      <c r="Z112" s="77">
        <f t="shared" si="43"/>
        <v>0</v>
      </c>
      <c r="AA112" s="77">
        <f t="shared" si="44"/>
        <v>0</v>
      </c>
      <c r="AB112" s="79"/>
      <c r="AC112" s="77">
        <f t="shared" si="45"/>
        <v>0</v>
      </c>
      <c r="AD112" s="77">
        <f t="shared" si="46"/>
        <v>0</v>
      </c>
      <c r="AE112" s="77">
        <f t="shared" si="47"/>
        <v>0</v>
      </c>
      <c r="AF112" s="79"/>
      <c r="AG112" s="6">
        <f t="shared" si="48"/>
        <v>0</v>
      </c>
      <c r="AH112" s="6">
        <f t="shared" si="49"/>
        <v>0</v>
      </c>
      <c r="AI112" s="6">
        <f t="shared" si="50"/>
        <v>0</v>
      </c>
    </row>
    <row r="113" spans="1:35" x14ac:dyDescent="0.3">
      <c r="A113" s="189">
        <f>DataDemande!U146</f>
        <v>0</v>
      </c>
      <c r="B113" s="185" t="str">
        <f t="shared" si="51"/>
        <v>0</v>
      </c>
      <c r="C113" s="185" t="str">
        <f t="shared" si="52"/>
        <v>0</v>
      </c>
      <c r="D113" s="189">
        <f>IFERROR(VLOOKUP(A113,DataCoutRevenuAux!M:Q,5,FALSE),0)</f>
        <v>0</v>
      </c>
      <c r="E113" s="189">
        <f>IFERROR(VLOOKUP(A113,DataDemande!U:Z,2,FALSE),0)</f>
        <v>0</v>
      </c>
      <c r="G113" s="77">
        <f>IFERROR(VLOOKUP(A113,DataDemande!U:Z,3,FALSE),0)</f>
        <v>0</v>
      </c>
      <c r="H113" s="77">
        <f>IFERROR(VLOOKUP($A113,DataDemande!$U:$Z,4,FALSE),0)</f>
        <v>0</v>
      </c>
      <c r="I113" s="77">
        <f>IFERROR(VLOOKUP($A113,DataDemande!$U:$Z,5,FALSE),0)</f>
        <v>0</v>
      </c>
      <c r="J113" s="77">
        <f>IFERROR(VLOOKUP($A113,DataDemande!$U:$Z,6,FALSE),0)</f>
        <v>0</v>
      </c>
      <c r="K113" s="79"/>
      <c r="L113" s="77">
        <f>IFERROR(VLOOKUP($A113,DataPrixBillets!$S:$W,2,FALSE),0)</f>
        <v>0</v>
      </c>
      <c r="M113" s="77">
        <f>IFERROR(VLOOKUP($A113,DataPrixBillets!$S:$W,3,FALSE),0)</f>
        <v>0</v>
      </c>
      <c r="N113" s="77">
        <f>IFERROR(VLOOKUP($A113,DataPrixBillets!$S:$W,4,FALSE),0)</f>
        <v>0</v>
      </c>
      <c r="O113" s="77">
        <f>IFERROR(VLOOKUP($A113,DataPrixBillets!$S:$W,5,FALSE),0)</f>
        <v>0</v>
      </c>
      <c r="P113" s="79"/>
      <c r="Q113" s="77">
        <f t="shared" si="37"/>
        <v>0</v>
      </c>
      <c r="R113" s="77">
        <f t="shared" si="38"/>
        <v>0</v>
      </c>
      <c r="S113" s="77">
        <f t="shared" si="39"/>
        <v>0</v>
      </c>
      <c r="T113" s="77">
        <f t="shared" si="40"/>
        <v>0</v>
      </c>
      <c r="U113" s="79"/>
      <c r="V113" s="77">
        <f t="shared" si="41"/>
        <v>0</v>
      </c>
      <c r="W113" s="77">
        <f>IFERROR(VLOOKUP(A113,DataCoutRevenuAux!W:Y,2,FALSE),0)</f>
        <v>0</v>
      </c>
      <c r="X113" s="77">
        <f>IFERROR(VLOOKUP(A113,DataCoutRevenuAux!W:Y,3,FALSE),0)</f>
        <v>0</v>
      </c>
      <c r="Y113" s="77">
        <f t="shared" si="42"/>
        <v>0</v>
      </c>
      <c r="Z113" s="77">
        <f t="shared" si="43"/>
        <v>0</v>
      </c>
      <c r="AA113" s="77">
        <f t="shared" si="44"/>
        <v>0</v>
      </c>
      <c r="AB113" s="79"/>
      <c r="AC113" s="77">
        <f t="shared" si="45"/>
        <v>0</v>
      </c>
      <c r="AD113" s="77">
        <f t="shared" si="46"/>
        <v>0</v>
      </c>
      <c r="AE113" s="77">
        <f t="shared" si="47"/>
        <v>0</v>
      </c>
      <c r="AF113" s="79"/>
      <c r="AG113" s="6">
        <f t="shared" si="48"/>
        <v>0</v>
      </c>
      <c r="AH113" s="6">
        <f t="shared" si="49"/>
        <v>0</v>
      </c>
      <c r="AI113" s="6">
        <f t="shared" si="50"/>
        <v>0</v>
      </c>
    </row>
    <row r="114" spans="1:35" x14ac:dyDescent="0.3">
      <c r="A114" s="189">
        <f>DataDemande!U147</f>
        <v>0</v>
      </c>
      <c r="B114" s="185" t="str">
        <f t="shared" si="51"/>
        <v>0</v>
      </c>
      <c r="C114" s="185" t="str">
        <f t="shared" si="52"/>
        <v>0</v>
      </c>
      <c r="D114" s="189">
        <f>IFERROR(VLOOKUP(A114,DataCoutRevenuAux!M:Q,5,FALSE),0)</f>
        <v>0</v>
      </c>
      <c r="E114" s="189">
        <f>IFERROR(VLOOKUP(A114,DataDemande!U:Z,2,FALSE),0)</f>
        <v>0</v>
      </c>
      <c r="G114" s="77">
        <f>IFERROR(VLOOKUP(A114,DataDemande!U:Z,3,FALSE),0)</f>
        <v>0</v>
      </c>
      <c r="H114" s="77">
        <f>IFERROR(VLOOKUP($A114,DataDemande!$U:$Z,4,FALSE),0)</f>
        <v>0</v>
      </c>
      <c r="I114" s="77">
        <f>IFERROR(VLOOKUP($A114,DataDemande!$U:$Z,5,FALSE),0)</f>
        <v>0</v>
      </c>
      <c r="J114" s="77">
        <f>IFERROR(VLOOKUP($A114,DataDemande!$U:$Z,6,FALSE),0)</f>
        <v>0</v>
      </c>
      <c r="K114" s="79"/>
      <c r="L114" s="77">
        <f>IFERROR(VLOOKUP($A114,DataPrixBillets!$S:$W,2,FALSE),0)</f>
        <v>0</v>
      </c>
      <c r="M114" s="77">
        <f>IFERROR(VLOOKUP($A114,DataPrixBillets!$S:$W,3,FALSE),0)</f>
        <v>0</v>
      </c>
      <c r="N114" s="77">
        <f>IFERROR(VLOOKUP($A114,DataPrixBillets!$S:$W,4,FALSE),0)</f>
        <v>0</v>
      </c>
      <c r="O114" s="77">
        <f>IFERROR(VLOOKUP($A114,DataPrixBillets!$S:$W,5,FALSE),0)</f>
        <v>0</v>
      </c>
      <c r="P114" s="79"/>
      <c r="Q114" s="77">
        <f t="shared" si="37"/>
        <v>0</v>
      </c>
      <c r="R114" s="77">
        <f t="shared" si="38"/>
        <v>0</v>
      </c>
      <c r="S114" s="77">
        <f t="shared" si="39"/>
        <v>0</v>
      </c>
      <c r="T114" s="77">
        <f t="shared" si="40"/>
        <v>0</v>
      </c>
      <c r="U114" s="79"/>
      <c r="V114" s="77">
        <f t="shared" si="41"/>
        <v>0</v>
      </c>
      <c r="W114" s="77">
        <f>IFERROR(VLOOKUP(A114,DataCoutRevenuAux!W:Y,2,FALSE),0)</f>
        <v>0</v>
      </c>
      <c r="X114" s="77">
        <f>IFERROR(VLOOKUP(A114,DataCoutRevenuAux!W:Y,3,FALSE),0)</f>
        <v>0</v>
      </c>
      <c r="Y114" s="77">
        <f t="shared" si="42"/>
        <v>0</v>
      </c>
      <c r="Z114" s="77">
        <f t="shared" si="43"/>
        <v>0</v>
      </c>
      <c r="AA114" s="77">
        <f t="shared" si="44"/>
        <v>0</v>
      </c>
      <c r="AB114" s="79"/>
      <c r="AC114" s="77">
        <f t="shared" si="45"/>
        <v>0</v>
      </c>
      <c r="AD114" s="77">
        <f t="shared" si="46"/>
        <v>0</v>
      </c>
      <c r="AE114" s="77">
        <f t="shared" si="47"/>
        <v>0</v>
      </c>
      <c r="AF114" s="79"/>
      <c r="AG114" s="6">
        <f t="shared" si="48"/>
        <v>0</v>
      </c>
      <c r="AH114" s="6">
        <f t="shared" si="49"/>
        <v>0</v>
      </c>
      <c r="AI114" s="6">
        <f t="shared" si="50"/>
        <v>0</v>
      </c>
    </row>
    <row r="115" spans="1:35" x14ac:dyDescent="0.3">
      <c r="A115" s="189">
        <f>DataDemande!U148</f>
        <v>0</v>
      </c>
      <c r="B115" s="185" t="str">
        <f t="shared" si="51"/>
        <v>0</v>
      </c>
      <c r="C115" s="185" t="str">
        <f t="shared" si="52"/>
        <v>0</v>
      </c>
      <c r="D115" s="189">
        <f>IFERROR(VLOOKUP(A115,DataCoutRevenuAux!M:Q,5,FALSE),0)</f>
        <v>0</v>
      </c>
      <c r="E115" s="189">
        <f>IFERROR(VLOOKUP(A115,DataDemande!U:Z,2,FALSE),0)</f>
        <v>0</v>
      </c>
      <c r="G115" s="77">
        <f>IFERROR(VLOOKUP(A115,DataDemande!U:Z,3,FALSE),0)</f>
        <v>0</v>
      </c>
      <c r="H115" s="77">
        <f>IFERROR(VLOOKUP($A115,DataDemande!$U:$Z,4,FALSE),0)</f>
        <v>0</v>
      </c>
      <c r="I115" s="77">
        <f>IFERROR(VLOOKUP($A115,DataDemande!$U:$Z,5,FALSE),0)</f>
        <v>0</v>
      </c>
      <c r="J115" s="77">
        <f>IFERROR(VLOOKUP($A115,DataDemande!$U:$Z,6,FALSE),0)</f>
        <v>0</v>
      </c>
      <c r="K115" s="79"/>
      <c r="L115" s="77">
        <f>IFERROR(VLOOKUP($A115,DataPrixBillets!$S:$W,2,FALSE),0)</f>
        <v>0</v>
      </c>
      <c r="M115" s="77">
        <f>IFERROR(VLOOKUP($A115,DataPrixBillets!$S:$W,3,FALSE),0)</f>
        <v>0</v>
      </c>
      <c r="N115" s="77">
        <f>IFERROR(VLOOKUP($A115,DataPrixBillets!$S:$W,4,FALSE),0)</f>
        <v>0</v>
      </c>
      <c r="O115" s="77">
        <f>IFERROR(VLOOKUP($A115,DataPrixBillets!$S:$W,5,FALSE),0)</f>
        <v>0</v>
      </c>
      <c r="P115" s="79"/>
      <c r="Q115" s="77">
        <f t="shared" si="37"/>
        <v>0</v>
      </c>
      <c r="R115" s="77">
        <f t="shared" si="38"/>
        <v>0</v>
      </c>
      <c r="S115" s="77">
        <f t="shared" si="39"/>
        <v>0</v>
      </c>
      <c r="T115" s="77">
        <f t="shared" si="40"/>
        <v>0</v>
      </c>
      <c r="U115" s="79"/>
      <c r="V115" s="77">
        <f t="shared" si="41"/>
        <v>0</v>
      </c>
      <c r="W115" s="77">
        <f>IFERROR(VLOOKUP(A115,DataCoutRevenuAux!W:Y,2,FALSE),0)</f>
        <v>0</v>
      </c>
      <c r="X115" s="77">
        <f>IFERROR(VLOOKUP(A115,DataCoutRevenuAux!W:Y,3,FALSE),0)</f>
        <v>0</v>
      </c>
      <c r="Y115" s="77">
        <f t="shared" si="42"/>
        <v>0</v>
      </c>
      <c r="Z115" s="77">
        <f t="shared" si="43"/>
        <v>0</v>
      </c>
      <c r="AA115" s="77">
        <f t="shared" si="44"/>
        <v>0</v>
      </c>
      <c r="AB115" s="79"/>
      <c r="AC115" s="77">
        <f t="shared" si="45"/>
        <v>0</v>
      </c>
      <c r="AD115" s="77">
        <f t="shared" si="46"/>
        <v>0</v>
      </c>
      <c r="AE115" s="77">
        <f t="shared" si="47"/>
        <v>0</v>
      </c>
      <c r="AF115" s="79"/>
      <c r="AG115" s="6">
        <f t="shared" si="48"/>
        <v>0</v>
      </c>
      <c r="AH115" s="6">
        <f t="shared" si="49"/>
        <v>0</v>
      </c>
      <c r="AI115" s="6">
        <f t="shared" si="50"/>
        <v>0</v>
      </c>
    </row>
    <row r="116" spans="1:35" x14ac:dyDescent="0.3">
      <c r="A116" s="189">
        <f>DataDemande!U149</f>
        <v>0</v>
      </c>
      <c r="B116" s="185" t="str">
        <f t="shared" si="51"/>
        <v>0</v>
      </c>
      <c r="C116" s="185" t="str">
        <f t="shared" si="52"/>
        <v>0</v>
      </c>
      <c r="D116" s="189">
        <f>IFERROR(VLOOKUP(A116,DataCoutRevenuAux!M:Q,5,FALSE),0)</f>
        <v>0</v>
      </c>
      <c r="E116" s="189">
        <f>IFERROR(VLOOKUP(A116,DataDemande!U:Z,2,FALSE),0)</f>
        <v>0</v>
      </c>
      <c r="G116" s="77">
        <f>IFERROR(VLOOKUP(A116,DataDemande!U:Z,3,FALSE),0)</f>
        <v>0</v>
      </c>
      <c r="H116" s="77">
        <f>IFERROR(VLOOKUP($A116,DataDemande!$U:$Z,4,FALSE),0)</f>
        <v>0</v>
      </c>
      <c r="I116" s="77">
        <f>IFERROR(VLOOKUP($A116,DataDemande!$U:$Z,5,FALSE),0)</f>
        <v>0</v>
      </c>
      <c r="J116" s="77">
        <f>IFERROR(VLOOKUP($A116,DataDemande!$U:$Z,6,FALSE),0)</f>
        <v>0</v>
      </c>
      <c r="K116" s="79"/>
      <c r="L116" s="77">
        <f>IFERROR(VLOOKUP($A116,DataPrixBillets!$S:$W,2,FALSE),0)</f>
        <v>0</v>
      </c>
      <c r="M116" s="77">
        <f>IFERROR(VLOOKUP($A116,DataPrixBillets!$S:$W,3,FALSE),0)</f>
        <v>0</v>
      </c>
      <c r="N116" s="77">
        <f>IFERROR(VLOOKUP($A116,DataPrixBillets!$S:$W,4,FALSE),0)</f>
        <v>0</v>
      </c>
      <c r="O116" s="77">
        <f>IFERROR(VLOOKUP($A116,DataPrixBillets!$S:$W,5,FALSE),0)</f>
        <v>0</v>
      </c>
      <c r="P116" s="79"/>
      <c r="Q116" s="77">
        <f t="shared" si="37"/>
        <v>0</v>
      </c>
      <c r="R116" s="77">
        <f t="shared" si="38"/>
        <v>0</v>
      </c>
      <c r="S116" s="77">
        <f t="shared" si="39"/>
        <v>0</v>
      </c>
      <c r="T116" s="77">
        <f t="shared" si="40"/>
        <v>0</v>
      </c>
      <c r="U116" s="79"/>
      <c r="V116" s="77">
        <f t="shared" si="41"/>
        <v>0</v>
      </c>
      <c r="W116" s="77">
        <f>IFERROR(VLOOKUP(A116,DataCoutRevenuAux!W:Y,2,FALSE),0)</f>
        <v>0</v>
      </c>
      <c r="X116" s="77">
        <f>IFERROR(VLOOKUP(A116,DataCoutRevenuAux!W:Y,3,FALSE),0)</f>
        <v>0</v>
      </c>
      <c r="Y116" s="77">
        <f t="shared" si="42"/>
        <v>0</v>
      </c>
      <c r="Z116" s="77">
        <f t="shared" si="43"/>
        <v>0</v>
      </c>
      <c r="AA116" s="77">
        <f t="shared" si="44"/>
        <v>0</v>
      </c>
      <c r="AB116" s="79"/>
      <c r="AC116" s="77">
        <f t="shared" si="45"/>
        <v>0</v>
      </c>
      <c r="AD116" s="77">
        <f t="shared" si="46"/>
        <v>0</v>
      </c>
      <c r="AE116" s="77">
        <f t="shared" si="47"/>
        <v>0</v>
      </c>
      <c r="AF116" s="79"/>
      <c r="AG116" s="6">
        <f t="shared" si="48"/>
        <v>0</v>
      </c>
      <c r="AH116" s="6">
        <f t="shared" si="49"/>
        <v>0</v>
      </c>
      <c r="AI116" s="6">
        <f t="shared" si="50"/>
        <v>0</v>
      </c>
    </row>
    <row r="117" spans="1:35" x14ac:dyDescent="0.3">
      <c r="A117" s="189">
        <f>DataDemande!U150</f>
        <v>0</v>
      </c>
      <c r="B117" s="185" t="str">
        <f t="shared" si="51"/>
        <v>0</v>
      </c>
      <c r="C117" s="185" t="str">
        <f t="shared" si="52"/>
        <v>0</v>
      </c>
      <c r="D117" s="189">
        <f>IFERROR(VLOOKUP(A117,DataCoutRevenuAux!M:Q,5,FALSE),0)</f>
        <v>0</v>
      </c>
      <c r="E117" s="189">
        <f>IFERROR(VLOOKUP(A117,DataDemande!U:Z,2,FALSE),0)</f>
        <v>0</v>
      </c>
      <c r="G117" s="77">
        <f>IFERROR(VLOOKUP(A117,DataDemande!U:Z,3,FALSE),0)</f>
        <v>0</v>
      </c>
      <c r="H117" s="77">
        <f>IFERROR(VLOOKUP($A117,DataDemande!$U:$Z,4,FALSE),0)</f>
        <v>0</v>
      </c>
      <c r="I117" s="77">
        <f>IFERROR(VLOOKUP($A117,DataDemande!$U:$Z,5,FALSE),0)</f>
        <v>0</v>
      </c>
      <c r="J117" s="77">
        <f>IFERROR(VLOOKUP($A117,DataDemande!$U:$Z,6,FALSE),0)</f>
        <v>0</v>
      </c>
      <c r="K117" s="79"/>
      <c r="L117" s="77">
        <f>IFERROR(VLOOKUP($A117,DataPrixBillets!$S:$W,2,FALSE),0)</f>
        <v>0</v>
      </c>
      <c r="M117" s="77">
        <f>IFERROR(VLOOKUP($A117,DataPrixBillets!$S:$W,3,FALSE),0)</f>
        <v>0</v>
      </c>
      <c r="N117" s="77">
        <f>IFERROR(VLOOKUP($A117,DataPrixBillets!$S:$W,4,FALSE),0)</f>
        <v>0</v>
      </c>
      <c r="O117" s="77">
        <f>IFERROR(VLOOKUP($A117,DataPrixBillets!$S:$W,5,FALSE),0)</f>
        <v>0</v>
      </c>
      <c r="P117" s="79"/>
      <c r="Q117" s="77">
        <f t="shared" si="37"/>
        <v>0</v>
      </c>
      <c r="R117" s="77">
        <f t="shared" si="38"/>
        <v>0</v>
      </c>
      <c r="S117" s="77">
        <f t="shared" si="39"/>
        <v>0</v>
      </c>
      <c r="T117" s="77">
        <f t="shared" si="40"/>
        <v>0</v>
      </c>
      <c r="U117" s="79"/>
      <c r="V117" s="77">
        <f t="shared" si="41"/>
        <v>0</v>
      </c>
      <c r="W117" s="77">
        <f>IFERROR(VLOOKUP(A117,DataCoutRevenuAux!W:Y,2,FALSE),0)</f>
        <v>0</v>
      </c>
      <c r="X117" s="77">
        <f>IFERROR(VLOOKUP(A117,DataCoutRevenuAux!W:Y,3,FALSE),0)</f>
        <v>0</v>
      </c>
      <c r="Y117" s="77">
        <f t="shared" si="42"/>
        <v>0</v>
      </c>
      <c r="Z117" s="77">
        <f t="shared" si="43"/>
        <v>0</v>
      </c>
      <c r="AA117" s="77">
        <f t="shared" si="44"/>
        <v>0</v>
      </c>
      <c r="AB117" s="79"/>
      <c r="AC117" s="77">
        <f t="shared" si="45"/>
        <v>0</v>
      </c>
      <c r="AD117" s="77">
        <f t="shared" si="46"/>
        <v>0</v>
      </c>
      <c r="AE117" s="77">
        <f t="shared" si="47"/>
        <v>0</v>
      </c>
      <c r="AF117" s="79"/>
      <c r="AG117" s="6">
        <f t="shared" si="48"/>
        <v>0</v>
      </c>
      <c r="AH117" s="6">
        <f t="shared" si="49"/>
        <v>0</v>
      </c>
      <c r="AI117" s="6">
        <f t="shared" si="50"/>
        <v>0</v>
      </c>
    </row>
    <row r="118" spans="1:35" x14ac:dyDescent="0.3">
      <c r="A118" s="189">
        <f>DataDemande!U151</f>
        <v>0</v>
      </c>
      <c r="B118" s="185" t="str">
        <f t="shared" ref="B118:B138" si="53">LEFT(A118,3)</f>
        <v>0</v>
      </c>
      <c r="C118" s="185" t="str">
        <f t="shared" ref="C118:C138" si="54">RIGHT(A118,3)</f>
        <v>0</v>
      </c>
      <c r="D118" s="189">
        <f>IFERROR(VLOOKUP(A118,DataCoutRevenuAux!M:Q,5,FALSE),0)</f>
        <v>0</v>
      </c>
      <c r="E118" s="189">
        <f>IFERROR(VLOOKUP(A118,DataDemande!U:Z,2,FALSE),0)</f>
        <v>0</v>
      </c>
      <c r="G118" s="77">
        <f>IFERROR(VLOOKUP(A118,DataDemande!U:Z,3,FALSE),0)</f>
        <v>0</v>
      </c>
      <c r="H118" s="77">
        <f>IFERROR(VLOOKUP($A118,DataDemande!$U:$Z,4,FALSE),0)</f>
        <v>0</v>
      </c>
      <c r="I118" s="77">
        <f>IFERROR(VLOOKUP($A118,DataDemande!$U:$Z,5,FALSE),0)</f>
        <v>0</v>
      </c>
      <c r="J118" s="77">
        <f>IFERROR(VLOOKUP($A118,DataDemande!$U:$Z,6,FALSE),0)</f>
        <v>0</v>
      </c>
      <c r="K118" s="79"/>
      <c r="L118" s="77">
        <f>IFERROR(VLOOKUP($A118,DataPrixBillets!$S:$W,2,FALSE),0)</f>
        <v>0</v>
      </c>
      <c r="M118" s="77">
        <f>IFERROR(VLOOKUP($A118,DataPrixBillets!$S:$W,3,FALSE),0)</f>
        <v>0</v>
      </c>
      <c r="N118" s="77">
        <f>IFERROR(VLOOKUP($A118,DataPrixBillets!$S:$W,4,FALSE),0)</f>
        <v>0</v>
      </c>
      <c r="O118" s="77">
        <f>IFERROR(VLOOKUP($A118,DataPrixBillets!$S:$W,5,FALSE),0)</f>
        <v>0</v>
      </c>
      <c r="P118" s="79"/>
      <c r="Q118" s="77">
        <f t="shared" si="37"/>
        <v>0</v>
      </c>
      <c r="R118" s="77">
        <f t="shared" si="38"/>
        <v>0</v>
      </c>
      <c r="S118" s="77">
        <f t="shared" si="39"/>
        <v>0</v>
      </c>
      <c r="T118" s="77">
        <f t="shared" si="40"/>
        <v>0</v>
      </c>
      <c r="U118" s="79"/>
      <c r="V118" s="77">
        <f t="shared" si="41"/>
        <v>0</v>
      </c>
      <c r="W118" s="77">
        <f>IFERROR(VLOOKUP(A118,DataCoutRevenuAux!W:Y,2,FALSE),0)</f>
        <v>0</v>
      </c>
      <c r="X118" s="77">
        <f>IFERROR(VLOOKUP(A118,DataCoutRevenuAux!W:Y,3,FALSE),0)</f>
        <v>0</v>
      </c>
      <c r="Y118" s="77">
        <f t="shared" si="42"/>
        <v>0</v>
      </c>
      <c r="Z118" s="77">
        <f t="shared" si="43"/>
        <v>0</v>
      </c>
      <c r="AA118" s="77">
        <f t="shared" si="44"/>
        <v>0</v>
      </c>
      <c r="AB118" s="79"/>
      <c r="AC118" s="77">
        <f t="shared" si="45"/>
        <v>0</v>
      </c>
      <c r="AD118" s="77">
        <f t="shared" si="46"/>
        <v>0</v>
      </c>
      <c r="AE118" s="77">
        <f t="shared" si="47"/>
        <v>0</v>
      </c>
      <c r="AF118" s="79"/>
      <c r="AG118" s="6">
        <f t="shared" si="48"/>
        <v>0</v>
      </c>
      <c r="AH118" s="6">
        <f t="shared" si="49"/>
        <v>0</v>
      </c>
      <c r="AI118" s="6">
        <f t="shared" si="50"/>
        <v>0</v>
      </c>
    </row>
    <row r="119" spans="1:35" x14ac:dyDescent="0.3">
      <c r="A119" s="189">
        <f>DataDemande!U152</f>
        <v>0</v>
      </c>
      <c r="B119" s="185" t="str">
        <f t="shared" si="53"/>
        <v>0</v>
      </c>
      <c r="C119" s="185" t="str">
        <f t="shared" si="54"/>
        <v>0</v>
      </c>
      <c r="D119" s="189">
        <f>IFERROR(VLOOKUP(A119,DataCoutRevenuAux!M:Q,5,FALSE),0)</f>
        <v>0</v>
      </c>
      <c r="E119" s="189">
        <f>IFERROR(VLOOKUP(A119,DataDemande!U:Z,2,FALSE),0)</f>
        <v>0</v>
      </c>
      <c r="G119" s="77">
        <f>IFERROR(VLOOKUP(A119,DataDemande!U:Z,3,FALSE),0)</f>
        <v>0</v>
      </c>
      <c r="H119" s="77">
        <f>IFERROR(VLOOKUP($A119,DataDemande!$U:$Z,4,FALSE),0)</f>
        <v>0</v>
      </c>
      <c r="I119" s="77">
        <f>IFERROR(VLOOKUP($A119,DataDemande!$U:$Z,5,FALSE),0)</f>
        <v>0</v>
      </c>
      <c r="J119" s="77">
        <f>IFERROR(VLOOKUP($A119,DataDemande!$U:$Z,6,FALSE),0)</f>
        <v>0</v>
      </c>
      <c r="K119" s="79"/>
      <c r="L119" s="77">
        <f>IFERROR(VLOOKUP($A119,DataPrixBillets!$S:$W,2,FALSE),0)</f>
        <v>0</v>
      </c>
      <c r="M119" s="77">
        <f>IFERROR(VLOOKUP($A119,DataPrixBillets!$S:$W,3,FALSE),0)</f>
        <v>0</v>
      </c>
      <c r="N119" s="77">
        <f>IFERROR(VLOOKUP($A119,DataPrixBillets!$S:$W,4,FALSE),0)</f>
        <v>0</v>
      </c>
      <c r="O119" s="77">
        <f>IFERROR(VLOOKUP($A119,DataPrixBillets!$S:$W,5,FALSE),0)</f>
        <v>0</v>
      </c>
      <c r="P119" s="79"/>
      <c r="Q119" s="77">
        <f t="shared" si="37"/>
        <v>0</v>
      </c>
      <c r="R119" s="77">
        <f t="shared" si="38"/>
        <v>0</v>
      </c>
      <c r="S119" s="77">
        <f t="shared" si="39"/>
        <v>0</v>
      </c>
      <c r="T119" s="77">
        <f t="shared" si="40"/>
        <v>0</v>
      </c>
      <c r="U119" s="79"/>
      <c r="V119" s="77">
        <f t="shared" si="41"/>
        <v>0</v>
      </c>
      <c r="W119" s="77">
        <f>IFERROR(VLOOKUP(A119,DataCoutRevenuAux!W:Y,2,FALSE),0)</f>
        <v>0</v>
      </c>
      <c r="X119" s="77">
        <f>IFERROR(VLOOKUP(A119,DataCoutRevenuAux!W:Y,3,FALSE),0)</f>
        <v>0</v>
      </c>
      <c r="Y119" s="77">
        <f t="shared" si="42"/>
        <v>0</v>
      </c>
      <c r="Z119" s="77">
        <f t="shared" si="43"/>
        <v>0</v>
      </c>
      <c r="AA119" s="77">
        <f t="shared" si="44"/>
        <v>0</v>
      </c>
      <c r="AB119" s="79"/>
      <c r="AC119" s="77">
        <f t="shared" si="45"/>
        <v>0</v>
      </c>
      <c r="AD119" s="77">
        <f t="shared" si="46"/>
        <v>0</v>
      </c>
      <c r="AE119" s="77">
        <f t="shared" si="47"/>
        <v>0</v>
      </c>
      <c r="AF119" s="79"/>
      <c r="AG119" s="6">
        <f t="shared" si="48"/>
        <v>0</v>
      </c>
      <c r="AH119" s="6">
        <f t="shared" si="49"/>
        <v>0</v>
      </c>
      <c r="AI119" s="6">
        <f t="shared" si="50"/>
        <v>0</v>
      </c>
    </row>
    <row r="120" spans="1:35" x14ac:dyDescent="0.3">
      <c r="A120" s="189">
        <f>DataDemande!U153</f>
        <v>0</v>
      </c>
      <c r="B120" s="185" t="str">
        <f t="shared" si="53"/>
        <v>0</v>
      </c>
      <c r="C120" s="185" t="str">
        <f t="shared" si="54"/>
        <v>0</v>
      </c>
      <c r="D120" s="189">
        <f>IFERROR(VLOOKUP(A120,DataCoutRevenuAux!M:Q,5,FALSE),0)</f>
        <v>0</v>
      </c>
      <c r="E120" s="189">
        <f>IFERROR(VLOOKUP(A120,DataDemande!U:Z,2,FALSE),0)</f>
        <v>0</v>
      </c>
      <c r="G120" s="77">
        <f>IFERROR(VLOOKUP(A120,DataDemande!U:Z,3,FALSE),0)</f>
        <v>0</v>
      </c>
      <c r="H120" s="77">
        <f>IFERROR(VLOOKUP($A120,DataDemande!$U:$Z,4,FALSE),0)</f>
        <v>0</v>
      </c>
      <c r="I120" s="77">
        <f>IFERROR(VLOOKUP($A120,DataDemande!$U:$Z,5,FALSE),0)</f>
        <v>0</v>
      </c>
      <c r="J120" s="77">
        <f>IFERROR(VLOOKUP($A120,DataDemande!$U:$Z,6,FALSE),0)</f>
        <v>0</v>
      </c>
      <c r="K120" s="79"/>
      <c r="L120" s="77">
        <f>IFERROR(VLOOKUP($A120,DataPrixBillets!$S:$W,2,FALSE),0)</f>
        <v>0</v>
      </c>
      <c r="M120" s="77">
        <f>IFERROR(VLOOKUP($A120,DataPrixBillets!$S:$W,3,FALSE),0)</f>
        <v>0</v>
      </c>
      <c r="N120" s="77">
        <f>IFERROR(VLOOKUP($A120,DataPrixBillets!$S:$W,4,FALSE),0)</f>
        <v>0</v>
      </c>
      <c r="O120" s="77">
        <f>IFERROR(VLOOKUP($A120,DataPrixBillets!$S:$W,5,FALSE),0)</f>
        <v>0</v>
      </c>
      <c r="P120" s="79"/>
      <c r="Q120" s="77">
        <f t="shared" si="37"/>
        <v>0</v>
      </c>
      <c r="R120" s="77">
        <f t="shared" si="38"/>
        <v>0</v>
      </c>
      <c r="S120" s="77">
        <f t="shared" si="39"/>
        <v>0</v>
      </c>
      <c r="T120" s="77">
        <f t="shared" si="40"/>
        <v>0</v>
      </c>
      <c r="U120" s="79"/>
      <c r="V120" s="77">
        <f t="shared" si="41"/>
        <v>0</v>
      </c>
      <c r="W120" s="77">
        <f>IFERROR(VLOOKUP(A120,DataCoutRevenuAux!W:Y,2,FALSE),0)</f>
        <v>0</v>
      </c>
      <c r="X120" s="77">
        <f>IFERROR(VLOOKUP(A120,DataCoutRevenuAux!W:Y,3,FALSE),0)</f>
        <v>0</v>
      </c>
      <c r="Y120" s="77">
        <f t="shared" si="42"/>
        <v>0</v>
      </c>
      <c r="Z120" s="77">
        <f t="shared" si="43"/>
        <v>0</v>
      </c>
      <c r="AA120" s="77">
        <f t="shared" si="44"/>
        <v>0</v>
      </c>
      <c r="AB120" s="79"/>
      <c r="AC120" s="77">
        <f t="shared" si="45"/>
        <v>0</v>
      </c>
      <c r="AD120" s="77">
        <f t="shared" si="46"/>
        <v>0</v>
      </c>
      <c r="AE120" s="77">
        <f t="shared" si="47"/>
        <v>0</v>
      </c>
      <c r="AF120" s="79"/>
      <c r="AG120" s="6">
        <f t="shared" si="48"/>
        <v>0</v>
      </c>
      <c r="AH120" s="6">
        <f t="shared" si="49"/>
        <v>0</v>
      </c>
      <c r="AI120" s="6">
        <f t="shared" si="50"/>
        <v>0</v>
      </c>
    </row>
    <row r="121" spans="1:35" x14ac:dyDescent="0.3">
      <c r="A121" s="189">
        <f>DataDemande!U154</f>
        <v>0</v>
      </c>
      <c r="B121" s="185" t="str">
        <f t="shared" si="53"/>
        <v>0</v>
      </c>
      <c r="C121" s="185" t="str">
        <f t="shared" si="54"/>
        <v>0</v>
      </c>
      <c r="D121" s="189">
        <f>IFERROR(VLOOKUP(A121,DataCoutRevenuAux!M:Q,5,FALSE),0)</f>
        <v>0</v>
      </c>
      <c r="E121" s="189">
        <f>IFERROR(VLOOKUP(A121,DataDemande!U:Z,2,FALSE),0)</f>
        <v>0</v>
      </c>
      <c r="G121" s="77">
        <f>IFERROR(VLOOKUP(A121,DataDemande!U:Z,3,FALSE),0)</f>
        <v>0</v>
      </c>
      <c r="H121" s="77">
        <f>IFERROR(VLOOKUP($A121,DataDemande!$U:$Z,4,FALSE),0)</f>
        <v>0</v>
      </c>
      <c r="I121" s="77">
        <f>IFERROR(VLOOKUP($A121,DataDemande!$U:$Z,5,FALSE),0)</f>
        <v>0</v>
      </c>
      <c r="J121" s="77">
        <f>IFERROR(VLOOKUP($A121,DataDemande!$U:$Z,6,FALSE),0)</f>
        <v>0</v>
      </c>
      <c r="K121" s="79"/>
      <c r="L121" s="77">
        <f>IFERROR(VLOOKUP($A121,DataPrixBillets!$S:$W,2,FALSE),0)</f>
        <v>0</v>
      </c>
      <c r="M121" s="77">
        <f>IFERROR(VLOOKUP($A121,DataPrixBillets!$S:$W,3,FALSE),0)</f>
        <v>0</v>
      </c>
      <c r="N121" s="77">
        <f>IFERROR(VLOOKUP($A121,DataPrixBillets!$S:$W,4,FALSE),0)</f>
        <v>0</v>
      </c>
      <c r="O121" s="77">
        <f>IFERROR(VLOOKUP($A121,DataPrixBillets!$S:$W,5,FALSE),0)</f>
        <v>0</v>
      </c>
      <c r="P121" s="79"/>
      <c r="Q121" s="77">
        <f t="shared" si="37"/>
        <v>0</v>
      </c>
      <c r="R121" s="77">
        <f t="shared" si="38"/>
        <v>0</v>
      </c>
      <c r="S121" s="77">
        <f t="shared" si="39"/>
        <v>0</v>
      </c>
      <c r="T121" s="77">
        <f t="shared" si="40"/>
        <v>0</v>
      </c>
      <c r="U121" s="79"/>
      <c r="V121" s="77">
        <f t="shared" si="41"/>
        <v>0</v>
      </c>
      <c r="W121" s="77">
        <f>IFERROR(VLOOKUP(A121,DataCoutRevenuAux!W:Y,2,FALSE),0)</f>
        <v>0</v>
      </c>
      <c r="X121" s="77">
        <f>IFERROR(VLOOKUP(A121,DataCoutRevenuAux!W:Y,3,FALSE),0)</f>
        <v>0</v>
      </c>
      <c r="Y121" s="77">
        <f t="shared" si="42"/>
        <v>0</v>
      </c>
      <c r="Z121" s="77">
        <f t="shared" si="43"/>
        <v>0</v>
      </c>
      <c r="AA121" s="77">
        <f t="shared" si="44"/>
        <v>0</v>
      </c>
      <c r="AB121" s="79"/>
      <c r="AC121" s="77">
        <f t="shared" si="45"/>
        <v>0</v>
      </c>
      <c r="AD121" s="77">
        <f t="shared" si="46"/>
        <v>0</v>
      </c>
      <c r="AE121" s="77">
        <f t="shared" si="47"/>
        <v>0</v>
      </c>
      <c r="AF121" s="79"/>
      <c r="AG121" s="6">
        <f t="shared" si="48"/>
        <v>0</v>
      </c>
      <c r="AH121" s="6">
        <f t="shared" si="49"/>
        <v>0</v>
      </c>
      <c r="AI121" s="6">
        <f t="shared" si="50"/>
        <v>0</v>
      </c>
    </row>
    <row r="122" spans="1:35" x14ac:dyDescent="0.3">
      <c r="A122" s="189">
        <f>DataDemande!U155</f>
        <v>0</v>
      </c>
      <c r="B122" s="185" t="str">
        <f t="shared" si="53"/>
        <v>0</v>
      </c>
      <c r="C122" s="185" t="str">
        <f t="shared" si="54"/>
        <v>0</v>
      </c>
      <c r="D122" s="189">
        <f>IFERROR(VLOOKUP(A122,DataCoutRevenuAux!M:Q,5,FALSE),0)</f>
        <v>0</v>
      </c>
      <c r="E122" s="189">
        <f>IFERROR(VLOOKUP(A122,DataDemande!U:Z,2,FALSE),0)</f>
        <v>0</v>
      </c>
      <c r="G122" s="77">
        <f>IFERROR(VLOOKUP(A122,DataDemande!U:Z,3,FALSE),0)</f>
        <v>0</v>
      </c>
      <c r="H122" s="77">
        <f>IFERROR(VLOOKUP($A122,DataDemande!$U:$Z,4,FALSE),0)</f>
        <v>0</v>
      </c>
      <c r="I122" s="77">
        <f>IFERROR(VLOOKUP($A122,DataDemande!$U:$Z,5,FALSE),0)</f>
        <v>0</v>
      </c>
      <c r="J122" s="77">
        <f>IFERROR(VLOOKUP($A122,DataDemande!$U:$Z,6,FALSE),0)</f>
        <v>0</v>
      </c>
      <c r="K122" s="79"/>
      <c r="L122" s="77">
        <f>IFERROR(VLOOKUP($A122,DataPrixBillets!$S:$W,2,FALSE),0)</f>
        <v>0</v>
      </c>
      <c r="M122" s="77">
        <f>IFERROR(VLOOKUP($A122,DataPrixBillets!$S:$W,3,FALSE),0)</f>
        <v>0</v>
      </c>
      <c r="N122" s="77">
        <f>IFERROR(VLOOKUP($A122,DataPrixBillets!$S:$W,4,FALSE),0)</f>
        <v>0</v>
      </c>
      <c r="O122" s="77">
        <f>IFERROR(VLOOKUP($A122,DataPrixBillets!$S:$W,5,FALSE),0)</f>
        <v>0</v>
      </c>
      <c r="P122" s="79"/>
      <c r="Q122" s="77">
        <f t="shared" si="37"/>
        <v>0</v>
      </c>
      <c r="R122" s="77">
        <f t="shared" si="38"/>
        <v>0</v>
      </c>
      <c r="S122" s="77">
        <f t="shared" si="39"/>
        <v>0</v>
      </c>
      <c r="T122" s="77">
        <f t="shared" si="40"/>
        <v>0</v>
      </c>
      <c r="U122" s="79"/>
      <c r="V122" s="77">
        <f t="shared" si="41"/>
        <v>0</v>
      </c>
      <c r="W122" s="77">
        <f>IFERROR(VLOOKUP(A122,DataCoutRevenuAux!W:Y,2,FALSE),0)</f>
        <v>0</v>
      </c>
      <c r="X122" s="77">
        <f>IFERROR(VLOOKUP(A122,DataCoutRevenuAux!W:Y,3,FALSE),0)</f>
        <v>0</v>
      </c>
      <c r="Y122" s="77">
        <f t="shared" si="42"/>
        <v>0</v>
      </c>
      <c r="Z122" s="77">
        <f t="shared" si="43"/>
        <v>0</v>
      </c>
      <c r="AA122" s="77">
        <f t="shared" si="44"/>
        <v>0</v>
      </c>
      <c r="AB122" s="79"/>
      <c r="AC122" s="77">
        <f t="shared" si="45"/>
        <v>0</v>
      </c>
      <c r="AD122" s="77">
        <f t="shared" si="46"/>
        <v>0</v>
      </c>
      <c r="AE122" s="77">
        <f t="shared" si="47"/>
        <v>0</v>
      </c>
      <c r="AF122" s="79"/>
      <c r="AG122" s="6">
        <f t="shared" si="48"/>
        <v>0</v>
      </c>
      <c r="AH122" s="6">
        <f t="shared" si="49"/>
        <v>0</v>
      </c>
      <c r="AI122" s="6">
        <f t="shared" si="50"/>
        <v>0</v>
      </c>
    </row>
    <row r="123" spans="1:35" x14ac:dyDescent="0.3">
      <c r="A123" s="189">
        <f>DataDemande!U156</f>
        <v>0</v>
      </c>
      <c r="B123" s="185" t="str">
        <f t="shared" si="53"/>
        <v>0</v>
      </c>
      <c r="C123" s="185" t="str">
        <f t="shared" si="54"/>
        <v>0</v>
      </c>
      <c r="D123" s="189">
        <f>IFERROR(VLOOKUP(A123,DataCoutRevenuAux!M:Q,5,FALSE),0)</f>
        <v>0</v>
      </c>
      <c r="E123" s="189">
        <f>IFERROR(VLOOKUP(A123,DataDemande!U:Z,2,FALSE),0)</f>
        <v>0</v>
      </c>
      <c r="G123" s="77">
        <f>IFERROR(VLOOKUP(A123,DataDemande!U:Z,3,FALSE),0)</f>
        <v>0</v>
      </c>
      <c r="H123" s="77">
        <f>IFERROR(VLOOKUP($A123,DataDemande!$U:$Z,4,FALSE),0)</f>
        <v>0</v>
      </c>
      <c r="I123" s="77">
        <f>IFERROR(VLOOKUP($A123,DataDemande!$U:$Z,5,FALSE),0)</f>
        <v>0</v>
      </c>
      <c r="J123" s="77">
        <f>IFERROR(VLOOKUP($A123,DataDemande!$U:$Z,6,FALSE),0)</f>
        <v>0</v>
      </c>
      <c r="K123" s="79"/>
      <c r="L123" s="77">
        <f>IFERROR(VLOOKUP($A123,DataPrixBillets!$S:$W,2,FALSE),0)</f>
        <v>0</v>
      </c>
      <c r="M123" s="77">
        <f>IFERROR(VLOOKUP($A123,DataPrixBillets!$S:$W,3,FALSE),0)</f>
        <v>0</v>
      </c>
      <c r="N123" s="77">
        <f>IFERROR(VLOOKUP($A123,DataPrixBillets!$S:$W,4,FALSE),0)</f>
        <v>0</v>
      </c>
      <c r="O123" s="77">
        <f>IFERROR(VLOOKUP($A123,DataPrixBillets!$S:$W,5,FALSE),0)</f>
        <v>0</v>
      </c>
      <c r="P123" s="79"/>
      <c r="Q123" s="77">
        <f t="shared" si="37"/>
        <v>0</v>
      </c>
      <c r="R123" s="77">
        <f t="shared" si="38"/>
        <v>0</v>
      </c>
      <c r="S123" s="77">
        <f t="shared" si="39"/>
        <v>0</v>
      </c>
      <c r="T123" s="77">
        <f t="shared" si="40"/>
        <v>0</v>
      </c>
      <c r="U123" s="79"/>
      <c r="V123" s="77">
        <f t="shared" si="41"/>
        <v>0</v>
      </c>
      <c r="W123" s="77">
        <f>IFERROR(VLOOKUP(A123,DataCoutRevenuAux!W:Y,2,FALSE),0)</f>
        <v>0</v>
      </c>
      <c r="X123" s="77">
        <f>IFERROR(VLOOKUP(A123,DataCoutRevenuAux!W:Y,3,FALSE),0)</f>
        <v>0</v>
      </c>
      <c r="Y123" s="77">
        <f t="shared" si="42"/>
        <v>0</v>
      </c>
      <c r="Z123" s="77">
        <f t="shared" si="43"/>
        <v>0</v>
      </c>
      <c r="AA123" s="77">
        <f t="shared" si="44"/>
        <v>0</v>
      </c>
      <c r="AB123" s="79"/>
      <c r="AC123" s="77">
        <f t="shared" si="45"/>
        <v>0</v>
      </c>
      <c r="AD123" s="77">
        <f t="shared" si="46"/>
        <v>0</v>
      </c>
      <c r="AE123" s="77">
        <f t="shared" si="47"/>
        <v>0</v>
      </c>
      <c r="AF123" s="79"/>
      <c r="AG123" s="6">
        <f t="shared" si="48"/>
        <v>0</v>
      </c>
      <c r="AH123" s="6">
        <f t="shared" si="49"/>
        <v>0</v>
      </c>
      <c r="AI123" s="6">
        <f t="shared" si="50"/>
        <v>0</v>
      </c>
    </row>
    <row r="124" spans="1:35" x14ac:dyDescent="0.3">
      <c r="A124" s="189">
        <f>DataDemande!U157</f>
        <v>0</v>
      </c>
      <c r="B124" s="185" t="str">
        <f t="shared" si="53"/>
        <v>0</v>
      </c>
      <c r="C124" s="185" t="str">
        <f t="shared" si="54"/>
        <v>0</v>
      </c>
      <c r="D124" s="189">
        <f>IFERROR(VLOOKUP(A124,DataCoutRevenuAux!M:Q,5,FALSE),0)</f>
        <v>0</v>
      </c>
      <c r="E124" s="189">
        <f>IFERROR(VLOOKUP(A124,DataDemande!U:Z,2,FALSE),0)</f>
        <v>0</v>
      </c>
      <c r="G124" s="77">
        <f>IFERROR(VLOOKUP(A124,DataDemande!U:Z,3,FALSE),0)</f>
        <v>0</v>
      </c>
      <c r="H124" s="77">
        <f>IFERROR(VLOOKUP($A124,DataDemande!$U:$Z,4,FALSE),0)</f>
        <v>0</v>
      </c>
      <c r="I124" s="77">
        <f>IFERROR(VLOOKUP($A124,DataDemande!$U:$Z,5,FALSE),0)</f>
        <v>0</v>
      </c>
      <c r="J124" s="77">
        <f>IFERROR(VLOOKUP($A124,DataDemande!$U:$Z,6,FALSE),0)</f>
        <v>0</v>
      </c>
      <c r="K124" s="79"/>
      <c r="L124" s="77">
        <f>IFERROR(VLOOKUP($A124,DataPrixBillets!$S:$W,2,FALSE),0)</f>
        <v>0</v>
      </c>
      <c r="M124" s="77">
        <f>IFERROR(VLOOKUP($A124,DataPrixBillets!$S:$W,3,FALSE),0)</f>
        <v>0</v>
      </c>
      <c r="N124" s="77">
        <f>IFERROR(VLOOKUP($A124,DataPrixBillets!$S:$W,4,FALSE),0)</f>
        <v>0</v>
      </c>
      <c r="O124" s="77">
        <f>IFERROR(VLOOKUP($A124,DataPrixBillets!$S:$W,5,FALSE),0)</f>
        <v>0</v>
      </c>
      <c r="P124" s="79"/>
      <c r="Q124" s="77">
        <f t="shared" si="37"/>
        <v>0</v>
      </c>
      <c r="R124" s="77">
        <f t="shared" si="38"/>
        <v>0</v>
      </c>
      <c r="S124" s="77">
        <f t="shared" si="39"/>
        <v>0</v>
      </c>
      <c r="T124" s="77">
        <f t="shared" si="40"/>
        <v>0</v>
      </c>
      <c r="U124" s="79"/>
      <c r="V124" s="77">
        <f t="shared" si="41"/>
        <v>0</v>
      </c>
      <c r="W124" s="77">
        <f>IFERROR(VLOOKUP(A124,DataCoutRevenuAux!W:Y,2,FALSE),0)</f>
        <v>0</v>
      </c>
      <c r="X124" s="77">
        <f>IFERROR(VLOOKUP(A124,DataCoutRevenuAux!W:Y,3,FALSE),0)</f>
        <v>0</v>
      </c>
      <c r="Y124" s="77">
        <f t="shared" si="42"/>
        <v>0</v>
      </c>
      <c r="Z124" s="77">
        <f t="shared" si="43"/>
        <v>0</v>
      </c>
      <c r="AA124" s="77">
        <f t="shared" si="44"/>
        <v>0</v>
      </c>
      <c r="AB124" s="79"/>
      <c r="AC124" s="77">
        <f t="shared" si="45"/>
        <v>0</v>
      </c>
      <c r="AD124" s="77">
        <f t="shared" si="46"/>
        <v>0</v>
      </c>
      <c r="AE124" s="77">
        <f t="shared" si="47"/>
        <v>0</v>
      </c>
      <c r="AF124" s="79"/>
      <c r="AG124" s="6">
        <f t="shared" si="48"/>
        <v>0</v>
      </c>
      <c r="AH124" s="6">
        <f t="shared" si="49"/>
        <v>0</v>
      </c>
      <c r="AI124" s="6">
        <f t="shared" si="50"/>
        <v>0</v>
      </c>
    </row>
    <row r="125" spans="1:35" x14ac:dyDescent="0.3">
      <c r="A125" s="189">
        <f>DataDemande!U158</f>
        <v>0</v>
      </c>
      <c r="B125" s="185" t="str">
        <f t="shared" si="53"/>
        <v>0</v>
      </c>
      <c r="C125" s="185" t="str">
        <f t="shared" si="54"/>
        <v>0</v>
      </c>
      <c r="D125" s="189">
        <f>IFERROR(VLOOKUP(A125,DataCoutRevenuAux!M:Q,5,FALSE),0)</f>
        <v>0</v>
      </c>
      <c r="E125" s="189">
        <f>IFERROR(VLOOKUP(A125,DataDemande!U:Z,2,FALSE),0)</f>
        <v>0</v>
      </c>
      <c r="G125" s="77">
        <f>IFERROR(VLOOKUP(A125,DataDemande!U:Z,3,FALSE),0)</f>
        <v>0</v>
      </c>
      <c r="H125" s="77">
        <f>IFERROR(VLOOKUP($A125,DataDemande!$U:$Z,4,FALSE),0)</f>
        <v>0</v>
      </c>
      <c r="I125" s="77">
        <f>IFERROR(VLOOKUP($A125,DataDemande!$U:$Z,5,FALSE),0)</f>
        <v>0</v>
      </c>
      <c r="J125" s="77">
        <f>IFERROR(VLOOKUP($A125,DataDemande!$U:$Z,6,FALSE),0)</f>
        <v>0</v>
      </c>
      <c r="K125" s="79"/>
      <c r="L125" s="77">
        <f>IFERROR(VLOOKUP($A125,DataPrixBillets!$S:$W,2,FALSE),0)</f>
        <v>0</v>
      </c>
      <c r="M125" s="77">
        <f>IFERROR(VLOOKUP($A125,DataPrixBillets!$S:$W,3,FALSE),0)</f>
        <v>0</v>
      </c>
      <c r="N125" s="77">
        <f>IFERROR(VLOOKUP($A125,DataPrixBillets!$S:$W,4,FALSE),0)</f>
        <v>0</v>
      </c>
      <c r="O125" s="77">
        <f>IFERROR(VLOOKUP($A125,DataPrixBillets!$S:$W,5,FALSE),0)</f>
        <v>0</v>
      </c>
      <c r="P125" s="79"/>
      <c r="Q125" s="77">
        <f t="shared" si="37"/>
        <v>0</v>
      </c>
      <c r="R125" s="77">
        <f t="shared" si="38"/>
        <v>0</v>
      </c>
      <c r="S125" s="77">
        <f t="shared" si="39"/>
        <v>0</v>
      </c>
      <c r="T125" s="77">
        <f t="shared" si="40"/>
        <v>0</v>
      </c>
      <c r="U125" s="79"/>
      <c r="V125" s="77">
        <f t="shared" si="41"/>
        <v>0</v>
      </c>
      <c r="W125" s="77">
        <f>IFERROR(VLOOKUP(A125,DataCoutRevenuAux!W:Y,2,FALSE),0)</f>
        <v>0</v>
      </c>
      <c r="X125" s="77">
        <f>IFERROR(VLOOKUP(A125,DataCoutRevenuAux!W:Y,3,FALSE),0)</f>
        <v>0</v>
      </c>
      <c r="Y125" s="77">
        <f t="shared" si="42"/>
        <v>0</v>
      </c>
      <c r="Z125" s="77">
        <f t="shared" si="43"/>
        <v>0</v>
      </c>
      <c r="AA125" s="77">
        <f t="shared" si="44"/>
        <v>0</v>
      </c>
      <c r="AB125" s="79"/>
      <c r="AC125" s="77">
        <f t="shared" si="45"/>
        <v>0</v>
      </c>
      <c r="AD125" s="77">
        <f t="shared" si="46"/>
        <v>0</v>
      </c>
      <c r="AE125" s="77">
        <f t="shared" si="47"/>
        <v>0</v>
      </c>
      <c r="AF125" s="79"/>
      <c r="AG125" s="6">
        <f t="shared" si="48"/>
        <v>0</v>
      </c>
      <c r="AH125" s="6">
        <f t="shared" si="49"/>
        <v>0</v>
      </c>
      <c r="AI125" s="6">
        <f t="shared" si="50"/>
        <v>0</v>
      </c>
    </row>
    <row r="126" spans="1:35" x14ac:dyDescent="0.3">
      <c r="A126" s="189">
        <f>DataDemande!U159</f>
        <v>0</v>
      </c>
      <c r="B126" s="185" t="str">
        <f t="shared" si="53"/>
        <v>0</v>
      </c>
      <c r="C126" s="185" t="str">
        <f t="shared" si="54"/>
        <v>0</v>
      </c>
      <c r="D126" s="189">
        <f>IFERROR(VLOOKUP(A126,DataCoutRevenuAux!M:Q,5,FALSE),0)</f>
        <v>0</v>
      </c>
      <c r="E126" s="189">
        <f>IFERROR(VLOOKUP(A126,DataDemande!U:Z,2,FALSE),0)</f>
        <v>0</v>
      </c>
      <c r="G126" s="77">
        <f>IFERROR(VLOOKUP(A126,DataDemande!U:Z,3,FALSE),0)</f>
        <v>0</v>
      </c>
      <c r="H126" s="77">
        <f>IFERROR(VLOOKUP($A126,DataDemande!$U:$Z,4,FALSE),0)</f>
        <v>0</v>
      </c>
      <c r="I126" s="77">
        <f>IFERROR(VLOOKUP($A126,DataDemande!$U:$Z,5,FALSE),0)</f>
        <v>0</v>
      </c>
      <c r="J126" s="77">
        <f>IFERROR(VLOOKUP($A126,DataDemande!$U:$Z,6,FALSE),0)</f>
        <v>0</v>
      </c>
      <c r="K126" s="79"/>
      <c r="L126" s="77">
        <f>IFERROR(VLOOKUP($A126,DataPrixBillets!$S:$W,2,FALSE),0)</f>
        <v>0</v>
      </c>
      <c r="M126" s="77">
        <f>IFERROR(VLOOKUP($A126,DataPrixBillets!$S:$W,3,FALSE),0)</f>
        <v>0</v>
      </c>
      <c r="N126" s="77">
        <f>IFERROR(VLOOKUP($A126,DataPrixBillets!$S:$W,4,FALSE),0)</f>
        <v>0</v>
      </c>
      <c r="O126" s="77">
        <f>IFERROR(VLOOKUP($A126,DataPrixBillets!$S:$W,5,FALSE),0)</f>
        <v>0</v>
      </c>
      <c r="P126" s="79"/>
      <c r="Q126" s="77">
        <f t="shared" si="37"/>
        <v>0</v>
      </c>
      <c r="R126" s="77">
        <f t="shared" si="38"/>
        <v>0</v>
      </c>
      <c r="S126" s="77">
        <f t="shared" si="39"/>
        <v>0</v>
      </c>
      <c r="T126" s="77">
        <f t="shared" si="40"/>
        <v>0</v>
      </c>
      <c r="U126" s="79"/>
      <c r="V126" s="77">
        <f t="shared" si="41"/>
        <v>0</v>
      </c>
      <c r="W126" s="77">
        <f>IFERROR(VLOOKUP(A126,DataCoutRevenuAux!W:Y,2,FALSE),0)</f>
        <v>0</v>
      </c>
      <c r="X126" s="77">
        <f>IFERROR(VLOOKUP(A126,DataCoutRevenuAux!W:Y,3,FALSE),0)</f>
        <v>0</v>
      </c>
      <c r="Y126" s="77">
        <f t="shared" si="42"/>
        <v>0</v>
      </c>
      <c r="Z126" s="77">
        <f t="shared" si="43"/>
        <v>0</v>
      </c>
      <c r="AA126" s="77">
        <f t="shared" si="44"/>
        <v>0</v>
      </c>
      <c r="AB126" s="79"/>
      <c r="AC126" s="77">
        <f t="shared" si="45"/>
        <v>0</v>
      </c>
      <c r="AD126" s="77">
        <f t="shared" si="46"/>
        <v>0</v>
      </c>
      <c r="AE126" s="77">
        <f t="shared" si="47"/>
        <v>0</v>
      </c>
      <c r="AF126" s="79"/>
      <c r="AG126" s="6">
        <f t="shared" si="48"/>
        <v>0</v>
      </c>
      <c r="AH126" s="6">
        <f t="shared" si="49"/>
        <v>0</v>
      </c>
      <c r="AI126" s="6">
        <f t="shared" si="50"/>
        <v>0</v>
      </c>
    </row>
    <row r="127" spans="1:35" x14ac:dyDescent="0.3">
      <c r="A127" s="189">
        <f>DataDemande!U160</f>
        <v>0</v>
      </c>
      <c r="B127" s="185" t="str">
        <f t="shared" si="53"/>
        <v>0</v>
      </c>
      <c r="C127" s="185" t="str">
        <f t="shared" si="54"/>
        <v>0</v>
      </c>
      <c r="D127" s="189">
        <f>IFERROR(VLOOKUP(A127,DataCoutRevenuAux!M:Q,5,FALSE),0)</f>
        <v>0</v>
      </c>
      <c r="E127" s="189">
        <f>IFERROR(VLOOKUP(A127,DataDemande!U:Z,2,FALSE),0)</f>
        <v>0</v>
      </c>
      <c r="G127" s="77">
        <f>IFERROR(VLOOKUP(A127,DataDemande!U:Z,3,FALSE),0)</f>
        <v>0</v>
      </c>
      <c r="H127" s="77">
        <f>IFERROR(VLOOKUP($A127,DataDemande!$U:$Z,4,FALSE),0)</f>
        <v>0</v>
      </c>
      <c r="I127" s="77">
        <f>IFERROR(VLOOKUP($A127,DataDemande!$U:$Z,5,FALSE),0)</f>
        <v>0</v>
      </c>
      <c r="J127" s="77">
        <f>IFERROR(VLOOKUP($A127,DataDemande!$U:$Z,6,FALSE),0)</f>
        <v>0</v>
      </c>
      <c r="K127" s="79"/>
      <c r="L127" s="77">
        <f>IFERROR(VLOOKUP($A127,DataPrixBillets!$S:$W,2,FALSE),0)</f>
        <v>0</v>
      </c>
      <c r="M127" s="77">
        <f>IFERROR(VLOOKUP($A127,DataPrixBillets!$S:$W,3,FALSE),0)</f>
        <v>0</v>
      </c>
      <c r="N127" s="77">
        <f>IFERROR(VLOOKUP($A127,DataPrixBillets!$S:$W,4,FALSE),0)</f>
        <v>0</v>
      </c>
      <c r="O127" s="77">
        <f>IFERROR(VLOOKUP($A127,DataPrixBillets!$S:$W,5,FALSE),0)</f>
        <v>0</v>
      </c>
      <c r="P127" s="79"/>
      <c r="Q127" s="77">
        <f t="shared" si="37"/>
        <v>0</v>
      </c>
      <c r="R127" s="77">
        <f t="shared" si="38"/>
        <v>0</v>
      </c>
      <c r="S127" s="77">
        <f t="shared" si="39"/>
        <v>0</v>
      </c>
      <c r="T127" s="77">
        <f t="shared" si="40"/>
        <v>0</v>
      </c>
      <c r="U127" s="79"/>
      <c r="V127" s="77">
        <f t="shared" si="41"/>
        <v>0</v>
      </c>
      <c r="W127" s="77">
        <f>IFERROR(VLOOKUP(A127,DataCoutRevenuAux!W:Y,2,FALSE),0)</f>
        <v>0</v>
      </c>
      <c r="X127" s="77">
        <f>IFERROR(VLOOKUP(A127,DataCoutRevenuAux!W:Y,3,FALSE),0)</f>
        <v>0</v>
      </c>
      <c r="Y127" s="77">
        <f t="shared" si="42"/>
        <v>0</v>
      </c>
      <c r="Z127" s="77">
        <f t="shared" si="43"/>
        <v>0</v>
      </c>
      <c r="AA127" s="77">
        <f t="shared" si="44"/>
        <v>0</v>
      </c>
      <c r="AB127" s="79"/>
      <c r="AC127" s="77">
        <f t="shared" si="45"/>
        <v>0</v>
      </c>
      <c r="AD127" s="77">
        <f t="shared" si="46"/>
        <v>0</v>
      </c>
      <c r="AE127" s="77">
        <f t="shared" si="47"/>
        <v>0</v>
      </c>
      <c r="AF127" s="79"/>
      <c r="AG127" s="6">
        <f t="shared" si="48"/>
        <v>0</v>
      </c>
      <c r="AH127" s="6">
        <f t="shared" si="49"/>
        <v>0</v>
      </c>
      <c r="AI127" s="6">
        <f t="shared" si="50"/>
        <v>0</v>
      </c>
    </row>
    <row r="128" spans="1:35" x14ac:dyDescent="0.3">
      <c r="A128" s="189">
        <f>DataDemande!U161</f>
        <v>0</v>
      </c>
      <c r="B128" s="185" t="str">
        <f t="shared" si="53"/>
        <v>0</v>
      </c>
      <c r="C128" s="185" t="str">
        <f t="shared" si="54"/>
        <v>0</v>
      </c>
      <c r="D128" s="189">
        <f>IFERROR(VLOOKUP(A128,DataCoutRevenuAux!M:Q,5,FALSE),0)</f>
        <v>0</v>
      </c>
      <c r="E128" s="189">
        <f>IFERROR(VLOOKUP(A128,DataDemande!U:Z,2,FALSE),0)</f>
        <v>0</v>
      </c>
      <c r="G128" s="77">
        <f>IFERROR(VLOOKUP(A128,DataDemande!U:Z,3,FALSE),0)</f>
        <v>0</v>
      </c>
      <c r="H128" s="77">
        <f>IFERROR(VLOOKUP($A128,DataDemande!$U:$Z,4,FALSE),0)</f>
        <v>0</v>
      </c>
      <c r="I128" s="77">
        <f>IFERROR(VLOOKUP($A128,DataDemande!$U:$Z,5,FALSE),0)</f>
        <v>0</v>
      </c>
      <c r="J128" s="77">
        <f>IFERROR(VLOOKUP($A128,DataDemande!$U:$Z,6,FALSE),0)</f>
        <v>0</v>
      </c>
      <c r="K128" s="79"/>
      <c r="L128" s="77">
        <f>IFERROR(VLOOKUP($A128,DataPrixBillets!$S:$W,2,FALSE),0)</f>
        <v>0</v>
      </c>
      <c r="M128" s="77">
        <f>IFERROR(VLOOKUP($A128,DataPrixBillets!$S:$W,3,FALSE),0)</f>
        <v>0</v>
      </c>
      <c r="N128" s="77">
        <f>IFERROR(VLOOKUP($A128,DataPrixBillets!$S:$W,4,FALSE),0)</f>
        <v>0</v>
      </c>
      <c r="O128" s="77">
        <f>IFERROR(VLOOKUP($A128,DataPrixBillets!$S:$W,5,FALSE),0)</f>
        <v>0</v>
      </c>
      <c r="P128" s="79"/>
      <c r="Q128" s="77">
        <f t="shared" si="37"/>
        <v>0</v>
      </c>
      <c r="R128" s="77">
        <f t="shared" si="38"/>
        <v>0</v>
      </c>
      <c r="S128" s="77">
        <f t="shared" si="39"/>
        <v>0</v>
      </c>
      <c r="T128" s="77">
        <f t="shared" si="40"/>
        <v>0</v>
      </c>
      <c r="U128" s="79"/>
      <c r="V128" s="77">
        <f t="shared" si="41"/>
        <v>0</v>
      </c>
      <c r="W128" s="77">
        <f>IFERROR(VLOOKUP(A128,DataCoutRevenuAux!W:Y,2,FALSE),0)</f>
        <v>0</v>
      </c>
      <c r="X128" s="77">
        <f>IFERROR(VLOOKUP(A128,DataCoutRevenuAux!W:Y,3,FALSE),0)</f>
        <v>0</v>
      </c>
      <c r="Y128" s="77">
        <f t="shared" si="42"/>
        <v>0</v>
      </c>
      <c r="Z128" s="77">
        <f t="shared" si="43"/>
        <v>0</v>
      </c>
      <c r="AA128" s="77">
        <f t="shared" si="44"/>
        <v>0</v>
      </c>
      <c r="AB128" s="79"/>
      <c r="AC128" s="77">
        <f t="shared" si="45"/>
        <v>0</v>
      </c>
      <c r="AD128" s="77">
        <f t="shared" si="46"/>
        <v>0</v>
      </c>
      <c r="AE128" s="77">
        <f t="shared" si="47"/>
        <v>0</v>
      </c>
      <c r="AF128" s="79"/>
      <c r="AG128" s="6">
        <f t="shared" si="48"/>
        <v>0</v>
      </c>
      <c r="AH128" s="6">
        <f t="shared" si="49"/>
        <v>0</v>
      </c>
      <c r="AI128" s="6">
        <f t="shared" si="50"/>
        <v>0</v>
      </c>
    </row>
    <row r="129" spans="1:35" x14ac:dyDescent="0.3">
      <c r="A129" s="189">
        <f>DataDemande!U162</f>
        <v>0</v>
      </c>
      <c r="B129" s="185" t="str">
        <f t="shared" si="53"/>
        <v>0</v>
      </c>
      <c r="C129" s="185" t="str">
        <f t="shared" si="54"/>
        <v>0</v>
      </c>
      <c r="D129" s="189">
        <f>IFERROR(VLOOKUP(A129,DataCoutRevenuAux!M:Q,5,FALSE),0)</f>
        <v>0</v>
      </c>
      <c r="E129" s="189">
        <f>IFERROR(VLOOKUP(A129,DataDemande!U:Z,2,FALSE),0)</f>
        <v>0</v>
      </c>
      <c r="G129" s="77">
        <f>IFERROR(VLOOKUP(A129,DataDemande!U:Z,3,FALSE),0)</f>
        <v>0</v>
      </c>
      <c r="H129" s="77">
        <f>IFERROR(VLOOKUP($A129,DataDemande!$U:$Z,4,FALSE),0)</f>
        <v>0</v>
      </c>
      <c r="I129" s="77">
        <f>IFERROR(VLOOKUP($A129,DataDemande!$U:$Z,5,FALSE),0)</f>
        <v>0</v>
      </c>
      <c r="J129" s="77">
        <f>IFERROR(VLOOKUP($A129,DataDemande!$U:$Z,6,FALSE),0)</f>
        <v>0</v>
      </c>
      <c r="K129" s="79"/>
      <c r="L129" s="77">
        <f>IFERROR(VLOOKUP($A129,DataPrixBillets!$S:$W,2,FALSE),0)</f>
        <v>0</v>
      </c>
      <c r="M129" s="77">
        <f>IFERROR(VLOOKUP($A129,DataPrixBillets!$S:$W,3,FALSE),0)</f>
        <v>0</v>
      </c>
      <c r="N129" s="77">
        <f>IFERROR(VLOOKUP($A129,DataPrixBillets!$S:$W,4,FALSE),0)</f>
        <v>0</v>
      </c>
      <c r="O129" s="77">
        <f>IFERROR(VLOOKUP($A129,DataPrixBillets!$S:$W,5,FALSE),0)</f>
        <v>0</v>
      </c>
      <c r="P129" s="79"/>
      <c r="Q129" s="77">
        <f t="shared" si="37"/>
        <v>0</v>
      </c>
      <c r="R129" s="77">
        <f t="shared" si="38"/>
        <v>0</v>
      </c>
      <c r="S129" s="77">
        <f t="shared" si="39"/>
        <v>0</v>
      </c>
      <c r="T129" s="77">
        <f t="shared" si="40"/>
        <v>0</v>
      </c>
      <c r="U129" s="79"/>
      <c r="V129" s="77">
        <f t="shared" si="41"/>
        <v>0</v>
      </c>
      <c r="W129" s="77">
        <f>IFERROR(VLOOKUP(A129,DataCoutRevenuAux!W:Y,2,FALSE),0)</f>
        <v>0</v>
      </c>
      <c r="X129" s="77">
        <f>IFERROR(VLOOKUP(A129,DataCoutRevenuAux!W:Y,3,FALSE),0)</f>
        <v>0</v>
      </c>
      <c r="Y129" s="77">
        <f t="shared" si="42"/>
        <v>0</v>
      </c>
      <c r="Z129" s="77">
        <f t="shared" si="43"/>
        <v>0</v>
      </c>
      <c r="AA129" s="77">
        <f t="shared" si="44"/>
        <v>0</v>
      </c>
      <c r="AB129" s="79"/>
      <c r="AC129" s="77">
        <f t="shared" si="45"/>
        <v>0</v>
      </c>
      <c r="AD129" s="77">
        <f t="shared" si="46"/>
        <v>0</v>
      </c>
      <c r="AE129" s="77">
        <f t="shared" si="47"/>
        <v>0</v>
      </c>
      <c r="AF129" s="79"/>
      <c r="AG129" s="6">
        <f t="shared" si="48"/>
        <v>0</v>
      </c>
      <c r="AH129" s="6">
        <f t="shared" si="49"/>
        <v>0</v>
      </c>
      <c r="AI129" s="6">
        <f t="shared" si="50"/>
        <v>0</v>
      </c>
    </row>
    <row r="130" spans="1:35" x14ac:dyDescent="0.3">
      <c r="A130" s="189">
        <f>DataDemande!U163</f>
        <v>0</v>
      </c>
      <c r="B130" s="185" t="str">
        <f t="shared" si="53"/>
        <v>0</v>
      </c>
      <c r="C130" s="185" t="str">
        <f t="shared" si="54"/>
        <v>0</v>
      </c>
      <c r="D130" s="189">
        <f>IFERROR(VLOOKUP(A130,DataCoutRevenuAux!M:Q,5,FALSE),0)</f>
        <v>0</v>
      </c>
      <c r="E130" s="189">
        <f>IFERROR(VLOOKUP(A130,DataDemande!U:Z,2,FALSE),0)</f>
        <v>0</v>
      </c>
      <c r="G130" s="77">
        <f>IFERROR(VLOOKUP(A130,DataDemande!U:Z,3,FALSE),0)</f>
        <v>0</v>
      </c>
      <c r="H130" s="77">
        <f>IFERROR(VLOOKUP($A130,DataDemande!$U:$Z,4,FALSE),0)</f>
        <v>0</v>
      </c>
      <c r="I130" s="77">
        <f>IFERROR(VLOOKUP($A130,DataDemande!$U:$Z,5,FALSE),0)</f>
        <v>0</v>
      </c>
      <c r="J130" s="77">
        <f>IFERROR(VLOOKUP($A130,DataDemande!$U:$Z,6,FALSE),0)</f>
        <v>0</v>
      </c>
      <c r="K130" s="79"/>
      <c r="L130" s="77">
        <f>IFERROR(VLOOKUP($A130,DataPrixBillets!$S:$W,2,FALSE),0)</f>
        <v>0</v>
      </c>
      <c r="M130" s="77">
        <f>IFERROR(VLOOKUP($A130,DataPrixBillets!$S:$W,3,FALSE),0)</f>
        <v>0</v>
      </c>
      <c r="N130" s="77">
        <f>IFERROR(VLOOKUP($A130,DataPrixBillets!$S:$W,4,FALSE),0)</f>
        <v>0</v>
      </c>
      <c r="O130" s="77">
        <f>IFERROR(VLOOKUP($A130,DataPrixBillets!$S:$W,5,FALSE),0)</f>
        <v>0</v>
      </c>
      <c r="P130" s="79"/>
      <c r="Q130" s="77">
        <f t="shared" si="37"/>
        <v>0</v>
      </c>
      <c r="R130" s="77">
        <f t="shared" si="38"/>
        <v>0</v>
      </c>
      <c r="S130" s="77">
        <f t="shared" si="39"/>
        <v>0</v>
      </c>
      <c r="T130" s="77">
        <f t="shared" si="40"/>
        <v>0</v>
      </c>
      <c r="U130" s="79"/>
      <c r="V130" s="77">
        <f t="shared" si="41"/>
        <v>0</v>
      </c>
      <c r="W130" s="77">
        <f>IFERROR(VLOOKUP(A130,DataCoutRevenuAux!W:Y,2,FALSE),0)</f>
        <v>0</v>
      </c>
      <c r="X130" s="77">
        <f>IFERROR(VLOOKUP(A130,DataCoutRevenuAux!W:Y,3,FALSE),0)</f>
        <v>0</v>
      </c>
      <c r="Y130" s="77">
        <f t="shared" si="42"/>
        <v>0</v>
      </c>
      <c r="Z130" s="77">
        <f t="shared" si="43"/>
        <v>0</v>
      </c>
      <c r="AA130" s="77">
        <f t="shared" si="44"/>
        <v>0</v>
      </c>
      <c r="AB130" s="79"/>
      <c r="AC130" s="77">
        <f t="shared" si="45"/>
        <v>0</v>
      </c>
      <c r="AD130" s="77">
        <f t="shared" si="46"/>
        <v>0</v>
      </c>
      <c r="AE130" s="77">
        <f t="shared" si="47"/>
        <v>0</v>
      </c>
      <c r="AF130" s="79"/>
      <c r="AG130" s="6">
        <f t="shared" si="48"/>
        <v>0</v>
      </c>
      <c r="AH130" s="6">
        <f t="shared" si="49"/>
        <v>0</v>
      </c>
      <c r="AI130" s="6">
        <f t="shared" si="50"/>
        <v>0</v>
      </c>
    </row>
    <row r="131" spans="1:35" x14ac:dyDescent="0.3">
      <c r="A131" s="189">
        <f>DataDemande!U164</f>
        <v>0</v>
      </c>
      <c r="B131" s="185" t="str">
        <f t="shared" si="53"/>
        <v>0</v>
      </c>
      <c r="C131" s="185" t="str">
        <f t="shared" si="54"/>
        <v>0</v>
      </c>
      <c r="D131" s="189">
        <f>IFERROR(VLOOKUP(A131,DataCoutRevenuAux!M:Q,5,FALSE),0)</f>
        <v>0</v>
      </c>
      <c r="E131" s="189">
        <f>IFERROR(VLOOKUP(A131,DataDemande!U:Z,2,FALSE),0)</f>
        <v>0</v>
      </c>
      <c r="G131" s="77">
        <f>IFERROR(VLOOKUP(A131,DataDemande!U:Z,3,FALSE),0)</f>
        <v>0</v>
      </c>
      <c r="H131" s="77">
        <f>IFERROR(VLOOKUP($A131,DataDemande!$U:$Z,4,FALSE),0)</f>
        <v>0</v>
      </c>
      <c r="I131" s="77">
        <f>IFERROR(VLOOKUP($A131,DataDemande!$U:$Z,5,FALSE),0)</f>
        <v>0</v>
      </c>
      <c r="J131" s="77">
        <f>IFERROR(VLOOKUP($A131,DataDemande!$U:$Z,6,FALSE),0)</f>
        <v>0</v>
      </c>
      <c r="K131" s="79"/>
      <c r="L131" s="77">
        <f>IFERROR(VLOOKUP($A131,DataPrixBillets!$S:$W,2,FALSE),0)</f>
        <v>0</v>
      </c>
      <c r="M131" s="77">
        <f>IFERROR(VLOOKUP($A131,DataPrixBillets!$S:$W,3,FALSE),0)</f>
        <v>0</v>
      </c>
      <c r="N131" s="77">
        <f>IFERROR(VLOOKUP($A131,DataPrixBillets!$S:$W,4,FALSE),0)</f>
        <v>0</v>
      </c>
      <c r="O131" s="77">
        <f>IFERROR(VLOOKUP($A131,DataPrixBillets!$S:$W,5,FALSE),0)</f>
        <v>0</v>
      </c>
      <c r="P131" s="79"/>
      <c r="Q131" s="77">
        <f t="shared" si="37"/>
        <v>0</v>
      </c>
      <c r="R131" s="77">
        <f t="shared" si="38"/>
        <v>0</v>
      </c>
      <c r="S131" s="77">
        <f t="shared" si="39"/>
        <v>0</v>
      </c>
      <c r="T131" s="77">
        <f t="shared" si="40"/>
        <v>0</v>
      </c>
      <c r="U131" s="79"/>
      <c r="V131" s="77">
        <f t="shared" si="41"/>
        <v>0</v>
      </c>
      <c r="W131" s="77">
        <f>IFERROR(VLOOKUP(A131,DataCoutRevenuAux!W:Y,2,FALSE),0)</f>
        <v>0</v>
      </c>
      <c r="X131" s="77">
        <f>IFERROR(VLOOKUP(A131,DataCoutRevenuAux!W:Y,3,FALSE),0)</f>
        <v>0</v>
      </c>
      <c r="Y131" s="77">
        <f t="shared" si="42"/>
        <v>0</v>
      </c>
      <c r="Z131" s="77">
        <f t="shared" si="43"/>
        <v>0</v>
      </c>
      <c r="AA131" s="77">
        <f t="shared" si="44"/>
        <v>0</v>
      </c>
      <c r="AB131" s="79"/>
      <c r="AC131" s="77">
        <f t="shared" si="45"/>
        <v>0</v>
      </c>
      <c r="AD131" s="77">
        <f t="shared" si="46"/>
        <v>0</v>
      </c>
      <c r="AE131" s="77">
        <f t="shared" si="47"/>
        <v>0</v>
      </c>
      <c r="AF131" s="79"/>
      <c r="AG131" s="6">
        <f t="shared" si="48"/>
        <v>0</v>
      </c>
      <c r="AH131" s="6">
        <f t="shared" si="49"/>
        <v>0</v>
      </c>
      <c r="AI131" s="6">
        <f t="shared" si="50"/>
        <v>0</v>
      </c>
    </row>
    <row r="132" spans="1:35" x14ac:dyDescent="0.3">
      <c r="A132" s="189">
        <f>DataDemande!U165</f>
        <v>0</v>
      </c>
      <c r="B132" s="185" t="str">
        <f t="shared" si="53"/>
        <v>0</v>
      </c>
      <c r="C132" s="185" t="str">
        <f t="shared" si="54"/>
        <v>0</v>
      </c>
      <c r="D132" s="189">
        <f>IFERROR(VLOOKUP(A132,DataCoutRevenuAux!M:Q,5,FALSE),0)</f>
        <v>0</v>
      </c>
      <c r="E132" s="189">
        <f>IFERROR(VLOOKUP(A132,DataDemande!U:Z,2,FALSE),0)</f>
        <v>0</v>
      </c>
      <c r="G132" s="77">
        <f>IFERROR(VLOOKUP(A132,DataDemande!U:Z,3,FALSE),0)</f>
        <v>0</v>
      </c>
      <c r="H132" s="77">
        <f>IFERROR(VLOOKUP($A132,DataDemande!$U:$Z,4,FALSE),0)</f>
        <v>0</v>
      </c>
      <c r="I132" s="77">
        <f>IFERROR(VLOOKUP($A132,DataDemande!$U:$Z,5,FALSE),0)</f>
        <v>0</v>
      </c>
      <c r="J132" s="77">
        <f>IFERROR(VLOOKUP($A132,DataDemande!$U:$Z,6,FALSE),0)</f>
        <v>0</v>
      </c>
      <c r="K132" s="79"/>
      <c r="L132" s="77">
        <f>IFERROR(VLOOKUP($A132,DataPrixBillets!$S:$W,2,FALSE),0)</f>
        <v>0</v>
      </c>
      <c r="M132" s="77">
        <f>IFERROR(VLOOKUP($A132,DataPrixBillets!$S:$W,3,FALSE),0)</f>
        <v>0</v>
      </c>
      <c r="N132" s="77">
        <f>IFERROR(VLOOKUP($A132,DataPrixBillets!$S:$W,4,FALSE),0)</f>
        <v>0</v>
      </c>
      <c r="O132" s="77">
        <f>IFERROR(VLOOKUP($A132,DataPrixBillets!$S:$W,5,FALSE),0)</f>
        <v>0</v>
      </c>
      <c r="P132" s="79"/>
      <c r="Q132" s="77">
        <f t="shared" si="37"/>
        <v>0</v>
      </c>
      <c r="R132" s="77">
        <f t="shared" si="38"/>
        <v>0</v>
      </c>
      <c r="S132" s="77">
        <f t="shared" si="39"/>
        <v>0</v>
      </c>
      <c r="T132" s="77">
        <f t="shared" si="40"/>
        <v>0</v>
      </c>
      <c r="U132" s="79"/>
      <c r="V132" s="77">
        <f t="shared" si="41"/>
        <v>0</v>
      </c>
      <c r="W132" s="77">
        <f>IFERROR(VLOOKUP(A132,DataCoutRevenuAux!W:Y,2,FALSE),0)</f>
        <v>0</v>
      </c>
      <c r="X132" s="77">
        <f>IFERROR(VLOOKUP(A132,DataCoutRevenuAux!W:Y,3,FALSE),0)</f>
        <v>0</v>
      </c>
      <c r="Y132" s="77">
        <f t="shared" si="42"/>
        <v>0</v>
      </c>
      <c r="Z132" s="77">
        <f t="shared" si="43"/>
        <v>0</v>
      </c>
      <c r="AA132" s="77">
        <f t="shared" si="44"/>
        <v>0</v>
      </c>
      <c r="AB132" s="79"/>
      <c r="AC132" s="77">
        <f t="shared" si="45"/>
        <v>0</v>
      </c>
      <c r="AD132" s="77">
        <f t="shared" si="46"/>
        <v>0</v>
      </c>
      <c r="AE132" s="77">
        <f t="shared" si="47"/>
        <v>0</v>
      </c>
      <c r="AF132" s="79"/>
      <c r="AG132" s="6">
        <f t="shared" si="48"/>
        <v>0</v>
      </c>
      <c r="AH132" s="6">
        <f t="shared" si="49"/>
        <v>0</v>
      </c>
      <c r="AI132" s="6">
        <f t="shared" si="50"/>
        <v>0</v>
      </c>
    </row>
    <row r="133" spans="1:35" x14ac:dyDescent="0.3">
      <c r="A133" s="189">
        <f>DataDemande!U166</f>
        <v>0</v>
      </c>
      <c r="B133" s="185" t="str">
        <f t="shared" si="53"/>
        <v>0</v>
      </c>
      <c r="C133" s="185" t="str">
        <f t="shared" si="54"/>
        <v>0</v>
      </c>
      <c r="D133" s="189">
        <f>IFERROR(VLOOKUP(A133,DataCoutRevenuAux!M:Q,5,FALSE),0)</f>
        <v>0</v>
      </c>
      <c r="E133" s="189">
        <f>IFERROR(VLOOKUP(A133,DataDemande!U:Z,2,FALSE),0)</f>
        <v>0</v>
      </c>
      <c r="G133" s="77">
        <f>IFERROR(VLOOKUP(A133,DataDemande!U:Z,3,FALSE),0)</f>
        <v>0</v>
      </c>
      <c r="H133" s="77">
        <f>IFERROR(VLOOKUP($A133,DataDemande!$U:$Z,4,FALSE),0)</f>
        <v>0</v>
      </c>
      <c r="I133" s="77">
        <f>IFERROR(VLOOKUP($A133,DataDemande!$U:$Z,5,FALSE),0)</f>
        <v>0</v>
      </c>
      <c r="J133" s="77">
        <f>IFERROR(VLOOKUP($A133,DataDemande!$U:$Z,6,FALSE),0)</f>
        <v>0</v>
      </c>
      <c r="K133" s="79"/>
      <c r="L133" s="77">
        <f>IFERROR(VLOOKUP($A133,DataPrixBillets!$S:$W,2,FALSE),0)</f>
        <v>0</v>
      </c>
      <c r="M133" s="77">
        <f>IFERROR(VLOOKUP($A133,DataPrixBillets!$S:$W,3,FALSE),0)</f>
        <v>0</v>
      </c>
      <c r="N133" s="77">
        <f>IFERROR(VLOOKUP($A133,DataPrixBillets!$S:$W,4,FALSE),0)</f>
        <v>0</v>
      </c>
      <c r="O133" s="77">
        <f>IFERROR(VLOOKUP($A133,DataPrixBillets!$S:$W,5,FALSE),0)</f>
        <v>0</v>
      </c>
      <c r="P133" s="79"/>
      <c r="Q133" s="77">
        <f t="shared" si="37"/>
        <v>0</v>
      </c>
      <c r="R133" s="77">
        <f t="shared" si="38"/>
        <v>0</v>
      </c>
      <c r="S133" s="77">
        <f t="shared" si="39"/>
        <v>0</v>
      </c>
      <c r="T133" s="77">
        <f t="shared" si="40"/>
        <v>0</v>
      </c>
      <c r="U133" s="79"/>
      <c r="V133" s="77">
        <f t="shared" si="41"/>
        <v>0</v>
      </c>
      <c r="W133" s="77">
        <f>IFERROR(VLOOKUP(A133,DataCoutRevenuAux!W:Y,2,FALSE),0)</f>
        <v>0</v>
      </c>
      <c r="X133" s="77">
        <f>IFERROR(VLOOKUP(A133,DataCoutRevenuAux!W:Y,3,FALSE),0)</f>
        <v>0</v>
      </c>
      <c r="Y133" s="77">
        <f t="shared" si="42"/>
        <v>0</v>
      </c>
      <c r="Z133" s="77">
        <f t="shared" si="43"/>
        <v>0</v>
      </c>
      <c r="AA133" s="77">
        <f t="shared" si="44"/>
        <v>0</v>
      </c>
      <c r="AB133" s="79"/>
      <c r="AC133" s="77">
        <f t="shared" si="45"/>
        <v>0</v>
      </c>
      <c r="AD133" s="77">
        <f t="shared" si="46"/>
        <v>0</v>
      </c>
      <c r="AE133" s="77">
        <f t="shared" si="47"/>
        <v>0</v>
      </c>
      <c r="AF133" s="79"/>
      <c r="AG133" s="6">
        <f t="shared" si="48"/>
        <v>0</v>
      </c>
      <c r="AH133" s="6">
        <f t="shared" si="49"/>
        <v>0</v>
      </c>
      <c r="AI133" s="6">
        <f t="shared" si="50"/>
        <v>0</v>
      </c>
    </row>
    <row r="134" spans="1:35" x14ac:dyDescent="0.3">
      <c r="A134" s="189">
        <f>DataDemande!U167</f>
        <v>0</v>
      </c>
      <c r="B134" s="185" t="str">
        <f t="shared" si="53"/>
        <v>0</v>
      </c>
      <c r="C134" s="185" t="str">
        <f t="shared" si="54"/>
        <v>0</v>
      </c>
      <c r="D134" s="189">
        <f>IFERROR(VLOOKUP(A134,DataCoutRevenuAux!M:Q,5,FALSE),0)</f>
        <v>0</v>
      </c>
      <c r="E134" s="189">
        <f>IFERROR(VLOOKUP(A134,DataDemande!U:Z,2,FALSE),0)</f>
        <v>0</v>
      </c>
      <c r="G134" s="77">
        <f>IFERROR(VLOOKUP(A134,DataDemande!U:Z,3,FALSE),0)</f>
        <v>0</v>
      </c>
      <c r="H134" s="77">
        <f>IFERROR(VLOOKUP($A134,DataDemande!$U:$Z,4,FALSE),0)</f>
        <v>0</v>
      </c>
      <c r="I134" s="77">
        <f>IFERROR(VLOOKUP($A134,DataDemande!$U:$Z,5,FALSE),0)</f>
        <v>0</v>
      </c>
      <c r="J134" s="77">
        <f>IFERROR(VLOOKUP($A134,DataDemande!$U:$Z,6,FALSE),0)</f>
        <v>0</v>
      </c>
      <c r="K134" s="79"/>
      <c r="L134" s="77">
        <f>IFERROR(VLOOKUP($A134,DataPrixBillets!$S:$W,2,FALSE),0)</f>
        <v>0</v>
      </c>
      <c r="M134" s="77">
        <f>IFERROR(VLOOKUP($A134,DataPrixBillets!$S:$W,3,FALSE),0)</f>
        <v>0</v>
      </c>
      <c r="N134" s="77">
        <f>IFERROR(VLOOKUP($A134,DataPrixBillets!$S:$W,4,FALSE),0)</f>
        <v>0</v>
      </c>
      <c r="O134" s="77">
        <f>IFERROR(VLOOKUP($A134,DataPrixBillets!$S:$W,5,FALSE),0)</f>
        <v>0</v>
      </c>
      <c r="P134" s="79"/>
      <c r="Q134" s="77">
        <f t="shared" si="37"/>
        <v>0</v>
      </c>
      <c r="R134" s="77">
        <f t="shared" si="38"/>
        <v>0</v>
      </c>
      <c r="S134" s="77">
        <f t="shared" si="39"/>
        <v>0</v>
      </c>
      <c r="T134" s="77">
        <f t="shared" si="40"/>
        <v>0</v>
      </c>
      <c r="U134" s="79"/>
      <c r="V134" s="77">
        <f t="shared" si="41"/>
        <v>0</v>
      </c>
      <c r="W134" s="77">
        <f>IFERROR(VLOOKUP(A134,DataCoutRevenuAux!W:Y,2,FALSE),0)</f>
        <v>0</v>
      </c>
      <c r="X134" s="77">
        <f>IFERROR(VLOOKUP(A134,DataCoutRevenuAux!W:Y,3,FALSE),0)</f>
        <v>0</v>
      </c>
      <c r="Y134" s="77">
        <f t="shared" si="42"/>
        <v>0</v>
      </c>
      <c r="Z134" s="77">
        <f t="shared" si="43"/>
        <v>0</v>
      </c>
      <c r="AA134" s="77">
        <f t="shared" si="44"/>
        <v>0</v>
      </c>
      <c r="AB134" s="79"/>
      <c r="AC134" s="77">
        <f t="shared" si="45"/>
        <v>0</v>
      </c>
      <c r="AD134" s="77">
        <f t="shared" si="46"/>
        <v>0</v>
      </c>
      <c r="AE134" s="77">
        <f t="shared" si="47"/>
        <v>0</v>
      </c>
      <c r="AF134" s="79"/>
      <c r="AG134" s="6">
        <f t="shared" si="48"/>
        <v>0</v>
      </c>
      <c r="AH134" s="6">
        <f t="shared" si="49"/>
        <v>0</v>
      </c>
      <c r="AI134" s="6">
        <f t="shared" si="50"/>
        <v>0</v>
      </c>
    </row>
    <row r="135" spans="1:35" x14ac:dyDescent="0.3">
      <c r="A135" s="189">
        <f>DataDemande!U168</f>
        <v>0</v>
      </c>
      <c r="B135" s="185" t="str">
        <f t="shared" si="53"/>
        <v>0</v>
      </c>
      <c r="C135" s="185" t="str">
        <f t="shared" si="54"/>
        <v>0</v>
      </c>
      <c r="D135" s="189">
        <f>IFERROR(VLOOKUP(A135,DataCoutRevenuAux!M:Q,5,FALSE),0)</f>
        <v>0</v>
      </c>
      <c r="E135" s="189">
        <f>IFERROR(VLOOKUP(A135,DataDemande!U:Z,2,FALSE),0)</f>
        <v>0</v>
      </c>
      <c r="G135" s="77">
        <f>IFERROR(VLOOKUP(A135,DataDemande!U:Z,3,FALSE),0)</f>
        <v>0</v>
      </c>
      <c r="H135" s="77">
        <f>IFERROR(VLOOKUP($A135,DataDemande!$U:$Z,4,FALSE),0)</f>
        <v>0</v>
      </c>
      <c r="I135" s="77">
        <f>IFERROR(VLOOKUP($A135,DataDemande!$U:$Z,5,FALSE),0)</f>
        <v>0</v>
      </c>
      <c r="J135" s="77">
        <f>IFERROR(VLOOKUP($A135,DataDemande!$U:$Z,6,FALSE),0)</f>
        <v>0</v>
      </c>
      <c r="K135" s="79"/>
      <c r="L135" s="77">
        <f>IFERROR(VLOOKUP($A135,DataPrixBillets!$S:$W,2,FALSE),0)</f>
        <v>0</v>
      </c>
      <c r="M135" s="77">
        <f>IFERROR(VLOOKUP($A135,DataPrixBillets!$S:$W,3,FALSE),0)</f>
        <v>0</v>
      </c>
      <c r="N135" s="77">
        <f>IFERROR(VLOOKUP($A135,DataPrixBillets!$S:$W,4,FALSE),0)</f>
        <v>0</v>
      </c>
      <c r="O135" s="77">
        <f>IFERROR(VLOOKUP($A135,DataPrixBillets!$S:$W,5,FALSE),0)</f>
        <v>0</v>
      </c>
      <c r="P135" s="79"/>
      <c r="Q135" s="77">
        <f t="shared" si="37"/>
        <v>0</v>
      </c>
      <c r="R135" s="77">
        <f t="shared" si="38"/>
        <v>0</v>
      </c>
      <c r="S135" s="77">
        <f t="shared" si="39"/>
        <v>0</v>
      </c>
      <c r="T135" s="77">
        <f t="shared" si="40"/>
        <v>0</v>
      </c>
      <c r="U135" s="79"/>
      <c r="V135" s="77">
        <f t="shared" si="41"/>
        <v>0</v>
      </c>
      <c r="W135" s="77">
        <f>IFERROR(VLOOKUP(A135,DataCoutRevenuAux!W:Y,2,FALSE),0)</f>
        <v>0</v>
      </c>
      <c r="X135" s="77">
        <f>IFERROR(VLOOKUP(A135,DataCoutRevenuAux!W:Y,3,FALSE),0)</f>
        <v>0</v>
      </c>
      <c r="Y135" s="77">
        <f t="shared" si="42"/>
        <v>0</v>
      </c>
      <c r="Z135" s="77">
        <f t="shared" si="43"/>
        <v>0</v>
      </c>
      <c r="AA135" s="77">
        <f t="shared" si="44"/>
        <v>0</v>
      </c>
      <c r="AB135" s="79"/>
      <c r="AC135" s="77">
        <f t="shared" si="45"/>
        <v>0</v>
      </c>
      <c r="AD135" s="77">
        <f t="shared" si="46"/>
        <v>0</v>
      </c>
      <c r="AE135" s="77">
        <f t="shared" si="47"/>
        <v>0</v>
      </c>
      <c r="AF135" s="79"/>
      <c r="AG135" s="6">
        <f t="shared" si="48"/>
        <v>0</v>
      </c>
      <c r="AH135" s="6">
        <f t="shared" si="49"/>
        <v>0</v>
      </c>
      <c r="AI135" s="6">
        <f t="shared" si="50"/>
        <v>0</v>
      </c>
    </row>
    <row r="136" spans="1:35" x14ac:dyDescent="0.3">
      <c r="A136" s="189">
        <f>DataDemande!U169</f>
        <v>0</v>
      </c>
      <c r="B136" s="185" t="str">
        <f t="shared" si="53"/>
        <v>0</v>
      </c>
      <c r="C136" s="185" t="str">
        <f t="shared" si="54"/>
        <v>0</v>
      </c>
      <c r="D136" s="189">
        <f>IFERROR(VLOOKUP(A136,DataCoutRevenuAux!M:Q,5,FALSE),0)</f>
        <v>0</v>
      </c>
      <c r="E136" s="189">
        <f>IFERROR(VLOOKUP(A136,DataDemande!U:Z,2,FALSE),0)</f>
        <v>0</v>
      </c>
      <c r="G136" s="77">
        <f>IFERROR(VLOOKUP(A136,DataDemande!U:Z,3,FALSE),0)</f>
        <v>0</v>
      </c>
      <c r="H136" s="77">
        <f>IFERROR(VLOOKUP($A136,DataDemande!$U:$Z,4,FALSE),0)</f>
        <v>0</v>
      </c>
      <c r="I136" s="77">
        <f>IFERROR(VLOOKUP($A136,DataDemande!$U:$Z,5,FALSE),0)</f>
        <v>0</v>
      </c>
      <c r="J136" s="77">
        <f>IFERROR(VLOOKUP($A136,DataDemande!$U:$Z,6,FALSE),0)</f>
        <v>0</v>
      </c>
      <c r="K136" s="79"/>
      <c r="L136" s="77">
        <f>IFERROR(VLOOKUP($A136,DataPrixBillets!$S:$W,2,FALSE),0)</f>
        <v>0</v>
      </c>
      <c r="M136" s="77">
        <f>IFERROR(VLOOKUP($A136,DataPrixBillets!$S:$W,3,FALSE),0)</f>
        <v>0</v>
      </c>
      <c r="N136" s="77">
        <f>IFERROR(VLOOKUP($A136,DataPrixBillets!$S:$W,4,FALSE),0)</f>
        <v>0</v>
      </c>
      <c r="O136" s="77">
        <f>IFERROR(VLOOKUP($A136,DataPrixBillets!$S:$W,5,FALSE),0)</f>
        <v>0</v>
      </c>
      <c r="P136" s="79"/>
      <c r="Q136" s="77">
        <f t="shared" si="37"/>
        <v>0</v>
      </c>
      <c r="R136" s="77">
        <f t="shared" si="38"/>
        <v>0</v>
      </c>
      <c r="S136" s="77">
        <f t="shared" si="39"/>
        <v>0</v>
      </c>
      <c r="T136" s="77">
        <f t="shared" si="40"/>
        <v>0</v>
      </c>
      <c r="U136" s="79"/>
      <c r="V136" s="77">
        <f t="shared" si="41"/>
        <v>0</v>
      </c>
      <c r="W136" s="77">
        <f>IFERROR(VLOOKUP(A136,DataCoutRevenuAux!W:Y,2,FALSE),0)</f>
        <v>0</v>
      </c>
      <c r="X136" s="77">
        <f>IFERROR(VLOOKUP(A136,DataCoutRevenuAux!W:Y,3,FALSE),0)</f>
        <v>0</v>
      </c>
      <c r="Y136" s="77">
        <f t="shared" si="42"/>
        <v>0</v>
      </c>
      <c r="Z136" s="77">
        <f t="shared" si="43"/>
        <v>0</v>
      </c>
      <c r="AA136" s="77">
        <f t="shared" si="44"/>
        <v>0</v>
      </c>
      <c r="AB136" s="79"/>
      <c r="AC136" s="77">
        <f t="shared" si="45"/>
        <v>0</v>
      </c>
      <c r="AD136" s="77">
        <f t="shared" si="46"/>
        <v>0</v>
      </c>
      <c r="AE136" s="77">
        <f t="shared" si="47"/>
        <v>0</v>
      </c>
      <c r="AF136" s="79"/>
      <c r="AG136" s="6">
        <f t="shared" si="48"/>
        <v>0</v>
      </c>
      <c r="AH136" s="6">
        <f t="shared" si="49"/>
        <v>0</v>
      </c>
      <c r="AI136" s="6">
        <f t="shared" si="50"/>
        <v>0</v>
      </c>
    </row>
    <row r="137" spans="1:35" x14ac:dyDescent="0.3">
      <c r="A137" s="189">
        <f>DataDemande!U170</f>
        <v>0</v>
      </c>
      <c r="B137" s="185" t="str">
        <f t="shared" si="53"/>
        <v>0</v>
      </c>
      <c r="C137" s="185" t="str">
        <f t="shared" si="54"/>
        <v>0</v>
      </c>
      <c r="D137" s="189">
        <f>IFERROR(VLOOKUP(A137,DataCoutRevenuAux!M:Q,5,FALSE),0)</f>
        <v>0</v>
      </c>
      <c r="E137" s="189">
        <f>IFERROR(VLOOKUP(A137,DataDemande!U:Z,2,FALSE),0)</f>
        <v>0</v>
      </c>
      <c r="G137" s="77">
        <f>IFERROR(VLOOKUP(A137,DataDemande!U:Z,3,FALSE),0)</f>
        <v>0</v>
      </c>
      <c r="H137" s="77">
        <f>IFERROR(VLOOKUP($A137,DataDemande!$U:$Z,4,FALSE),0)</f>
        <v>0</v>
      </c>
      <c r="I137" s="77">
        <f>IFERROR(VLOOKUP($A137,DataDemande!$U:$Z,5,FALSE),0)</f>
        <v>0</v>
      </c>
      <c r="J137" s="77">
        <f>IFERROR(VLOOKUP($A137,DataDemande!$U:$Z,6,FALSE),0)</f>
        <v>0</v>
      </c>
      <c r="K137" s="79"/>
      <c r="L137" s="77">
        <f>IFERROR(VLOOKUP($A137,DataPrixBillets!$S:$W,2,FALSE),0)</f>
        <v>0</v>
      </c>
      <c r="M137" s="77">
        <f>IFERROR(VLOOKUP($A137,DataPrixBillets!$S:$W,3,FALSE),0)</f>
        <v>0</v>
      </c>
      <c r="N137" s="77">
        <f>IFERROR(VLOOKUP($A137,DataPrixBillets!$S:$W,4,FALSE),0)</f>
        <v>0</v>
      </c>
      <c r="O137" s="77">
        <f>IFERROR(VLOOKUP($A137,DataPrixBillets!$S:$W,5,FALSE),0)</f>
        <v>0</v>
      </c>
      <c r="P137" s="79"/>
      <c r="Q137" s="77">
        <f t="shared" si="37"/>
        <v>0</v>
      </c>
      <c r="R137" s="77">
        <f t="shared" si="38"/>
        <v>0</v>
      </c>
      <c r="S137" s="77">
        <f t="shared" si="39"/>
        <v>0</v>
      </c>
      <c r="T137" s="77">
        <f t="shared" si="40"/>
        <v>0</v>
      </c>
      <c r="U137" s="79"/>
      <c r="V137" s="77">
        <f t="shared" si="41"/>
        <v>0</v>
      </c>
      <c r="W137" s="77">
        <f>IFERROR(VLOOKUP(A137,DataCoutRevenuAux!W:Y,2,FALSE),0)</f>
        <v>0</v>
      </c>
      <c r="X137" s="77">
        <f>IFERROR(VLOOKUP(A137,DataCoutRevenuAux!W:Y,3,FALSE),0)</f>
        <v>0</v>
      </c>
      <c r="Y137" s="77">
        <f t="shared" si="42"/>
        <v>0</v>
      </c>
      <c r="Z137" s="77">
        <f t="shared" si="43"/>
        <v>0</v>
      </c>
      <c r="AA137" s="77">
        <f t="shared" si="44"/>
        <v>0</v>
      </c>
      <c r="AB137" s="79"/>
      <c r="AC137" s="77">
        <f t="shared" si="45"/>
        <v>0</v>
      </c>
      <c r="AD137" s="77">
        <f t="shared" si="46"/>
        <v>0</v>
      </c>
      <c r="AE137" s="77">
        <f t="shared" si="47"/>
        <v>0</v>
      </c>
      <c r="AF137" s="79"/>
      <c r="AG137" s="6">
        <f t="shared" si="48"/>
        <v>0</v>
      </c>
      <c r="AH137" s="6">
        <f t="shared" si="49"/>
        <v>0</v>
      </c>
      <c r="AI137" s="6">
        <f t="shared" si="50"/>
        <v>0</v>
      </c>
    </row>
    <row r="138" spans="1:35" x14ac:dyDescent="0.3">
      <c r="A138" s="189">
        <f>DataDemande!U171</f>
        <v>0</v>
      </c>
      <c r="B138" s="185" t="str">
        <f t="shared" si="53"/>
        <v>0</v>
      </c>
      <c r="C138" s="185" t="str">
        <f t="shared" si="54"/>
        <v>0</v>
      </c>
      <c r="D138" s="189">
        <f>IFERROR(VLOOKUP(A138,DataCoutRevenuAux!M:Q,5,FALSE),0)</f>
        <v>0</v>
      </c>
      <c r="E138" s="189">
        <f>IFERROR(VLOOKUP(A138,DataDemande!U:Z,2,FALSE),0)</f>
        <v>0</v>
      </c>
      <c r="G138" s="77">
        <f>IFERROR(VLOOKUP(A138,DataDemande!U:Z,3,FALSE),0)</f>
        <v>0</v>
      </c>
      <c r="H138" s="77">
        <f>IFERROR(VLOOKUP($A138,DataDemande!$U:$Z,4,FALSE),0)</f>
        <v>0</v>
      </c>
      <c r="I138" s="77">
        <f>IFERROR(VLOOKUP($A138,DataDemande!$U:$Z,5,FALSE),0)</f>
        <v>0</v>
      </c>
      <c r="J138" s="77">
        <f>IFERROR(VLOOKUP($A138,DataDemande!$U:$Z,6,FALSE),0)</f>
        <v>0</v>
      </c>
      <c r="K138" s="79"/>
      <c r="L138" s="77">
        <f>IFERROR(VLOOKUP($A138,DataPrixBillets!$S:$W,2,FALSE),0)</f>
        <v>0</v>
      </c>
      <c r="M138" s="77">
        <f>IFERROR(VLOOKUP($A138,DataPrixBillets!$S:$W,3,FALSE),0)</f>
        <v>0</v>
      </c>
      <c r="N138" s="77">
        <f>IFERROR(VLOOKUP($A138,DataPrixBillets!$S:$W,4,FALSE),0)</f>
        <v>0</v>
      </c>
      <c r="O138" s="77">
        <f>IFERROR(VLOOKUP($A138,DataPrixBillets!$S:$W,5,FALSE),0)</f>
        <v>0</v>
      </c>
      <c r="P138" s="79"/>
      <c r="Q138" s="77">
        <f t="shared" si="37"/>
        <v>0</v>
      </c>
      <c r="R138" s="77">
        <f t="shared" si="38"/>
        <v>0</v>
      </c>
      <c r="S138" s="77">
        <f t="shared" si="39"/>
        <v>0</v>
      </c>
      <c r="T138" s="77">
        <f t="shared" si="40"/>
        <v>0</v>
      </c>
      <c r="U138" s="79"/>
      <c r="V138" s="77">
        <f t="shared" si="41"/>
        <v>0</v>
      </c>
      <c r="W138" s="77">
        <f>IFERROR(VLOOKUP(A138,DataCoutRevenuAux!W:Y,2,FALSE),0)</f>
        <v>0</v>
      </c>
      <c r="X138" s="77">
        <f>IFERROR(VLOOKUP(A138,DataCoutRevenuAux!W:Y,3,FALSE),0)</f>
        <v>0</v>
      </c>
      <c r="Y138" s="77">
        <f t="shared" si="42"/>
        <v>0</v>
      </c>
      <c r="Z138" s="77">
        <f t="shared" si="43"/>
        <v>0</v>
      </c>
      <c r="AA138" s="77">
        <f t="shared" si="44"/>
        <v>0</v>
      </c>
      <c r="AB138" s="79"/>
      <c r="AC138" s="77">
        <f t="shared" si="45"/>
        <v>0</v>
      </c>
      <c r="AD138" s="77">
        <f t="shared" si="46"/>
        <v>0</v>
      </c>
      <c r="AE138" s="77">
        <f t="shared" si="47"/>
        <v>0</v>
      </c>
      <c r="AF138" s="79"/>
      <c r="AG138" s="6">
        <f t="shared" si="48"/>
        <v>0</v>
      </c>
      <c r="AH138" s="6">
        <f t="shared" si="49"/>
        <v>0</v>
      </c>
      <c r="AI138" s="6">
        <f t="shared" si="50"/>
        <v>0</v>
      </c>
    </row>
    <row r="139" spans="1:35" x14ac:dyDescent="0.3">
      <c r="A139" s="189">
        <f>DataDemande!U172</f>
        <v>0</v>
      </c>
      <c r="B139" s="185" t="str">
        <f t="shared" ref="B139:B158" si="55">LEFT(A139,3)</f>
        <v>0</v>
      </c>
      <c r="C139" s="185" t="str">
        <f t="shared" ref="C139:C158" si="56">RIGHT(A139,3)</f>
        <v>0</v>
      </c>
      <c r="D139" s="189">
        <f>IFERROR(VLOOKUP(A139,DataCoutRevenuAux!M:Q,5,FALSE),0)</f>
        <v>0</v>
      </c>
      <c r="E139" s="189">
        <f>IFERROR(VLOOKUP(A139,DataDemande!U:Z,2,FALSE),0)</f>
        <v>0</v>
      </c>
      <c r="G139" s="77">
        <f>IFERROR(VLOOKUP(A139,DataDemande!U:Z,3,FALSE),0)</f>
        <v>0</v>
      </c>
      <c r="H139" s="77">
        <f>IFERROR(VLOOKUP($A139,DataDemande!$U:$Z,4,FALSE),0)</f>
        <v>0</v>
      </c>
      <c r="I139" s="77">
        <f>IFERROR(VLOOKUP($A139,DataDemande!$U:$Z,5,FALSE),0)</f>
        <v>0</v>
      </c>
      <c r="J139" s="77">
        <f>IFERROR(VLOOKUP($A139,DataDemande!$U:$Z,6,FALSE),0)</f>
        <v>0</v>
      </c>
      <c r="K139" s="79"/>
      <c r="L139" s="77">
        <f>IFERROR(VLOOKUP($A139,DataPrixBillets!$S:$W,2,FALSE),0)</f>
        <v>0</v>
      </c>
      <c r="M139" s="77">
        <f>IFERROR(VLOOKUP($A139,DataPrixBillets!$S:$W,3,FALSE),0)</f>
        <v>0</v>
      </c>
      <c r="N139" s="77">
        <f>IFERROR(VLOOKUP($A139,DataPrixBillets!$S:$W,4,FALSE),0)</f>
        <v>0</v>
      </c>
      <c r="O139" s="77">
        <f>IFERROR(VLOOKUP($A139,DataPrixBillets!$S:$W,5,FALSE),0)</f>
        <v>0</v>
      </c>
      <c r="P139" s="79"/>
      <c r="Q139" s="77">
        <f t="shared" si="37"/>
        <v>0</v>
      </c>
      <c r="R139" s="77">
        <f t="shared" si="38"/>
        <v>0</v>
      </c>
      <c r="S139" s="77">
        <f t="shared" si="39"/>
        <v>0</v>
      </c>
      <c r="T139" s="77">
        <f t="shared" si="40"/>
        <v>0</v>
      </c>
      <c r="U139" s="79"/>
      <c r="V139" s="77">
        <f t="shared" si="41"/>
        <v>0</v>
      </c>
      <c r="W139" s="77">
        <f>IFERROR(VLOOKUP(A139,DataCoutRevenuAux!W:Y,2,FALSE),0)</f>
        <v>0</v>
      </c>
      <c r="X139" s="77">
        <f>IFERROR(VLOOKUP(A139,DataCoutRevenuAux!W:Y,3,FALSE),0)</f>
        <v>0</v>
      </c>
      <c r="Y139" s="77">
        <f t="shared" si="42"/>
        <v>0</v>
      </c>
      <c r="Z139" s="77">
        <f t="shared" si="43"/>
        <v>0</v>
      </c>
      <c r="AA139" s="77">
        <f t="shared" si="44"/>
        <v>0</v>
      </c>
      <c r="AB139" s="79"/>
      <c r="AC139" s="77">
        <f t="shared" si="45"/>
        <v>0</v>
      </c>
      <c r="AD139" s="77">
        <f t="shared" si="46"/>
        <v>0</v>
      </c>
      <c r="AE139" s="77">
        <f t="shared" si="47"/>
        <v>0</v>
      </c>
      <c r="AF139" s="79"/>
      <c r="AG139" s="6">
        <f t="shared" si="48"/>
        <v>0</v>
      </c>
      <c r="AH139" s="6">
        <f t="shared" si="49"/>
        <v>0</v>
      </c>
      <c r="AI139" s="6">
        <f t="shared" si="50"/>
        <v>0</v>
      </c>
    </row>
    <row r="140" spans="1:35" x14ac:dyDescent="0.3">
      <c r="A140" s="189">
        <f>DataDemande!U173</f>
        <v>0</v>
      </c>
      <c r="B140" s="185" t="str">
        <f t="shared" si="55"/>
        <v>0</v>
      </c>
      <c r="C140" s="185" t="str">
        <f t="shared" si="56"/>
        <v>0</v>
      </c>
      <c r="D140" s="189">
        <f>IFERROR(VLOOKUP(A140,DataCoutRevenuAux!M:Q,5,FALSE),0)</f>
        <v>0</v>
      </c>
      <c r="E140" s="189">
        <f>IFERROR(VLOOKUP(A140,DataDemande!U:Z,2,FALSE),0)</f>
        <v>0</v>
      </c>
      <c r="G140" s="77">
        <f>IFERROR(VLOOKUP(A140,DataDemande!U:Z,3,FALSE),0)</f>
        <v>0</v>
      </c>
      <c r="H140" s="77">
        <f>IFERROR(VLOOKUP($A140,DataDemande!$U:$Z,4,FALSE),0)</f>
        <v>0</v>
      </c>
      <c r="I140" s="77">
        <f>IFERROR(VLOOKUP($A140,DataDemande!$U:$Z,5,FALSE),0)</f>
        <v>0</v>
      </c>
      <c r="J140" s="77">
        <f>IFERROR(VLOOKUP($A140,DataDemande!$U:$Z,6,FALSE),0)</f>
        <v>0</v>
      </c>
      <c r="K140" s="79"/>
      <c r="L140" s="77">
        <f>IFERROR(VLOOKUP($A140,DataPrixBillets!$S:$W,2,FALSE),0)</f>
        <v>0</v>
      </c>
      <c r="M140" s="77">
        <f>IFERROR(VLOOKUP($A140,DataPrixBillets!$S:$W,3,FALSE),0)</f>
        <v>0</v>
      </c>
      <c r="N140" s="77">
        <f>IFERROR(VLOOKUP($A140,DataPrixBillets!$S:$W,4,FALSE),0)</f>
        <v>0</v>
      </c>
      <c r="O140" s="77">
        <f>IFERROR(VLOOKUP($A140,DataPrixBillets!$S:$W,5,FALSE),0)</f>
        <v>0</v>
      </c>
      <c r="P140" s="79"/>
      <c r="Q140" s="77">
        <f t="shared" si="37"/>
        <v>0</v>
      </c>
      <c r="R140" s="77">
        <f t="shared" si="38"/>
        <v>0</v>
      </c>
      <c r="S140" s="77">
        <f t="shared" si="39"/>
        <v>0</v>
      </c>
      <c r="T140" s="77">
        <f t="shared" si="40"/>
        <v>0</v>
      </c>
      <c r="U140" s="79"/>
      <c r="V140" s="77">
        <f t="shared" si="41"/>
        <v>0</v>
      </c>
      <c r="W140" s="77">
        <f>IFERROR(VLOOKUP(A140,DataCoutRevenuAux!W:Y,2,FALSE),0)</f>
        <v>0</v>
      </c>
      <c r="X140" s="77">
        <f>IFERROR(VLOOKUP(A140,DataCoutRevenuAux!W:Y,3,FALSE),0)</f>
        <v>0</v>
      </c>
      <c r="Y140" s="77">
        <f t="shared" si="42"/>
        <v>0</v>
      </c>
      <c r="Z140" s="77">
        <f t="shared" si="43"/>
        <v>0</v>
      </c>
      <c r="AA140" s="77">
        <f t="shared" si="44"/>
        <v>0</v>
      </c>
      <c r="AB140" s="79"/>
      <c r="AC140" s="77">
        <f t="shared" si="45"/>
        <v>0</v>
      </c>
      <c r="AD140" s="77">
        <f t="shared" si="46"/>
        <v>0</v>
      </c>
      <c r="AE140" s="77">
        <f t="shared" si="47"/>
        <v>0</v>
      </c>
      <c r="AF140" s="79"/>
      <c r="AG140" s="6">
        <f t="shared" si="48"/>
        <v>0</v>
      </c>
      <c r="AH140" s="6">
        <f t="shared" si="49"/>
        <v>0</v>
      </c>
      <c r="AI140" s="6">
        <f t="shared" si="50"/>
        <v>0</v>
      </c>
    </row>
    <row r="141" spans="1:35" x14ac:dyDescent="0.3">
      <c r="A141" s="189">
        <f>DataDemande!U174</f>
        <v>0</v>
      </c>
      <c r="B141" s="185" t="str">
        <f t="shared" si="55"/>
        <v>0</v>
      </c>
      <c r="C141" s="185" t="str">
        <f t="shared" si="56"/>
        <v>0</v>
      </c>
      <c r="D141" s="189">
        <f>IFERROR(VLOOKUP(A141,DataCoutRevenuAux!M:Q,5,FALSE),0)</f>
        <v>0</v>
      </c>
      <c r="E141" s="189">
        <f>IFERROR(VLOOKUP(A141,DataDemande!U:Z,2,FALSE),0)</f>
        <v>0</v>
      </c>
      <c r="G141" s="77">
        <f>IFERROR(VLOOKUP(A141,DataDemande!U:Z,3,FALSE),0)</f>
        <v>0</v>
      </c>
      <c r="H141" s="77">
        <f>IFERROR(VLOOKUP($A141,DataDemande!$U:$Z,4,FALSE),0)</f>
        <v>0</v>
      </c>
      <c r="I141" s="77">
        <f>IFERROR(VLOOKUP($A141,DataDemande!$U:$Z,5,FALSE),0)</f>
        <v>0</v>
      </c>
      <c r="J141" s="77">
        <f>IFERROR(VLOOKUP($A141,DataDemande!$U:$Z,6,FALSE),0)</f>
        <v>0</v>
      </c>
      <c r="K141" s="79"/>
      <c r="L141" s="77">
        <f>IFERROR(VLOOKUP($A141,DataPrixBillets!$S:$W,2,FALSE),0)</f>
        <v>0</v>
      </c>
      <c r="M141" s="77">
        <f>IFERROR(VLOOKUP($A141,DataPrixBillets!$S:$W,3,FALSE),0)</f>
        <v>0</v>
      </c>
      <c r="N141" s="77">
        <f>IFERROR(VLOOKUP($A141,DataPrixBillets!$S:$W,4,FALSE),0)</f>
        <v>0</v>
      </c>
      <c r="O141" s="77">
        <f>IFERROR(VLOOKUP($A141,DataPrixBillets!$S:$W,5,FALSE),0)</f>
        <v>0</v>
      </c>
      <c r="P141" s="79"/>
      <c r="Q141" s="77">
        <f t="shared" si="37"/>
        <v>0</v>
      </c>
      <c r="R141" s="77">
        <f t="shared" si="38"/>
        <v>0</v>
      </c>
      <c r="S141" s="77">
        <f t="shared" si="39"/>
        <v>0</v>
      </c>
      <c r="T141" s="77">
        <f t="shared" si="40"/>
        <v>0</v>
      </c>
      <c r="U141" s="79"/>
      <c r="V141" s="77">
        <f t="shared" si="41"/>
        <v>0</v>
      </c>
      <c r="W141" s="77">
        <f>IFERROR(VLOOKUP(A141,DataCoutRevenuAux!W:Y,2,FALSE),0)</f>
        <v>0</v>
      </c>
      <c r="X141" s="77">
        <f>IFERROR(VLOOKUP(A141,DataCoutRevenuAux!W:Y,3,FALSE),0)</f>
        <v>0</v>
      </c>
      <c r="Y141" s="77">
        <f t="shared" si="42"/>
        <v>0</v>
      </c>
      <c r="Z141" s="77">
        <f t="shared" si="43"/>
        <v>0</v>
      </c>
      <c r="AA141" s="77">
        <f t="shared" si="44"/>
        <v>0</v>
      </c>
      <c r="AB141" s="79"/>
      <c r="AC141" s="77">
        <f t="shared" si="45"/>
        <v>0</v>
      </c>
      <c r="AD141" s="77">
        <f t="shared" si="46"/>
        <v>0</v>
      </c>
      <c r="AE141" s="77">
        <f t="shared" si="47"/>
        <v>0</v>
      </c>
      <c r="AF141" s="79"/>
      <c r="AG141" s="6">
        <f t="shared" si="48"/>
        <v>0</v>
      </c>
      <c r="AH141" s="6">
        <f t="shared" si="49"/>
        <v>0</v>
      </c>
      <c r="AI141" s="6">
        <f t="shared" si="50"/>
        <v>0</v>
      </c>
    </row>
    <row r="142" spans="1:35" x14ac:dyDescent="0.3">
      <c r="A142" s="189">
        <f>DataDemande!U175</f>
        <v>0</v>
      </c>
      <c r="B142" s="185" t="str">
        <f t="shared" si="55"/>
        <v>0</v>
      </c>
      <c r="C142" s="185" t="str">
        <f t="shared" si="56"/>
        <v>0</v>
      </c>
      <c r="D142" s="189">
        <f>IFERROR(VLOOKUP(A142,DataCoutRevenuAux!M:Q,5,FALSE),0)</f>
        <v>0</v>
      </c>
      <c r="E142" s="189">
        <f>IFERROR(VLOOKUP(A142,DataDemande!U:Z,2,FALSE),0)</f>
        <v>0</v>
      </c>
      <c r="G142" s="77">
        <f>IFERROR(VLOOKUP(A142,DataDemande!U:Z,3,FALSE),0)</f>
        <v>0</v>
      </c>
      <c r="H142" s="77">
        <f>IFERROR(VLOOKUP($A142,DataDemande!$U:$Z,4,FALSE),0)</f>
        <v>0</v>
      </c>
      <c r="I142" s="77">
        <f>IFERROR(VLOOKUP($A142,DataDemande!$U:$Z,5,FALSE),0)</f>
        <v>0</v>
      </c>
      <c r="J142" s="77">
        <f>IFERROR(VLOOKUP($A142,DataDemande!$U:$Z,6,FALSE),0)</f>
        <v>0</v>
      </c>
      <c r="K142" s="79"/>
      <c r="L142" s="77">
        <f>IFERROR(VLOOKUP($A142,DataPrixBillets!$S:$W,2,FALSE),0)</f>
        <v>0</v>
      </c>
      <c r="M142" s="77">
        <f>IFERROR(VLOOKUP($A142,DataPrixBillets!$S:$W,3,FALSE),0)</f>
        <v>0</v>
      </c>
      <c r="N142" s="77">
        <f>IFERROR(VLOOKUP($A142,DataPrixBillets!$S:$W,4,FALSE),0)</f>
        <v>0</v>
      </c>
      <c r="O142" s="77">
        <f>IFERROR(VLOOKUP($A142,DataPrixBillets!$S:$W,5,FALSE),0)</f>
        <v>0</v>
      </c>
      <c r="P142" s="79"/>
      <c r="Q142" s="77">
        <f t="shared" si="37"/>
        <v>0</v>
      </c>
      <c r="R142" s="77">
        <f t="shared" si="38"/>
        <v>0</v>
      </c>
      <c r="S142" s="77">
        <f t="shared" si="39"/>
        <v>0</v>
      </c>
      <c r="T142" s="77">
        <f t="shared" si="40"/>
        <v>0</v>
      </c>
      <c r="U142" s="79"/>
      <c r="V142" s="77">
        <f t="shared" si="41"/>
        <v>0</v>
      </c>
      <c r="W142" s="77">
        <f>IFERROR(VLOOKUP(A142,DataCoutRevenuAux!W:Y,2,FALSE),0)</f>
        <v>0</v>
      </c>
      <c r="X142" s="77">
        <f>IFERROR(VLOOKUP(A142,DataCoutRevenuAux!W:Y,3,FALSE),0)</f>
        <v>0</v>
      </c>
      <c r="Y142" s="77">
        <f t="shared" si="42"/>
        <v>0</v>
      </c>
      <c r="Z142" s="77">
        <f t="shared" si="43"/>
        <v>0</v>
      </c>
      <c r="AA142" s="77">
        <f t="shared" si="44"/>
        <v>0</v>
      </c>
      <c r="AB142" s="79"/>
      <c r="AC142" s="77">
        <f t="shared" si="45"/>
        <v>0</v>
      </c>
      <c r="AD142" s="77">
        <f t="shared" si="46"/>
        <v>0</v>
      </c>
      <c r="AE142" s="77">
        <f t="shared" si="47"/>
        <v>0</v>
      </c>
      <c r="AF142" s="79"/>
      <c r="AG142" s="6">
        <f t="shared" si="48"/>
        <v>0</v>
      </c>
      <c r="AH142" s="6">
        <f t="shared" si="49"/>
        <v>0</v>
      </c>
      <c r="AI142" s="6">
        <f t="shared" si="50"/>
        <v>0</v>
      </c>
    </row>
    <row r="143" spans="1:35" x14ac:dyDescent="0.3">
      <c r="A143" s="189">
        <f>DataDemande!U176</f>
        <v>0</v>
      </c>
      <c r="B143" s="185" t="str">
        <f t="shared" si="55"/>
        <v>0</v>
      </c>
      <c r="C143" s="185" t="str">
        <f t="shared" si="56"/>
        <v>0</v>
      </c>
      <c r="D143" s="189">
        <f>IFERROR(VLOOKUP(A143,DataCoutRevenuAux!M:Q,5,FALSE),0)</f>
        <v>0</v>
      </c>
      <c r="E143" s="189">
        <f>IFERROR(VLOOKUP(A143,DataDemande!U:Z,2,FALSE),0)</f>
        <v>0</v>
      </c>
      <c r="G143" s="77">
        <f>IFERROR(VLOOKUP(A143,DataDemande!U:Z,3,FALSE),0)</f>
        <v>0</v>
      </c>
      <c r="H143" s="77">
        <f>IFERROR(VLOOKUP($A143,DataDemande!$U:$Z,4,FALSE),0)</f>
        <v>0</v>
      </c>
      <c r="I143" s="77">
        <f>IFERROR(VLOOKUP($A143,DataDemande!$U:$Z,5,FALSE),0)</f>
        <v>0</v>
      </c>
      <c r="J143" s="77">
        <f>IFERROR(VLOOKUP($A143,DataDemande!$U:$Z,6,FALSE),0)</f>
        <v>0</v>
      </c>
      <c r="K143" s="79"/>
      <c r="L143" s="77">
        <f>IFERROR(VLOOKUP($A143,DataPrixBillets!$S:$W,2,FALSE),0)</f>
        <v>0</v>
      </c>
      <c r="M143" s="77">
        <f>IFERROR(VLOOKUP($A143,DataPrixBillets!$S:$W,3,FALSE),0)</f>
        <v>0</v>
      </c>
      <c r="N143" s="77">
        <f>IFERROR(VLOOKUP($A143,DataPrixBillets!$S:$W,4,FALSE),0)</f>
        <v>0</v>
      </c>
      <c r="O143" s="77">
        <f>IFERROR(VLOOKUP($A143,DataPrixBillets!$S:$W,5,FALSE),0)</f>
        <v>0</v>
      </c>
      <c r="P143" s="79"/>
      <c r="Q143" s="77">
        <f t="shared" si="37"/>
        <v>0</v>
      </c>
      <c r="R143" s="77">
        <f t="shared" si="38"/>
        <v>0</v>
      </c>
      <c r="S143" s="77">
        <f t="shared" si="39"/>
        <v>0</v>
      </c>
      <c r="T143" s="77">
        <f t="shared" si="40"/>
        <v>0</v>
      </c>
      <c r="U143" s="79"/>
      <c r="V143" s="77">
        <f t="shared" si="41"/>
        <v>0</v>
      </c>
      <c r="W143" s="77">
        <f>IFERROR(VLOOKUP(A143,DataCoutRevenuAux!W:Y,2,FALSE),0)</f>
        <v>0</v>
      </c>
      <c r="X143" s="77">
        <f>IFERROR(VLOOKUP(A143,DataCoutRevenuAux!W:Y,3,FALSE),0)</f>
        <v>0</v>
      </c>
      <c r="Y143" s="77">
        <f t="shared" si="42"/>
        <v>0</v>
      </c>
      <c r="Z143" s="77">
        <f t="shared" si="43"/>
        <v>0</v>
      </c>
      <c r="AA143" s="77">
        <f t="shared" si="44"/>
        <v>0</v>
      </c>
      <c r="AB143" s="79"/>
      <c r="AC143" s="77">
        <f t="shared" si="45"/>
        <v>0</v>
      </c>
      <c r="AD143" s="77">
        <f t="shared" si="46"/>
        <v>0</v>
      </c>
      <c r="AE143" s="77">
        <f t="shared" si="47"/>
        <v>0</v>
      </c>
      <c r="AF143" s="79"/>
      <c r="AG143" s="6">
        <f t="shared" si="48"/>
        <v>0</v>
      </c>
      <c r="AH143" s="6">
        <f t="shared" si="49"/>
        <v>0</v>
      </c>
      <c r="AI143" s="6">
        <f t="shared" si="50"/>
        <v>0</v>
      </c>
    </row>
    <row r="144" spans="1:35" x14ac:dyDescent="0.3">
      <c r="A144" s="189">
        <f>DataDemande!U177</f>
        <v>0</v>
      </c>
      <c r="B144" s="185" t="str">
        <f t="shared" si="55"/>
        <v>0</v>
      </c>
      <c r="C144" s="185" t="str">
        <f t="shared" si="56"/>
        <v>0</v>
      </c>
      <c r="D144" s="189">
        <f>IFERROR(VLOOKUP(A144,DataCoutRevenuAux!M:Q,5,FALSE),0)</f>
        <v>0</v>
      </c>
      <c r="E144" s="189">
        <f>IFERROR(VLOOKUP(A144,DataDemande!U:Z,2,FALSE),0)</f>
        <v>0</v>
      </c>
      <c r="G144" s="77">
        <f>IFERROR(VLOOKUP(A144,DataDemande!U:Z,3,FALSE),0)</f>
        <v>0</v>
      </c>
      <c r="H144" s="77">
        <f>IFERROR(VLOOKUP($A144,DataDemande!$U:$Z,4,FALSE),0)</f>
        <v>0</v>
      </c>
      <c r="I144" s="77">
        <f>IFERROR(VLOOKUP($A144,DataDemande!$U:$Z,5,FALSE),0)</f>
        <v>0</v>
      </c>
      <c r="J144" s="77">
        <f>IFERROR(VLOOKUP($A144,DataDemande!$U:$Z,6,FALSE),0)</f>
        <v>0</v>
      </c>
      <c r="K144" s="79"/>
      <c r="L144" s="77">
        <f>IFERROR(VLOOKUP($A144,DataPrixBillets!$S:$W,2,FALSE),0)</f>
        <v>0</v>
      </c>
      <c r="M144" s="77">
        <f>IFERROR(VLOOKUP($A144,DataPrixBillets!$S:$W,3,FALSE),0)</f>
        <v>0</v>
      </c>
      <c r="N144" s="77">
        <f>IFERROR(VLOOKUP($A144,DataPrixBillets!$S:$W,4,FALSE),0)</f>
        <v>0</v>
      </c>
      <c r="O144" s="77">
        <f>IFERROR(VLOOKUP($A144,DataPrixBillets!$S:$W,5,FALSE),0)</f>
        <v>0</v>
      </c>
      <c r="P144" s="79"/>
      <c r="Q144" s="77">
        <f t="shared" si="37"/>
        <v>0</v>
      </c>
      <c r="R144" s="77">
        <f t="shared" si="38"/>
        <v>0</v>
      </c>
      <c r="S144" s="77">
        <f t="shared" si="39"/>
        <v>0</v>
      </c>
      <c r="T144" s="77">
        <f t="shared" si="40"/>
        <v>0</v>
      </c>
      <c r="U144" s="79"/>
      <c r="V144" s="77">
        <f t="shared" si="41"/>
        <v>0</v>
      </c>
      <c r="W144" s="77">
        <f>IFERROR(VLOOKUP(A144,DataCoutRevenuAux!W:Y,2,FALSE),0)</f>
        <v>0</v>
      </c>
      <c r="X144" s="77">
        <f>IFERROR(VLOOKUP(A144,DataCoutRevenuAux!W:Y,3,FALSE),0)</f>
        <v>0</v>
      </c>
      <c r="Y144" s="77">
        <f t="shared" si="42"/>
        <v>0</v>
      </c>
      <c r="Z144" s="77">
        <f t="shared" si="43"/>
        <v>0</v>
      </c>
      <c r="AA144" s="77">
        <f t="shared" si="44"/>
        <v>0</v>
      </c>
      <c r="AB144" s="79"/>
      <c r="AC144" s="77">
        <f t="shared" si="45"/>
        <v>0</v>
      </c>
      <c r="AD144" s="77">
        <f t="shared" si="46"/>
        <v>0</v>
      </c>
      <c r="AE144" s="77">
        <f t="shared" si="47"/>
        <v>0</v>
      </c>
      <c r="AF144" s="79"/>
      <c r="AG144" s="6">
        <f t="shared" si="48"/>
        <v>0</v>
      </c>
      <c r="AH144" s="6">
        <f t="shared" si="49"/>
        <v>0</v>
      </c>
      <c r="AI144" s="6">
        <f t="shared" si="50"/>
        <v>0</v>
      </c>
    </row>
    <row r="145" spans="1:35" x14ac:dyDescent="0.3">
      <c r="A145" s="189">
        <f>DataDemande!U178</f>
        <v>0</v>
      </c>
      <c r="B145" s="185" t="str">
        <f t="shared" si="55"/>
        <v>0</v>
      </c>
      <c r="C145" s="185" t="str">
        <f t="shared" si="56"/>
        <v>0</v>
      </c>
      <c r="D145" s="189">
        <f>IFERROR(VLOOKUP(A145,DataCoutRevenuAux!M:Q,5,FALSE),0)</f>
        <v>0</v>
      </c>
      <c r="E145" s="189">
        <f>IFERROR(VLOOKUP(A145,DataDemande!U:Z,2,FALSE),0)</f>
        <v>0</v>
      </c>
      <c r="G145" s="77">
        <f>IFERROR(VLOOKUP(A145,DataDemande!U:Z,3,FALSE),0)</f>
        <v>0</v>
      </c>
      <c r="H145" s="77">
        <f>IFERROR(VLOOKUP($A145,DataDemande!$U:$Z,4,FALSE),0)</f>
        <v>0</v>
      </c>
      <c r="I145" s="77">
        <f>IFERROR(VLOOKUP($A145,DataDemande!$U:$Z,5,FALSE),0)</f>
        <v>0</v>
      </c>
      <c r="J145" s="77">
        <f>IFERROR(VLOOKUP($A145,DataDemande!$U:$Z,6,FALSE),0)</f>
        <v>0</v>
      </c>
      <c r="K145" s="79"/>
      <c r="L145" s="77">
        <f>IFERROR(VLOOKUP($A145,DataPrixBillets!$S:$W,2,FALSE),0)</f>
        <v>0</v>
      </c>
      <c r="M145" s="77">
        <f>IFERROR(VLOOKUP($A145,DataPrixBillets!$S:$W,3,FALSE),0)</f>
        <v>0</v>
      </c>
      <c r="N145" s="77">
        <f>IFERROR(VLOOKUP($A145,DataPrixBillets!$S:$W,4,FALSE),0)</f>
        <v>0</v>
      </c>
      <c r="O145" s="77">
        <f>IFERROR(VLOOKUP($A145,DataPrixBillets!$S:$W,5,FALSE),0)</f>
        <v>0</v>
      </c>
      <c r="P145" s="79"/>
      <c r="Q145" s="77">
        <f t="shared" si="37"/>
        <v>0</v>
      </c>
      <c r="R145" s="77">
        <f t="shared" si="38"/>
        <v>0</v>
      </c>
      <c r="S145" s="77">
        <f t="shared" si="39"/>
        <v>0</v>
      </c>
      <c r="T145" s="77">
        <f t="shared" si="40"/>
        <v>0</v>
      </c>
      <c r="U145" s="79"/>
      <c r="V145" s="77">
        <f t="shared" si="41"/>
        <v>0</v>
      </c>
      <c r="W145" s="77">
        <f>IFERROR(VLOOKUP(A145,DataCoutRevenuAux!W:Y,2,FALSE),0)</f>
        <v>0</v>
      </c>
      <c r="X145" s="77">
        <f>IFERROR(VLOOKUP(A145,DataCoutRevenuAux!W:Y,3,FALSE),0)</f>
        <v>0</v>
      </c>
      <c r="Y145" s="77">
        <f t="shared" si="42"/>
        <v>0</v>
      </c>
      <c r="Z145" s="77">
        <f t="shared" si="43"/>
        <v>0</v>
      </c>
      <c r="AA145" s="77">
        <f t="shared" si="44"/>
        <v>0</v>
      </c>
      <c r="AB145" s="79"/>
      <c r="AC145" s="77">
        <f t="shared" si="45"/>
        <v>0</v>
      </c>
      <c r="AD145" s="77">
        <f t="shared" si="46"/>
        <v>0</v>
      </c>
      <c r="AE145" s="77">
        <f t="shared" si="47"/>
        <v>0</v>
      </c>
      <c r="AF145" s="79"/>
      <c r="AG145" s="6">
        <f t="shared" si="48"/>
        <v>0</v>
      </c>
      <c r="AH145" s="6">
        <f t="shared" si="49"/>
        <v>0</v>
      </c>
      <c r="AI145" s="6">
        <f t="shared" si="50"/>
        <v>0</v>
      </c>
    </row>
    <row r="146" spans="1:35" x14ac:dyDescent="0.3">
      <c r="A146" s="189">
        <f>DataDemande!U179</f>
        <v>0</v>
      </c>
      <c r="B146" s="185" t="str">
        <f t="shared" si="55"/>
        <v>0</v>
      </c>
      <c r="C146" s="185" t="str">
        <f t="shared" si="56"/>
        <v>0</v>
      </c>
      <c r="D146" s="189">
        <f>IFERROR(VLOOKUP(A146,DataCoutRevenuAux!M:Q,5,FALSE),0)</f>
        <v>0</v>
      </c>
      <c r="E146" s="189">
        <f>IFERROR(VLOOKUP(A146,DataDemande!U:Z,2,FALSE),0)</f>
        <v>0</v>
      </c>
      <c r="G146" s="77">
        <f>IFERROR(VLOOKUP(A146,DataDemande!U:Z,3,FALSE),0)</f>
        <v>0</v>
      </c>
      <c r="H146" s="77">
        <f>IFERROR(VLOOKUP($A146,DataDemande!$U:$Z,4,FALSE),0)</f>
        <v>0</v>
      </c>
      <c r="I146" s="77">
        <f>IFERROR(VLOOKUP($A146,DataDemande!$U:$Z,5,FALSE),0)</f>
        <v>0</v>
      </c>
      <c r="J146" s="77">
        <f>IFERROR(VLOOKUP($A146,DataDemande!$U:$Z,6,FALSE),0)</f>
        <v>0</v>
      </c>
      <c r="K146" s="79"/>
      <c r="L146" s="77">
        <f>IFERROR(VLOOKUP($A146,DataPrixBillets!$S:$W,2,FALSE),0)</f>
        <v>0</v>
      </c>
      <c r="M146" s="77">
        <f>IFERROR(VLOOKUP($A146,DataPrixBillets!$S:$W,3,FALSE),0)</f>
        <v>0</v>
      </c>
      <c r="N146" s="77">
        <f>IFERROR(VLOOKUP($A146,DataPrixBillets!$S:$W,4,FALSE),0)</f>
        <v>0</v>
      </c>
      <c r="O146" s="77">
        <f>IFERROR(VLOOKUP($A146,DataPrixBillets!$S:$W,5,FALSE),0)</f>
        <v>0</v>
      </c>
      <c r="P146" s="79"/>
      <c r="Q146" s="77">
        <f t="shared" si="37"/>
        <v>0</v>
      </c>
      <c r="R146" s="77">
        <f t="shared" si="38"/>
        <v>0</v>
      </c>
      <c r="S146" s="77">
        <f t="shared" si="39"/>
        <v>0</v>
      </c>
      <c r="T146" s="77">
        <f t="shared" si="40"/>
        <v>0</v>
      </c>
      <c r="U146" s="79"/>
      <c r="V146" s="77">
        <f t="shared" si="41"/>
        <v>0</v>
      </c>
      <c r="W146" s="77">
        <f>IFERROR(VLOOKUP(A146,DataCoutRevenuAux!W:Y,2,FALSE),0)</f>
        <v>0</v>
      </c>
      <c r="X146" s="77">
        <f>IFERROR(VLOOKUP(A146,DataCoutRevenuAux!W:Y,3,FALSE),0)</f>
        <v>0</v>
      </c>
      <c r="Y146" s="77">
        <f t="shared" si="42"/>
        <v>0</v>
      </c>
      <c r="Z146" s="77">
        <f t="shared" si="43"/>
        <v>0</v>
      </c>
      <c r="AA146" s="77">
        <f t="shared" si="44"/>
        <v>0</v>
      </c>
      <c r="AB146" s="79"/>
      <c r="AC146" s="77">
        <f t="shared" si="45"/>
        <v>0</v>
      </c>
      <c r="AD146" s="77">
        <f t="shared" si="46"/>
        <v>0</v>
      </c>
      <c r="AE146" s="77">
        <f t="shared" si="47"/>
        <v>0</v>
      </c>
      <c r="AF146" s="79"/>
      <c r="AG146" s="6">
        <f t="shared" si="48"/>
        <v>0</v>
      </c>
      <c r="AH146" s="6">
        <f t="shared" si="49"/>
        <v>0</v>
      </c>
      <c r="AI146" s="6">
        <f t="shared" si="50"/>
        <v>0</v>
      </c>
    </row>
    <row r="147" spans="1:35" x14ac:dyDescent="0.3">
      <c r="A147" s="189">
        <f>DataDemande!U180</f>
        <v>0</v>
      </c>
      <c r="B147" s="185" t="str">
        <f t="shared" si="55"/>
        <v>0</v>
      </c>
      <c r="C147" s="185" t="str">
        <f t="shared" si="56"/>
        <v>0</v>
      </c>
      <c r="D147" s="189">
        <f>IFERROR(VLOOKUP(A147,DataCoutRevenuAux!M:Q,5,FALSE),0)</f>
        <v>0</v>
      </c>
      <c r="E147" s="189">
        <f>IFERROR(VLOOKUP(A147,DataDemande!U:Z,2,FALSE),0)</f>
        <v>0</v>
      </c>
      <c r="G147" s="77">
        <f>IFERROR(VLOOKUP(A147,DataDemande!U:Z,3,FALSE),0)</f>
        <v>0</v>
      </c>
      <c r="H147" s="77">
        <f>IFERROR(VLOOKUP($A147,DataDemande!$U:$Z,4,FALSE),0)</f>
        <v>0</v>
      </c>
      <c r="I147" s="77">
        <f>IFERROR(VLOOKUP($A147,DataDemande!$U:$Z,5,FALSE),0)</f>
        <v>0</v>
      </c>
      <c r="J147" s="77">
        <f>IFERROR(VLOOKUP($A147,DataDemande!$U:$Z,6,FALSE),0)</f>
        <v>0</v>
      </c>
      <c r="K147" s="79"/>
      <c r="L147" s="77">
        <f>IFERROR(VLOOKUP($A147,DataPrixBillets!$S:$W,2,FALSE),0)</f>
        <v>0</v>
      </c>
      <c r="M147" s="77">
        <f>IFERROR(VLOOKUP($A147,DataPrixBillets!$S:$W,3,FALSE),0)</f>
        <v>0</v>
      </c>
      <c r="N147" s="77">
        <f>IFERROR(VLOOKUP($A147,DataPrixBillets!$S:$W,4,FALSE),0)</f>
        <v>0</v>
      </c>
      <c r="O147" s="77">
        <f>IFERROR(VLOOKUP($A147,DataPrixBillets!$S:$W,5,FALSE),0)</f>
        <v>0</v>
      </c>
      <c r="P147" s="79"/>
      <c r="Q147" s="77">
        <f t="shared" si="37"/>
        <v>0</v>
      </c>
      <c r="R147" s="77">
        <f t="shared" si="38"/>
        <v>0</v>
      </c>
      <c r="S147" s="77">
        <f t="shared" si="39"/>
        <v>0</v>
      </c>
      <c r="T147" s="77">
        <f t="shared" si="40"/>
        <v>0</v>
      </c>
      <c r="U147" s="79"/>
      <c r="V147" s="77">
        <f t="shared" si="41"/>
        <v>0</v>
      </c>
      <c r="W147" s="77">
        <f>IFERROR(VLOOKUP(A147,DataCoutRevenuAux!W:Y,2,FALSE),0)</f>
        <v>0</v>
      </c>
      <c r="X147" s="77">
        <f>IFERROR(VLOOKUP(A147,DataCoutRevenuAux!W:Y,3,FALSE),0)</f>
        <v>0</v>
      </c>
      <c r="Y147" s="77">
        <f t="shared" si="42"/>
        <v>0</v>
      </c>
      <c r="Z147" s="77">
        <f t="shared" si="43"/>
        <v>0</v>
      </c>
      <c r="AA147" s="77">
        <f t="shared" si="44"/>
        <v>0</v>
      </c>
      <c r="AB147" s="79"/>
      <c r="AC147" s="77">
        <f t="shared" si="45"/>
        <v>0</v>
      </c>
      <c r="AD147" s="77">
        <f t="shared" si="46"/>
        <v>0</v>
      </c>
      <c r="AE147" s="77">
        <f t="shared" si="47"/>
        <v>0</v>
      </c>
      <c r="AF147" s="79"/>
      <c r="AG147" s="6">
        <f t="shared" si="48"/>
        <v>0</v>
      </c>
      <c r="AH147" s="6">
        <f t="shared" si="49"/>
        <v>0</v>
      </c>
      <c r="AI147" s="6">
        <f t="shared" si="50"/>
        <v>0</v>
      </c>
    </row>
    <row r="148" spans="1:35" x14ac:dyDescent="0.3">
      <c r="A148" s="189">
        <f>DataDemande!U181</f>
        <v>0</v>
      </c>
      <c r="B148" s="185" t="str">
        <f t="shared" si="55"/>
        <v>0</v>
      </c>
      <c r="C148" s="185" t="str">
        <f t="shared" si="56"/>
        <v>0</v>
      </c>
      <c r="D148" s="189">
        <f>IFERROR(VLOOKUP(A148,DataCoutRevenuAux!M:Q,5,FALSE),0)</f>
        <v>0</v>
      </c>
      <c r="E148" s="189">
        <f>IFERROR(VLOOKUP(A148,DataDemande!U:Z,2,FALSE),0)</f>
        <v>0</v>
      </c>
      <c r="G148" s="77">
        <f>IFERROR(VLOOKUP(A148,DataDemande!U:Z,3,FALSE),0)</f>
        <v>0</v>
      </c>
      <c r="H148" s="77">
        <f>IFERROR(VLOOKUP($A148,DataDemande!$U:$Z,4,FALSE),0)</f>
        <v>0</v>
      </c>
      <c r="I148" s="77">
        <f>IFERROR(VLOOKUP($A148,DataDemande!$U:$Z,5,FALSE),0)</f>
        <v>0</v>
      </c>
      <c r="J148" s="77">
        <f>IFERROR(VLOOKUP($A148,DataDemande!$U:$Z,6,FALSE),0)</f>
        <v>0</v>
      </c>
      <c r="K148" s="79"/>
      <c r="L148" s="77">
        <f>IFERROR(VLOOKUP($A148,DataPrixBillets!$S:$W,2,FALSE),0)</f>
        <v>0</v>
      </c>
      <c r="M148" s="77">
        <f>IFERROR(VLOOKUP($A148,DataPrixBillets!$S:$W,3,FALSE),0)</f>
        <v>0</v>
      </c>
      <c r="N148" s="77">
        <f>IFERROR(VLOOKUP($A148,DataPrixBillets!$S:$W,4,FALSE),0)</f>
        <v>0</v>
      </c>
      <c r="O148" s="77">
        <f>IFERROR(VLOOKUP($A148,DataPrixBillets!$S:$W,5,FALSE),0)</f>
        <v>0</v>
      </c>
      <c r="P148" s="79"/>
      <c r="Q148" s="77">
        <f t="shared" si="37"/>
        <v>0</v>
      </c>
      <c r="R148" s="77">
        <f t="shared" si="38"/>
        <v>0</v>
      </c>
      <c r="S148" s="77">
        <f t="shared" si="39"/>
        <v>0</v>
      </c>
      <c r="T148" s="77">
        <f t="shared" si="40"/>
        <v>0</v>
      </c>
      <c r="U148" s="79"/>
      <c r="V148" s="77">
        <f t="shared" si="41"/>
        <v>0</v>
      </c>
      <c r="W148" s="77">
        <f>IFERROR(VLOOKUP(A148,DataCoutRevenuAux!W:Y,2,FALSE),0)</f>
        <v>0</v>
      </c>
      <c r="X148" s="77">
        <f>IFERROR(VLOOKUP(A148,DataCoutRevenuAux!W:Y,3,FALSE),0)</f>
        <v>0</v>
      </c>
      <c r="Y148" s="77">
        <f t="shared" si="42"/>
        <v>0</v>
      </c>
      <c r="Z148" s="77">
        <f t="shared" si="43"/>
        <v>0</v>
      </c>
      <c r="AA148" s="77">
        <f t="shared" si="44"/>
        <v>0</v>
      </c>
      <c r="AB148" s="79"/>
      <c r="AC148" s="77">
        <f t="shared" si="45"/>
        <v>0</v>
      </c>
      <c r="AD148" s="77">
        <f t="shared" si="46"/>
        <v>0</v>
      </c>
      <c r="AE148" s="77">
        <f t="shared" si="47"/>
        <v>0</v>
      </c>
      <c r="AF148" s="79"/>
      <c r="AG148" s="6">
        <f t="shared" si="48"/>
        <v>0</v>
      </c>
      <c r="AH148" s="6">
        <f t="shared" si="49"/>
        <v>0</v>
      </c>
      <c r="AI148" s="6">
        <f t="shared" si="50"/>
        <v>0</v>
      </c>
    </row>
    <row r="149" spans="1:35" x14ac:dyDescent="0.3">
      <c r="A149" s="189">
        <f>DataDemande!U182</f>
        <v>0</v>
      </c>
      <c r="B149" s="185" t="str">
        <f t="shared" si="55"/>
        <v>0</v>
      </c>
      <c r="C149" s="185" t="str">
        <f t="shared" si="56"/>
        <v>0</v>
      </c>
      <c r="D149" s="189">
        <f>IFERROR(VLOOKUP(A149,DataCoutRevenuAux!M:Q,5,FALSE),0)</f>
        <v>0</v>
      </c>
      <c r="E149" s="189">
        <f>IFERROR(VLOOKUP(A149,DataDemande!U:Z,2,FALSE),0)</f>
        <v>0</v>
      </c>
      <c r="G149" s="77">
        <f>IFERROR(VLOOKUP(A149,DataDemande!U:Z,3,FALSE),0)</f>
        <v>0</v>
      </c>
      <c r="H149" s="77">
        <f>IFERROR(VLOOKUP($A149,DataDemande!$U:$Z,4,FALSE),0)</f>
        <v>0</v>
      </c>
      <c r="I149" s="77">
        <f>IFERROR(VLOOKUP($A149,DataDemande!$U:$Z,5,FALSE),0)</f>
        <v>0</v>
      </c>
      <c r="J149" s="77">
        <f>IFERROR(VLOOKUP($A149,DataDemande!$U:$Z,6,FALSE),0)</f>
        <v>0</v>
      </c>
      <c r="K149" s="79"/>
      <c r="L149" s="77">
        <f>IFERROR(VLOOKUP($A149,DataPrixBillets!$S:$W,2,FALSE),0)</f>
        <v>0</v>
      </c>
      <c r="M149" s="77">
        <f>IFERROR(VLOOKUP($A149,DataPrixBillets!$S:$W,3,FALSE),0)</f>
        <v>0</v>
      </c>
      <c r="N149" s="77">
        <f>IFERROR(VLOOKUP($A149,DataPrixBillets!$S:$W,4,FALSE),0)</f>
        <v>0</v>
      </c>
      <c r="O149" s="77">
        <f>IFERROR(VLOOKUP($A149,DataPrixBillets!$S:$W,5,FALSE),0)</f>
        <v>0</v>
      </c>
      <c r="P149" s="79"/>
      <c r="Q149" s="77">
        <f t="shared" si="37"/>
        <v>0</v>
      </c>
      <c r="R149" s="77">
        <f t="shared" si="38"/>
        <v>0</v>
      </c>
      <c r="S149" s="77">
        <f t="shared" si="39"/>
        <v>0</v>
      </c>
      <c r="T149" s="77">
        <f t="shared" si="40"/>
        <v>0</v>
      </c>
      <c r="U149" s="79"/>
      <c r="V149" s="77">
        <f t="shared" si="41"/>
        <v>0</v>
      </c>
      <c r="W149" s="77">
        <f>IFERROR(VLOOKUP(A149,DataCoutRevenuAux!W:Y,2,FALSE),0)</f>
        <v>0</v>
      </c>
      <c r="X149" s="77">
        <f>IFERROR(VLOOKUP(A149,DataCoutRevenuAux!W:Y,3,FALSE),0)</f>
        <v>0</v>
      </c>
      <c r="Y149" s="77">
        <f t="shared" si="42"/>
        <v>0</v>
      </c>
      <c r="Z149" s="77">
        <f t="shared" si="43"/>
        <v>0</v>
      </c>
      <c r="AA149" s="77">
        <f t="shared" si="44"/>
        <v>0</v>
      </c>
      <c r="AB149" s="79"/>
      <c r="AC149" s="77">
        <f t="shared" si="45"/>
        <v>0</v>
      </c>
      <c r="AD149" s="77">
        <f t="shared" si="46"/>
        <v>0</v>
      </c>
      <c r="AE149" s="77">
        <f t="shared" si="47"/>
        <v>0</v>
      </c>
      <c r="AF149" s="79"/>
      <c r="AG149" s="6">
        <f t="shared" si="48"/>
        <v>0</v>
      </c>
      <c r="AH149" s="6">
        <f t="shared" si="49"/>
        <v>0</v>
      </c>
      <c r="AI149" s="6">
        <f t="shared" si="50"/>
        <v>0</v>
      </c>
    </row>
    <row r="150" spans="1:35" x14ac:dyDescent="0.3">
      <c r="A150" s="189">
        <f>DataDemande!U183</f>
        <v>0</v>
      </c>
      <c r="B150" s="185" t="str">
        <f t="shared" si="55"/>
        <v>0</v>
      </c>
      <c r="C150" s="185" t="str">
        <f t="shared" si="56"/>
        <v>0</v>
      </c>
      <c r="D150" s="189">
        <f>IFERROR(VLOOKUP(A150,DataCoutRevenuAux!M:Q,5,FALSE),0)</f>
        <v>0</v>
      </c>
      <c r="E150" s="189">
        <f>IFERROR(VLOOKUP(A150,DataDemande!U:Z,2,FALSE),0)</f>
        <v>0</v>
      </c>
      <c r="G150" s="77">
        <f>IFERROR(VLOOKUP(A150,DataDemande!U:Z,3,FALSE),0)</f>
        <v>0</v>
      </c>
      <c r="H150" s="77">
        <f>IFERROR(VLOOKUP($A150,DataDemande!$U:$Z,4,FALSE),0)</f>
        <v>0</v>
      </c>
      <c r="I150" s="77">
        <f>IFERROR(VLOOKUP($A150,DataDemande!$U:$Z,5,FALSE),0)</f>
        <v>0</v>
      </c>
      <c r="J150" s="77">
        <f>IFERROR(VLOOKUP($A150,DataDemande!$U:$Z,6,FALSE),0)</f>
        <v>0</v>
      </c>
      <c r="K150" s="79"/>
      <c r="L150" s="77">
        <f>IFERROR(VLOOKUP($A150,DataPrixBillets!$S:$W,2,FALSE),0)</f>
        <v>0</v>
      </c>
      <c r="M150" s="77">
        <f>IFERROR(VLOOKUP($A150,DataPrixBillets!$S:$W,3,FALSE),0)</f>
        <v>0</v>
      </c>
      <c r="N150" s="77">
        <f>IFERROR(VLOOKUP($A150,DataPrixBillets!$S:$W,4,FALSE),0)</f>
        <v>0</v>
      </c>
      <c r="O150" s="77">
        <f>IFERROR(VLOOKUP($A150,DataPrixBillets!$S:$W,5,FALSE),0)</f>
        <v>0</v>
      </c>
      <c r="P150" s="79"/>
      <c r="Q150" s="77">
        <f t="shared" si="37"/>
        <v>0</v>
      </c>
      <c r="R150" s="77">
        <f t="shared" si="38"/>
        <v>0</v>
      </c>
      <c r="S150" s="77">
        <f t="shared" si="39"/>
        <v>0</v>
      </c>
      <c r="T150" s="77">
        <f t="shared" si="40"/>
        <v>0</v>
      </c>
      <c r="U150" s="79"/>
      <c r="V150" s="77">
        <f t="shared" si="41"/>
        <v>0</v>
      </c>
      <c r="W150" s="77">
        <f>IFERROR(VLOOKUP(A150,DataCoutRevenuAux!W:Y,2,FALSE),0)</f>
        <v>0</v>
      </c>
      <c r="X150" s="77">
        <f>IFERROR(VLOOKUP(A150,DataCoutRevenuAux!W:Y,3,FALSE),0)</f>
        <v>0</v>
      </c>
      <c r="Y150" s="77">
        <f t="shared" si="42"/>
        <v>0</v>
      </c>
      <c r="Z150" s="77">
        <f t="shared" si="43"/>
        <v>0</v>
      </c>
      <c r="AA150" s="77">
        <f t="shared" si="44"/>
        <v>0</v>
      </c>
      <c r="AB150" s="79"/>
      <c r="AC150" s="77">
        <f t="shared" si="45"/>
        <v>0</v>
      </c>
      <c r="AD150" s="77">
        <f t="shared" si="46"/>
        <v>0</v>
      </c>
      <c r="AE150" s="77">
        <f t="shared" si="47"/>
        <v>0</v>
      </c>
      <c r="AF150" s="79"/>
      <c r="AG150" s="6">
        <f t="shared" si="48"/>
        <v>0</v>
      </c>
      <c r="AH150" s="6">
        <f t="shared" si="49"/>
        <v>0</v>
      </c>
      <c r="AI150" s="6">
        <f t="shared" si="50"/>
        <v>0</v>
      </c>
    </row>
    <row r="151" spans="1:35" x14ac:dyDescent="0.3">
      <c r="A151" s="189">
        <f>DataDemande!U184</f>
        <v>0</v>
      </c>
      <c r="B151" s="185" t="str">
        <f t="shared" si="55"/>
        <v>0</v>
      </c>
      <c r="C151" s="185" t="str">
        <f t="shared" si="56"/>
        <v>0</v>
      </c>
      <c r="D151" s="189">
        <f>IFERROR(VLOOKUP(A151,DataCoutRevenuAux!M:Q,5,FALSE),0)</f>
        <v>0</v>
      </c>
      <c r="E151" s="189">
        <f>IFERROR(VLOOKUP(A151,DataDemande!U:Z,2,FALSE),0)</f>
        <v>0</v>
      </c>
      <c r="G151" s="77">
        <f>IFERROR(VLOOKUP(A151,DataDemande!U:Z,3,FALSE),0)</f>
        <v>0</v>
      </c>
      <c r="H151" s="77">
        <f>IFERROR(VLOOKUP($A151,DataDemande!$U:$Z,4,FALSE),0)</f>
        <v>0</v>
      </c>
      <c r="I151" s="77">
        <f>IFERROR(VLOOKUP($A151,DataDemande!$U:$Z,5,FALSE),0)</f>
        <v>0</v>
      </c>
      <c r="J151" s="77">
        <f>IFERROR(VLOOKUP($A151,DataDemande!$U:$Z,6,FALSE),0)</f>
        <v>0</v>
      </c>
      <c r="K151" s="79"/>
      <c r="L151" s="77">
        <f>IFERROR(VLOOKUP($A151,DataPrixBillets!$S:$W,2,FALSE),0)</f>
        <v>0</v>
      </c>
      <c r="M151" s="77">
        <f>IFERROR(VLOOKUP($A151,DataPrixBillets!$S:$W,3,FALSE),0)</f>
        <v>0</v>
      </c>
      <c r="N151" s="77">
        <f>IFERROR(VLOOKUP($A151,DataPrixBillets!$S:$W,4,FALSE),0)</f>
        <v>0</v>
      </c>
      <c r="O151" s="77">
        <f>IFERROR(VLOOKUP($A151,DataPrixBillets!$S:$W,5,FALSE),0)</f>
        <v>0</v>
      </c>
      <c r="P151" s="79"/>
      <c r="Q151" s="77">
        <f t="shared" si="37"/>
        <v>0</v>
      </c>
      <c r="R151" s="77">
        <f t="shared" si="38"/>
        <v>0</v>
      </c>
      <c r="S151" s="77">
        <f t="shared" si="39"/>
        <v>0</v>
      </c>
      <c r="T151" s="77">
        <f t="shared" si="40"/>
        <v>0</v>
      </c>
      <c r="U151" s="79"/>
      <c r="V151" s="77">
        <f t="shared" si="41"/>
        <v>0</v>
      </c>
      <c r="W151" s="77">
        <f>IFERROR(VLOOKUP(A151,DataCoutRevenuAux!W:Y,2,FALSE),0)</f>
        <v>0</v>
      </c>
      <c r="X151" s="77">
        <f>IFERROR(VLOOKUP(A151,DataCoutRevenuAux!W:Y,3,FALSE),0)</f>
        <v>0</v>
      </c>
      <c r="Y151" s="77">
        <f t="shared" si="42"/>
        <v>0</v>
      </c>
      <c r="Z151" s="77">
        <f t="shared" si="43"/>
        <v>0</v>
      </c>
      <c r="AA151" s="77">
        <f t="shared" si="44"/>
        <v>0</v>
      </c>
      <c r="AB151" s="79"/>
      <c r="AC151" s="77">
        <f t="shared" si="45"/>
        <v>0</v>
      </c>
      <c r="AD151" s="77">
        <f t="shared" si="46"/>
        <v>0</v>
      </c>
      <c r="AE151" s="77">
        <f t="shared" si="47"/>
        <v>0</v>
      </c>
      <c r="AF151" s="79"/>
      <c r="AG151" s="6">
        <f t="shared" si="48"/>
        <v>0</v>
      </c>
      <c r="AH151" s="6">
        <f t="shared" si="49"/>
        <v>0</v>
      </c>
      <c r="AI151" s="6">
        <f t="shared" si="50"/>
        <v>0</v>
      </c>
    </row>
    <row r="152" spans="1:35" x14ac:dyDescent="0.3">
      <c r="A152" s="189">
        <f>DataDemande!U185</f>
        <v>0</v>
      </c>
      <c r="B152" s="185" t="str">
        <f t="shared" si="55"/>
        <v>0</v>
      </c>
      <c r="C152" s="185" t="str">
        <f t="shared" si="56"/>
        <v>0</v>
      </c>
      <c r="D152" s="189">
        <f>IFERROR(VLOOKUP(A152,DataCoutRevenuAux!M:Q,5,FALSE),0)</f>
        <v>0</v>
      </c>
      <c r="E152" s="189">
        <f>IFERROR(VLOOKUP(A152,DataDemande!U:Z,2,FALSE),0)</f>
        <v>0</v>
      </c>
      <c r="G152" s="77">
        <f>IFERROR(VLOOKUP(A152,DataDemande!U:Z,3,FALSE),0)</f>
        <v>0</v>
      </c>
      <c r="H152" s="77">
        <f>IFERROR(VLOOKUP($A152,DataDemande!$U:$Z,4,FALSE),0)</f>
        <v>0</v>
      </c>
      <c r="I152" s="77">
        <f>IFERROR(VLOOKUP($A152,DataDemande!$U:$Z,5,FALSE),0)</f>
        <v>0</v>
      </c>
      <c r="J152" s="77">
        <f>IFERROR(VLOOKUP($A152,DataDemande!$U:$Z,6,FALSE),0)</f>
        <v>0</v>
      </c>
      <c r="K152" s="79"/>
      <c r="L152" s="77">
        <f>IFERROR(VLOOKUP($A152,DataPrixBillets!$S:$W,2,FALSE),0)</f>
        <v>0</v>
      </c>
      <c r="M152" s="77">
        <f>IFERROR(VLOOKUP($A152,DataPrixBillets!$S:$W,3,FALSE),0)</f>
        <v>0</v>
      </c>
      <c r="N152" s="77">
        <f>IFERROR(VLOOKUP($A152,DataPrixBillets!$S:$W,4,FALSE),0)</f>
        <v>0</v>
      </c>
      <c r="O152" s="77">
        <f>IFERROR(VLOOKUP($A152,DataPrixBillets!$S:$W,5,FALSE),0)</f>
        <v>0</v>
      </c>
      <c r="P152" s="79"/>
      <c r="Q152" s="77">
        <f t="shared" si="37"/>
        <v>0</v>
      </c>
      <c r="R152" s="77">
        <f t="shared" si="38"/>
        <v>0</v>
      </c>
      <c r="S152" s="77">
        <f t="shared" si="39"/>
        <v>0</v>
      </c>
      <c r="T152" s="77">
        <f t="shared" si="40"/>
        <v>0</v>
      </c>
      <c r="U152" s="79"/>
      <c r="V152" s="77">
        <f t="shared" si="41"/>
        <v>0</v>
      </c>
      <c r="W152" s="77">
        <f>IFERROR(VLOOKUP(A152,DataCoutRevenuAux!W:Y,2,FALSE),0)</f>
        <v>0</v>
      </c>
      <c r="X152" s="77">
        <f>IFERROR(VLOOKUP(A152,DataCoutRevenuAux!W:Y,3,FALSE),0)</f>
        <v>0</v>
      </c>
      <c r="Y152" s="77">
        <f t="shared" si="42"/>
        <v>0</v>
      </c>
      <c r="Z152" s="77">
        <f t="shared" si="43"/>
        <v>0</v>
      </c>
      <c r="AA152" s="77">
        <f t="shared" si="44"/>
        <v>0</v>
      </c>
      <c r="AB152" s="79"/>
      <c r="AC152" s="77">
        <f t="shared" si="45"/>
        <v>0</v>
      </c>
      <c r="AD152" s="77">
        <f t="shared" si="46"/>
        <v>0</v>
      </c>
      <c r="AE152" s="77">
        <f t="shared" si="47"/>
        <v>0</v>
      </c>
      <c r="AF152" s="79"/>
      <c r="AG152" s="6">
        <f t="shared" si="48"/>
        <v>0</v>
      </c>
      <c r="AH152" s="6">
        <f t="shared" si="49"/>
        <v>0</v>
      </c>
      <c r="AI152" s="6">
        <f t="shared" si="50"/>
        <v>0</v>
      </c>
    </row>
    <row r="153" spans="1:35" x14ac:dyDescent="0.3">
      <c r="A153" s="189">
        <f>DataDemande!U186</f>
        <v>0</v>
      </c>
      <c r="B153" s="185" t="str">
        <f t="shared" si="55"/>
        <v>0</v>
      </c>
      <c r="C153" s="185" t="str">
        <f t="shared" si="56"/>
        <v>0</v>
      </c>
      <c r="D153" s="189">
        <f>IFERROR(VLOOKUP(A153,DataCoutRevenuAux!M:Q,5,FALSE),0)</f>
        <v>0</v>
      </c>
      <c r="E153" s="189">
        <f>IFERROR(VLOOKUP(A153,DataDemande!U:Z,2,FALSE),0)</f>
        <v>0</v>
      </c>
      <c r="G153" s="77">
        <f>IFERROR(VLOOKUP(A153,DataDemande!U:Z,3,FALSE),0)</f>
        <v>0</v>
      </c>
      <c r="H153" s="77">
        <f>IFERROR(VLOOKUP($A153,DataDemande!$U:$Z,4,FALSE),0)</f>
        <v>0</v>
      </c>
      <c r="I153" s="77">
        <f>IFERROR(VLOOKUP($A153,DataDemande!$U:$Z,5,FALSE),0)</f>
        <v>0</v>
      </c>
      <c r="J153" s="77">
        <f>IFERROR(VLOOKUP($A153,DataDemande!$U:$Z,6,FALSE),0)</f>
        <v>0</v>
      </c>
      <c r="K153" s="79"/>
      <c r="L153" s="77">
        <f>IFERROR(VLOOKUP($A153,DataPrixBillets!$S:$W,2,FALSE),0)</f>
        <v>0</v>
      </c>
      <c r="M153" s="77">
        <f>IFERROR(VLOOKUP($A153,DataPrixBillets!$S:$W,3,FALSE),0)</f>
        <v>0</v>
      </c>
      <c r="N153" s="77">
        <f>IFERROR(VLOOKUP($A153,DataPrixBillets!$S:$W,4,FALSE),0)</f>
        <v>0</v>
      </c>
      <c r="O153" s="77">
        <f>IFERROR(VLOOKUP($A153,DataPrixBillets!$S:$W,5,FALSE),0)</f>
        <v>0</v>
      </c>
      <c r="P153" s="79"/>
      <c r="Q153" s="77">
        <f t="shared" si="37"/>
        <v>0</v>
      </c>
      <c r="R153" s="77">
        <f t="shared" si="38"/>
        <v>0</v>
      </c>
      <c r="S153" s="77">
        <f t="shared" si="39"/>
        <v>0</v>
      </c>
      <c r="T153" s="77">
        <f t="shared" si="40"/>
        <v>0</v>
      </c>
      <c r="U153" s="79"/>
      <c r="V153" s="77">
        <f t="shared" si="41"/>
        <v>0</v>
      </c>
      <c r="W153" s="77">
        <f>IFERROR(VLOOKUP(A153,DataCoutRevenuAux!W:Y,2,FALSE),0)</f>
        <v>0</v>
      </c>
      <c r="X153" s="77">
        <f>IFERROR(VLOOKUP(A153,DataCoutRevenuAux!W:Y,3,FALSE),0)</f>
        <v>0</v>
      </c>
      <c r="Y153" s="77">
        <f t="shared" si="42"/>
        <v>0</v>
      </c>
      <c r="Z153" s="77">
        <f t="shared" si="43"/>
        <v>0</v>
      </c>
      <c r="AA153" s="77">
        <f t="shared" si="44"/>
        <v>0</v>
      </c>
      <c r="AB153" s="79"/>
      <c r="AC153" s="77">
        <f t="shared" si="45"/>
        <v>0</v>
      </c>
      <c r="AD153" s="77">
        <f t="shared" si="46"/>
        <v>0</v>
      </c>
      <c r="AE153" s="77">
        <f t="shared" si="47"/>
        <v>0</v>
      </c>
      <c r="AF153" s="79"/>
      <c r="AG153" s="6">
        <f t="shared" si="48"/>
        <v>0</v>
      </c>
      <c r="AH153" s="6">
        <f t="shared" si="49"/>
        <v>0</v>
      </c>
      <c r="AI153" s="6">
        <f t="shared" si="50"/>
        <v>0</v>
      </c>
    </row>
    <row r="154" spans="1:35" x14ac:dyDescent="0.3">
      <c r="A154" s="189">
        <f>DataDemande!U187</f>
        <v>0</v>
      </c>
      <c r="B154" s="189" t="str">
        <f t="shared" si="55"/>
        <v>0</v>
      </c>
      <c r="C154" s="189" t="str">
        <f t="shared" si="56"/>
        <v>0</v>
      </c>
      <c r="D154" s="189">
        <f>IFERROR(VLOOKUP(A154,DataCoutRevenuAux!M:Q,5,FALSE),0)</f>
        <v>0</v>
      </c>
      <c r="E154" s="189">
        <f>IFERROR(VLOOKUP(A154,DataDemande!U:Z,2,FALSE),0)</f>
        <v>0</v>
      </c>
      <c r="G154" s="77">
        <f>IFERROR(VLOOKUP(A154,DataDemande!U:Z,3,FALSE),0)</f>
        <v>0</v>
      </c>
      <c r="H154" s="77">
        <f>IFERROR(VLOOKUP($A154,DataDemande!$U:$Z,4,FALSE),0)</f>
        <v>0</v>
      </c>
      <c r="I154" s="77">
        <f>IFERROR(VLOOKUP($A154,DataDemande!$U:$Z,5,FALSE),0)</f>
        <v>0</v>
      </c>
      <c r="J154" s="77">
        <f>IFERROR(VLOOKUP($A154,DataDemande!$U:$Z,6,FALSE),0)</f>
        <v>0</v>
      </c>
      <c r="K154" s="79"/>
      <c r="L154" s="77">
        <f>IFERROR(VLOOKUP($A154,DataPrixBillets!$S:$W,2,FALSE),0)</f>
        <v>0</v>
      </c>
      <c r="M154" s="77">
        <f>IFERROR(VLOOKUP($A154,DataPrixBillets!$S:$W,3,FALSE),0)</f>
        <v>0</v>
      </c>
      <c r="N154" s="77">
        <f>IFERROR(VLOOKUP($A154,DataPrixBillets!$S:$W,4,FALSE),0)</f>
        <v>0</v>
      </c>
      <c r="O154" s="77">
        <f>IFERROR(VLOOKUP($A154,DataPrixBillets!$S:$W,5,FALSE),0)</f>
        <v>0</v>
      </c>
      <c r="P154" s="79"/>
      <c r="Q154" s="77">
        <f t="shared" si="37"/>
        <v>0</v>
      </c>
      <c r="R154" s="77">
        <f t="shared" si="38"/>
        <v>0</v>
      </c>
      <c r="S154" s="77">
        <f t="shared" si="39"/>
        <v>0</v>
      </c>
      <c r="T154" s="77">
        <f t="shared" si="40"/>
        <v>0</v>
      </c>
      <c r="U154" s="79"/>
      <c r="V154" s="77">
        <f t="shared" si="41"/>
        <v>0</v>
      </c>
      <c r="W154" s="77">
        <f>IFERROR(VLOOKUP(A154,DataCoutRevenuAux!W:Y,2,FALSE),0)</f>
        <v>0</v>
      </c>
      <c r="X154" s="77">
        <f>IFERROR(VLOOKUP(A154,DataCoutRevenuAux!W:Y,3,FALSE),0)</f>
        <v>0</v>
      </c>
      <c r="Y154" s="77">
        <f t="shared" si="42"/>
        <v>0</v>
      </c>
      <c r="Z154" s="77">
        <f t="shared" si="43"/>
        <v>0</v>
      </c>
      <c r="AA154" s="77">
        <f t="shared" si="44"/>
        <v>0</v>
      </c>
      <c r="AB154" s="79"/>
      <c r="AC154" s="77">
        <f t="shared" si="45"/>
        <v>0</v>
      </c>
      <c r="AD154" s="77">
        <f t="shared" si="46"/>
        <v>0</v>
      </c>
      <c r="AE154" s="77">
        <f t="shared" si="47"/>
        <v>0</v>
      </c>
      <c r="AF154" s="79"/>
      <c r="AG154" s="6">
        <f t="shared" si="48"/>
        <v>0</v>
      </c>
      <c r="AH154" s="6">
        <f t="shared" si="49"/>
        <v>0</v>
      </c>
      <c r="AI154" s="6">
        <f t="shared" si="50"/>
        <v>0</v>
      </c>
    </row>
    <row r="155" spans="1:35" x14ac:dyDescent="0.3">
      <c r="A155" s="189">
        <f>DataDemande!U188</f>
        <v>0</v>
      </c>
      <c r="B155" s="189" t="str">
        <f t="shared" si="55"/>
        <v>0</v>
      </c>
      <c r="C155" s="189" t="str">
        <f t="shared" si="56"/>
        <v>0</v>
      </c>
      <c r="D155" s="189">
        <f>IFERROR(VLOOKUP(A155,DataCoutRevenuAux!M:Q,5,FALSE),0)</f>
        <v>0</v>
      </c>
      <c r="E155" s="189">
        <f>IFERROR(VLOOKUP(A155,DataDemande!U:Z,2,FALSE),0)</f>
        <v>0</v>
      </c>
      <c r="G155" s="77">
        <f>IFERROR(VLOOKUP(A155,DataDemande!U:Z,3,FALSE),0)</f>
        <v>0</v>
      </c>
      <c r="H155" s="77">
        <f>IFERROR(VLOOKUP($A155,DataDemande!$U:$Z,4,FALSE),0)</f>
        <v>0</v>
      </c>
      <c r="I155" s="77">
        <f>IFERROR(VLOOKUP($A155,DataDemande!$U:$Z,5,FALSE),0)</f>
        <v>0</v>
      </c>
      <c r="J155" s="77">
        <f>IFERROR(VLOOKUP($A155,DataDemande!$U:$Z,6,FALSE),0)</f>
        <v>0</v>
      </c>
      <c r="K155" s="79"/>
      <c r="L155" s="77">
        <f>IFERROR(VLOOKUP($A155,DataPrixBillets!$S:$W,2,FALSE),0)</f>
        <v>0</v>
      </c>
      <c r="M155" s="77">
        <f>IFERROR(VLOOKUP($A155,DataPrixBillets!$S:$W,3,FALSE),0)</f>
        <v>0</v>
      </c>
      <c r="N155" s="77">
        <f>IFERROR(VLOOKUP($A155,DataPrixBillets!$S:$W,4,FALSE),0)</f>
        <v>0</v>
      </c>
      <c r="O155" s="77">
        <f>IFERROR(VLOOKUP($A155,DataPrixBillets!$S:$W,5,FALSE),0)</f>
        <v>0</v>
      </c>
      <c r="P155" s="79"/>
      <c r="Q155" s="77">
        <f t="shared" si="37"/>
        <v>0</v>
      </c>
      <c r="R155" s="77">
        <f t="shared" si="38"/>
        <v>0</v>
      </c>
      <c r="S155" s="77">
        <f t="shared" si="39"/>
        <v>0</v>
      </c>
      <c r="T155" s="77">
        <f t="shared" si="40"/>
        <v>0</v>
      </c>
      <c r="U155" s="79"/>
      <c r="V155" s="77">
        <f t="shared" si="41"/>
        <v>0</v>
      </c>
      <c r="W155" s="77">
        <f>IFERROR(VLOOKUP(A155,DataCoutRevenuAux!W:Y,2,FALSE),0)</f>
        <v>0</v>
      </c>
      <c r="X155" s="77">
        <f>IFERROR(VLOOKUP(A155,DataCoutRevenuAux!W:Y,3,FALSE),0)</f>
        <v>0</v>
      </c>
      <c r="Y155" s="77">
        <f t="shared" si="42"/>
        <v>0</v>
      </c>
      <c r="Z155" s="77">
        <f t="shared" si="43"/>
        <v>0</v>
      </c>
      <c r="AA155" s="77">
        <f t="shared" si="44"/>
        <v>0</v>
      </c>
      <c r="AB155" s="79"/>
      <c r="AC155" s="77">
        <f t="shared" si="45"/>
        <v>0</v>
      </c>
      <c r="AD155" s="77">
        <f t="shared" si="46"/>
        <v>0</v>
      </c>
      <c r="AE155" s="77">
        <f t="shared" si="47"/>
        <v>0</v>
      </c>
      <c r="AF155" s="79"/>
      <c r="AG155" s="6">
        <f t="shared" si="48"/>
        <v>0</v>
      </c>
      <c r="AH155" s="6">
        <f t="shared" si="49"/>
        <v>0</v>
      </c>
      <c r="AI155" s="6">
        <f t="shared" si="50"/>
        <v>0</v>
      </c>
    </row>
    <row r="156" spans="1:35" x14ac:dyDescent="0.3">
      <c r="A156" s="189">
        <f>DataDemande!U189</f>
        <v>0</v>
      </c>
      <c r="B156" s="189" t="str">
        <f t="shared" si="55"/>
        <v>0</v>
      </c>
      <c r="C156" s="189" t="str">
        <f t="shared" si="56"/>
        <v>0</v>
      </c>
      <c r="D156" s="189">
        <f>IFERROR(VLOOKUP(A156,DataCoutRevenuAux!M:Q,5,FALSE),0)</f>
        <v>0</v>
      </c>
      <c r="E156" s="189">
        <f>IFERROR(VLOOKUP(A156,DataDemande!U:Z,2,FALSE),0)</f>
        <v>0</v>
      </c>
      <c r="G156" s="77">
        <f>IFERROR(VLOOKUP(A156,DataDemande!U:Z,3,FALSE),0)</f>
        <v>0</v>
      </c>
      <c r="H156" s="77">
        <f>IFERROR(VLOOKUP($A156,DataDemande!$U:$Z,4,FALSE),0)</f>
        <v>0</v>
      </c>
      <c r="I156" s="77">
        <f>IFERROR(VLOOKUP($A156,DataDemande!$U:$Z,5,FALSE),0)</f>
        <v>0</v>
      </c>
      <c r="J156" s="77">
        <f>IFERROR(VLOOKUP($A156,DataDemande!$U:$Z,6,FALSE),0)</f>
        <v>0</v>
      </c>
      <c r="K156" s="79"/>
      <c r="L156" s="77">
        <f>IFERROR(VLOOKUP($A156,DataPrixBillets!$S:$W,2,FALSE),0)</f>
        <v>0</v>
      </c>
      <c r="M156" s="77">
        <f>IFERROR(VLOOKUP($A156,DataPrixBillets!$S:$W,3,FALSE),0)</f>
        <v>0</v>
      </c>
      <c r="N156" s="77">
        <f>IFERROR(VLOOKUP($A156,DataPrixBillets!$S:$W,4,FALSE),0)</f>
        <v>0</v>
      </c>
      <c r="O156" s="77">
        <f>IFERROR(VLOOKUP($A156,DataPrixBillets!$S:$W,5,FALSE),0)</f>
        <v>0</v>
      </c>
      <c r="P156" s="79"/>
      <c r="Q156" s="77">
        <f t="shared" si="37"/>
        <v>0</v>
      </c>
      <c r="R156" s="77">
        <f t="shared" si="38"/>
        <v>0</v>
      </c>
      <c r="S156" s="77">
        <f t="shared" si="39"/>
        <v>0</v>
      </c>
      <c r="T156" s="77">
        <f t="shared" si="40"/>
        <v>0</v>
      </c>
      <c r="U156" s="79"/>
      <c r="V156" s="77">
        <f t="shared" si="41"/>
        <v>0</v>
      </c>
      <c r="W156" s="77">
        <f>IFERROR(VLOOKUP(A156,DataCoutRevenuAux!W:Y,2,FALSE),0)</f>
        <v>0</v>
      </c>
      <c r="X156" s="77">
        <f>IFERROR(VLOOKUP(A156,DataCoutRevenuAux!W:Y,3,FALSE),0)</f>
        <v>0</v>
      </c>
      <c r="Y156" s="77">
        <f t="shared" si="42"/>
        <v>0</v>
      </c>
      <c r="Z156" s="77">
        <f t="shared" si="43"/>
        <v>0</v>
      </c>
      <c r="AA156" s="77">
        <f t="shared" si="44"/>
        <v>0</v>
      </c>
      <c r="AB156" s="79"/>
      <c r="AC156" s="77">
        <f t="shared" si="45"/>
        <v>0</v>
      </c>
      <c r="AD156" s="77">
        <f t="shared" si="46"/>
        <v>0</v>
      </c>
      <c r="AE156" s="77">
        <f t="shared" si="47"/>
        <v>0</v>
      </c>
      <c r="AF156" s="79"/>
      <c r="AG156" s="6">
        <f t="shared" si="48"/>
        <v>0</v>
      </c>
      <c r="AH156" s="6">
        <f t="shared" si="49"/>
        <v>0</v>
      </c>
      <c r="AI156" s="6">
        <f t="shared" si="50"/>
        <v>0</v>
      </c>
    </row>
    <row r="157" spans="1:35" x14ac:dyDescent="0.3">
      <c r="A157" s="189">
        <f>DataDemande!U190</f>
        <v>0</v>
      </c>
      <c r="B157" s="189" t="str">
        <f t="shared" si="55"/>
        <v>0</v>
      </c>
      <c r="C157" s="189" t="str">
        <f t="shared" si="56"/>
        <v>0</v>
      </c>
      <c r="D157" s="189">
        <f>IFERROR(VLOOKUP(A157,DataCoutRevenuAux!M:Q,5,FALSE),0)</f>
        <v>0</v>
      </c>
      <c r="E157" s="189">
        <f>IFERROR(VLOOKUP(A157,DataDemande!U:Z,2,FALSE),0)</f>
        <v>0</v>
      </c>
      <c r="G157" s="77">
        <f>IFERROR(VLOOKUP(A157,DataDemande!U:Z,3,FALSE),0)</f>
        <v>0</v>
      </c>
      <c r="H157" s="77">
        <f>IFERROR(VLOOKUP($A157,DataDemande!$U:$Z,4,FALSE),0)</f>
        <v>0</v>
      </c>
      <c r="I157" s="77">
        <f>IFERROR(VLOOKUP($A157,DataDemande!$U:$Z,5,FALSE),0)</f>
        <v>0</v>
      </c>
      <c r="J157" s="77">
        <f>IFERROR(VLOOKUP($A157,DataDemande!$U:$Z,6,FALSE),0)</f>
        <v>0</v>
      </c>
      <c r="K157" s="79"/>
      <c r="L157" s="77">
        <f>IFERROR(VLOOKUP($A157,DataPrixBillets!$S:$W,2,FALSE),0)</f>
        <v>0</v>
      </c>
      <c r="M157" s="77">
        <f>IFERROR(VLOOKUP($A157,DataPrixBillets!$S:$W,3,FALSE),0)</f>
        <v>0</v>
      </c>
      <c r="N157" s="77">
        <f>IFERROR(VLOOKUP($A157,DataPrixBillets!$S:$W,4,FALSE),0)</f>
        <v>0</v>
      </c>
      <c r="O157" s="77">
        <f>IFERROR(VLOOKUP($A157,DataPrixBillets!$S:$W,5,FALSE),0)</f>
        <v>0</v>
      </c>
      <c r="P157" s="79"/>
      <c r="Q157" s="77">
        <f t="shared" si="37"/>
        <v>0</v>
      </c>
      <c r="R157" s="77">
        <f t="shared" si="38"/>
        <v>0</v>
      </c>
      <c r="S157" s="77">
        <f t="shared" si="39"/>
        <v>0</v>
      </c>
      <c r="T157" s="77">
        <f t="shared" si="40"/>
        <v>0</v>
      </c>
      <c r="U157" s="79"/>
      <c r="V157" s="77">
        <f t="shared" si="41"/>
        <v>0</v>
      </c>
      <c r="W157" s="77">
        <f>IFERROR(VLOOKUP(A157,DataCoutRevenuAux!W:Y,2,FALSE),0)</f>
        <v>0</v>
      </c>
      <c r="X157" s="77">
        <f>IFERROR(VLOOKUP(A157,DataCoutRevenuAux!W:Y,3,FALSE),0)</f>
        <v>0</v>
      </c>
      <c r="Y157" s="77">
        <f t="shared" si="42"/>
        <v>0</v>
      </c>
      <c r="Z157" s="77">
        <f t="shared" si="43"/>
        <v>0</v>
      </c>
      <c r="AA157" s="77">
        <f t="shared" si="44"/>
        <v>0</v>
      </c>
      <c r="AB157" s="79"/>
      <c r="AC157" s="77">
        <f t="shared" si="45"/>
        <v>0</v>
      </c>
      <c r="AD157" s="77">
        <f t="shared" si="46"/>
        <v>0</v>
      </c>
      <c r="AE157" s="77">
        <f t="shared" si="47"/>
        <v>0</v>
      </c>
      <c r="AF157" s="79"/>
      <c r="AG157" s="6">
        <f t="shared" si="48"/>
        <v>0</v>
      </c>
      <c r="AH157" s="6">
        <f t="shared" si="49"/>
        <v>0</v>
      </c>
      <c r="AI157" s="6">
        <f t="shared" si="50"/>
        <v>0</v>
      </c>
    </row>
    <row r="158" spans="1:35" x14ac:dyDescent="0.3">
      <c r="A158" s="189">
        <f>DataDemande!U191</f>
        <v>0</v>
      </c>
      <c r="B158" s="189" t="str">
        <f t="shared" si="55"/>
        <v>0</v>
      </c>
      <c r="C158" s="189" t="str">
        <f t="shared" si="56"/>
        <v>0</v>
      </c>
      <c r="D158" s="189">
        <f>IFERROR(VLOOKUP(A158,DataCoutRevenuAux!M:Q,5,FALSE),0)</f>
        <v>0</v>
      </c>
      <c r="E158" s="189">
        <f>IFERROR(VLOOKUP(A158,DataDemande!U:Z,2,FALSE),0)</f>
        <v>0</v>
      </c>
      <c r="G158" s="77">
        <f>IFERROR(VLOOKUP(A158,DataDemande!U:Z,3,FALSE),0)</f>
        <v>0</v>
      </c>
      <c r="H158" s="77">
        <f>IFERROR(VLOOKUP($A158,DataDemande!$U:$Z,4,FALSE),0)</f>
        <v>0</v>
      </c>
      <c r="I158" s="77">
        <f>IFERROR(VLOOKUP($A158,DataDemande!$U:$Z,5,FALSE),0)</f>
        <v>0</v>
      </c>
      <c r="J158" s="77">
        <f>IFERROR(VLOOKUP($A158,DataDemande!$U:$Z,6,FALSE),0)</f>
        <v>0</v>
      </c>
      <c r="K158" s="79"/>
      <c r="L158" s="77">
        <f>IFERROR(VLOOKUP($A158,DataPrixBillets!$S:$W,2,FALSE),0)</f>
        <v>0</v>
      </c>
      <c r="M158" s="77">
        <f>IFERROR(VLOOKUP($A158,DataPrixBillets!$S:$W,3,FALSE),0)</f>
        <v>0</v>
      </c>
      <c r="N158" s="77">
        <f>IFERROR(VLOOKUP($A158,DataPrixBillets!$S:$W,4,FALSE),0)</f>
        <v>0</v>
      </c>
      <c r="O158" s="77">
        <f>IFERROR(VLOOKUP($A158,DataPrixBillets!$S:$W,5,FALSE),0)</f>
        <v>0</v>
      </c>
      <c r="P158" s="79"/>
      <c r="Q158" s="77">
        <f t="shared" si="37"/>
        <v>0</v>
      </c>
      <c r="R158" s="77">
        <f t="shared" si="38"/>
        <v>0</v>
      </c>
      <c r="S158" s="77">
        <f t="shared" si="39"/>
        <v>0</v>
      </c>
      <c r="T158" s="77">
        <f t="shared" si="40"/>
        <v>0</v>
      </c>
      <c r="U158" s="79"/>
      <c r="V158" s="77">
        <f t="shared" si="41"/>
        <v>0</v>
      </c>
      <c r="W158" s="77">
        <f>IFERROR(VLOOKUP(A158,DataCoutRevenuAux!W:Y,2,FALSE),0)</f>
        <v>0</v>
      </c>
      <c r="X158" s="77">
        <f>IFERROR(VLOOKUP(A158,DataCoutRevenuAux!W:Y,3,FALSE),0)</f>
        <v>0</v>
      </c>
      <c r="Y158" s="77">
        <f t="shared" si="42"/>
        <v>0</v>
      </c>
      <c r="Z158" s="77">
        <f t="shared" si="43"/>
        <v>0</v>
      </c>
      <c r="AA158" s="77">
        <f t="shared" si="44"/>
        <v>0</v>
      </c>
      <c r="AB158" s="79"/>
      <c r="AC158" s="77">
        <f t="shared" si="45"/>
        <v>0</v>
      </c>
      <c r="AD158" s="77">
        <f t="shared" si="46"/>
        <v>0</v>
      </c>
      <c r="AE158" s="77">
        <f t="shared" si="47"/>
        <v>0</v>
      </c>
      <c r="AF158" s="79"/>
      <c r="AG158" s="6">
        <f t="shared" si="48"/>
        <v>0</v>
      </c>
      <c r="AH158" s="6">
        <f t="shared" si="49"/>
        <v>0</v>
      </c>
      <c r="AI158" s="6">
        <f t="shared" si="50"/>
        <v>0</v>
      </c>
    </row>
    <row r="159" spans="1:35" x14ac:dyDescent="0.3">
      <c r="A159" s="189">
        <f>DataDemande!U192</f>
        <v>0</v>
      </c>
      <c r="B159" s="189" t="str">
        <f t="shared" ref="B159:B222" si="57">LEFT(A159,3)</f>
        <v>0</v>
      </c>
      <c r="C159" s="189" t="str">
        <f t="shared" ref="C159:C222" si="58">RIGHT(A159,3)</f>
        <v>0</v>
      </c>
      <c r="D159" s="189">
        <f>IFERROR(VLOOKUP(A159,DataCoutRevenuAux!M:Q,5,FALSE),0)</f>
        <v>0</v>
      </c>
      <c r="E159" s="189">
        <f>IFERROR(VLOOKUP(A159,DataDemande!U:Z,2,FALSE),0)</f>
        <v>0</v>
      </c>
      <c r="G159" s="77">
        <f>IFERROR(VLOOKUP(A159,DataDemande!U:Z,3,FALSE),0)</f>
        <v>0</v>
      </c>
      <c r="H159" s="77">
        <f>IFERROR(VLOOKUP($A159,DataDemande!$U:$Z,4,FALSE),0)</f>
        <v>0</v>
      </c>
      <c r="I159" s="77">
        <f>IFERROR(VLOOKUP($A159,DataDemande!$U:$Z,5,FALSE),0)</f>
        <v>0</v>
      </c>
      <c r="J159" s="77">
        <f>IFERROR(VLOOKUP($A159,DataDemande!$U:$Z,6,FALSE),0)</f>
        <v>0</v>
      </c>
      <c r="K159" s="79"/>
      <c r="L159" s="77">
        <f>IFERROR(VLOOKUP($A159,DataPrixBillets!$S:$W,2,FALSE),0)</f>
        <v>0</v>
      </c>
      <c r="M159" s="77">
        <f>IFERROR(VLOOKUP($A159,DataPrixBillets!$S:$W,3,FALSE),0)</f>
        <v>0</v>
      </c>
      <c r="N159" s="77">
        <f>IFERROR(VLOOKUP($A159,DataPrixBillets!$S:$W,4,FALSE),0)</f>
        <v>0</v>
      </c>
      <c r="O159" s="77">
        <f>IFERROR(VLOOKUP($A159,DataPrixBillets!$S:$W,5,FALSE),0)</f>
        <v>0</v>
      </c>
      <c r="P159" s="79"/>
      <c r="Q159" s="77">
        <f t="shared" si="37"/>
        <v>0</v>
      </c>
      <c r="R159" s="77">
        <f t="shared" si="38"/>
        <v>0</v>
      </c>
      <c r="S159" s="77">
        <f t="shared" si="39"/>
        <v>0</v>
      </c>
      <c r="T159" s="77">
        <f t="shared" si="40"/>
        <v>0</v>
      </c>
      <c r="U159" s="79"/>
      <c r="V159" s="77">
        <f t="shared" si="41"/>
        <v>0</v>
      </c>
      <c r="W159" s="77">
        <f>IFERROR(VLOOKUP(A159,DataCoutRevenuAux!W:Y,2,FALSE),0)</f>
        <v>0</v>
      </c>
      <c r="X159" s="77">
        <f>IFERROR(VLOOKUP(A159,DataCoutRevenuAux!W:Y,3,FALSE),0)</f>
        <v>0</v>
      </c>
      <c r="Y159" s="77">
        <f t="shared" si="42"/>
        <v>0</v>
      </c>
      <c r="Z159" s="77">
        <f t="shared" si="43"/>
        <v>0</v>
      </c>
      <c r="AA159" s="77">
        <f t="shared" si="44"/>
        <v>0</v>
      </c>
      <c r="AB159" s="79"/>
      <c r="AC159" s="77">
        <f t="shared" si="45"/>
        <v>0</v>
      </c>
      <c r="AD159" s="77">
        <f t="shared" si="46"/>
        <v>0</v>
      </c>
      <c r="AE159" s="77">
        <f t="shared" si="47"/>
        <v>0</v>
      </c>
      <c r="AF159" s="79"/>
      <c r="AG159" s="6">
        <f t="shared" si="48"/>
        <v>0</v>
      </c>
      <c r="AH159" s="6">
        <f t="shared" si="49"/>
        <v>0</v>
      </c>
      <c r="AI159" s="6">
        <f t="shared" si="50"/>
        <v>0</v>
      </c>
    </row>
    <row r="160" spans="1:35" x14ac:dyDescent="0.3">
      <c r="A160" s="189">
        <f>DataDemande!U193</f>
        <v>0</v>
      </c>
      <c r="B160" s="189" t="str">
        <f t="shared" si="57"/>
        <v>0</v>
      </c>
      <c r="C160" s="189" t="str">
        <f t="shared" si="58"/>
        <v>0</v>
      </c>
      <c r="D160" s="189">
        <f>IFERROR(VLOOKUP(A160,DataCoutRevenuAux!M:Q,5,FALSE),0)</f>
        <v>0</v>
      </c>
      <c r="E160" s="189">
        <f>IFERROR(VLOOKUP(A160,DataDemande!U:Z,2,FALSE),0)</f>
        <v>0</v>
      </c>
      <c r="G160" s="77">
        <f>IFERROR(VLOOKUP(A160,DataDemande!U:Z,3,FALSE),0)</f>
        <v>0</v>
      </c>
      <c r="H160" s="77">
        <f>IFERROR(VLOOKUP($A160,DataDemande!$U:$Z,4,FALSE),0)</f>
        <v>0</v>
      </c>
      <c r="I160" s="77">
        <f>IFERROR(VLOOKUP($A160,DataDemande!$U:$Z,5,FALSE),0)</f>
        <v>0</v>
      </c>
      <c r="J160" s="77">
        <f>IFERROR(VLOOKUP($A160,DataDemande!$U:$Z,6,FALSE),0)</f>
        <v>0</v>
      </c>
      <c r="K160" s="79"/>
      <c r="L160" s="77">
        <f>IFERROR(VLOOKUP($A160,DataPrixBillets!$S:$W,2,FALSE),0)</f>
        <v>0</v>
      </c>
      <c r="M160" s="77">
        <f>IFERROR(VLOOKUP($A160,DataPrixBillets!$S:$W,3,FALSE),0)</f>
        <v>0</v>
      </c>
      <c r="N160" s="77">
        <f>IFERROR(VLOOKUP($A160,DataPrixBillets!$S:$W,4,FALSE),0)</f>
        <v>0</v>
      </c>
      <c r="O160" s="77">
        <f>IFERROR(VLOOKUP($A160,DataPrixBillets!$S:$W,5,FALSE),0)</f>
        <v>0</v>
      </c>
      <c r="P160" s="79"/>
      <c r="Q160" s="77">
        <f t="shared" si="37"/>
        <v>0</v>
      </c>
      <c r="R160" s="77">
        <f t="shared" si="38"/>
        <v>0</v>
      </c>
      <c r="S160" s="77">
        <f t="shared" si="39"/>
        <v>0</v>
      </c>
      <c r="T160" s="77">
        <f t="shared" si="40"/>
        <v>0</v>
      </c>
      <c r="U160" s="79"/>
      <c r="V160" s="77">
        <f t="shared" si="41"/>
        <v>0</v>
      </c>
      <c r="W160" s="77">
        <f>IFERROR(VLOOKUP(A160,DataCoutRevenuAux!W:Y,2,FALSE),0)</f>
        <v>0</v>
      </c>
      <c r="X160" s="77">
        <f>IFERROR(VLOOKUP(A160,DataCoutRevenuAux!W:Y,3,FALSE),0)</f>
        <v>0</v>
      </c>
      <c r="Y160" s="77">
        <f t="shared" si="42"/>
        <v>0</v>
      </c>
      <c r="Z160" s="77">
        <f t="shared" si="43"/>
        <v>0</v>
      </c>
      <c r="AA160" s="77">
        <f t="shared" si="44"/>
        <v>0</v>
      </c>
      <c r="AB160" s="79"/>
      <c r="AC160" s="77">
        <f t="shared" si="45"/>
        <v>0</v>
      </c>
      <c r="AD160" s="77">
        <f t="shared" si="46"/>
        <v>0</v>
      </c>
      <c r="AE160" s="77">
        <f t="shared" si="47"/>
        <v>0</v>
      </c>
      <c r="AF160" s="79"/>
      <c r="AG160" s="6">
        <f t="shared" si="48"/>
        <v>0</v>
      </c>
      <c r="AH160" s="6">
        <f t="shared" si="49"/>
        <v>0</v>
      </c>
      <c r="AI160" s="6">
        <f t="shared" si="50"/>
        <v>0</v>
      </c>
    </row>
    <row r="161" spans="1:35" x14ac:dyDescent="0.3">
      <c r="A161" s="189">
        <f>DataDemande!U194</f>
        <v>0</v>
      </c>
      <c r="B161" s="189" t="str">
        <f t="shared" si="57"/>
        <v>0</v>
      </c>
      <c r="C161" s="189" t="str">
        <f t="shared" si="58"/>
        <v>0</v>
      </c>
      <c r="D161" s="189">
        <f>IFERROR(VLOOKUP(A161,DataCoutRevenuAux!M:Q,5,FALSE),0)</f>
        <v>0</v>
      </c>
      <c r="E161" s="189">
        <f>IFERROR(VLOOKUP(A161,DataDemande!U:Z,2,FALSE),0)</f>
        <v>0</v>
      </c>
      <c r="G161" s="77">
        <f>IFERROR(VLOOKUP(A161,DataDemande!U:Z,3,FALSE),0)</f>
        <v>0</v>
      </c>
      <c r="H161" s="77">
        <f>IFERROR(VLOOKUP($A161,DataDemande!$U:$Z,4,FALSE),0)</f>
        <v>0</v>
      </c>
      <c r="I161" s="77">
        <f>IFERROR(VLOOKUP($A161,DataDemande!$U:$Z,5,FALSE),0)</f>
        <v>0</v>
      </c>
      <c r="J161" s="77">
        <f>IFERROR(VLOOKUP($A161,DataDemande!$U:$Z,6,FALSE),0)</f>
        <v>0</v>
      </c>
      <c r="K161" s="79"/>
      <c r="L161" s="77">
        <f>IFERROR(VLOOKUP($A161,DataPrixBillets!$S:$W,2,FALSE),0)</f>
        <v>0</v>
      </c>
      <c r="M161" s="77">
        <f>IFERROR(VLOOKUP($A161,DataPrixBillets!$S:$W,3,FALSE),0)</f>
        <v>0</v>
      </c>
      <c r="N161" s="77">
        <f>IFERROR(VLOOKUP($A161,DataPrixBillets!$S:$W,4,FALSE),0)</f>
        <v>0</v>
      </c>
      <c r="O161" s="77">
        <f>IFERROR(VLOOKUP($A161,DataPrixBillets!$S:$W,5,FALSE),0)</f>
        <v>0</v>
      </c>
      <c r="P161" s="79"/>
      <c r="Q161" s="77">
        <f t="shared" si="37"/>
        <v>0</v>
      </c>
      <c r="R161" s="77">
        <f t="shared" si="38"/>
        <v>0</v>
      </c>
      <c r="S161" s="77">
        <f t="shared" si="39"/>
        <v>0</v>
      </c>
      <c r="T161" s="77">
        <f t="shared" si="40"/>
        <v>0</v>
      </c>
      <c r="U161" s="79"/>
      <c r="V161" s="77">
        <f t="shared" si="41"/>
        <v>0</v>
      </c>
      <c r="W161" s="77">
        <f>IFERROR(VLOOKUP(A161,DataCoutRevenuAux!W:Y,2,FALSE),0)</f>
        <v>0</v>
      </c>
      <c r="X161" s="77">
        <f>IFERROR(VLOOKUP(A161,DataCoutRevenuAux!W:Y,3,FALSE),0)</f>
        <v>0</v>
      </c>
      <c r="Y161" s="77">
        <f t="shared" si="42"/>
        <v>0</v>
      </c>
      <c r="Z161" s="77">
        <f t="shared" si="43"/>
        <v>0</v>
      </c>
      <c r="AA161" s="77">
        <f t="shared" si="44"/>
        <v>0</v>
      </c>
      <c r="AB161" s="79"/>
      <c r="AC161" s="77">
        <f t="shared" si="45"/>
        <v>0</v>
      </c>
      <c r="AD161" s="77">
        <f t="shared" si="46"/>
        <v>0</v>
      </c>
      <c r="AE161" s="77">
        <f t="shared" si="47"/>
        <v>0</v>
      </c>
      <c r="AF161" s="79"/>
      <c r="AG161" s="6">
        <f t="shared" si="48"/>
        <v>0</v>
      </c>
      <c r="AH161" s="6">
        <f t="shared" si="49"/>
        <v>0</v>
      </c>
      <c r="AI161" s="6">
        <f t="shared" si="50"/>
        <v>0</v>
      </c>
    </row>
    <row r="162" spans="1:35" x14ac:dyDescent="0.3">
      <c r="A162" s="189">
        <f>DataDemande!U195</f>
        <v>0</v>
      </c>
      <c r="B162" s="189" t="str">
        <f t="shared" si="57"/>
        <v>0</v>
      </c>
      <c r="C162" s="189" t="str">
        <f t="shared" si="58"/>
        <v>0</v>
      </c>
      <c r="D162" s="189">
        <f>IFERROR(VLOOKUP(A162,DataCoutRevenuAux!M:Q,5,FALSE),0)</f>
        <v>0</v>
      </c>
      <c r="E162" s="189">
        <f>IFERROR(VLOOKUP(A162,DataDemande!U:Z,2,FALSE),0)</f>
        <v>0</v>
      </c>
      <c r="G162" s="77">
        <f>IFERROR(VLOOKUP(A162,DataDemande!U:Z,3,FALSE),0)</f>
        <v>0</v>
      </c>
      <c r="H162" s="77">
        <f>IFERROR(VLOOKUP($A162,DataDemande!$U:$Z,4,FALSE),0)</f>
        <v>0</v>
      </c>
      <c r="I162" s="77">
        <f>IFERROR(VLOOKUP($A162,DataDemande!$U:$Z,5,FALSE),0)</f>
        <v>0</v>
      </c>
      <c r="J162" s="77">
        <f>IFERROR(VLOOKUP($A162,DataDemande!$U:$Z,6,FALSE),0)</f>
        <v>0</v>
      </c>
      <c r="K162" s="79"/>
      <c r="L162" s="77">
        <f>IFERROR(VLOOKUP($A162,DataPrixBillets!$S:$W,2,FALSE),0)</f>
        <v>0</v>
      </c>
      <c r="M162" s="77">
        <f>IFERROR(VLOOKUP($A162,DataPrixBillets!$S:$W,3,FALSE),0)</f>
        <v>0</v>
      </c>
      <c r="N162" s="77">
        <f>IFERROR(VLOOKUP($A162,DataPrixBillets!$S:$W,4,FALSE),0)</f>
        <v>0</v>
      </c>
      <c r="O162" s="77">
        <f>IFERROR(VLOOKUP($A162,DataPrixBillets!$S:$W,5,FALSE),0)</f>
        <v>0</v>
      </c>
      <c r="P162" s="79"/>
      <c r="Q162" s="77">
        <f t="shared" si="37"/>
        <v>0</v>
      </c>
      <c r="R162" s="77">
        <f t="shared" si="38"/>
        <v>0</v>
      </c>
      <c r="S162" s="77">
        <f t="shared" si="39"/>
        <v>0</v>
      </c>
      <c r="T162" s="77">
        <f t="shared" si="40"/>
        <v>0</v>
      </c>
      <c r="U162" s="79"/>
      <c r="V162" s="77">
        <f t="shared" si="41"/>
        <v>0</v>
      </c>
      <c r="W162" s="77">
        <f>IFERROR(VLOOKUP(A162,DataCoutRevenuAux!W:Y,2,FALSE),0)</f>
        <v>0</v>
      </c>
      <c r="X162" s="77">
        <f>IFERROR(VLOOKUP(A162,DataCoutRevenuAux!W:Y,3,FALSE),0)</f>
        <v>0</v>
      </c>
      <c r="Y162" s="77">
        <f t="shared" si="42"/>
        <v>0</v>
      </c>
      <c r="Z162" s="77">
        <f t="shared" si="43"/>
        <v>0</v>
      </c>
      <c r="AA162" s="77">
        <f t="shared" si="44"/>
        <v>0</v>
      </c>
      <c r="AB162" s="79"/>
      <c r="AC162" s="77">
        <f t="shared" si="45"/>
        <v>0</v>
      </c>
      <c r="AD162" s="77">
        <f t="shared" si="46"/>
        <v>0</v>
      </c>
      <c r="AE162" s="77">
        <f t="shared" si="47"/>
        <v>0</v>
      </c>
      <c r="AF162" s="79"/>
      <c r="AG162" s="6">
        <f t="shared" si="48"/>
        <v>0</v>
      </c>
      <c r="AH162" s="6">
        <f t="shared" si="49"/>
        <v>0</v>
      </c>
      <c r="AI162" s="6">
        <f t="shared" si="50"/>
        <v>0</v>
      </c>
    </row>
    <row r="163" spans="1:35" x14ac:dyDescent="0.3">
      <c r="A163" s="189">
        <f>DataDemande!U196</f>
        <v>0</v>
      </c>
      <c r="B163" s="189" t="str">
        <f t="shared" si="57"/>
        <v>0</v>
      </c>
      <c r="C163" s="189" t="str">
        <f t="shared" si="58"/>
        <v>0</v>
      </c>
      <c r="D163" s="189">
        <f>IFERROR(VLOOKUP(A163,DataCoutRevenuAux!M:Q,5,FALSE),0)</f>
        <v>0</v>
      </c>
      <c r="E163" s="189">
        <f>IFERROR(VLOOKUP(A163,DataDemande!U:Z,2,FALSE),0)</f>
        <v>0</v>
      </c>
      <c r="G163" s="77">
        <f>IFERROR(VLOOKUP(A163,DataDemande!U:Z,3,FALSE),0)</f>
        <v>0</v>
      </c>
      <c r="H163" s="77">
        <f>IFERROR(VLOOKUP($A163,DataDemande!$U:$Z,4,FALSE),0)</f>
        <v>0</v>
      </c>
      <c r="I163" s="77">
        <f>IFERROR(VLOOKUP($A163,DataDemande!$U:$Z,5,FALSE),0)</f>
        <v>0</v>
      </c>
      <c r="J163" s="77">
        <f>IFERROR(VLOOKUP($A163,DataDemande!$U:$Z,6,FALSE),0)</f>
        <v>0</v>
      </c>
      <c r="K163" s="79"/>
      <c r="L163" s="77">
        <f>IFERROR(VLOOKUP($A163,DataPrixBillets!$S:$W,2,FALSE),0)</f>
        <v>0</v>
      </c>
      <c r="M163" s="77">
        <f>IFERROR(VLOOKUP($A163,DataPrixBillets!$S:$W,3,FALSE),0)</f>
        <v>0</v>
      </c>
      <c r="N163" s="77">
        <f>IFERROR(VLOOKUP($A163,DataPrixBillets!$S:$W,4,FALSE),0)</f>
        <v>0</v>
      </c>
      <c r="O163" s="77">
        <f>IFERROR(VLOOKUP($A163,DataPrixBillets!$S:$W,5,FALSE),0)</f>
        <v>0</v>
      </c>
      <c r="P163" s="79"/>
      <c r="Q163" s="77">
        <f t="shared" si="37"/>
        <v>0</v>
      </c>
      <c r="R163" s="77">
        <f t="shared" si="38"/>
        <v>0</v>
      </c>
      <c r="S163" s="77">
        <f t="shared" si="39"/>
        <v>0</v>
      </c>
      <c r="T163" s="77">
        <f t="shared" si="40"/>
        <v>0</v>
      </c>
      <c r="U163" s="79"/>
      <c r="V163" s="77">
        <f t="shared" si="41"/>
        <v>0</v>
      </c>
      <c r="W163" s="77">
        <f>IFERROR(VLOOKUP(A163,DataCoutRevenuAux!W:Y,2,FALSE),0)</f>
        <v>0</v>
      </c>
      <c r="X163" s="77">
        <f>IFERROR(VLOOKUP(A163,DataCoutRevenuAux!W:Y,3,FALSE),0)</f>
        <v>0</v>
      </c>
      <c r="Y163" s="77">
        <f t="shared" si="42"/>
        <v>0</v>
      </c>
      <c r="Z163" s="77">
        <f t="shared" si="43"/>
        <v>0</v>
      </c>
      <c r="AA163" s="77">
        <f t="shared" si="44"/>
        <v>0</v>
      </c>
      <c r="AB163" s="79"/>
      <c r="AC163" s="77">
        <f t="shared" si="45"/>
        <v>0</v>
      </c>
      <c r="AD163" s="77">
        <f t="shared" si="46"/>
        <v>0</v>
      </c>
      <c r="AE163" s="77">
        <f t="shared" si="47"/>
        <v>0</v>
      </c>
      <c r="AF163" s="79"/>
      <c r="AG163" s="6">
        <f t="shared" si="48"/>
        <v>0</v>
      </c>
      <c r="AH163" s="6">
        <f t="shared" si="49"/>
        <v>0</v>
      </c>
      <c r="AI163" s="6">
        <f t="shared" si="50"/>
        <v>0</v>
      </c>
    </row>
    <row r="164" spans="1:35" x14ac:dyDescent="0.3">
      <c r="A164" s="189">
        <f>DataDemande!U197</f>
        <v>0</v>
      </c>
      <c r="B164" s="189" t="str">
        <f t="shared" si="57"/>
        <v>0</v>
      </c>
      <c r="C164" s="189" t="str">
        <f t="shared" si="58"/>
        <v>0</v>
      </c>
      <c r="D164" s="189">
        <f>IFERROR(VLOOKUP(A164,DataCoutRevenuAux!M:Q,5,FALSE),0)</f>
        <v>0</v>
      </c>
      <c r="E164" s="189">
        <f>IFERROR(VLOOKUP(A164,DataDemande!U:Z,2,FALSE),0)</f>
        <v>0</v>
      </c>
      <c r="G164" s="77">
        <f>IFERROR(VLOOKUP(A164,DataDemande!U:Z,3,FALSE),0)</f>
        <v>0</v>
      </c>
      <c r="H164" s="77">
        <f>IFERROR(VLOOKUP($A164,DataDemande!$U:$Z,4,FALSE),0)</f>
        <v>0</v>
      </c>
      <c r="I164" s="77">
        <f>IFERROR(VLOOKUP($A164,DataDemande!$U:$Z,5,FALSE),0)</f>
        <v>0</v>
      </c>
      <c r="J164" s="77">
        <f>IFERROR(VLOOKUP($A164,DataDemande!$U:$Z,6,FALSE),0)</f>
        <v>0</v>
      </c>
      <c r="K164" s="79"/>
      <c r="L164" s="77">
        <f>IFERROR(VLOOKUP($A164,DataPrixBillets!$S:$W,2,FALSE),0)</f>
        <v>0</v>
      </c>
      <c r="M164" s="77">
        <f>IFERROR(VLOOKUP($A164,DataPrixBillets!$S:$W,3,FALSE),0)</f>
        <v>0</v>
      </c>
      <c r="N164" s="77">
        <f>IFERROR(VLOOKUP($A164,DataPrixBillets!$S:$W,4,FALSE),0)</f>
        <v>0</v>
      </c>
      <c r="O164" s="77">
        <f>IFERROR(VLOOKUP($A164,DataPrixBillets!$S:$W,5,FALSE),0)</f>
        <v>0</v>
      </c>
      <c r="P164" s="79"/>
      <c r="Q164" s="77">
        <f t="shared" si="37"/>
        <v>0</v>
      </c>
      <c r="R164" s="77">
        <f t="shared" si="38"/>
        <v>0</v>
      </c>
      <c r="S164" s="77">
        <f t="shared" si="39"/>
        <v>0</v>
      </c>
      <c r="T164" s="77">
        <f t="shared" si="40"/>
        <v>0</v>
      </c>
      <c r="U164" s="79"/>
      <c r="V164" s="77">
        <f t="shared" si="41"/>
        <v>0</v>
      </c>
      <c r="W164" s="77">
        <f>IFERROR(VLOOKUP(A164,DataCoutRevenuAux!W:Y,2,FALSE),0)</f>
        <v>0</v>
      </c>
      <c r="X164" s="77">
        <f>IFERROR(VLOOKUP(A164,DataCoutRevenuAux!W:Y,3,FALSE),0)</f>
        <v>0</v>
      </c>
      <c r="Y164" s="77">
        <f t="shared" si="42"/>
        <v>0</v>
      </c>
      <c r="Z164" s="77">
        <f t="shared" si="43"/>
        <v>0</v>
      </c>
      <c r="AA164" s="77">
        <f t="shared" si="44"/>
        <v>0</v>
      </c>
      <c r="AB164" s="79"/>
      <c r="AC164" s="77">
        <f t="shared" si="45"/>
        <v>0</v>
      </c>
      <c r="AD164" s="77">
        <f t="shared" si="46"/>
        <v>0</v>
      </c>
      <c r="AE164" s="77">
        <f t="shared" si="47"/>
        <v>0</v>
      </c>
      <c r="AF164" s="79"/>
      <c r="AG164" s="6">
        <f t="shared" si="48"/>
        <v>0</v>
      </c>
      <c r="AH164" s="6">
        <f t="shared" si="49"/>
        <v>0</v>
      </c>
      <c r="AI164" s="6">
        <f t="shared" si="50"/>
        <v>0</v>
      </c>
    </row>
    <row r="165" spans="1:35" x14ac:dyDescent="0.3">
      <c r="A165" s="189">
        <f>DataDemande!U198</f>
        <v>0</v>
      </c>
      <c r="B165" s="189" t="str">
        <f t="shared" si="57"/>
        <v>0</v>
      </c>
      <c r="C165" s="189" t="str">
        <f t="shared" si="58"/>
        <v>0</v>
      </c>
      <c r="D165" s="189">
        <f>IFERROR(VLOOKUP(A165,DataCoutRevenuAux!M:Q,5,FALSE),0)</f>
        <v>0</v>
      </c>
      <c r="E165" s="189">
        <f>IFERROR(VLOOKUP(A165,DataDemande!U:Z,2,FALSE),0)</f>
        <v>0</v>
      </c>
      <c r="G165" s="77">
        <f>IFERROR(VLOOKUP(A165,DataDemande!U:Z,3,FALSE),0)</f>
        <v>0</v>
      </c>
      <c r="H165" s="77">
        <f>IFERROR(VLOOKUP($A165,DataDemande!$U:$Z,4,FALSE),0)</f>
        <v>0</v>
      </c>
      <c r="I165" s="77">
        <f>IFERROR(VLOOKUP($A165,DataDemande!$U:$Z,5,FALSE),0)</f>
        <v>0</v>
      </c>
      <c r="J165" s="77">
        <f>IFERROR(VLOOKUP($A165,DataDemande!$U:$Z,6,FALSE),0)</f>
        <v>0</v>
      </c>
      <c r="K165" s="79"/>
      <c r="L165" s="77">
        <f>IFERROR(VLOOKUP($A165,DataPrixBillets!$S:$W,2,FALSE),0)</f>
        <v>0</v>
      </c>
      <c r="M165" s="77">
        <f>IFERROR(VLOOKUP($A165,DataPrixBillets!$S:$W,3,FALSE),0)</f>
        <v>0</v>
      </c>
      <c r="N165" s="77">
        <f>IFERROR(VLOOKUP($A165,DataPrixBillets!$S:$W,4,FALSE),0)</f>
        <v>0</v>
      </c>
      <c r="O165" s="77">
        <f>IFERROR(VLOOKUP($A165,DataPrixBillets!$S:$W,5,FALSE),0)</f>
        <v>0</v>
      </c>
      <c r="P165" s="79"/>
      <c r="Q165" s="77">
        <f t="shared" si="37"/>
        <v>0</v>
      </c>
      <c r="R165" s="77">
        <f t="shared" si="38"/>
        <v>0</v>
      </c>
      <c r="S165" s="77">
        <f t="shared" si="39"/>
        <v>0</v>
      </c>
      <c r="T165" s="77">
        <f t="shared" si="40"/>
        <v>0</v>
      </c>
      <c r="U165" s="79"/>
      <c r="V165" s="77">
        <f t="shared" si="41"/>
        <v>0</v>
      </c>
      <c r="W165" s="77">
        <f>IFERROR(VLOOKUP(A165,DataCoutRevenuAux!W:Y,2,FALSE),0)</f>
        <v>0</v>
      </c>
      <c r="X165" s="77">
        <f>IFERROR(VLOOKUP(A165,DataCoutRevenuAux!W:Y,3,FALSE),0)</f>
        <v>0</v>
      </c>
      <c r="Y165" s="77">
        <f t="shared" si="42"/>
        <v>0</v>
      </c>
      <c r="Z165" s="77">
        <f t="shared" si="43"/>
        <v>0</v>
      </c>
      <c r="AA165" s="77">
        <f t="shared" si="44"/>
        <v>0</v>
      </c>
      <c r="AB165" s="79"/>
      <c r="AC165" s="77">
        <f t="shared" si="45"/>
        <v>0</v>
      </c>
      <c r="AD165" s="77">
        <f t="shared" si="46"/>
        <v>0</v>
      </c>
      <c r="AE165" s="77">
        <f t="shared" si="47"/>
        <v>0</v>
      </c>
      <c r="AF165" s="79"/>
      <c r="AG165" s="6">
        <f t="shared" si="48"/>
        <v>0</v>
      </c>
      <c r="AH165" s="6">
        <f t="shared" si="49"/>
        <v>0</v>
      </c>
      <c r="AI165" s="6">
        <f t="shared" si="50"/>
        <v>0</v>
      </c>
    </row>
    <row r="166" spans="1:35" x14ac:dyDescent="0.3">
      <c r="A166" s="189">
        <f>DataDemande!U199</f>
        <v>0</v>
      </c>
      <c r="B166" s="189" t="str">
        <f t="shared" si="57"/>
        <v>0</v>
      </c>
      <c r="C166" s="189" t="str">
        <f t="shared" si="58"/>
        <v>0</v>
      </c>
      <c r="D166" s="189">
        <f>IFERROR(VLOOKUP(A166,DataCoutRevenuAux!M:Q,5,FALSE),0)</f>
        <v>0</v>
      </c>
      <c r="E166" s="189">
        <f>IFERROR(VLOOKUP(A166,DataDemande!U:Z,2,FALSE),0)</f>
        <v>0</v>
      </c>
      <c r="G166" s="77">
        <f>IFERROR(VLOOKUP(A166,DataDemande!U:Z,3,FALSE),0)</f>
        <v>0</v>
      </c>
      <c r="H166" s="77">
        <f>IFERROR(VLOOKUP($A166,DataDemande!$U:$Z,4,FALSE),0)</f>
        <v>0</v>
      </c>
      <c r="I166" s="77">
        <f>IFERROR(VLOOKUP($A166,DataDemande!$U:$Z,5,FALSE),0)</f>
        <v>0</v>
      </c>
      <c r="J166" s="77">
        <f>IFERROR(VLOOKUP($A166,DataDemande!$U:$Z,6,FALSE),0)</f>
        <v>0</v>
      </c>
      <c r="K166" s="79"/>
      <c r="L166" s="77">
        <f>IFERROR(VLOOKUP($A166,DataPrixBillets!$S:$W,2,FALSE),0)</f>
        <v>0</v>
      </c>
      <c r="M166" s="77">
        <f>IFERROR(VLOOKUP($A166,DataPrixBillets!$S:$W,3,FALSE),0)</f>
        <v>0</v>
      </c>
      <c r="N166" s="77">
        <f>IFERROR(VLOOKUP($A166,DataPrixBillets!$S:$W,4,FALSE),0)</f>
        <v>0</v>
      </c>
      <c r="O166" s="77">
        <f>IFERROR(VLOOKUP($A166,DataPrixBillets!$S:$W,5,FALSE),0)</f>
        <v>0</v>
      </c>
      <c r="P166" s="79"/>
      <c r="Q166" s="77">
        <f t="shared" ref="Q166:Q229" si="59">L166*G166</f>
        <v>0</v>
      </c>
      <c r="R166" s="77">
        <f t="shared" ref="R166:R229" si="60">M166*H166</f>
        <v>0</v>
      </c>
      <c r="S166" s="77">
        <f t="shared" ref="S166:S229" si="61">N166*I166</f>
        <v>0</v>
      </c>
      <c r="T166" s="77">
        <f t="shared" ref="T166:T229" si="62">O166*J166</f>
        <v>0</v>
      </c>
      <c r="U166" s="79"/>
      <c r="V166" s="77">
        <f t="shared" ref="V166:V229" si="63">(G166*L166+H166*M166+I166*N166+J166*O166)</f>
        <v>0</v>
      </c>
      <c r="W166" s="77">
        <f>IFERROR(VLOOKUP(A166,DataCoutRevenuAux!W:Y,2,FALSE),0)</f>
        <v>0</v>
      </c>
      <c r="X166" s="77">
        <f>IFERROR(VLOOKUP(A166,DataCoutRevenuAux!W:Y,3,FALSE),0)</f>
        <v>0</v>
      </c>
      <c r="Y166" s="77">
        <f t="shared" ref="Y166:Y229" si="64">V166+W166</f>
        <v>0</v>
      </c>
      <c r="Z166" s="77">
        <f t="shared" ref="Z166:Z229" si="65">Y166*(365/12)</f>
        <v>0</v>
      </c>
      <c r="AA166" s="77">
        <f t="shared" ref="AA166:AA229" si="66">Z166*12</f>
        <v>0</v>
      </c>
      <c r="AB166" s="79"/>
      <c r="AC166" s="77">
        <f t="shared" ref="AC166:AC229" si="67">V166+W166-X166</f>
        <v>0</v>
      </c>
      <c r="AD166" s="77">
        <f t="shared" ref="AD166:AD229" si="68">(AC166*365)/12</f>
        <v>0</v>
      </c>
      <c r="AE166" s="77">
        <f t="shared" ref="AE166:AE229" si="69">AD166*12</f>
        <v>0</v>
      </c>
      <c r="AF166" s="79"/>
      <c r="AG166" s="6">
        <f t="shared" ref="AG166:AG229" si="70">IFERROR(AE166/AA166,0)</f>
        <v>0</v>
      </c>
      <c r="AH166" s="6">
        <f t="shared" ref="AH166:AH229" si="71">IFERROR(W166/Y166,0)</f>
        <v>0</v>
      </c>
      <c r="AI166" s="6">
        <f t="shared" ref="AI166:AI229" si="72">IFERROR(X166/Y166,0)</f>
        <v>0</v>
      </c>
    </row>
    <row r="167" spans="1:35" x14ac:dyDescent="0.3">
      <c r="A167" s="189">
        <f>DataDemande!U200</f>
        <v>0</v>
      </c>
      <c r="B167" s="189" t="str">
        <f t="shared" si="57"/>
        <v>0</v>
      </c>
      <c r="C167" s="189" t="str">
        <f t="shared" si="58"/>
        <v>0</v>
      </c>
      <c r="D167" s="189">
        <f>IFERROR(VLOOKUP(A167,DataCoutRevenuAux!M:Q,5,FALSE),0)</f>
        <v>0</v>
      </c>
      <c r="E167" s="189">
        <f>IFERROR(VLOOKUP(A167,DataDemande!U:Z,2,FALSE),0)</f>
        <v>0</v>
      </c>
      <c r="G167" s="77">
        <f>IFERROR(VLOOKUP(A167,DataDemande!U:Z,3,FALSE),0)</f>
        <v>0</v>
      </c>
      <c r="H167" s="77">
        <f>IFERROR(VLOOKUP($A167,DataDemande!$U:$Z,4,FALSE),0)</f>
        <v>0</v>
      </c>
      <c r="I167" s="77">
        <f>IFERROR(VLOOKUP($A167,DataDemande!$U:$Z,5,FALSE),0)</f>
        <v>0</v>
      </c>
      <c r="J167" s="77">
        <f>IFERROR(VLOOKUP($A167,DataDemande!$U:$Z,6,FALSE),0)</f>
        <v>0</v>
      </c>
      <c r="K167" s="79"/>
      <c r="L167" s="77">
        <f>IFERROR(VLOOKUP($A167,DataPrixBillets!$S:$W,2,FALSE),0)</f>
        <v>0</v>
      </c>
      <c r="M167" s="77">
        <f>IFERROR(VLOOKUP($A167,DataPrixBillets!$S:$W,3,FALSE),0)</f>
        <v>0</v>
      </c>
      <c r="N167" s="77">
        <f>IFERROR(VLOOKUP($A167,DataPrixBillets!$S:$W,4,FALSE),0)</f>
        <v>0</v>
      </c>
      <c r="O167" s="77">
        <f>IFERROR(VLOOKUP($A167,DataPrixBillets!$S:$W,5,FALSE),0)</f>
        <v>0</v>
      </c>
      <c r="P167" s="79"/>
      <c r="Q167" s="77">
        <f t="shared" si="59"/>
        <v>0</v>
      </c>
      <c r="R167" s="77">
        <f t="shared" si="60"/>
        <v>0</v>
      </c>
      <c r="S167" s="77">
        <f t="shared" si="61"/>
        <v>0</v>
      </c>
      <c r="T167" s="77">
        <f t="shared" si="62"/>
        <v>0</v>
      </c>
      <c r="U167" s="79"/>
      <c r="V167" s="77">
        <f t="shared" si="63"/>
        <v>0</v>
      </c>
      <c r="W167" s="77">
        <f>IFERROR(VLOOKUP(A167,DataCoutRevenuAux!W:Y,2,FALSE),0)</f>
        <v>0</v>
      </c>
      <c r="X167" s="77">
        <f>IFERROR(VLOOKUP(A167,DataCoutRevenuAux!W:Y,3,FALSE),0)</f>
        <v>0</v>
      </c>
      <c r="Y167" s="77">
        <f t="shared" si="64"/>
        <v>0</v>
      </c>
      <c r="Z167" s="77">
        <f t="shared" si="65"/>
        <v>0</v>
      </c>
      <c r="AA167" s="77">
        <f t="shared" si="66"/>
        <v>0</v>
      </c>
      <c r="AB167" s="79"/>
      <c r="AC167" s="77">
        <f t="shared" si="67"/>
        <v>0</v>
      </c>
      <c r="AD167" s="77">
        <f t="shared" si="68"/>
        <v>0</v>
      </c>
      <c r="AE167" s="77">
        <f t="shared" si="69"/>
        <v>0</v>
      </c>
      <c r="AF167" s="79"/>
      <c r="AG167" s="6">
        <f t="shared" si="70"/>
        <v>0</v>
      </c>
      <c r="AH167" s="6">
        <f t="shared" si="71"/>
        <v>0</v>
      </c>
      <c r="AI167" s="6">
        <f t="shared" si="72"/>
        <v>0</v>
      </c>
    </row>
    <row r="168" spans="1:35" x14ac:dyDescent="0.3">
      <c r="A168" s="189">
        <f>DataDemande!U201</f>
        <v>0</v>
      </c>
      <c r="B168" s="189" t="str">
        <f t="shared" si="57"/>
        <v>0</v>
      </c>
      <c r="C168" s="189" t="str">
        <f t="shared" si="58"/>
        <v>0</v>
      </c>
      <c r="D168" s="189">
        <f>IFERROR(VLOOKUP(A168,DataCoutRevenuAux!M:Q,5,FALSE),0)</f>
        <v>0</v>
      </c>
      <c r="E168" s="189">
        <f>IFERROR(VLOOKUP(A168,DataDemande!U:Z,2,FALSE),0)</f>
        <v>0</v>
      </c>
      <c r="G168" s="77">
        <f>IFERROR(VLOOKUP(A168,DataDemande!U:Z,3,FALSE),0)</f>
        <v>0</v>
      </c>
      <c r="H168" s="77">
        <f>IFERROR(VLOOKUP($A168,DataDemande!$U:$Z,4,FALSE),0)</f>
        <v>0</v>
      </c>
      <c r="I168" s="77">
        <f>IFERROR(VLOOKUP($A168,DataDemande!$U:$Z,5,FALSE),0)</f>
        <v>0</v>
      </c>
      <c r="J168" s="77">
        <f>IFERROR(VLOOKUP($A168,DataDemande!$U:$Z,6,FALSE),0)</f>
        <v>0</v>
      </c>
      <c r="K168" s="79"/>
      <c r="L168" s="77">
        <f>IFERROR(VLOOKUP($A168,DataPrixBillets!$S:$W,2,FALSE),0)</f>
        <v>0</v>
      </c>
      <c r="M168" s="77">
        <f>IFERROR(VLOOKUP($A168,DataPrixBillets!$S:$W,3,FALSE),0)</f>
        <v>0</v>
      </c>
      <c r="N168" s="77">
        <f>IFERROR(VLOOKUP($A168,DataPrixBillets!$S:$W,4,FALSE),0)</f>
        <v>0</v>
      </c>
      <c r="O168" s="77">
        <f>IFERROR(VLOOKUP($A168,DataPrixBillets!$S:$W,5,FALSE),0)</f>
        <v>0</v>
      </c>
      <c r="P168" s="79"/>
      <c r="Q168" s="77">
        <f t="shared" si="59"/>
        <v>0</v>
      </c>
      <c r="R168" s="77">
        <f t="shared" si="60"/>
        <v>0</v>
      </c>
      <c r="S168" s="77">
        <f t="shared" si="61"/>
        <v>0</v>
      </c>
      <c r="T168" s="77">
        <f t="shared" si="62"/>
        <v>0</v>
      </c>
      <c r="U168" s="79"/>
      <c r="V168" s="77">
        <f t="shared" si="63"/>
        <v>0</v>
      </c>
      <c r="W168" s="77">
        <f>IFERROR(VLOOKUP(A168,DataCoutRevenuAux!W:Y,2,FALSE),0)</f>
        <v>0</v>
      </c>
      <c r="X168" s="77">
        <f>IFERROR(VLOOKUP(A168,DataCoutRevenuAux!W:Y,3,FALSE),0)</f>
        <v>0</v>
      </c>
      <c r="Y168" s="77">
        <f t="shared" si="64"/>
        <v>0</v>
      </c>
      <c r="Z168" s="77">
        <f t="shared" si="65"/>
        <v>0</v>
      </c>
      <c r="AA168" s="77">
        <f t="shared" si="66"/>
        <v>0</v>
      </c>
      <c r="AB168" s="79"/>
      <c r="AC168" s="77">
        <f t="shared" si="67"/>
        <v>0</v>
      </c>
      <c r="AD168" s="77">
        <f t="shared" si="68"/>
        <v>0</v>
      </c>
      <c r="AE168" s="77">
        <f t="shared" si="69"/>
        <v>0</v>
      </c>
      <c r="AF168" s="79"/>
      <c r="AG168" s="6">
        <f t="shared" si="70"/>
        <v>0</v>
      </c>
      <c r="AH168" s="6">
        <f t="shared" si="71"/>
        <v>0</v>
      </c>
      <c r="AI168" s="6">
        <f t="shared" si="72"/>
        <v>0</v>
      </c>
    </row>
    <row r="169" spans="1:35" x14ac:dyDescent="0.3">
      <c r="A169" s="189">
        <f>DataDemande!U202</f>
        <v>0</v>
      </c>
      <c r="B169" s="189" t="str">
        <f t="shared" si="57"/>
        <v>0</v>
      </c>
      <c r="C169" s="189" t="str">
        <f t="shared" si="58"/>
        <v>0</v>
      </c>
      <c r="D169" s="189">
        <f>IFERROR(VLOOKUP(A169,DataCoutRevenuAux!M:Q,5,FALSE),0)</f>
        <v>0</v>
      </c>
      <c r="E169" s="189">
        <f>IFERROR(VLOOKUP(A169,DataDemande!U:Z,2,FALSE),0)</f>
        <v>0</v>
      </c>
      <c r="G169" s="77">
        <f>IFERROR(VLOOKUP(A169,DataDemande!U:Z,3,FALSE),0)</f>
        <v>0</v>
      </c>
      <c r="H169" s="77">
        <f>IFERROR(VLOOKUP($A169,DataDemande!$U:$Z,4,FALSE),0)</f>
        <v>0</v>
      </c>
      <c r="I169" s="77">
        <f>IFERROR(VLOOKUP($A169,DataDemande!$U:$Z,5,FALSE),0)</f>
        <v>0</v>
      </c>
      <c r="J169" s="77">
        <f>IFERROR(VLOOKUP($A169,DataDemande!$U:$Z,6,FALSE),0)</f>
        <v>0</v>
      </c>
      <c r="K169" s="79"/>
      <c r="L169" s="77">
        <f>IFERROR(VLOOKUP($A169,DataPrixBillets!$S:$W,2,FALSE),0)</f>
        <v>0</v>
      </c>
      <c r="M169" s="77">
        <f>IFERROR(VLOOKUP($A169,DataPrixBillets!$S:$W,3,FALSE),0)</f>
        <v>0</v>
      </c>
      <c r="N169" s="77">
        <f>IFERROR(VLOOKUP($A169,DataPrixBillets!$S:$W,4,FALSE),0)</f>
        <v>0</v>
      </c>
      <c r="O169" s="77">
        <f>IFERROR(VLOOKUP($A169,DataPrixBillets!$S:$W,5,FALSE),0)</f>
        <v>0</v>
      </c>
      <c r="P169" s="79"/>
      <c r="Q169" s="77">
        <f t="shared" si="59"/>
        <v>0</v>
      </c>
      <c r="R169" s="77">
        <f t="shared" si="60"/>
        <v>0</v>
      </c>
      <c r="S169" s="77">
        <f t="shared" si="61"/>
        <v>0</v>
      </c>
      <c r="T169" s="77">
        <f t="shared" si="62"/>
        <v>0</v>
      </c>
      <c r="U169" s="79"/>
      <c r="V169" s="77">
        <f t="shared" si="63"/>
        <v>0</v>
      </c>
      <c r="W169" s="77">
        <f>IFERROR(VLOOKUP(A169,DataCoutRevenuAux!W:Y,2,FALSE),0)</f>
        <v>0</v>
      </c>
      <c r="X169" s="77">
        <f>IFERROR(VLOOKUP(A169,DataCoutRevenuAux!W:Y,3,FALSE),0)</f>
        <v>0</v>
      </c>
      <c r="Y169" s="77">
        <f t="shared" si="64"/>
        <v>0</v>
      </c>
      <c r="Z169" s="77">
        <f t="shared" si="65"/>
        <v>0</v>
      </c>
      <c r="AA169" s="77">
        <f t="shared" si="66"/>
        <v>0</v>
      </c>
      <c r="AB169" s="79"/>
      <c r="AC169" s="77">
        <f t="shared" si="67"/>
        <v>0</v>
      </c>
      <c r="AD169" s="77">
        <f t="shared" si="68"/>
        <v>0</v>
      </c>
      <c r="AE169" s="77">
        <f t="shared" si="69"/>
        <v>0</v>
      </c>
      <c r="AF169" s="79"/>
      <c r="AG169" s="6">
        <f t="shared" si="70"/>
        <v>0</v>
      </c>
      <c r="AH169" s="6">
        <f t="shared" si="71"/>
        <v>0</v>
      </c>
      <c r="AI169" s="6">
        <f t="shared" si="72"/>
        <v>0</v>
      </c>
    </row>
    <row r="170" spans="1:35" x14ac:dyDescent="0.3">
      <c r="A170" s="189">
        <f>DataDemande!U203</f>
        <v>0</v>
      </c>
      <c r="B170" s="189" t="str">
        <f t="shared" si="57"/>
        <v>0</v>
      </c>
      <c r="C170" s="189" t="str">
        <f t="shared" si="58"/>
        <v>0</v>
      </c>
      <c r="D170" s="189">
        <f>IFERROR(VLOOKUP(A170,DataCoutRevenuAux!M:Q,5,FALSE),0)</f>
        <v>0</v>
      </c>
      <c r="E170" s="189">
        <f>IFERROR(VLOOKUP(A170,DataDemande!U:Z,2,FALSE),0)</f>
        <v>0</v>
      </c>
      <c r="G170" s="77">
        <f>IFERROR(VLOOKUP(A170,DataDemande!U:Z,3,FALSE),0)</f>
        <v>0</v>
      </c>
      <c r="H170" s="77">
        <f>IFERROR(VLOOKUP($A170,DataDemande!$U:$Z,4,FALSE),0)</f>
        <v>0</v>
      </c>
      <c r="I170" s="77">
        <f>IFERROR(VLOOKUP($A170,DataDemande!$U:$Z,5,FALSE),0)</f>
        <v>0</v>
      </c>
      <c r="J170" s="77">
        <f>IFERROR(VLOOKUP($A170,DataDemande!$U:$Z,6,FALSE),0)</f>
        <v>0</v>
      </c>
      <c r="K170" s="79"/>
      <c r="L170" s="77">
        <f>IFERROR(VLOOKUP($A170,DataPrixBillets!$S:$W,2,FALSE),0)</f>
        <v>0</v>
      </c>
      <c r="M170" s="77">
        <f>IFERROR(VLOOKUP($A170,DataPrixBillets!$S:$W,3,FALSE),0)</f>
        <v>0</v>
      </c>
      <c r="N170" s="77">
        <f>IFERROR(VLOOKUP($A170,DataPrixBillets!$S:$W,4,FALSE),0)</f>
        <v>0</v>
      </c>
      <c r="O170" s="77">
        <f>IFERROR(VLOOKUP($A170,DataPrixBillets!$S:$W,5,FALSE),0)</f>
        <v>0</v>
      </c>
      <c r="P170" s="79"/>
      <c r="Q170" s="77">
        <f t="shared" si="59"/>
        <v>0</v>
      </c>
      <c r="R170" s="77">
        <f t="shared" si="60"/>
        <v>0</v>
      </c>
      <c r="S170" s="77">
        <f t="shared" si="61"/>
        <v>0</v>
      </c>
      <c r="T170" s="77">
        <f t="shared" si="62"/>
        <v>0</v>
      </c>
      <c r="U170" s="79"/>
      <c r="V170" s="77">
        <f t="shared" si="63"/>
        <v>0</v>
      </c>
      <c r="W170" s="77">
        <f>IFERROR(VLOOKUP(A170,DataCoutRevenuAux!W:Y,2,FALSE),0)</f>
        <v>0</v>
      </c>
      <c r="X170" s="77">
        <f>IFERROR(VLOOKUP(A170,DataCoutRevenuAux!W:Y,3,FALSE),0)</f>
        <v>0</v>
      </c>
      <c r="Y170" s="77">
        <f t="shared" si="64"/>
        <v>0</v>
      </c>
      <c r="Z170" s="77">
        <f t="shared" si="65"/>
        <v>0</v>
      </c>
      <c r="AA170" s="77">
        <f t="shared" si="66"/>
        <v>0</v>
      </c>
      <c r="AB170" s="79"/>
      <c r="AC170" s="77">
        <f t="shared" si="67"/>
        <v>0</v>
      </c>
      <c r="AD170" s="77">
        <f t="shared" si="68"/>
        <v>0</v>
      </c>
      <c r="AE170" s="77">
        <f t="shared" si="69"/>
        <v>0</v>
      </c>
      <c r="AF170" s="79"/>
      <c r="AG170" s="6">
        <f t="shared" si="70"/>
        <v>0</v>
      </c>
      <c r="AH170" s="6">
        <f t="shared" si="71"/>
        <v>0</v>
      </c>
      <c r="AI170" s="6">
        <f t="shared" si="72"/>
        <v>0</v>
      </c>
    </row>
    <row r="171" spans="1:35" x14ac:dyDescent="0.3">
      <c r="A171" s="189">
        <f>DataDemande!U204</f>
        <v>0</v>
      </c>
      <c r="B171" s="189" t="str">
        <f t="shared" si="57"/>
        <v>0</v>
      </c>
      <c r="C171" s="189" t="str">
        <f t="shared" si="58"/>
        <v>0</v>
      </c>
      <c r="D171" s="189">
        <f>IFERROR(VLOOKUP(A171,DataCoutRevenuAux!M:Q,5,FALSE),0)</f>
        <v>0</v>
      </c>
      <c r="E171" s="189">
        <f>IFERROR(VLOOKUP(A171,DataDemande!U:Z,2,FALSE),0)</f>
        <v>0</v>
      </c>
      <c r="G171" s="77">
        <f>IFERROR(VLOOKUP(A171,DataDemande!U:Z,3,FALSE),0)</f>
        <v>0</v>
      </c>
      <c r="H171" s="77">
        <f>IFERROR(VLOOKUP($A171,DataDemande!$U:$Z,4,FALSE),0)</f>
        <v>0</v>
      </c>
      <c r="I171" s="77">
        <f>IFERROR(VLOOKUP($A171,DataDemande!$U:$Z,5,FALSE),0)</f>
        <v>0</v>
      </c>
      <c r="J171" s="77">
        <f>IFERROR(VLOOKUP($A171,DataDemande!$U:$Z,6,FALSE),0)</f>
        <v>0</v>
      </c>
      <c r="K171" s="79"/>
      <c r="L171" s="77">
        <f>IFERROR(VLOOKUP($A171,DataPrixBillets!$S:$W,2,FALSE),0)</f>
        <v>0</v>
      </c>
      <c r="M171" s="77">
        <f>IFERROR(VLOOKUP($A171,DataPrixBillets!$S:$W,3,FALSE),0)</f>
        <v>0</v>
      </c>
      <c r="N171" s="77">
        <f>IFERROR(VLOOKUP($A171,DataPrixBillets!$S:$W,4,FALSE),0)</f>
        <v>0</v>
      </c>
      <c r="O171" s="77">
        <f>IFERROR(VLOOKUP($A171,DataPrixBillets!$S:$W,5,FALSE),0)</f>
        <v>0</v>
      </c>
      <c r="P171" s="79"/>
      <c r="Q171" s="77">
        <f t="shared" si="59"/>
        <v>0</v>
      </c>
      <c r="R171" s="77">
        <f t="shared" si="60"/>
        <v>0</v>
      </c>
      <c r="S171" s="77">
        <f t="shared" si="61"/>
        <v>0</v>
      </c>
      <c r="T171" s="77">
        <f t="shared" si="62"/>
        <v>0</v>
      </c>
      <c r="U171" s="79"/>
      <c r="V171" s="77">
        <f t="shared" si="63"/>
        <v>0</v>
      </c>
      <c r="W171" s="77">
        <f>IFERROR(VLOOKUP(A171,DataCoutRevenuAux!W:Y,2,FALSE),0)</f>
        <v>0</v>
      </c>
      <c r="X171" s="77">
        <f>IFERROR(VLOOKUP(A171,DataCoutRevenuAux!W:Y,3,FALSE),0)</f>
        <v>0</v>
      </c>
      <c r="Y171" s="77">
        <f t="shared" si="64"/>
        <v>0</v>
      </c>
      <c r="Z171" s="77">
        <f t="shared" si="65"/>
        <v>0</v>
      </c>
      <c r="AA171" s="77">
        <f t="shared" si="66"/>
        <v>0</v>
      </c>
      <c r="AB171" s="79"/>
      <c r="AC171" s="77">
        <f t="shared" si="67"/>
        <v>0</v>
      </c>
      <c r="AD171" s="77">
        <f t="shared" si="68"/>
        <v>0</v>
      </c>
      <c r="AE171" s="77">
        <f t="shared" si="69"/>
        <v>0</v>
      </c>
      <c r="AF171" s="79"/>
      <c r="AG171" s="6">
        <f t="shared" si="70"/>
        <v>0</v>
      </c>
      <c r="AH171" s="6">
        <f t="shared" si="71"/>
        <v>0</v>
      </c>
      <c r="AI171" s="6">
        <f t="shared" si="72"/>
        <v>0</v>
      </c>
    </row>
    <row r="172" spans="1:35" x14ac:dyDescent="0.3">
      <c r="A172" s="189">
        <f>DataDemande!U205</f>
        <v>0</v>
      </c>
      <c r="B172" s="189" t="str">
        <f t="shared" si="57"/>
        <v>0</v>
      </c>
      <c r="C172" s="189" t="str">
        <f t="shared" si="58"/>
        <v>0</v>
      </c>
      <c r="D172" s="189">
        <f>IFERROR(VLOOKUP(A172,DataCoutRevenuAux!M:Q,5,FALSE),0)</f>
        <v>0</v>
      </c>
      <c r="E172" s="189">
        <f>IFERROR(VLOOKUP(A172,DataDemande!U:Z,2,FALSE),0)</f>
        <v>0</v>
      </c>
      <c r="G172" s="77">
        <f>IFERROR(VLOOKUP(A172,DataDemande!U:Z,3,FALSE),0)</f>
        <v>0</v>
      </c>
      <c r="H172" s="77">
        <f>IFERROR(VLOOKUP($A172,DataDemande!$U:$Z,4,FALSE),0)</f>
        <v>0</v>
      </c>
      <c r="I172" s="77">
        <f>IFERROR(VLOOKUP($A172,DataDemande!$U:$Z,5,FALSE),0)</f>
        <v>0</v>
      </c>
      <c r="J172" s="77">
        <f>IFERROR(VLOOKUP($A172,DataDemande!$U:$Z,6,FALSE),0)</f>
        <v>0</v>
      </c>
      <c r="K172" s="79"/>
      <c r="L172" s="77">
        <f>IFERROR(VLOOKUP($A172,DataPrixBillets!$S:$W,2,FALSE),0)</f>
        <v>0</v>
      </c>
      <c r="M172" s="77">
        <f>IFERROR(VLOOKUP($A172,DataPrixBillets!$S:$W,3,FALSE),0)</f>
        <v>0</v>
      </c>
      <c r="N172" s="77">
        <f>IFERROR(VLOOKUP($A172,DataPrixBillets!$S:$W,4,FALSE),0)</f>
        <v>0</v>
      </c>
      <c r="O172" s="77">
        <f>IFERROR(VLOOKUP($A172,DataPrixBillets!$S:$W,5,FALSE),0)</f>
        <v>0</v>
      </c>
      <c r="P172" s="79"/>
      <c r="Q172" s="77">
        <f t="shared" si="59"/>
        <v>0</v>
      </c>
      <c r="R172" s="77">
        <f t="shared" si="60"/>
        <v>0</v>
      </c>
      <c r="S172" s="77">
        <f t="shared" si="61"/>
        <v>0</v>
      </c>
      <c r="T172" s="77">
        <f t="shared" si="62"/>
        <v>0</v>
      </c>
      <c r="U172" s="79"/>
      <c r="V172" s="77">
        <f t="shared" si="63"/>
        <v>0</v>
      </c>
      <c r="W172" s="77">
        <f>IFERROR(VLOOKUP(A172,DataCoutRevenuAux!W:Y,2,FALSE),0)</f>
        <v>0</v>
      </c>
      <c r="X172" s="77">
        <f>IFERROR(VLOOKUP(A172,DataCoutRevenuAux!W:Y,3,FALSE),0)</f>
        <v>0</v>
      </c>
      <c r="Y172" s="77">
        <f t="shared" si="64"/>
        <v>0</v>
      </c>
      <c r="Z172" s="77">
        <f t="shared" si="65"/>
        <v>0</v>
      </c>
      <c r="AA172" s="77">
        <f t="shared" si="66"/>
        <v>0</v>
      </c>
      <c r="AB172" s="79"/>
      <c r="AC172" s="77">
        <f t="shared" si="67"/>
        <v>0</v>
      </c>
      <c r="AD172" s="77">
        <f t="shared" si="68"/>
        <v>0</v>
      </c>
      <c r="AE172" s="77">
        <f t="shared" si="69"/>
        <v>0</v>
      </c>
      <c r="AF172" s="79"/>
      <c r="AG172" s="6">
        <f t="shared" si="70"/>
        <v>0</v>
      </c>
      <c r="AH172" s="6">
        <f t="shared" si="71"/>
        <v>0</v>
      </c>
      <c r="AI172" s="6">
        <f t="shared" si="72"/>
        <v>0</v>
      </c>
    </row>
    <row r="173" spans="1:35" x14ac:dyDescent="0.3">
      <c r="A173" s="189">
        <f>DataDemande!U206</f>
        <v>0</v>
      </c>
      <c r="B173" s="189" t="str">
        <f t="shared" si="57"/>
        <v>0</v>
      </c>
      <c r="C173" s="189" t="str">
        <f t="shared" si="58"/>
        <v>0</v>
      </c>
      <c r="D173" s="189">
        <f>IFERROR(VLOOKUP(A173,DataCoutRevenuAux!M:Q,5,FALSE),0)</f>
        <v>0</v>
      </c>
      <c r="E173" s="189">
        <f>IFERROR(VLOOKUP(A173,DataDemande!U:Z,2,FALSE),0)</f>
        <v>0</v>
      </c>
      <c r="G173" s="77">
        <f>IFERROR(VLOOKUP(A173,DataDemande!U:Z,3,FALSE),0)</f>
        <v>0</v>
      </c>
      <c r="H173" s="77">
        <f>IFERROR(VLOOKUP($A173,DataDemande!$U:$Z,4,FALSE),0)</f>
        <v>0</v>
      </c>
      <c r="I173" s="77">
        <f>IFERROR(VLOOKUP($A173,DataDemande!$U:$Z,5,FALSE),0)</f>
        <v>0</v>
      </c>
      <c r="J173" s="77">
        <f>IFERROR(VLOOKUP($A173,DataDemande!$U:$Z,6,FALSE),0)</f>
        <v>0</v>
      </c>
      <c r="K173" s="79"/>
      <c r="L173" s="77">
        <f>IFERROR(VLOOKUP($A173,DataPrixBillets!$S:$W,2,FALSE),0)</f>
        <v>0</v>
      </c>
      <c r="M173" s="77">
        <f>IFERROR(VLOOKUP($A173,DataPrixBillets!$S:$W,3,FALSE),0)</f>
        <v>0</v>
      </c>
      <c r="N173" s="77">
        <f>IFERROR(VLOOKUP($A173,DataPrixBillets!$S:$W,4,FALSE),0)</f>
        <v>0</v>
      </c>
      <c r="O173" s="77">
        <f>IFERROR(VLOOKUP($A173,DataPrixBillets!$S:$W,5,FALSE),0)</f>
        <v>0</v>
      </c>
      <c r="P173" s="79"/>
      <c r="Q173" s="77">
        <f t="shared" si="59"/>
        <v>0</v>
      </c>
      <c r="R173" s="77">
        <f t="shared" si="60"/>
        <v>0</v>
      </c>
      <c r="S173" s="77">
        <f t="shared" si="61"/>
        <v>0</v>
      </c>
      <c r="T173" s="77">
        <f t="shared" si="62"/>
        <v>0</v>
      </c>
      <c r="U173" s="79"/>
      <c r="V173" s="77">
        <f t="shared" si="63"/>
        <v>0</v>
      </c>
      <c r="W173" s="77">
        <f>IFERROR(VLOOKUP(A173,DataCoutRevenuAux!W:Y,2,FALSE),0)</f>
        <v>0</v>
      </c>
      <c r="X173" s="77">
        <f>IFERROR(VLOOKUP(A173,DataCoutRevenuAux!W:Y,3,FALSE),0)</f>
        <v>0</v>
      </c>
      <c r="Y173" s="77">
        <f t="shared" si="64"/>
        <v>0</v>
      </c>
      <c r="Z173" s="77">
        <f t="shared" si="65"/>
        <v>0</v>
      </c>
      <c r="AA173" s="77">
        <f t="shared" si="66"/>
        <v>0</v>
      </c>
      <c r="AB173" s="79"/>
      <c r="AC173" s="77">
        <f t="shared" si="67"/>
        <v>0</v>
      </c>
      <c r="AD173" s="77">
        <f t="shared" si="68"/>
        <v>0</v>
      </c>
      <c r="AE173" s="77">
        <f t="shared" si="69"/>
        <v>0</v>
      </c>
      <c r="AF173" s="79"/>
      <c r="AG173" s="6">
        <f t="shared" si="70"/>
        <v>0</v>
      </c>
      <c r="AH173" s="6">
        <f t="shared" si="71"/>
        <v>0</v>
      </c>
      <c r="AI173" s="6">
        <f t="shared" si="72"/>
        <v>0</v>
      </c>
    </row>
    <row r="174" spans="1:35" x14ac:dyDescent="0.3">
      <c r="A174" s="189">
        <f>DataDemande!U207</f>
        <v>0</v>
      </c>
      <c r="B174" s="189" t="str">
        <f t="shared" si="57"/>
        <v>0</v>
      </c>
      <c r="C174" s="189" t="str">
        <f t="shared" si="58"/>
        <v>0</v>
      </c>
      <c r="D174" s="189">
        <f>IFERROR(VLOOKUP(A174,DataCoutRevenuAux!M:Q,5,FALSE),0)</f>
        <v>0</v>
      </c>
      <c r="E174" s="189">
        <f>IFERROR(VLOOKUP(A174,DataDemande!U:Z,2,FALSE),0)</f>
        <v>0</v>
      </c>
      <c r="G174" s="77">
        <f>IFERROR(VLOOKUP(A174,DataDemande!U:Z,3,FALSE),0)</f>
        <v>0</v>
      </c>
      <c r="H174" s="77">
        <f>IFERROR(VLOOKUP($A174,DataDemande!$U:$Z,4,FALSE),0)</f>
        <v>0</v>
      </c>
      <c r="I174" s="77">
        <f>IFERROR(VLOOKUP($A174,DataDemande!$U:$Z,5,FALSE),0)</f>
        <v>0</v>
      </c>
      <c r="J174" s="77">
        <f>IFERROR(VLOOKUP($A174,DataDemande!$U:$Z,6,FALSE),0)</f>
        <v>0</v>
      </c>
      <c r="K174" s="79"/>
      <c r="L174" s="77">
        <f>IFERROR(VLOOKUP($A174,DataPrixBillets!$S:$W,2,FALSE),0)</f>
        <v>0</v>
      </c>
      <c r="M174" s="77">
        <f>IFERROR(VLOOKUP($A174,DataPrixBillets!$S:$W,3,FALSE),0)</f>
        <v>0</v>
      </c>
      <c r="N174" s="77">
        <f>IFERROR(VLOOKUP($A174,DataPrixBillets!$S:$W,4,FALSE),0)</f>
        <v>0</v>
      </c>
      <c r="O174" s="77">
        <f>IFERROR(VLOOKUP($A174,DataPrixBillets!$S:$W,5,FALSE),0)</f>
        <v>0</v>
      </c>
      <c r="P174" s="79"/>
      <c r="Q174" s="77">
        <f t="shared" si="59"/>
        <v>0</v>
      </c>
      <c r="R174" s="77">
        <f t="shared" si="60"/>
        <v>0</v>
      </c>
      <c r="S174" s="77">
        <f t="shared" si="61"/>
        <v>0</v>
      </c>
      <c r="T174" s="77">
        <f t="shared" si="62"/>
        <v>0</v>
      </c>
      <c r="U174" s="79"/>
      <c r="V174" s="77">
        <f t="shared" si="63"/>
        <v>0</v>
      </c>
      <c r="W174" s="77">
        <f>IFERROR(VLOOKUP(A174,DataCoutRevenuAux!W:Y,2,FALSE),0)</f>
        <v>0</v>
      </c>
      <c r="X174" s="77">
        <f>IFERROR(VLOOKUP(A174,DataCoutRevenuAux!W:Y,3,FALSE),0)</f>
        <v>0</v>
      </c>
      <c r="Y174" s="77">
        <f t="shared" si="64"/>
        <v>0</v>
      </c>
      <c r="Z174" s="77">
        <f t="shared" si="65"/>
        <v>0</v>
      </c>
      <c r="AA174" s="77">
        <f t="shared" si="66"/>
        <v>0</v>
      </c>
      <c r="AB174" s="79"/>
      <c r="AC174" s="77">
        <f t="shared" si="67"/>
        <v>0</v>
      </c>
      <c r="AD174" s="77">
        <f t="shared" si="68"/>
        <v>0</v>
      </c>
      <c r="AE174" s="77">
        <f t="shared" si="69"/>
        <v>0</v>
      </c>
      <c r="AF174" s="79"/>
      <c r="AG174" s="6">
        <f t="shared" si="70"/>
        <v>0</v>
      </c>
      <c r="AH174" s="6">
        <f t="shared" si="71"/>
        <v>0</v>
      </c>
      <c r="AI174" s="6">
        <f t="shared" si="72"/>
        <v>0</v>
      </c>
    </row>
    <row r="175" spans="1:35" x14ac:dyDescent="0.3">
      <c r="A175" s="189">
        <f>DataDemande!U208</f>
        <v>0</v>
      </c>
      <c r="B175" s="189" t="str">
        <f t="shared" si="57"/>
        <v>0</v>
      </c>
      <c r="C175" s="189" t="str">
        <f t="shared" si="58"/>
        <v>0</v>
      </c>
      <c r="D175" s="189">
        <f>IFERROR(VLOOKUP(A175,DataCoutRevenuAux!M:Q,5,FALSE),0)</f>
        <v>0</v>
      </c>
      <c r="E175" s="189">
        <f>IFERROR(VLOOKUP(A175,DataDemande!U:Z,2,FALSE),0)</f>
        <v>0</v>
      </c>
      <c r="G175" s="77">
        <f>IFERROR(VLOOKUP(A175,DataDemande!U:Z,3,FALSE),0)</f>
        <v>0</v>
      </c>
      <c r="H175" s="77">
        <f>IFERROR(VLOOKUP($A175,DataDemande!$U:$Z,4,FALSE),0)</f>
        <v>0</v>
      </c>
      <c r="I175" s="77">
        <f>IFERROR(VLOOKUP($A175,DataDemande!$U:$Z,5,FALSE),0)</f>
        <v>0</v>
      </c>
      <c r="J175" s="77">
        <f>IFERROR(VLOOKUP($A175,DataDemande!$U:$Z,6,FALSE),0)</f>
        <v>0</v>
      </c>
      <c r="K175" s="79"/>
      <c r="L175" s="77">
        <f>IFERROR(VLOOKUP($A175,DataPrixBillets!$S:$W,2,FALSE),0)</f>
        <v>0</v>
      </c>
      <c r="M175" s="77">
        <f>IFERROR(VLOOKUP($A175,DataPrixBillets!$S:$W,3,FALSE),0)</f>
        <v>0</v>
      </c>
      <c r="N175" s="77">
        <f>IFERROR(VLOOKUP($A175,DataPrixBillets!$S:$W,4,FALSE),0)</f>
        <v>0</v>
      </c>
      <c r="O175" s="77">
        <f>IFERROR(VLOOKUP($A175,DataPrixBillets!$S:$W,5,FALSE),0)</f>
        <v>0</v>
      </c>
      <c r="P175" s="79"/>
      <c r="Q175" s="77">
        <f t="shared" si="59"/>
        <v>0</v>
      </c>
      <c r="R175" s="77">
        <f t="shared" si="60"/>
        <v>0</v>
      </c>
      <c r="S175" s="77">
        <f t="shared" si="61"/>
        <v>0</v>
      </c>
      <c r="T175" s="77">
        <f t="shared" si="62"/>
        <v>0</v>
      </c>
      <c r="U175" s="79"/>
      <c r="V175" s="77">
        <f t="shared" si="63"/>
        <v>0</v>
      </c>
      <c r="W175" s="77">
        <f>IFERROR(VLOOKUP(A175,DataCoutRevenuAux!W:Y,2,FALSE),0)</f>
        <v>0</v>
      </c>
      <c r="X175" s="77">
        <f>IFERROR(VLOOKUP(A175,DataCoutRevenuAux!W:Y,3,FALSE),0)</f>
        <v>0</v>
      </c>
      <c r="Y175" s="77">
        <f t="shared" si="64"/>
        <v>0</v>
      </c>
      <c r="Z175" s="77">
        <f t="shared" si="65"/>
        <v>0</v>
      </c>
      <c r="AA175" s="77">
        <f t="shared" si="66"/>
        <v>0</v>
      </c>
      <c r="AB175" s="79"/>
      <c r="AC175" s="77">
        <f t="shared" si="67"/>
        <v>0</v>
      </c>
      <c r="AD175" s="77">
        <f t="shared" si="68"/>
        <v>0</v>
      </c>
      <c r="AE175" s="77">
        <f t="shared" si="69"/>
        <v>0</v>
      </c>
      <c r="AF175" s="79"/>
      <c r="AG175" s="6">
        <f t="shared" si="70"/>
        <v>0</v>
      </c>
      <c r="AH175" s="6">
        <f t="shared" si="71"/>
        <v>0</v>
      </c>
      <c r="AI175" s="6">
        <f t="shared" si="72"/>
        <v>0</v>
      </c>
    </row>
    <row r="176" spans="1:35" x14ac:dyDescent="0.3">
      <c r="A176" s="189">
        <f>DataDemande!U209</f>
        <v>0</v>
      </c>
      <c r="B176" s="189" t="str">
        <f t="shared" si="57"/>
        <v>0</v>
      </c>
      <c r="C176" s="189" t="str">
        <f t="shared" si="58"/>
        <v>0</v>
      </c>
      <c r="D176" s="189">
        <f>IFERROR(VLOOKUP(A176,DataCoutRevenuAux!M:Q,5,FALSE),0)</f>
        <v>0</v>
      </c>
      <c r="E176" s="189">
        <f>IFERROR(VLOOKUP(A176,DataDemande!U:Z,2,FALSE),0)</f>
        <v>0</v>
      </c>
      <c r="G176" s="77">
        <f>IFERROR(VLOOKUP(A176,DataDemande!U:Z,3,FALSE),0)</f>
        <v>0</v>
      </c>
      <c r="H176" s="77">
        <f>IFERROR(VLOOKUP($A176,DataDemande!$U:$Z,4,FALSE),0)</f>
        <v>0</v>
      </c>
      <c r="I176" s="77">
        <f>IFERROR(VLOOKUP($A176,DataDemande!$U:$Z,5,FALSE),0)</f>
        <v>0</v>
      </c>
      <c r="J176" s="77">
        <f>IFERROR(VLOOKUP($A176,DataDemande!$U:$Z,6,FALSE),0)</f>
        <v>0</v>
      </c>
      <c r="K176" s="79"/>
      <c r="L176" s="77">
        <f>IFERROR(VLOOKUP($A176,DataPrixBillets!$S:$W,2,FALSE),0)</f>
        <v>0</v>
      </c>
      <c r="M176" s="77">
        <f>IFERROR(VLOOKUP($A176,DataPrixBillets!$S:$W,3,FALSE),0)</f>
        <v>0</v>
      </c>
      <c r="N176" s="77">
        <f>IFERROR(VLOOKUP($A176,DataPrixBillets!$S:$W,4,FALSE),0)</f>
        <v>0</v>
      </c>
      <c r="O176" s="77">
        <f>IFERROR(VLOOKUP($A176,DataPrixBillets!$S:$W,5,FALSE),0)</f>
        <v>0</v>
      </c>
      <c r="P176" s="79"/>
      <c r="Q176" s="77">
        <f t="shared" si="59"/>
        <v>0</v>
      </c>
      <c r="R176" s="77">
        <f t="shared" si="60"/>
        <v>0</v>
      </c>
      <c r="S176" s="77">
        <f t="shared" si="61"/>
        <v>0</v>
      </c>
      <c r="T176" s="77">
        <f t="shared" si="62"/>
        <v>0</v>
      </c>
      <c r="U176" s="79"/>
      <c r="V176" s="77">
        <f t="shared" si="63"/>
        <v>0</v>
      </c>
      <c r="W176" s="77">
        <f>IFERROR(VLOOKUP(A176,DataCoutRevenuAux!W:Y,2,FALSE),0)</f>
        <v>0</v>
      </c>
      <c r="X176" s="77">
        <f>IFERROR(VLOOKUP(A176,DataCoutRevenuAux!W:Y,3,FALSE),0)</f>
        <v>0</v>
      </c>
      <c r="Y176" s="77">
        <f t="shared" si="64"/>
        <v>0</v>
      </c>
      <c r="Z176" s="77">
        <f t="shared" si="65"/>
        <v>0</v>
      </c>
      <c r="AA176" s="77">
        <f t="shared" si="66"/>
        <v>0</v>
      </c>
      <c r="AB176" s="79"/>
      <c r="AC176" s="77">
        <f t="shared" si="67"/>
        <v>0</v>
      </c>
      <c r="AD176" s="77">
        <f t="shared" si="68"/>
        <v>0</v>
      </c>
      <c r="AE176" s="77">
        <f t="shared" si="69"/>
        <v>0</v>
      </c>
      <c r="AF176" s="79"/>
      <c r="AG176" s="6">
        <f t="shared" si="70"/>
        <v>0</v>
      </c>
      <c r="AH176" s="6">
        <f t="shared" si="71"/>
        <v>0</v>
      </c>
      <c r="AI176" s="6">
        <f t="shared" si="72"/>
        <v>0</v>
      </c>
    </row>
    <row r="177" spans="1:35" x14ac:dyDescent="0.3">
      <c r="A177" s="189">
        <f>DataDemande!U210</f>
        <v>0</v>
      </c>
      <c r="B177" s="189" t="str">
        <f t="shared" si="57"/>
        <v>0</v>
      </c>
      <c r="C177" s="189" t="str">
        <f t="shared" si="58"/>
        <v>0</v>
      </c>
      <c r="D177" s="189">
        <f>IFERROR(VLOOKUP(A177,DataCoutRevenuAux!M:Q,5,FALSE),0)</f>
        <v>0</v>
      </c>
      <c r="E177" s="189">
        <f>IFERROR(VLOOKUP(A177,DataDemande!U:Z,2,FALSE),0)</f>
        <v>0</v>
      </c>
      <c r="G177" s="77">
        <f>IFERROR(VLOOKUP(A177,DataDemande!U:Z,3,FALSE),0)</f>
        <v>0</v>
      </c>
      <c r="H177" s="77">
        <f>IFERROR(VLOOKUP($A177,DataDemande!$U:$Z,4,FALSE),0)</f>
        <v>0</v>
      </c>
      <c r="I177" s="77">
        <f>IFERROR(VLOOKUP($A177,DataDemande!$U:$Z,5,FALSE),0)</f>
        <v>0</v>
      </c>
      <c r="J177" s="77">
        <f>IFERROR(VLOOKUP($A177,DataDemande!$U:$Z,6,FALSE),0)</f>
        <v>0</v>
      </c>
      <c r="K177" s="79"/>
      <c r="L177" s="77">
        <f>IFERROR(VLOOKUP($A177,DataPrixBillets!$S:$W,2,FALSE),0)</f>
        <v>0</v>
      </c>
      <c r="M177" s="77">
        <f>IFERROR(VLOOKUP($A177,DataPrixBillets!$S:$W,3,FALSE),0)</f>
        <v>0</v>
      </c>
      <c r="N177" s="77">
        <f>IFERROR(VLOOKUP($A177,DataPrixBillets!$S:$W,4,FALSE),0)</f>
        <v>0</v>
      </c>
      <c r="O177" s="77">
        <f>IFERROR(VLOOKUP($A177,DataPrixBillets!$S:$W,5,FALSE),0)</f>
        <v>0</v>
      </c>
      <c r="P177" s="79"/>
      <c r="Q177" s="77">
        <f t="shared" si="59"/>
        <v>0</v>
      </c>
      <c r="R177" s="77">
        <f t="shared" si="60"/>
        <v>0</v>
      </c>
      <c r="S177" s="77">
        <f t="shared" si="61"/>
        <v>0</v>
      </c>
      <c r="T177" s="77">
        <f t="shared" si="62"/>
        <v>0</v>
      </c>
      <c r="U177" s="79"/>
      <c r="V177" s="77">
        <f t="shared" si="63"/>
        <v>0</v>
      </c>
      <c r="W177" s="77">
        <f>IFERROR(VLOOKUP(A177,DataCoutRevenuAux!W:Y,2,FALSE),0)</f>
        <v>0</v>
      </c>
      <c r="X177" s="77">
        <f>IFERROR(VLOOKUP(A177,DataCoutRevenuAux!W:Y,3,FALSE),0)</f>
        <v>0</v>
      </c>
      <c r="Y177" s="77">
        <f t="shared" si="64"/>
        <v>0</v>
      </c>
      <c r="Z177" s="77">
        <f t="shared" si="65"/>
        <v>0</v>
      </c>
      <c r="AA177" s="77">
        <f t="shared" si="66"/>
        <v>0</v>
      </c>
      <c r="AB177" s="79"/>
      <c r="AC177" s="77">
        <f t="shared" si="67"/>
        <v>0</v>
      </c>
      <c r="AD177" s="77">
        <f t="shared" si="68"/>
        <v>0</v>
      </c>
      <c r="AE177" s="77">
        <f t="shared" si="69"/>
        <v>0</v>
      </c>
      <c r="AF177" s="79"/>
      <c r="AG177" s="6">
        <f t="shared" si="70"/>
        <v>0</v>
      </c>
      <c r="AH177" s="6">
        <f t="shared" si="71"/>
        <v>0</v>
      </c>
      <c r="AI177" s="6">
        <f t="shared" si="72"/>
        <v>0</v>
      </c>
    </row>
    <row r="178" spans="1:35" x14ac:dyDescent="0.3">
      <c r="A178" s="189">
        <f>DataDemande!U211</f>
        <v>0</v>
      </c>
      <c r="B178" s="189" t="str">
        <f t="shared" si="57"/>
        <v>0</v>
      </c>
      <c r="C178" s="189" t="str">
        <f t="shared" si="58"/>
        <v>0</v>
      </c>
      <c r="D178" s="189">
        <f>IFERROR(VLOOKUP(A178,DataCoutRevenuAux!M:Q,5,FALSE),0)</f>
        <v>0</v>
      </c>
      <c r="E178" s="189">
        <f>IFERROR(VLOOKUP(A178,DataDemande!U:Z,2,FALSE),0)</f>
        <v>0</v>
      </c>
      <c r="G178" s="77">
        <f>IFERROR(VLOOKUP(A178,DataDemande!U:Z,3,FALSE),0)</f>
        <v>0</v>
      </c>
      <c r="H178" s="77">
        <f>IFERROR(VLOOKUP($A178,DataDemande!$U:$Z,4,FALSE),0)</f>
        <v>0</v>
      </c>
      <c r="I178" s="77">
        <f>IFERROR(VLOOKUP($A178,DataDemande!$U:$Z,5,FALSE),0)</f>
        <v>0</v>
      </c>
      <c r="J178" s="77">
        <f>IFERROR(VLOOKUP($A178,DataDemande!$U:$Z,6,FALSE),0)</f>
        <v>0</v>
      </c>
      <c r="K178" s="79"/>
      <c r="L178" s="77">
        <f>IFERROR(VLOOKUP($A178,DataPrixBillets!$S:$W,2,FALSE),0)</f>
        <v>0</v>
      </c>
      <c r="M178" s="77">
        <f>IFERROR(VLOOKUP($A178,DataPrixBillets!$S:$W,3,FALSE),0)</f>
        <v>0</v>
      </c>
      <c r="N178" s="77">
        <f>IFERROR(VLOOKUP($A178,DataPrixBillets!$S:$W,4,FALSE),0)</f>
        <v>0</v>
      </c>
      <c r="O178" s="77">
        <f>IFERROR(VLOOKUP($A178,DataPrixBillets!$S:$W,5,FALSE),0)</f>
        <v>0</v>
      </c>
      <c r="P178" s="79"/>
      <c r="Q178" s="77">
        <f t="shared" si="59"/>
        <v>0</v>
      </c>
      <c r="R178" s="77">
        <f t="shared" si="60"/>
        <v>0</v>
      </c>
      <c r="S178" s="77">
        <f t="shared" si="61"/>
        <v>0</v>
      </c>
      <c r="T178" s="77">
        <f t="shared" si="62"/>
        <v>0</v>
      </c>
      <c r="U178" s="79"/>
      <c r="V178" s="77">
        <f t="shared" si="63"/>
        <v>0</v>
      </c>
      <c r="W178" s="77">
        <f>IFERROR(VLOOKUP(A178,DataCoutRevenuAux!W:Y,2,FALSE),0)</f>
        <v>0</v>
      </c>
      <c r="X178" s="77">
        <f>IFERROR(VLOOKUP(A178,DataCoutRevenuAux!W:Y,3,FALSE),0)</f>
        <v>0</v>
      </c>
      <c r="Y178" s="77">
        <f t="shared" si="64"/>
        <v>0</v>
      </c>
      <c r="Z178" s="77">
        <f t="shared" si="65"/>
        <v>0</v>
      </c>
      <c r="AA178" s="77">
        <f t="shared" si="66"/>
        <v>0</v>
      </c>
      <c r="AB178" s="79"/>
      <c r="AC178" s="77">
        <f t="shared" si="67"/>
        <v>0</v>
      </c>
      <c r="AD178" s="77">
        <f t="shared" si="68"/>
        <v>0</v>
      </c>
      <c r="AE178" s="77">
        <f t="shared" si="69"/>
        <v>0</v>
      </c>
      <c r="AF178" s="79"/>
      <c r="AG178" s="6">
        <f t="shared" si="70"/>
        <v>0</v>
      </c>
      <c r="AH178" s="6">
        <f t="shared" si="71"/>
        <v>0</v>
      </c>
      <c r="AI178" s="6">
        <f t="shared" si="72"/>
        <v>0</v>
      </c>
    </row>
    <row r="179" spans="1:35" x14ac:dyDescent="0.3">
      <c r="A179" s="189">
        <f>DataDemande!U212</f>
        <v>0</v>
      </c>
      <c r="B179" s="189" t="str">
        <f t="shared" si="57"/>
        <v>0</v>
      </c>
      <c r="C179" s="189" t="str">
        <f t="shared" si="58"/>
        <v>0</v>
      </c>
      <c r="D179" s="189">
        <f>IFERROR(VLOOKUP(A179,DataCoutRevenuAux!M:Q,5,FALSE),0)</f>
        <v>0</v>
      </c>
      <c r="E179" s="189">
        <f>IFERROR(VLOOKUP(A179,DataDemande!U:Z,2,FALSE),0)</f>
        <v>0</v>
      </c>
      <c r="G179" s="77">
        <f>IFERROR(VLOOKUP(A179,DataDemande!U:Z,3,FALSE),0)</f>
        <v>0</v>
      </c>
      <c r="H179" s="77">
        <f>IFERROR(VLOOKUP($A179,DataDemande!$U:$Z,4,FALSE),0)</f>
        <v>0</v>
      </c>
      <c r="I179" s="77">
        <f>IFERROR(VLOOKUP($A179,DataDemande!$U:$Z,5,FALSE),0)</f>
        <v>0</v>
      </c>
      <c r="J179" s="77">
        <f>IFERROR(VLOOKUP($A179,DataDemande!$U:$Z,6,FALSE),0)</f>
        <v>0</v>
      </c>
      <c r="K179" s="79"/>
      <c r="L179" s="77">
        <f>IFERROR(VLOOKUP($A179,DataPrixBillets!$S:$W,2,FALSE),0)</f>
        <v>0</v>
      </c>
      <c r="M179" s="77">
        <f>IFERROR(VLOOKUP($A179,DataPrixBillets!$S:$W,3,FALSE),0)</f>
        <v>0</v>
      </c>
      <c r="N179" s="77">
        <f>IFERROR(VLOOKUP($A179,DataPrixBillets!$S:$W,4,FALSE),0)</f>
        <v>0</v>
      </c>
      <c r="O179" s="77">
        <f>IFERROR(VLOOKUP($A179,DataPrixBillets!$S:$W,5,FALSE),0)</f>
        <v>0</v>
      </c>
      <c r="P179" s="79"/>
      <c r="Q179" s="77">
        <f t="shared" si="59"/>
        <v>0</v>
      </c>
      <c r="R179" s="77">
        <f t="shared" si="60"/>
        <v>0</v>
      </c>
      <c r="S179" s="77">
        <f t="shared" si="61"/>
        <v>0</v>
      </c>
      <c r="T179" s="77">
        <f t="shared" si="62"/>
        <v>0</v>
      </c>
      <c r="U179" s="79"/>
      <c r="V179" s="77">
        <f t="shared" si="63"/>
        <v>0</v>
      </c>
      <c r="W179" s="77">
        <f>IFERROR(VLOOKUP(A179,DataCoutRevenuAux!W:Y,2,FALSE),0)</f>
        <v>0</v>
      </c>
      <c r="X179" s="77">
        <f>IFERROR(VLOOKUP(A179,DataCoutRevenuAux!W:Y,3,FALSE),0)</f>
        <v>0</v>
      </c>
      <c r="Y179" s="77">
        <f t="shared" si="64"/>
        <v>0</v>
      </c>
      <c r="Z179" s="77">
        <f t="shared" si="65"/>
        <v>0</v>
      </c>
      <c r="AA179" s="77">
        <f t="shared" si="66"/>
        <v>0</v>
      </c>
      <c r="AB179" s="79"/>
      <c r="AC179" s="77">
        <f t="shared" si="67"/>
        <v>0</v>
      </c>
      <c r="AD179" s="77">
        <f t="shared" si="68"/>
        <v>0</v>
      </c>
      <c r="AE179" s="77">
        <f t="shared" si="69"/>
        <v>0</v>
      </c>
      <c r="AF179" s="79"/>
      <c r="AG179" s="6">
        <f t="shared" si="70"/>
        <v>0</v>
      </c>
      <c r="AH179" s="6">
        <f t="shared" si="71"/>
        <v>0</v>
      </c>
      <c r="AI179" s="6">
        <f t="shared" si="72"/>
        <v>0</v>
      </c>
    </row>
    <row r="180" spans="1:35" x14ac:dyDescent="0.3">
      <c r="A180" s="189">
        <f>DataDemande!U213</f>
        <v>0</v>
      </c>
      <c r="B180" s="189" t="str">
        <f t="shared" si="57"/>
        <v>0</v>
      </c>
      <c r="C180" s="189" t="str">
        <f t="shared" si="58"/>
        <v>0</v>
      </c>
      <c r="D180" s="189">
        <f>IFERROR(VLOOKUP(A180,DataCoutRevenuAux!M:Q,5,FALSE),0)</f>
        <v>0</v>
      </c>
      <c r="E180" s="189">
        <f>IFERROR(VLOOKUP(A180,DataDemande!U:Z,2,FALSE),0)</f>
        <v>0</v>
      </c>
      <c r="G180" s="77">
        <f>IFERROR(VLOOKUP(A180,DataDemande!U:Z,3,FALSE),0)</f>
        <v>0</v>
      </c>
      <c r="H180" s="77">
        <f>IFERROR(VLOOKUP($A180,DataDemande!$U:$Z,4,FALSE),0)</f>
        <v>0</v>
      </c>
      <c r="I180" s="77">
        <f>IFERROR(VLOOKUP($A180,DataDemande!$U:$Z,5,FALSE),0)</f>
        <v>0</v>
      </c>
      <c r="J180" s="77">
        <f>IFERROR(VLOOKUP($A180,DataDemande!$U:$Z,6,FALSE),0)</f>
        <v>0</v>
      </c>
      <c r="K180" s="79"/>
      <c r="L180" s="77">
        <f>IFERROR(VLOOKUP($A180,DataPrixBillets!$S:$W,2,FALSE),0)</f>
        <v>0</v>
      </c>
      <c r="M180" s="77">
        <f>IFERROR(VLOOKUP($A180,DataPrixBillets!$S:$W,3,FALSE),0)</f>
        <v>0</v>
      </c>
      <c r="N180" s="77">
        <f>IFERROR(VLOOKUP($A180,DataPrixBillets!$S:$W,4,FALSE),0)</f>
        <v>0</v>
      </c>
      <c r="O180" s="77">
        <f>IFERROR(VLOOKUP($A180,DataPrixBillets!$S:$W,5,FALSE),0)</f>
        <v>0</v>
      </c>
      <c r="P180" s="79"/>
      <c r="Q180" s="77">
        <f t="shared" si="59"/>
        <v>0</v>
      </c>
      <c r="R180" s="77">
        <f t="shared" si="60"/>
        <v>0</v>
      </c>
      <c r="S180" s="77">
        <f t="shared" si="61"/>
        <v>0</v>
      </c>
      <c r="T180" s="77">
        <f t="shared" si="62"/>
        <v>0</v>
      </c>
      <c r="U180" s="79"/>
      <c r="V180" s="77">
        <f t="shared" si="63"/>
        <v>0</v>
      </c>
      <c r="W180" s="77">
        <f>IFERROR(VLOOKUP(A180,DataCoutRevenuAux!W:Y,2,FALSE),0)</f>
        <v>0</v>
      </c>
      <c r="X180" s="77">
        <f>IFERROR(VLOOKUP(A180,DataCoutRevenuAux!W:Y,3,FALSE),0)</f>
        <v>0</v>
      </c>
      <c r="Y180" s="77">
        <f t="shared" si="64"/>
        <v>0</v>
      </c>
      <c r="Z180" s="77">
        <f t="shared" si="65"/>
        <v>0</v>
      </c>
      <c r="AA180" s="77">
        <f t="shared" si="66"/>
        <v>0</v>
      </c>
      <c r="AB180" s="79"/>
      <c r="AC180" s="77">
        <f t="shared" si="67"/>
        <v>0</v>
      </c>
      <c r="AD180" s="77">
        <f t="shared" si="68"/>
        <v>0</v>
      </c>
      <c r="AE180" s="77">
        <f t="shared" si="69"/>
        <v>0</v>
      </c>
      <c r="AF180" s="79"/>
      <c r="AG180" s="6">
        <f t="shared" si="70"/>
        <v>0</v>
      </c>
      <c r="AH180" s="6">
        <f t="shared" si="71"/>
        <v>0</v>
      </c>
      <c r="AI180" s="6">
        <f t="shared" si="72"/>
        <v>0</v>
      </c>
    </row>
    <row r="181" spans="1:35" x14ac:dyDescent="0.3">
      <c r="A181" s="189">
        <f>DataDemande!U214</f>
        <v>0</v>
      </c>
      <c r="B181" s="189" t="str">
        <f t="shared" si="57"/>
        <v>0</v>
      </c>
      <c r="C181" s="189" t="str">
        <f t="shared" si="58"/>
        <v>0</v>
      </c>
      <c r="D181" s="189">
        <f>IFERROR(VLOOKUP(A181,DataCoutRevenuAux!M:Q,5,FALSE),0)</f>
        <v>0</v>
      </c>
      <c r="E181" s="189">
        <f>IFERROR(VLOOKUP(A181,DataDemande!U:Z,2,FALSE),0)</f>
        <v>0</v>
      </c>
      <c r="G181" s="77">
        <f>IFERROR(VLOOKUP(A181,DataDemande!U:Z,3,FALSE),0)</f>
        <v>0</v>
      </c>
      <c r="H181" s="77">
        <f>IFERROR(VLOOKUP($A181,DataDemande!$U:$Z,4,FALSE),0)</f>
        <v>0</v>
      </c>
      <c r="I181" s="77">
        <f>IFERROR(VLOOKUP($A181,DataDemande!$U:$Z,5,FALSE),0)</f>
        <v>0</v>
      </c>
      <c r="J181" s="77">
        <f>IFERROR(VLOOKUP($A181,DataDemande!$U:$Z,6,FALSE),0)</f>
        <v>0</v>
      </c>
      <c r="K181" s="79"/>
      <c r="L181" s="77">
        <f>IFERROR(VLOOKUP($A181,DataPrixBillets!$S:$W,2,FALSE),0)</f>
        <v>0</v>
      </c>
      <c r="M181" s="77">
        <f>IFERROR(VLOOKUP($A181,DataPrixBillets!$S:$W,3,FALSE),0)</f>
        <v>0</v>
      </c>
      <c r="N181" s="77">
        <f>IFERROR(VLOOKUP($A181,DataPrixBillets!$S:$W,4,FALSE),0)</f>
        <v>0</v>
      </c>
      <c r="O181" s="77">
        <f>IFERROR(VLOOKUP($A181,DataPrixBillets!$S:$W,5,FALSE),0)</f>
        <v>0</v>
      </c>
      <c r="P181" s="79"/>
      <c r="Q181" s="77">
        <f t="shared" si="59"/>
        <v>0</v>
      </c>
      <c r="R181" s="77">
        <f t="shared" si="60"/>
        <v>0</v>
      </c>
      <c r="S181" s="77">
        <f t="shared" si="61"/>
        <v>0</v>
      </c>
      <c r="T181" s="77">
        <f t="shared" si="62"/>
        <v>0</v>
      </c>
      <c r="U181" s="79"/>
      <c r="V181" s="77">
        <f t="shared" si="63"/>
        <v>0</v>
      </c>
      <c r="W181" s="77">
        <f>IFERROR(VLOOKUP(A181,DataCoutRevenuAux!W:Y,2,FALSE),0)</f>
        <v>0</v>
      </c>
      <c r="X181" s="77">
        <f>IFERROR(VLOOKUP(A181,DataCoutRevenuAux!W:Y,3,FALSE),0)</f>
        <v>0</v>
      </c>
      <c r="Y181" s="77">
        <f t="shared" si="64"/>
        <v>0</v>
      </c>
      <c r="Z181" s="77">
        <f t="shared" si="65"/>
        <v>0</v>
      </c>
      <c r="AA181" s="77">
        <f t="shared" si="66"/>
        <v>0</v>
      </c>
      <c r="AB181" s="79"/>
      <c r="AC181" s="77">
        <f t="shared" si="67"/>
        <v>0</v>
      </c>
      <c r="AD181" s="77">
        <f t="shared" si="68"/>
        <v>0</v>
      </c>
      <c r="AE181" s="77">
        <f t="shared" si="69"/>
        <v>0</v>
      </c>
      <c r="AF181" s="79"/>
      <c r="AG181" s="6">
        <f t="shared" si="70"/>
        <v>0</v>
      </c>
      <c r="AH181" s="6">
        <f t="shared" si="71"/>
        <v>0</v>
      </c>
      <c r="AI181" s="6">
        <f t="shared" si="72"/>
        <v>0</v>
      </c>
    </row>
    <row r="182" spans="1:35" x14ac:dyDescent="0.3">
      <c r="A182" s="189">
        <f>DataDemande!U215</f>
        <v>0</v>
      </c>
      <c r="B182" s="189" t="str">
        <f t="shared" si="57"/>
        <v>0</v>
      </c>
      <c r="C182" s="189" t="str">
        <f t="shared" si="58"/>
        <v>0</v>
      </c>
      <c r="D182" s="189">
        <f>IFERROR(VLOOKUP(A182,DataCoutRevenuAux!M:Q,5,FALSE),0)</f>
        <v>0</v>
      </c>
      <c r="E182" s="189">
        <f>IFERROR(VLOOKUP(A182,DataDemande!U:Z,2,FALSE),0)</f>
        <v>0</v>
      </c>
      <c r="G182" s="77">
        <f>IFERROR(VLOOKUP(A182,DataDemande!U:Z,3,FALSE),0)</f>
        <v>0</v>
      </c>
      <c r="H182" s="77">
        <f>IFERROR(VLOOKUP($A182,DataDemande!$U:$Z,4,FALSE),0)</f>
        <v>0</v>
      </c>
      <c r="I182" s="77">
        <f>IFERROR(VLOOKUP($A182,DataDemande!$U:$Z,5,FALSE),0)</f>
        <v>0</v>
      </c>
      <c r="J182" s="77">
        <f>IFERROR(VLOOKUP($A182,DataDemande!$U:$Z,6,FALSE),0)</f>
        <v>0</v>
      </c>
      <c r="K182" s="79"/>
      <c r="L182" s="77">
        <f>IFERROR(VLOOKUP($A182,DataPrixBillets!$S:$W,2,FALSE),0)</f>
        <v>0</v>
      </c>
      <c r="M182" s="77">
        <f>IFERROR(VLOOKUP($A182,DataPrixBillets!$S:$W,3,FALSE),0)</f>
        <v>0</v>
      </c>
      <c r="N182" s="77">
        <f>IFERROR(VLOOKUP($A182,DataPrixBillets!$S:$W,4,FALSE),0)</f>
        <v>0</v>
      </c>
      <c r="O182" s="77">
        <f>IFERROR(VLOOKUP($A182,DataPrixBillets!$S:$W,5,FALSE),0)</f>
        <v>0</v>
      </c>
      <c r="P182" s="79"/>
      <c r="Q182" s="77">
        <f t="shared" si="59"/>
        <v>0</v>
      </c>
      <c r="R182" s="77">
        <f t="shared" si="60"/>
        <v>0</v>
      </c>
      <c r="S182" s="77">
        <f t="shared" si="61"/>
        <v>0</v>
      </c>
      <c r="T182" s="77">
        <f t="shared" si="62"/>
        <v>0</v>
      </c>
      <c r="U182" s="79"/>
      <c r="V182" s="77">
        <f t="shared" si="63"/>
        <v>0</v>
      </c>
      <c r="W182" s="77">
        <f>IFERROR(VLOOKUP(A182,DataCoutRevenuAux!W:Y,2,FALSE),0)</f>
        <v>0</v>
      </c>
      <c r="X182" s="77">
        <f>IFERROR(VLOOKUP(A182,DataCoutRevenuAux!W:Y,3,FALSE),0)</f>
        <v>0</v>
      </c>
      <c r="Y182" s="77">
        <f t="shared" si="64"/>
        <v>0</v>
      </c>
      <c r="Z182" s="77">
        <f t="shared" si="65"/>
        <v>0</v>
      </c>
      <c r="AA182" s="77">
        <f t="shared" si="66"/>
        <v>0</v>
      </c>
      <c r="AB182" s="79"/>
      <c r="AC182" s="77">
        <f t="shared" si="67"/>
        <v>0</v>
      </c>
      <c r="AD182" s="77">
        <f t="shared" si="68"/>
        <v>0</v>
      </c>
      <c r="AE182" s="77">
        <f t="shared" si="69"/>
        <v>0</v>
      </c>
      <c r="AF182" s="79"/>
      <c r="AG182" s="6">
        <f t="shared" si="70"/>
        <v>0</v>
      </c>
      <c r="AH182" s="6">
        <f t="shared" si="71"/>
        <v>0</v>
      </c>
      <c r="AI182" s="6">
        <f t="shared" si="72"/>
        <v>0</v>
      </c>
    </row>
    <row r="183" spans="1:35" x14ac:dyDescent="0.3">
      <c r="A183" s="189">
        <f>DataDemande!U216</f>
        <v>0</v>
      </c>
      <c r="B183" s="189" t="str">
        <f t="shared" si="57"/>
        <v>0</v>
      </c>
      <c r="C183" s="189" t="str">
        <f t="shared" si="58"/>
        <v>0</v>
      </c>
      <c r="D183" s="189">
        <f>IFERROR(VLOOKUP(A183,DataCoutRevenuAux!M:Q,5,FALSE),0)</f>
        <v>0</v>
      </c>
      <c r="E183" s="189">
        <f>IFERROR(VLOOKUP(A183,DataDemande!U:Z,2,FALSE),0)</f>
        <v>0</v>
      </c>
      <c r="G183" s="77">
        <f>IFERROR(VLOOKUP(A183,DataDemande!U:Z,3,FALSE),0)</f>
        <v>0</v>
      </c>
      <c r="H183" s="77">
        <f>IFERROR(VLOOKUP($A183,DataDemande!$U:$Z,4,FALSE),0)</f>
        <v>0</v>
      </c>
      <c r="I183" s="77">
        <f>IFERROR(VLOOKUP($A183,DataDemande!$U:$Z,5,FALSE),0)</f>
        <v>0</v>
      </c>
      <c r="J183" s="77">
        <f>IFERROR(VLOOKUP($A183,DataDemande!$U:$Z,6,FALSE),0)</f>
        <v>0</v>
      </c>
      <c r="K183" s="79"/>
      <c r="L183" s="77">
        <f>IFERROR(VLOOKUP($A183,DataPrixBillets!$S:$W,2,FALSE),0)</f>
        <v>0</v>
      </c>
      <c r="M183" s="77">
        <f>IFERROR(VLOOKUP($A183,DataPrixBillets!$S:$W,3,FALSE),0)</f>
        <v>0</v>
      </c>
      <c r="N183" s="77">
        <f>IFERROR(VLOOKUP($A183,DataPrixBillets!$S:$W,4,FALSE),0)</f>
        <v>0</v>
      </c>
      <c r="O183" s="77">
        <f>IFERROR(VLOOKUP($A183,DataPrixBillets!$S:$W,5,FALSE),0)</f>
        <v>0</v>
      </c>
      <c r="P183" s="79"/>
      <c r="Q183" s="77">
        <f t="shared" si="59"/>
        <v>0</v>
      </c>
      <c r="R183" s="77">
        <f t="shared" si="60"/>
        <v>0</v>
      </c>
      <c r="S183" s="77">
        <f t="shared" si="61"/>
        <v>0</v>
      </c>
      <c r="T183" s="77">
        <f t="shared" si="62"/>
        <v>0</v>
      </c>
      <c r="U183" s="79"/>
      <c r="V183" s="77">
        <f t="shared" si="63"/>
        <v>0</v>
      </c>
      <c r="W183" s="77">
        <f>IFERROR(VLOOKUP(A183,DataCoutRevenuAux!W:Y,2,FALSE),0)</f>
        <v>0</v>
      </c>
      <c r="X183" s="77">
        <f>IFERROR(VLOOKUP(A183,DataCoutRevenuAux!W:Y,3,FALSE),0)</f>
        <v>0</v>
      </c>
      <c r="Y183" s="77">
        <f t="shared" si="64"/>
        <v>0</v>
      </c>
      <c r="Z183" s="77">
        <f t="shared" si="65"/>
        <v>0</v>
      </c>
      <c r="AA183" s="77">
        <f t="shared" si="66"/>
        <v>0</v>
      </c>
      <c r="AB183" s="79"/>
      <c r="AC183" s="77">
        <f t="shared" si="67"/>
        <v>0</v>
      </c>
      <c r="AD183" s="77">
        <f t="shared" si="68"/>
        <v>0</v>
      </c>
      <c r="AE183" s="77">
        <f t="shared" si="69"/>
        <v>0</v>
      </c>
      <c r="AF183" s="79"/>
      <c r="AG183" s="6">
        <f t="shared" si="70"/>
        <v>0</v>
      </c>
      <c r="AH183" s="6">
        <f t="shared" si="71"/>
        <v>0</v>
      </c>
      <c r="AI183" s="6">
        <f t="shared" si="72"/>
        <v>0</v>
      </c>
    </row>
    <row r="184" spans="1:35" x14ac:dyDescent="0.3">
      <c r="A184" s="189">
        <f>DataDemande!U217</f>
        <v>0</v>
      </c>
      <c r="B184" s="189" t="str">
        <f t="shared" si="57"/>
        <v>0</v>
      </c>
      <c r="C184" s="189" t="str">
        <f t="shared" si="58"/>
        <v>0</v>
      </c>
      <c r="D184" s="189">
        <f>IFERROR(VLOOKUP(A184,DataCoutRevenuAux!M:Q,5,FALSE),0)</f>
        <v>0</v>
      </c>
      <c r="E184" s="189">
        <f>IFERROR(VLOOKUP(A184,DataDemande!U:Z,2,FALSE),0)</f>
        <v>0</v>
      </c>
      <c r="G184" s="77">
        <f>IFERROR(VLOOKUP(A184,DataDemande!U:Z,3,FALSE),0)</f>
        <v>0</v>
      </c>
      <c r="H184" s="77">
        <f>IFERROR(VLOOKUP($A184,DataDemande!$U:$Z,4,FALSE),0)</f>
        <v>0</v>
      </c>
      <c r="I184" s="77">
        <f>IFERROR(VLOOKUP($A184,DataDemande!$U:$Z,5,FALSE),0)</f>
        <v>0</v>
      </c>
      <c r="J184" s="77">
        <f>IFERROR(VLOOKUP($A184,DataDemande!$U:$Z,6,FALSE),0)</f>
        <v>0</v>
      </c>
      <c r="K184" s="79"/>
      <c r="L184" s="77">
        <f>IFERROR(VLOOKUP($A184,DataPrixBillets!$S:$W,2,FALSE),0)</f>
        <v>0</v>
      </c>
      <c r="M184" s="77">
        <f>IFERROR(VLOOKUP($A184,DataPrixBillets!$S:$W,3,FALSE),0)</f>
        <v>0</v>
      </c>
      <c r="N184" s="77">
        <f>IFERROR(VLOOKUP($A184,DataPrixBillets!$S:$W,4,FALSE),0)</f>
        <v>0</v>
      </c>
      <c r="O184" s="77">
        <f>IFERROR(VLOOKUP($A184,DataPrixBillets!$S:$W,5,FALSE),0)</f>
        <v>0</v>
      </c>
      <c r="P184" s="79"/>
      <c r="Q184" s="77">
        <f t="shared" si="59"/>
        <v>0</v>
      </c>
      <c r="R184" s="77">
        <f t="shared" si="60"/>
        <v>0</v>
      </c>
      <c r="S184" s="77">
        <f t="shared" si="61"/>
        <v>0</v>
      </c>
      <c r="T184" s="77">
        <f t="shared" si="62"/>
        <v>0</v>
      </c>
      <c r="U184" s="79"/>
      <c r="V184" s="77">
        <f t="shared" si="63"/>
        <v>0</v>
      </c>
      <c r="W184" s="77">
        <f>IFERROR(VLOOKUP(A184,DataCoutRevenuAux!W:Y,2,FALSE),0)</f>
        <v>0</v>
      </c>
      <c r="X184" s="77">
        <f>IFERROR(VLOOKUP(A184,DataCoutRevenuAux!W:Y,3,FALSE),0)</f>
        <v>0</v>
      </c>
      <c r="Y184" s="77">
        <f t="shared" si="64"/>
        <v>0</v>
      </c>
      <c r="Z184" s="77">
        <f t="shared" si="65"/>
        <v>0</v>
      </c>
      <c r="AA184" s="77">
        <f t="shared" si="66"/>
        <v>0</v>
      </c>
      <c r="AB184" s="79"/>
      <c r="AC184" s="77">
        <f t="shared" si="67"/>
        <v>0</v>
      </c>
      <c r="AD184" s="77">
        <f t="shared" si="68"/>
        <v>0</v>
      </c>
      <c r="AE184" s="77">
        <f t="shared" si="69"/>
        <v>0</v>
      </c>
      <c r="AF184" s="79"/>
      <c r="AG184" s="6">
        <f t="shared" si="70"/>
        <v>0</v>
      </c>
      <c r="AH184" s="6">
        <f t="shared" si="71"/>
        <v>0</v>
      </c>
      <c r="AI184" s="6">
        <f t="shared" si="72"/>
        <v>0</v>
      </c>
    </row>
    <row r="185" spans="1:35" x14ac:dyDescent="0.3">
      <c r="A185" s="189">
        <f>DataDemande!U218</f>
        <v>0</v>
      </c>
      <c r="B185" s="189" t="str">
        <f t="shared" si="57"/>
        <v>0</v>
      </c>
      <c r="C185" s="189" t="str">
        <f t="shared" si="58"/>
        <v>0</v>
      </c>
      <c r="D185" s="189">
        <f>IFERROR(VLOOKUP(A185,DataCoutRevenuAux!M:Q,5,FALSE),0)</f>
        <v>0</v>
      </c>
      <c r="E185" s="189">
        <f>IFERROR(VLOOKUP(A185,DataDemande!U:Z,2,FALSE),0)</f>
        <v>0</v>
      </c>
      <c r="G185" s="77">
        <f>IFERROR(VLOOKUP(A185,DataDemande!U:Z,3,FALSE),0)</f>
        <v>0</v>
      </c>
      <c r="H185" s="77">
        <f>IFERROR(VLOOKUP($A185,DataDemande!$U:$Z,4,FALSE),0)</f>
        <v>0</v>
      </c>
      <c r="I185" s="77">
        <f>IFERROR(VLOOKUP($A185,DataDemande!$U:$Z,5,FALSE),0)</f>
        <v>0</v>
      </c>
      <c r="J185" s="77">
        <f>IFERROR(VLOOKUP($A185,DataDemande!$U:$Z,6,FALSE),0)</f>
        <v>0</v>
      </c>
      <c r="K185" s="79"/>
      <c r="L185" s="77">
        <f>IFERROR(VLOOKUP($A185,DataPrixBillets!$S:$W,2,FALSE),0)</f>
        <v>0</v>
      </c>
      <c r="M185" s="77">
        <f>IFERROR(VLOOKUP($A185,DataPrixBillets!$S:$W,3,FALSE),0)</f>
        <v>0</v>
      </c>
      <c r="N185" s="77">
        <f>IFERROR(VLOOKUP($A185,DataPrixBillets!$S:$W,4,FALSE),0)</f>
        <v>0</v>
      </c>
      <c r="O185" s="77">
        <f>IFERROR(VLOOKUP($A185,DataPrixBillets!$S:$W,5,FALSE),0)</f>
        <v>0</v>
      </c>
      <c r="P185" s="79"/>
      <c r="Q185" s="77">
        <f t="shared" si="59"/>
        <v>0</v>
      </c>
      <c r="R185" s="77">
        <f t="shared" si="60"/>
        <v>0</v>
      </c>
      <c r="S185" s="77">
        <f t="shared" si="61"/>
        <v>0</v>
      </c>
      <c r="T185" s="77">
        <f t="shared" si="62"/>
        <v>0</v>
      </c>
      <c r="U185" s="79"/>
      <c r="V185" s="77">
        <f t="shared" si="63"/>
        <v>0</v>
      </c>
      <c r="W185" s="77">
        <f>IFERROR(VLOOKUP(A185,DataCoutRevenuAux!W:Y,2,FALSE),0)</f>
        <v>0</v>
      </c>
      <c r="X185" s="77">
        <f>IFERROR(VLOOKUP(A185,DataCoutRevenuAux!W:Y,3,FALSE),0)</f>
        <v>0</v>
      </c>
      <c r="Y185" s="77">
        <f t="shared" si="64"/>
        <v>0</v>
      </c>
      <c r="Z185" s="77">
        <f t="shared" si="65"/>
        <v>0</v>
      </c>
      <c r="AA185" s="77">
        <f t="shared" si="66"/>
        <v>0</v>
      </c>
      <c r="AB185" s="79"/>
      <c r="AC185" s="77">
        <f t="shared" si="67"/>
        <v>0</v>
      </c>
      <c r="AD185" s="77">
        <f t="shared" si="68"/>
        <v>0</v>
      </c>
      <c r="AE185" s="77">
        <f t="shared" si="69"/>
        <v>0</v>
      </c>
      <c r="AF185" s="79"/>
      <c r="AG185" s="6">
        <f t="shared" si="70"/>
        <v>0</v>
      </c>
      <c r="AH185" s="6">
        <f t="shared" si="71"/>
        <v>0</v>
      </c>
      <c r="AI185" s="6">
        <f t="shared" si="72"/>
        <v>0</v>
      </c>
    </row>
    <row r="186" spans="1:35" x14ac:dyDescent="0.3">
      <c r="A186" s="189">
        <f>DataDemande!U219</f>
        <v>0</v>
      </c>
      <c r="B186" s="189" t="str">
        <f t="shared" si="57"/>
        <v>0</v>
      </c>
      <c r="C186" s="189" t="str">
        <f t="shared" si="58"/>
        <v>0</v>
      </c>
      <c r="D186" s="189">
        <f>IFERROR(VLOOKUP(A186,DataCoutRevenuAux!M:Q,5,FALSE),0)</f>
        <v>0</v>
      </c>
      <c r="E186" s="189">
        <f>IFERROR(VLOOKUP(A186,DataDemande!U:Z,2,FALSE),0)</f>
        <v>0</v>
      </c>
      <c r="G186" s="77">
        <f>IFERROR(VLOOKUP(A186,DataDemande!U:Z,3,FALSE),0)</f>
        <v>0</v>
      </c>
      <c r="H186" s="77">
        <f>IFERROR(VLOOKUP($A186,DataDemande!$U:$Z,4,FALSE),0)</f>
        <v>0</v>
      </c>
      <c r="I186" s="77">
        <f>IFERROR(VLOOKUP($A186,DataDemande!$U:$Z,5,FALSE),0)</f>
        <v>0</v>
      </c>
      <c r="J186" s="77">
        <f>IFERROR(VLOOKUP($A186,DataDemande!$U:$Z,6,FALSE),0)</f>
        <v>0</v>
      </c>
      <c r="K186" s="79"/>
      <c r="L186" s="77">
        <f>IFERROR(VLOOKUP($A186,DataPrixBillets!$S:$W,2,FALSE),0)</f>
        <v>0</v>
      </c>
      <c r="M186" s="77">
        <f>IFERROR(VLOOKUP($A186,DataPrixBillets!$S:$W,3,FALSE),0)</f>
        <v>0</v>
      </c>
      <c r="N186" s="77">
        <f>IFERROR(VLOOKUP($A186,DataPrixBillets!$S:$W,4,FALSE),0)</f>
        <v>0</v>
      </c>
      <c r="O186" s="77">
        <f>IFERROR(VLOOKUP($A186,DataPrixBillets!$S:$W,5,FALSE),0)</f>
        <v>0</v>
      </c>
      <c r="P186" s="79"/>
      <c r="Q186" s="77">
        <f t="shared" si="59"/>
        <v>0</v>
      </c>
      <c r="R186" s="77">
        <f t="shared" si="60"/>
        <v>0</v>
      </c>
      <c r="S186" s="77">
        <f t="shared" si="61"/>
        <v>0</v>
      </c>
      <c r="T186" s="77">
        <f t="shared" si="62"/>
        <v>0</v>
      </c>
      <c r="U186" s="79"/>
      <c r="V186" s="77">
        <f t="shared" si="63"/>
        <v>0</v>
      </c>
      <c r="W186" s="77">
        <f>IFERROR(VLOOKUP(A186,DataCoutRevenuAux!W:Y,2,FALSE),0)</f>
        <v>0</v>
      </c>
      <c r="X186" s="77">
        <f>IFERROR(VLOOKUP(A186,DataCoutRevenuAux!W:Y,3,FALSE),0)</f>
        <v>0</v>
      </c>
      <c r="Y186" s="77">
        <f t="shared" si="64"/>
        <v>0</v>
      </c>
      <c r="Z186" s="77">
        <f t="shared" si="65"/>
        <v>0</v>
      </c>
      <c r="AA186" s="77">
        <f t="shared" si="66"/>
        <v>0</v>
      </c>
      <c r="AB186" s="79"/>
      <c r="AC186" s="77">
        <f t="shared" si="67"/>
        <v>0</v>
      </c>
      <c r="AD186" s="77">
        <f t="shared" si="68"/>
        <v>0</v>
      </c>
      <c r="AE186" s="77">
        <f t="shared" si="69"/>
        <v>0</v>
      </c>
      <c r="AF186" s="79"/>
      <c r="AG186" s="6">
        <f t="shared" si="70"/>
        <v>0</v>
      </c>
      <c r="AH186" s="6">
        <f t="shared" si="71"/>
        <v>0</v>
      </c>
      <c r="AI186" s="6">
        <f t="shared" si="72"/>
        <v>0</v>
      </c>
    </row>
    <row r="187" spans="1:35" x14ac:dyDescent="0.3">
      <c r="A187" s="189">
        <f>DataDemande!U220</f>
        <v>0</v>
      </c>
      <c r="B187" s="189" t="str">
        <f t="shared" si="57"/>
        <v>0</v>
      </c>
      <c r="C187" s="189" t="str">
        <f t="shared" si="58"/>
        <v>0</v>
      </c>
      <c r="D187" s="189">
        <f>IFERROR(VLOOKUP(A187,DataCoutRevenuAux!M:Q,5,FALSE),0)</f>
        <v>0</v>
      </c>
      <c r="E187" s="189">
        <f>IFERROR(VLOOKUP(A187,DataDemande!U:Z,2,FALSE),0)</f>
        <v>0</v>
      </c>
      <c r="G187" s="77">
        <f>IFERROR(VLOOKUP(A187,DataDemande!U:Z,3,FALSE),0)</f>
        <v>0</v>
      </c>
      <c r="H187" s="77">
        <f>IFERROR(VLOOKUP($A187,DataDemande!$U:$Z,4,FALSE),0)</f>
        <v>0</v>
      </c>
      <c r="I187" s="77">
        <f>IFERROR(VLOOKUP($A187,DataDemande!$U:$Z,5,FALSE),0)</f>
        <v>0</v>
      </c>
      <c r="J187" s="77">
        <f>IFERROR(VLOOKUP($A187,DataDemande!$U:$Z,6,FALSE),0)</f>
        <v>0</v>
      </c>
      <c r="K187" s="79"/>
      <c r="L187" s="77">
        <f>IFERROR(VLOOKUP($A187,DataPrixBillets!$S:$W,2,FALSE),0)</f>
        <v>0</v>
      </c>
      <c r="M187" s="77">
        <f>IFERROR(VLOOKUP($A187,DataPrixBillets!$S:$W,3,FALSE),0)</f>
        <v>0</v>
      </c>
      <c r="N187" s="77">
        <f>IFERROR(VLOOKUP($A187,DataPrixBillets!$S:$W,4,FALSE),0)</f>
        <v>0</v>
      </c>
      <c r="O187" s="77">
        <f>IFERROR(VLOOKUP($A187,DataPrixBillets!$S:$W,5,FALSE),0)</f>
        <v>0</v>
      </c>
      <c r="P187" s="79"/>
      <c r="Q187" s="77">
        <f t="shared" si="59"/>
        <v>0</v>
      </c>
      <c r="R187" s="77">
        <f t="shared" si="60"/>
        <v>0</v>
      </c>
      <c r="S187" s="77">
        <f t="shared" si="61"/>
        <v>0</v>
      </c>
      <c r="T187" s="77">
        <f t="shared" si="62"/>
        <v>0</v>
      </c>
      <c r="U187" s="79"/>
      <c r="V187" s="77">
        <f t="shared" si="63"/>
        <v>0</v>
      </c>
      <c r="W187" s="77">
        <f>IFERROR(VLOOKUP(A187,DataCoutRevenuAux!W:Y,2,FALSE),0)</f>
        <v>0</v>
      </c>
      <c r="X187" s="77">
        <f>IFERROR(VLOOKUP(A187,DataCoutRevenuAux!W:Y,3,FALSE),0)</f>
        <v>0</v>
      </c>
      <c r="Y187" s="77">
        <f t="shared" si="64"/>
        <v>0</v>
      </c>
      <c r="Z187" s="77">
        <f t="shared" si="65"/>
        <v>0</v>
      </c>
      <c r="AA187" s="77">
        <f t="shared" si="66"/>
        <v>0</v>
      </c>
      <c r="AB187" s="79"/>
      <c r="AC187" s="77">
        <f t="shared" si="67"/>
        <v>0</v>
      </c>
      <c r="AD187" s="77">
        <f t="shared" si="68"/>
        <v>0</v>
      </c>
      <c r="AE187" s="77">
        <f t="shared" si="69"/>
        <v>0</v>
      </c>
      <c r="AF187" s="79"/>
      <c r="AG187" s="6">
        <f t="shared" si="70"/>
        <v>0</v>
      </c>
      <c r="AH187" s="6">
        <f t="shared" si="71"/>
        <v>0</v>
      </c>
      <c r="AI187" s="6">
        <f t="shared" si="72"/>
        <v>0</v>
      </c>
    </row>
    <row r="188" spans="1:35" x14ac:dyDescent="0.3">
      <c r="A188" s="189">
        <f>DataDemande!U221</f>
        <v>0</v>
      </c>
      <c r="B188" s="189" t="str">
        <f t="shared" si="57"/>
        <v>0</v>
      </c>
      <c r="C188" s="189" t="str">
        <f t="shared" si="58"/>
        <v>0</v>
      </c>
      <c r="D188" s="189">
        <f>IFERROR(VLOOKUP(A188,DataCoutRevenuAux!M:Q,5,FALSE),0)</f>
        <v>0</v>
      </c>
      <c r="E188" s="189">
        <f>IFERROR(VLOOKUP(A188,DataDemande!U:Z,2,FALSE),0)</f>
        <v>0</v>
      </c>
      <c r="G188" s="77">
        <f>IFERROR(VLOOKUP(A188,DataDemande!U:Z,3,FALSE),0)</f>
        <v>0</v>
      </c>
      <c r="H188" s="77">
        <f>IFERROR(VLOOKUP($A188,DataDemande!$U:$Z,4,FALSE),0)</f>
        <v>0</v>
      </c>
      <c r="I188" s="77">
        <f>IFERROR(VLOOKUP($A188,DataDemande!$U:$Z,5,FALSE),0)</f>
        <v>0</v>
      </c>
      <c r="J188" s="77">
        <f>IFERROR(VLOOKUP($A188,DataDemande!$U:$Z,6,FALSE),0)</f>
        <v>0</v>
      </c>
      <c r="K188" s="79"/>
      <c r="L188" s="77">
        <f>IFERROR(VLOOKUP($A188,DataPrixBillets!$S:$W,2,FALSE),0)</f>
        <v>0</v>
      </c>
      <c r="M188" s="77">
        <f>IFERROR(VLOOKUP($A188,DataPrixBillets!$S:$W,3,FALSE),0)</f>
        <v>0</v>
      </c>
      <c r="N188" s="77">
        <f>IFERROR(VLOOKUP($A188,DataPrixBillets!$S:$W,4,FALSE),0)</f>
        <v>0</v>
      </c>
      <c r="O188" s="77">
        <f>IFERROR(VLOOKUP($A188,DataPrixBillets!$S:$W,5,FALSE),0)</f>
        <v>0</v>
      </c>
      <c r="P188" s="79"/>
      <c r="Q188" s="77">
        <f t="shared" si="59"/>
        <v>0</v>
      </c>
      <c r="R188" s="77">
        <f t="shared" si="60"/>
        <v>0</v>
      </c>
      <c r="S188" s="77">
        <f t="shared" si="61"/>
        <v>0</v>
      </c>
      <c r="T188" s="77">
        <f t="shared" si="62"/>
        <v>0</v>
      </c>
      <c r="U188" s="79"/>
      <c r="V188" s="77">
        <f t="shared" si="63"/>
        <v>0</v>
      </c>
      <c r="W188" s="77">
        <f>IFERROR(VLOOKUP(A188,DataCoutRevenuAux!W:Y,2,FALSE),0)</f>
        <v>0</v>
      </c>
      <c r="X188" s="77">
        <f>IFERROR(VLOOKUP(A188,DataCoutRevenuAux!W:Y,3,FALSE),0)</f>
        <v>0</v>
      </c>
      <c r="Y188" s="77">
        <f t="shared" si="64"/>
        <v>0</v>
      </c>
      <c r="Z188" s="77">
        <f t="shared" si="65"/>
        <v>0</v>
      </c>
      <c r="AA188" s="77">
        <f t="shared" si="66"/>
        <v>0</v>
      </c>
      <c r="AB188" s="79"/>
      <c r="AC188" s="77">
        <f t="shared" si="67"/>
        <v>0</v>
      </c>
      <c r="AD188" s="77">
        <f t="shared" si="68"/>
        <v>0</v>
      </c>
      <c r="AE188" s="77">
        <f t="shared" si="69"/>
        <v>0</v>
      </c>
      <c r="AF188" s="79"/>
      <c r="AG188" s="6">
        <f t="shared" si="70"/>
        <v>0</v>
      </c>
      <c r="AH188" s="6">
        <f t="shared" si="71"/>
        <v>0</v>
      </c>
      <c r="AI188" s="6">
        <f t="shared" si="72"/>
        <v>0</v>
      </c>
    </row>
    <row r="189" spans="1:35" x14ac:dyDescent="0.3">
      <c r="A189" s="189">
        <f>DataDemande!U222</f>
        <v>0</v>
      </c>
      <c r="B189" s="189" t="str">
        <f t="shared" si="57"/>
        <v>0</v>
      </c>
      <c r="C189" s="189" t="str">
        <f t="shared" si="58"/>
        <v>0</v>
      </c>
      <c r="D189" s="189">
        <f>IFERROR(VLOOKUP(A189,DataCoutRevenuAux!M:Q,5,FALSE),0)</f>
        <v>0</v>
      </c>
      <c r="E189" s="189">
        <f>IFERROR(VLOOKUP(A189,DataDemande!U:Z,2,FALSE),0)</f>
        <v>0</v>
      </c>
      <c r="G189" s="77">
        <f>IFERROR(VLOOKUP(A189,DataDemande!U:Z,3,FALSE),0)</f>
        <v>0</v>
      </c>
      <c r="H189" s="77">
        <f>IFERROR(VLOOKUP($A189,DataDemande!$U:$Z,4,FALSE),0)</f>
        <v>0</v>
      </c>
      <c r="I189" s="77">
        <f>IFERROR(VLOOKUP($A189,DataDemande!$U:$Z,5,FALSE),0)</f>
        <v>0</v>
      </c>
      <c r="J189" s="77">
        <f>IFERROR(VLOOKUP($A189,DataDemande!$U:$Z,6,FALSE),0)</f>
        <v>0</v>
      </c>
      <c r="K189" s="79"/>
      <c r="L189" s="77">
        <f>IFERROR(VLOOKUP($A189,DataPrixBillets!$S:$W,2,FALSE),0)</f>
        <v>0</v>
      </c>
      <c r="M189" s="77">
        <f>IFERROR(VLOOKUP($A189,DataPrixBillets!$S:$W,3,FALSE),0)</f>
        <v>0</v>
      </c>
      <c r="N189" s="77">
        <f>IFERROR(VLOOKUP($A189,DataPrixBillets!$S:$W,4,FALSE),0)</f>
        <v>0</v>
      </c>
      <c r="O189" s="77">
        <f>IFERROR(VLOOKUP($A189,DataPrixBillets!$S:$W,5,FALSE),0)</f>
        <v>0</v>
      </c>
      <c r="P189" s="79"/>
      <c r="Q189" s="77">
        <f t="shared" si="59"/>
        <v>0</v>
      </c>
      <c r="R189" s="77">
        <f t="shared" si="60"/>
        <v>0</v>
      </c>
      <c r="S189" s="77">
        <f t="shared" si="61"/>
        <v>0</v>
      </c>
      <c r="T189" s="77">
        <f t="shared" si="62"/>
        <v>0</v>
      </c>
      <c r="U189" s="79"/>
      <c r="V189" s="77">
        <f t="shared" si="63"/>
        <v>0</v>
      </c>
      <c r="W189" s="77">
        <f>IFERROR(VLOOKUP(A189,DataCoutRevenuAux!W:Y,2,FALSE),0)</f>
        <v>0</v>
      </c>
      <c r="X189" s="77">
        <f>IFERROR(VLOOKUP(A189,DataCoutRevenuAux!W:Y,3,FALSE),0)</f>
        <v>0</v>
      </c>
      <c r="Y189" s="77">
        <f t="shared" si="64"/>
        <v>0</v>
      </c>
      <c r="Z189" s="77">
        <f t="shared" si="65"/>
        <v>0</v>
      </c>
      <c r="AA189" s="77">
        <f t="shared" si="66"/>
        <v>0</v>
      </c>
      <c r="AB189" s="79"/>
      <c r="AC189" s="77">
        <f t="shared" si="67"/>
        <v>0</v>
      </c>
      <c r="AD189" s="77">
        <f t="shared" si="68"/>
        <v>0</v>
      </c>
      <c r="AE189" s="77">
        <f t="shared" si="69"/>
        <v>0</v>
      </c>
      <c r="AF189" s="79"/>
      <c r="AG189" s="6">
        <f t="shared" si="70"/>
        <v>0</v>
      </c>
      <c r="AH189" s="6">
        <f t="shared" si="71"/>
        <v>0</v>
      </c>
      <c r="AI189" s="6">
        <f t="shared" si="72"/>
        <v>0</v>
      </c>
    </row>
    <row r="190" spans="1:35" x14ac:dyDescent="0.3">
      <c r="A190" s="189">
        <f>DataDemande!U223</f>
        <v>0</v>
      </c>
      <c r="B190" s="189" t="str">
        <f t="shared" si="57"/>
        <v>0</v>
      </c>
      <c r="C190" s="189" t="str">
        <f t="shared" si="58"/>
        <v>0</v>
      </c>
      <c r="D190" s="189">
        <f>IFERROR(VLOOKUP(A190,DataCoutRevenuAux!M:Q,5,FALSE),0)</f>
        <v>0</v>
      </c>
      <c r="E190" s="189">
        <f>IFERROR(VLOOKUP(A190,DataDemande!U:Z,2,FALSE),0)</f>
        <v>0</v>
      </c>
      <c r="G190" s="77">
        <f>IFERROR(VLOOKUP(A190,DataDemande!U:Z,3,FALSE),0)</f>
        <v>0</v>
      </c>
      <c r="H190" s="77">
        <f>IFERROR(VLOOKUP($A190,DataDemande!$U:$Z,4,FALSE),0)</f>
        <v>0</v>
      </c>
      <c r="I190" s="77">
        <f>IFERROR(VLOOKUP($A190,DataDemande!$U:$Z,5,FALSE),0)</f>
        <v>0</v>
      </c>
      <c r="J190" s="77">
        <f>IFERROR(VLOOKUP($A190,DataDemande!$U:$Z,6,FALSE),0)</f>
        <v>0</v>
      </c>
      <c r="K190" s="79"/>
      <c r="L190" s="77">
        <f>IFERROR(VLOOKUP($A190,DataPrixBillets!$S:$W,2,FALSE),0)</f>
        <v>0</v>
      </c>
      <c r="M190" s="77">
        <f>IFERROR(VLOOKUP($A190,DataPrixBillets!$S:$W,3,FALSE),0)</f>
        <v>0</v>
      </c>
      <c r="N190" s="77">
        <f>IFERROR(VLOOKUP($A190,DataPrixBillets!$S:$W,4,FALSE),0)</f>
        <v>0</v>
      </c>
      <c r="O190" s="77">
        <f>IFERROR(VLOOKUP($A190,DataPrixBillets!$S:$W,5,FALSE),0)</f>
        <v>0</v>
      </c>
      <c r="P190" s="79"/>
      <c r="Q190" s="77">
        <f t="shared" si="59"/>
        <v>0</v>
      </c>
      <c r="R190" s="77">
        <f t="shared" si="60"/>
        <v>0</v>
      </c>
      <c r="S190" s="77">
        <f t="shared" si="61"/>
        <v>0</v>
      </c>
      <c r="T190" s="77">
        <f t="shared" si="62"/>
        <v>0</v>
      </c>
      <c r="U190" s="79"/>
      <c r="V190" s="77">
        <f t="shared" si="63"/>
        <v>0</v>
      </c>
      <c r="W190" s="77">
        <f>IFERROR(VLOOKUP(A190,DataCoutRevenuAux!W:Y,2,FALSE),0)</f>
        <v>0</v>
      </c>
      <c r="X190" s="77">
        <f>IFERROR(VLOOKUP(A190,DataCoutRevenuAux!W:Y,3,FALSE),0)</f>
        <v>0</v>
      </c>
      <c r="Y190" s="77">
        <f t="shared" si="64"/>
        <v>0</v>
      </c>
      <c r="Z190" s="77">
        <f t="shared" si="65"/>
        <v>0</v>
      </c>
      <c r="AA190" s="77">
        <f t="shared" si="66"/>
        <v>0</v>
      </c>
      <c r="AB190" s="79"/>
      <c r="AC190" s="77">
        <f t="shared" si="67"/>
        <v>0</v>
      </c>
      <c r="AD190" s="77">
        <f t="shared" si="68"/>
        <v>0</v>
      </c>
      <c r="AE190" s="77">
        <f t="shared" si="69"/>
        <v>0</v>
      </c>
      <c r="AF190" s="79"/>
      <c r="AG190" s="6">
        <f t="shared" si="70"/>
        <v>0</v>
      </c>
      <c r="AH190" s="6">
        <f t="shared" si="71"/>
        <v>0</v>
      </c>
      <c r="AI190" s="6">
        <f t="shared" si="72"/>
        <v>0</v>
      </c>
    </row>
    <row r="191" spans="1:35" x14ac:dyDescent="0.3">
      <c r="A191" s="189">
        <f>DataDemande!U224</f>
        <v>0</v>
      </c>
      <c r="B191" s="189" t="str">
        <f t="shared" si="57"/>
        <v>0</v>
      </c>
      <c r="C191" s="189" t="str">
        <f t="shared" si="58"/>
        <v>0</v>
      </c>
      <c r="D191" s="189">
        <f>IFERROR(VLOOKUP(A191,DataCoutRevenuAux!M:Q,5,FALSE),0)</f>
        <v>0</v>
      </c>
      <c r="E191" s="189">
        <f>IFERROR(VLOOKUP(A191,DataDemande!U:Z,2,FALSE),0)</f>
        <v>0</v>
      </c>
      <c r="G191" s="77">
        <f>IFERROR(VLOOKUP(A191,DataDemande!U:Z,3,FALSE),0)</f>
        <v>0</v>
      </c>
      <c r="H191" s="77">
        <f>IFERROR(VLOOKUP($A191,DataDemande!$U:$Z,4,FALSE),0)</f>
        <v>0</v>
      </c>
      <c r="I191" s="77">
        <f>IFERROR(VLOOKUP($A191,DataDemande!$U:$Z,5,FALSE),0)</f>
        <v>0</v>
      </c>
      <c r="J191" s="77">
        <f>IFERROR(VLOOKUP($A191,DataDemande!$U:$Z,6,FALSE),0)</f>
        <v>0</v>
      </c>
      <c r="K191" s="79"/>
      <c r="L191" s="77">
        <f>IFERROR(VLOOKUP($A191,DataPrixBillets!$S:$W,2,FALSE),0)</f>
        <v>0</v>
      </c>
      <c r="M191" s="77">
        <f>IFERROR(VLOOKUP($A191,DataPrixBillets!$S:$W,3,FALSE),0)</f>
        <v>0</v>
      </c>
      <c r="N191" s="77">
        <f>IFERROR(VLOOKUP($A191,DataPrixBillets!$S:$W,4,FALSE),0)</f>
        <v>0</v>
      </c>
      <c r="O191" s="77">
        <f>IFERROR(VLOOKUP($A191,DataPrixBillets!$S:$W,5,FALSE),0)</f>
        <v>0</v>
      </c>
      <c r="P191" s="79"/>
      <c r="Q191" s="77">
        <f t="shared" si="59"/>
        <v>0</v>
      </c>
      <c r="R191" s="77">
        <f t="shared" si="60"/>
        <v>0</v>
      </c>
      <c r="S191" s="77">
        <f t="shared" si="61"/>
        <v>0</v>
      </c>
      <c r="T191" s="77">
        <f t="shared" si="62"/>
        <v>0</v>
      </c>
      <c r="U191" s="79"/>
      <c r="V191" s="77">
        <f t="shared" si="63"/>
        <v>0</v>
      </c>
      <c r="W191" s="77">
        <f>IFERROR(VLOOKUP(A191,DataCoutRevenuAux!W:Y,2,FALSE),0)</f>
        <v>0</v>
      </c>
      <c r="X191" s="77">
        <f>IFERROR(VLOOKUP(A191,DataCoutRevenuAux!W:Y,3,FALSE),0)</f>
        <v>0</v>
      </c>
      <c r="Y191" s="77">
        <f t="shared" si="64"/>
        <v>0</v>
      </c>
      <c r="Z191" s="77">
        <f t="shared" si="65"/>
        <v>0</v>
      </c>
      <c r="AA191" s="77">
        <f t="shared" si="66"/>
        <v>0</v>
      </c>
      <c r="AB191" s="79"/>
      <c r="AC191" s="77">
        <f t="shared" si="67"/>
        <v>0</v>
      </c>
      <c r="AD191" s="77">
        <f t="shared" si="68"/>
        <v>0</v>
      </c>
      <c r="AE191" s="77">
        <f t="shared" si="69"/>
        <v>0</v>
      </c>
      <c r="AF191" s="79"/>
      <c r="AG191" s="6">
        <f t="shared" si="70"/>
        <v>0</v>
      </c>
      <c r="AH191" s="6">
        <f t="shared" si="71"/>
        <v>0</v>
      </c>
      <c r="AI191" s="6">
        <f t="shared" si="72"/>
        <v>0</v>
      </c>
    </row>
    <row r="192" spans="1:35" x14ac:dyDescent="0.3">
      <c r="A192" s="189">
        <f>DataDemande!U225</f>
        <v>0</v>
      </c>
      <c r="B192" s="189" t="str">
        <f t="shared" si="57"/>
        <v>0</v>
      </c>
      <c r="C192" s="189" t="str">
        <f t="shared" si="58"/>
        <v>0</v>
      </c>
      <c r="D192" s="189">
        <f>IFERROR(VLOOKUP(A192,DataCoutRevenuAux!M:Q,5,FALSE),0)</f>
        <v>0</v>
      </c>
      <c r="E192" s="189">
        <f>IFERROR(VLOOKUP(A192,DataDemande!U:Z,2,FALSE),0)</f>
        <v>0</v>
      </c>
      <c r="G192" s="77">
        <f>IFERROR(VLOOKUP(A192,DataDemande!U:Z,3,FALSE),0)</f>
        <v>0</v>
      </c>
      <c r="H192" s="77">
        <f>IFERROR(VLOOKUP($A192,DataDemande!$U:$Z,4,FALSE),0)</f>
        <v>0</v>
      </c>
      <c r="I192" s="77">
        <f>IFERROR(VLOOKUP($A192,DataDemande!$U:$Z,5,FALSE),0)</f>
        <v>0</v>
      </c>
      <c r="J192" s="77">
        <f>IFERROR(VLOOKUP($A192,DataDemande!$U:$Z,6,FALSE),0)</f>
        <v>0</v>
      </c>
      <c r="K192" s="79"/>
      <c r="L192" s="77">
        <f>IFERROR(VLOOKUP($A192,DataPrixBillets!$S:$W,2,FALSE),0)</f>
        <v>0</v>
      </c>
      <c r="M192" s="77">
        <f>IFERROR(VLOOKUP($A192,DataPrixBillets!$S:$W,3,FALSE),0)</f>
        <v>0</v>
      </c>
      <c r="N192" s="77">
        <f>IFERROR(VLOOKUP($A192,DataPrixBillets!$S:$W,4,FALSE),0)</f>
        <v>0</v>
      </c>
      <c r="O192" s="77">
        <f>IFERROR(VLOOKUP($A192,DataPrixBillets!$S:$W,5,FALSE),0)</f>
        <v>0</v>
      </c>
      <c r="P192" s="79"/>
      <c r="Q192" s="77">
        <f t="shared" si="59"/>
        <v>0</v>
      </c>
      <c r="R192" s="77">
        <f t="shared" si="60"/>
        <v>0</v>
      </c>
      <c r="S192" s="77">
        <f t="shared" si="61"/>
        <v>0</v>
      </c>
      <c r="T192" s="77">
        <f t="shared" si="62"/>
        <v>0</v>
      </c>
      <c r="U192" s="79"/>
      <c r="V192" s="77">
        <f t="shared" si="63"/>
        <v>0</v>
      </c>
      <c r="W192" s="77">
        <f>IFERROR(VLOOKUP(A192,DataCoutRevenuAux!W:Y,2,FALSE),0)</f>
        <v>0</v>
      </c>
      <c r="X192" s="77">
        <f>IFERROR(VLOOKUP(A192,DataCoutRevenuAux!W:Y,3,FALSE),0)</f>
        <v>0</v>
      </c>
      <c r="Y192" s="77">
        <f t="shared" si="64"/>
        <v>0</v>
      </c>
      <c r="Z192" s="77">
        <f t="shared" si="65"/>
        <v>0</v>
      </c>
      <c r="AA192" s="77">
        <f t="shared" si="66"/>
        <v>0</v>
      </c>
      <c r="AB192" s="79"/>
      <c r="AC192" s="77">
        <f t="shared" si="67"/>
        <v>0</v>
      </c>
      <c r="AD192" s="77">
        <f t="shared" si="68"/>
        <v>0</v>
      </c>
      <c r="AE192" s="77">
        <f t="shared" si="69"/>
        <v>0</v>
      </c>
      <c r="AF192" s="79"/>
      <c r="AG192" s="6">
        <f t="shared" si="70"/>
        <v>0</v>
      </c>
      <c r="AH192" s="6">
        <f t="shared" si="71"/>
        <v>0</v>
      </c>
      <c r="AI192" s="6">
        <f t="shared" si="72"/>
        <v>0</v>
      </c>
    </row>
    <row r="193" spans="1:35" x14ac:dyDescent="0.3">
      <c r="A193" s="189">
        <f>DataDemande!U226</f>
        <v>0</v>
      </c>
      <c r="B193" s="189" t="str">
        <f t="shared" si="57"/>
        <v>0</v>
      </c>
      <c r="C193" s="189" t="str">
        <f t="shared" si="58"/>
        <v>0</v>
      </c>
      <c r="D193" s="189">
        <f>IFERROR(VLOOKUP(A193,DataCoutRevenuAux!M:Q,5,FALSE),0)</f>
        <v>0</v>
      </c>
      <c r="E193" s="189">
        <f>IFERROR(VLOOKUP(A193,DataDemande!U:Z,2,FALSE),0)</f>
        <v>0</v>
      </c>
      <c r="G193" s="77">
        <f>IFERROR(VLOOKUP(A193,DataDemande!U:Z,3,FALSE),0)</f>
        <v>0</v>
      </c>
      <c r="H193" s="77">
        <f>IFERROR(VLOOKUP($A193,DataDemande!$U:$Z,4,FALSE),0)</f>
        <v>0</v>
      </c>
      <c r="I193" s="77">
        <f>IFERROR(VLOOKUP($A193,DataDemande!$U:$Z,5,FALSE),0)</f>
        <v>0</v>
      </c>
      <c r="J193" s="77">
        <f>IFERROR(VLOOKUP($A193,DataDemande!$U:$Z,6,FALSE),0)</f>
        <v>0</v>
      </c>
      <c r="K193" s="79"/>
      <c r="L193" s="77">
        <f>IFERROR(VLOOKUP($A193,DataPrixBillets!$S:$W,2,FALSE),0)</f>
        <v>0</v>
      </c>
      <c r="M193" s="77">
        <f>IFERROR(VLOOKUP($A193,DataPrixBillets!$S:$W,3,FALSE),0)</f>
        <v>0</v>
      </c>
      <c r="N193" s="77">
        <f>IFERROR(VLOOKUP($A193,DataPrixBillets!$S:$W,4,FALSE),0)</f>
        <v>0</v>
      </c>
      <c r="O193" s="77">
        <f>IFERROR(VLOOKUP($A193,DataPrixBillets!$S:$W,5,FALSE),0)</f>
        <v>0</v>
      </c>
      <c r="P193" s="79"/>
      <c r="Q193" s="77">
        <f t="shared" si="59"/>
        <v>0</v>
      </c>
      <c r="R193" s="77">
        <f t="shared" si="60"/>
        <v>0</v>
      </c>
      <c r="S193" s="77">
        <f t="shared" si="61"/>
        <v>0</v>
      </c>
      <c r="T193" s="77">
        <f t="shared" si="62"/>
        <v>0</v>
      </c>
      <c r="U193" s="79"/>
      <c r="V193" s="77">
        <f t="shared" si="63"/>
        <v>0</v>
      </c>
      <c r="W193" s="77">
        <f>IFERROR(VLOOKUP(A193,DataCoutRevenuAux!W:Y,2,FALSE),0)</f>
        <v>0</v>
      </c>
      <c r="X193" s="77">
        <f>IFERROR(VLOOKUP(A193,DataCoutRevenuAux!W:Y,3,FALSE),0)</f>
        <v>0</v>
      </c>
      <c r="Y193" s="77">
        <f t="shared" si="64"/>
        <v>0</v>
      </c>
      <c r="Z193" s="77">
        <f t="shared" si="65"/>
        <v>0</v>
      </c>
      <c r="AA193" s="77">
        <f t="shared" si="66"/>
        <v>0</v>
      </c>
      <c r="AB193" s="79"/>
      <c r="AC193" s="77">
        <f t="shared" si="67"/>
        <v>0</v>
      </c>
      <c r="AD193" s="77">
        <f t="shared" si="68"/>
        <v>0</v>
      </c>
      <c r="AE193" s="77">
        <f t="shared" si="69"/>
        <v>0</v>
      </c>
      <c r="AF193" s="79"/>
      <c r="AG193" s="6">
        <f t="shared" si="70"/>
        <v>0</v>
      </c>
      <c r="AH193" s="6">
        <f t="shared" si="71"/>
        <v>0</v>
      </c>
      <c r="AI193" s="6">
        <f t="shared" si="72"/>
        <v>0</v>
      </c>
    </row>
    <row r="194" spans="1:35" x14ac:dyDescent="0.3">
      <c r="A194" s="189">
        <f>DataDemande!U227</f>
        <v>0</v>
      </c>
      <c r="B194" s="189" t="str">
        <f t="shared" si="57"/>
        <v>0</v>
      </c>
      <c r="C194" s="189" t="str">
        <f t="shared" si="58"/>
        <v>0</v>
      </c>
      <c r="D194" s="189">
        <f>IFERROR(VLOOKUP(A194,DataCoutRevenuAux!M:Q,5,FALSE),0)</f>
        <v>0</v>
      </c>
      <c r="E194" s="189">
        <f>IFERROR(VLOOKUP(A194,DataDemande!U:Z,2,FALSE),0)</f>
        <v>0</v>
      </c>
      <c r="G194" s="77">
        <f>IFERROR(VLOOKUP(A194,DataDemande!U:Z,3,FALSE),0)</f>
        <v>0</v>
      </c>
      <c r="H194" s="77">
        <f>IFERROR(VLOOKUP($A194,DataDemande!$U:$Z,4,FALSE),0)</f>
        <v>0</v>
      </c>
      <c r="I194" s="77">
        <f>IFERROR(VLOOKUP($A194,DataDemande!$U:$Z,5,FALSE),0)</f>
        <v>0</v>
      </c>
      <c r="J194" s="77">
        <f>IFERROR(VLOOKUP($A194,DataDemande!$U:$Z,6,FALSE),0)</f>
        <v>0</v>
      </c>
      <c r="K194" s="79"/>
      <c r="L194" s="77">
        <f>IFERROR(VLOOKUP($A194,DataPrixBillets!$S:$W,2,FALSE),0)</f>
        <v>0</v>
      </c>
      <c r="M194" s="77">
        <f>IFERROR(VLOOKUP($A194,DataPrixBillets!$S:$W,3,FALSE),0)</f>
        <v>0</v>
      </c>
      <c r="N194" s="77">
        <f>IFERROR(VLOOKUP($A194,DataPrixBillets!$S:$W,4,FALSE),0)</f>
        <v>0</v>
      </c>
      <c r="O194" s="77">
        <f>IFERROR(VLOOKUP($A194,DataPrixBillets!$S:$W,5,FALSE),0)</f>
        <v>0</v>
      </c>
      <c r="P194" s="79"/>
      <c r="Q194" s="77">
        <f t="shared" si="59"/>
        <v>0</v>
      </c>
      <c r="R194" s="77">
        <f t="shared" si="60"/>
        <v>0</v>
      </c>
      <c r="S194" s="77">
        <f t="shared" si="61"/>
        <v>0</v>
      </c>
      <c r="T194" s="77">
        <f t="shared" si="62"/>
        <v>0</v>
      </c>
      <c r="U194" s="79"/>
      <c r="V194" s="77">
        <f t="shared" si="63"/>
        <v>0</v>
      </c>
      <c r="W194" s="77">
        <f>IFERROR(VLOOKUP(A194,DataCoutRevenuAux!W:Y,2,FALSE),0)</f>
        <v>0</v>
      </c>
      <c r="X194" s="77">
        <f>IFERROR(VLOOKUP(A194,DataCoutRevenuAux!W:Y,3,FALSE),0)</f>
        <v>0</v>
      </c>
      <c r="Y194" s="77">
        <f t="shared" si="64"/>
        <v>0</v>
      </c>
      <c r="Z194" s="77">
        <f t="shared" si="65"/>
        <v>0</v>
      </c>
      <c r="AA194" s="77">
        <f t="shared" si="66"/>
        <v>0</v>
      </c>
      <c r="AB194" s="79"/>
      <c r="AC194" s="77">
        <f t="shared" si="67"/>
        <v>0</v>
      </c>
      <c r="AD194" s="77">
        <f t="shared" si="68"/>
        <v>0</v>
      </c>
      <c r="AE194" s="77">
        <f t="shared" si="69"/>
        <v>0</v>
      </c>
      <c r="AF194" s="79"/>
      <c r="AG194" s="6">
        <f t="shared" si="70"/>
        <v>0</v>
      </c>
      <c r="AH194" s="6">
        <f t="shared" si="71"/>
        <v>0</v>
      </c>
      <c r="AI194" s="6">
        <f t="shared" si="72"/>
        <v>0</v>
      </c>
    </row>
    <row r="195" spans="1:35" x14ac:dyDescent="0.3">
      <c r="A195" s="189">
        <f>DataDemande!U228</f>
        <v>0</v>
      </c>
      <c r="B195" s="189" t="str">
        <f t="shared" si="57"/>
        <v>0</v>
      </c>
      <c r="C195" s="189" t="str">
        <f t="shared" si="58"/>
        <v>0</v>
      </c>
      <c r="D195" s="189">
        <f>IFERROR(VLOOKUP(A195,DataCoutRevenuAux!M:Q,5,FALSE),0)</f>
        <v>0</v>
      </c>
      <c r="E195" s="189">
        <f>IFERROR(VLOOKUP(A195,DataDemande!U:Z,2,FALSE),0)</f>
        <v>0</v>
      </c>
      <c r="G195" s="77">
        <f>IFERROR(VLOOKUP(A195,DataDemande!U:Z,3,FALSE),0)</f>
        <v>0</v>
      </c>
      <c r="H195" s="77">
        <f>IFERROR(VLOOKUP($A195,DataDemande!$U:$Z,4,FALSE),0)</f>
        <v>0</v>
      </c>
      <c r="I195" s="77">
        <f>IFERROR(VLOOKUP($A195,DataDemande!$U:$Z,5,FALSE),0)</f>
        <v>0</v>
      </c>
      <c r="J195" s="77">
        <f>IFERROR(VLOOKUP($A195,DataDemande!$U:$Z,6,FALSE),0)</f>
        <v>0</v>
      </c>
      <c r="K195" s="79"/>
      <c r="L195" s="77">
        <f>IFERROR(VLOOKUP($A195,DataPrixBillets!$S:$W,2,FALSE),0)</f>
        <v>0</v>
      </c>
      <c r="M195" s="77">
        <f>IFERROR(VLOOKUP($A195,DataPrixBillets!$S:$W,3,FALSE),0)</f>
        <v>0</v>
      </c>
      <c r="N195" s="77">
        <f>IFERROR(VLOOKUP($A195,DataPrixBillets!$S:$W,4,FALSE),0)</f>
        <v>0</v>
      </c>
      <c r="O195" s="77">
        <f>IFERROR(VLOOKUP($A195,DataPrixBillets!$S:$W,5,FALSE),0)</f>
        <v>0</v>
      </c>
      <c r="P195" s="79"/>
      <c r="Q195" s="77">
        <f t="shared" si="59"/>
        <v>0</v>
      </c>
      <c r="R195" s="77">
        <f t="shared" si="60"/>
        <v>0</v>
      </c>
      <c r="S195" s="77">
        <f t="shared" si="61"/>
        <v>0</v>
      </c>
      <c r="T195" s="77">
        <f t="shared" si="62"/>
        <v>0</v>
      </c>
      <c r="U195" s="79"/>
      <c r="V195" s="77">
        <f t="shared" si="63"/>
        <v>0</v>
      </c>
      <c r="W195" s="77">
        <f>IFERROR(VLOOKUP(A195,DataCoutRevenuAux!W:Y,2,FALSE),0)</f>
        <v>0</v>
      </c>
      <c r="X195" s="77">
        <f>IFERROR(VLOOKUP(A195,DataCoutRevenuAux!W:Y,3,FALSE),0)</f>
        <v>0</v>
      </c>
      <c r="Y195" s="77">
        <f t="shared" si="64"/>
        <v>0</v>
      </c>
      <c r="Z195" s="77">
        <f t="shared" si="65"/>
        <v>0</v>
      </c>
      <c r="AA195" s="77">
        <f t="shared" si="66"/>
        <v>0</v>
      </c>
      <c r="AB195" s="79"/>
      <c r="AC195" s="77">
        <f t="shared" si="67"/>
        <v>0</v>
      </c>
      <c r="AD195" s="77">
        <f t="shared" si="68"/>
        <v>0</v>
      </c>
      <c r="AE195" s="77">
        <f t="shared" si="69"/>
        <v>0</v>
      </c>
      <c r="AF195" s="79"/>
      <c r="AG195" s="6">
        <f t="shared" si="70"/>
        <v>0</v>
      </c>
      <c r="AH195" s="6">
        <f t="shared" si="71"/>
        <v>0</v>
      </c>
      <c r="AI195" s="6">
        <f t="shared" si="72"/>
        <v>0</v>
      </c>
    </row>
    <row r="196" spans="1:35" x14ac:dyDescent="0.3">
      <c r="A196" s="189">
        <f>DataDemande!U229</f>
        <v>0</v>
      </c>
      <c r="B196" s="189" t="str">
        <f t="shared" si="57"/>
        <v>0</v>
      </c>
      <c r="C196" s="189" t="str">
        <f t="shared" si="58"/>
        <v>0</v>
      </c>
      <c r="D196" s="189">
        <f>IFERROR(VLOOKUP(A196,DataCoutRevenuAux!M:Q,5,FALSE),0)</f>
        <v>0</v>
      </c>
      <c r="E196" s="189">
        <f>IFERROR(VLOOKUP(A196,DataDemande!U:Z,2,FALSE),0)</f>
        <v>0</v>
      </c>
      <c r="G196" s="77">
        <f>IFERROR(VLOOKUP(A196,DataDemande!U:Z,3,FALSE),0)</f>
        <v>0</v>
      </c>
      <c r="H196" s="77">
        <f>IFERROR(VLOOKUP($A196,DataDemande!$U:$Z,4,FALSE),0)</f>
        <v>0</v>
      </c>
      <c r="I196" s="77">
        <f>IFERROR(VLOOKUP($A196,DataDemande!$U:$Z,5,FALSE),0)</f>
        <v>0</v>
      </c>
      <c r="J196" s="77">
        <f>IFERROR(VLOOKUP($A196,DataDemande!$U:$Z,6,FALSE),0)</f>
        <v>0</v>
      </c>
      <c r="K196" s="79"/>
      <c r="L196" s="77">
        <f>IFERROR(VLOOKUP($A196,DataPrixBillets!$S:$W,2,FALSE),0)</f>
        <v>0</v>
      </c>
      <c r="M196" s="77">
        <f>IFERROR(VLOOKUP($A196,DataPrixBillets!$S:$W,3,FALSE),0)</f>
        <v>0</v>
      </c>
      <c r="N196" s="77">
        <f>IFERROR(VLOOKUP($A196,DataPrixBillets!$S:$W,4,FALSE),0)</f>
        <v>0</v>
      </c>
      <c r="O196" s="77">
        <f>IFERROR(VLOOKUP($A196,DataPrixBillets!$S:$W,5,FALSE),0)</f>
        <v>0</v>
      </c>
      <c r="P196" s="79"/>
      <c r="Q196" s="77">
        <f t="shared" si="59"/>
        <v>0</v>
      </c>
      <c r="R196" s="77">
        <f t="shared" si="60"/>
        <v>0</v>
      </c>
      <c r="S196" s="77">
        <f t="shared" si="61"/>
        <v>0</v>
      </c>
      <c r="T196" s="77">
        <f t="shared" si="62"/>
        <v>0</v>
      </c>
      <c r="U196" s="79"/>
      <c r="V196" s="77">
        <f t="shared" si="63"/>
        <v>0</v>
      </c>
      <c r="W196" s="77">
        <f>IFERROR(VLOOKUP(A196,DataCoutRevenuAux!W:Y,2,FALSE),0)</f>
        <v>0</v>
      </c>
      <c r="X196" s="77">
        <f>IFERROR(VLOOKUP(A196,DataCoutRevenuAux!W:Y,3,FALSE),0)</f>
        <v>0</v>
      </c>
      <c r="Y196" s="77">
        <f t="shared" si="64"/>
        <v>0</v>
      </c>
      <c r="Z196" s="77">
        <f t="shared" si="65"/>
        <v>0</v>
      </c>
      <c r="AA196" s="77">
        <f t="shared" si="66"/>
        <v>0</v>
      </c>
      <c r="AB196" s="79"/>
      <c r="AC196" s="77">
        <f t="shared" si="67"/>
        <v>0</v>
      </c>
      <c r="AD196" s="77">
        <f t="shared" si="68"/>
        <v>0</v>
      </c>
      <c r="AE196" s="77">
        <f t="shared" si="69"/>
        <v>0</v>
      </c>
      <c r="AF196" s="79"/>
      <c r="AG196" s="6">
        <f t="shared" si="70"/>
        <v>0</v>
      </c>
      <c r="AH196" s="6">
        <f t="shared" si="71"/>
        <v>0</v>
      </c>
      <c r="AI196" s="6">
        <f t="shared" si="72"/>
        <v>0</v>
      </c>
    </row>
    <row r="197" spans="1:35" x14ac:dyDescent="0.3">
      <c r="A197" s="189">
        <f>DataDemande!U230</f>
        <v>0</v>
      </c>
      <c r="B197" s="189" t="str">
        <f t="shared" si="57"/>
        <v>0</v>
      </c>
      <c r="C197" s="189" t="str">
        <f t="shared" si="58"/>
        <v>0</v>
      </c>
      <c r="D197" s="189">
        <f>IFERROR(VLOOKUP(A197,DataCoutRevenuAux!M:Q,5,FALSE),0)</f>
        <v>0</v>
      </c>
      <c r="E197" s="189">
        <f>IFERROR(VLOOKUP(A197,DataDemande!U:Z,2,FALSE),0)</f>
        <v>0</v>
      </c>
      <c r="G197" s="77">
        <f>IFERROR(VLOOKUP(A197,DataDemande!U:Z,3,FALSE),0)</f>
        <v>0</v>
      </c>
      <c r="H197" s="77">
        <f>IFERROR(VLOOKUP($A197,DataDemande!$U:$Z,4,FALSE),0)</f>
        <v>0</v>
      </c>
      <c r="I197" s="77">
        <f>IFERROR(VLOOKUP($A197,DataDemande!$U:$Z,5,FALSE),0)</f>
        <v>0</v>
      </c>
      <c r="J197" s="77">
        <f>IFERROR(VLOOKUP($A197,DataDemande!$U:$Z,6,FALSE),0)</f>
        <v>0</v>
      </c>
      <c r="K197" s="79"/>
      <c r="L197" s="77">
        <f>IFERROR(VLOOKUP($A197,DataPrixBillets!$S:$W,2,FALSE),0)</f>
        <v>0</v>
      </c>
      <c r="M197" s="77">
        <f>IFERROR(VLOOKUP($A197,DataPrixBillets!$S:$W,3,FALSE),0)</f>
        <v>0</v>
      </c>
      <c r="N197" s="77">
        <f>IFERROR(VLOOKUP($A197,DataPrixBillets!$S:$W,4,FALSE),0)</f>
        <v>0</v>
      </c>
      <c r="O197" s="77">
        <f>IFERROR(VLOOKUP($A197,DataPrixBillets!$S:$W,5,FALSE),0)</f>
        <v>0</v>
      </c>
      <c r="P197" s="79"/>
      <c r="Q197" s="77">
        <f t="shared" si="59"/>
        <v>0</v>
      </c>
      <c r="R197" s="77">
        <f t="shared" si="60"/>
        <v>0</v>
      </c>
      <c r="S197" s="77">
        <f t="shared" si="61"/>
        <v>0</v>
      </c>
      <c r="T197" s="77">
        <f t="shared" si="62"/>
        <v>0</v>
      </c>
      <c r="U197" s="79"/>
      <c r="V197" s="77">
        <f t="shared" si="63"/>
        <v>0</v>
      </c>
      <c r="W197" s="77">
        <f>IFERROR(VLOOKUP(A197,DataCoutRevenuAux!W:Y,2,FALSE),0)</f>
        <v>0</v>
      </c>
      <c r="X197" s="77">
        <f>IFERROR(VLOOKUP(A197,DataCoutRevenuAux!W:Y,3,FALSE),0)</f>
        <v>0</v>
      </c>
      <c r="Y197" s="77">
        <f t="shared" si="64"/>
        <v>0</v>
      </c>
      <c r="Z197" s="77">
        <f t="shared" si="65"/>
        <v>0</v>
      </c>
      <c r="AA197" s="77">
        <f t="shared" si="66"/>
        <v>0</v>
      </c>
      <c r="AB197" s="79"/>
      <c r="AC197" s="77">
        <f t="shared" si="67"/>
        <v>0</v>
      </c>
      <c r="AD197" s="77">
        <f t="shared" si="68"/>
        <v>0</v>
      </c>
      <c r="AE197" s="77">
        <f t="shared" si="69"/>
        <v>0</v>
      </c>
      <c r="AF197" s="79"/>
      <c r="AG197" s="6">
        <f t="shared" si="70"/>
        <v>0</v>
      </c>
      <c r="AH197" s="6">
        <f t="shared" si="71"/>
        <v>0</v>
      </c>
      <c r="AI197" s="6">
        <f t="shared" si="72"/>
        <v>0</v>
      </c>
    </row>
    <row r="198" spans="1:35" x14ac:dyDescent="0.3">
      <c r="A198" s="189">
        <f>DataDemande!U231</f>
        <v>0</v>
      </c>
      <c r="B198" s="189" t="str">
        <f t="shared" si="57"/>
        <v>0</v>
      </c>
      <c r="C198" s="189" t="str">
        <f t="shared" si="58"/>
        <v>0</v>
      </c>
      <c r="D198" s="189">
        <f>IFERROR(VLOOKUP(A198,DataCoutRevenuAux!M:Q,5,FALSE),0)</f>
        <v>0</v>
      </c>
      <c r="E198" s="189">
        <f>IFERROR(VLOOKUP(A198,DataDemande!U:Z,2,FALSE),0)</f>
        <v>0</v>
      </c>
      <c r="G198" s="77">
        <f>IFERROR(VLOOKUP(A198,DataDemande!U:Z,3,FALSE),0)</f>
        <v>0</v>
      </c>
      <c r="H198" s="77">
        <f>IFERROR(VLOOKUP($A198,DataDemande!$U:$Z,4,FALSE),0)</f>
        <v>0</v>
      </c>
      <c r="I198" s="77">
        <f>IFERROR(VLOOKUP($A198,DataDemande!$U:$Z,5,FALSE),0)</f>
        <v>0</v>
      </c>
      <c r="J198" s="77">
        <f>IFERROR(VLOOKUP($A198,DataDemande!$U:$Z,6,FALSE),0)</f>
        <v>0</v>
      </c>
      <c r="K198" s="79"/>
      <c r="L198" s="77">
        <f>IFERROR(VLOOKUP($A198,DataPrixBillets!$S:$W,2,FALSE),0)</f>
        <v>0</v>
      </c>
      <c r="M198" s="77">
        <f>IFERROR(VLOOKUP($A198,DataPrixBillets!$S:$W,3,FALSE),0)</f>
        <v>0</v>
      </c>
      <c r="N198" s="77">
        <f>IFERROR(VLOOKUP($A198,DataPrixBillets!$S:$W,4,FALSE),0)</f>
        <v>0</v>
      </c>
      <c r="O198" s="77">
        <f>IFERROR(VLOOKUP($A198,DataPrixBillets!$S:$W,5,FALSE),0)</f>
        <v>0</v>
      </c>
      <c r="P198" s="79"/>
      <c r="Q198" s="77">
        <f t="shared" si="59"/>
        <v>0</v>
      </c>
      <c r="R198" s="77">
        <f t="shared" si="60"/>
        <v>0</v>
      </c>
      <c r="S198" s="77">
        <f t="shared" si="61"/>
        <v>0</v>
      </c>
      <c r="T198" s="77">
        <f t="shared" si="62"/>
        <v>0</v>
      </c>
      <c r="U198" s="79"/>
      <c r="V198" s="77">
        <f t="shared" si="63"/>
        <v>0</v>
      </c>
      <c r="W198" s="77">
        <f>IFERROR(VLOOKUP(A198,DataCoutRevenuAux!W:Y,2,FALSE),0)</f>
        <v>0</v>
      </c>
      <c r="X198" s="77">
        <f>IFERROR(VLOOKUP(A198,DataCoutRevenuAux!W:Y,3,FALSE),0)</f>
        <v>0</v>
      </c>
      <c r="Y198" s="77">
        <f t="shared" si="64"/>
        <v>0</v>
      </c>
      <c r="Z198" s="77">
        <f t="shared" si="65"/>
        <v>0</v>
      </c>
      <c r="AA198" s="77">
        <f t="shared" si="66"/>
        <v>0</v>
      </c>
      <c r="AB198" s="79"/>
      <c r="AC198" s="77">
        <f t="shared" si="67"/>
        <v>0</v>
      </c>
      <c r="AD198" s="77">
        <f t="shared" si="68"/>
        <v>0</v>
      </c>
      <c r="AE198" s="77">
        <f t="shared" si="69"/>
        <v>0</v>
      </c>
      <c r="AF198" s="79"/>
      <c r="AG198" s="6">
        <f t="shared" si="70"/>
        <v>0</v>
      </c>
      <c r="AH198" s="6">
        <f t="shared" si="71"/>
        <v>0</v>
      </c>
      <c r="AI198" s="6">
        <f t="shared" si="72"/>
        <v>0</v>
      </c>
    </row>
    <row r="199" spans="1:35" x14ac:dyDescent="0.3">
      <c r="A199" s="189">
        <f>DataDemande!U232</f>
        <v>0</v>
      </c>
      <c r="B199" s="189" t="str">
        <f t="shared" si="57"/>
        <v>0</v>
      </c>
      <c r="C199" s="189" t="str">
        <f t="shared" si="58"/>
        <v>0</v>
      </c>
      <c r="D199" s="189">
        <f>IFERROR(VLOOKUP(A199,DataCoutRevenuAux!M:Q,5,FALSE),0)</f>
        <v>0</v>
      </c>
      <c r="E199" s="189">
        <f>IFERROR(VLOOKUP(A199,DataDemande!U:Z,2,FALSE),0)</f>
        <v>0</v>
      </c>
      <c r="G199" s="77">
        <f>IFERROR(VLOOKUP(A199,DataDemande!U:Z,3,FALSE),0)</f>
        <v>0</v>
      </c>
      <c r="H199" s="77">
        <f>IFERROR(VLOOKUP($A199,DataDemande!$U:$Z,4,FALSE),0)</f>
        <v>0</v>
      </c>
      <c r="I199" s="77">
        <f>IFERROR(VLOOKUP($A199,DataDemande!$U:$Z,5,FALSE),0)</f>
        <v>0</v>
      </c>
      <c r="J199" s="77">
        <f>IFERROR(VLOOKUP($A199,DataDemande!$U:$Z,6,FALSE),0)</f>
        <v>0</v>
      </c>
      <c r="K199" s="79"/>
      <c r="L199" s="77">
        <f>IFERROR(VLOOKUP($A199,DataPrixBillets!$S:$W,2,FALSE),0)</f>
        <v>0</v>
      </c>
      <c r="M199" s="77">
        <f>IFERROR(VLOOKUP($A199,DataPrixBillets!$S:$W,3,FALSE),0)</f>
        <v>0</v>
      </c>
      <c r="N199" s="77">
        <f>IFERROR(VLOOKUP($A199,DataPrixBillets!$S:$W,4,FALSE),0)</f>
        <v>0</v>
      </c>
      <c r="O199" s="77">
        <f>IFERROR(VLOOKUP($A199,DataPrixBillets!$S:$W,5,FALSE),0)</f>
        <v>0</v>
      </c>
      <c r="P199" s="79"/>
      <c r="Q199" s="77">
        <f t="shared" si="59"/>
        <v>0</v>
      </c>
      <c r="R199" s="77">
        <f t="shared" si="60"/>
        <v>0</v>
      </c>
      <c r="S199" s="77">
        <f t="shared" si="61"/>
        <v>0</v>
      </c>
      <c r="T199" s="77">
        <f t="shared" si="62"/>
        <v>0</v>
      </c>
      <c r="U199" s="79"/>
      <c r="V199" s="77">
        <f t="shared" si="63"/>
        <v>0</v>
      </c>
      <c r="W199" s="77">
        <f>IFERROR(VLOOKUP(A199,DataCoutRevenuAux!W:Y,2,FALSE),0)</f>
        <v>0</v>
      </c>
      <c r="X199" s="77">
        <f>IFERROR(VLOOKUP(A199,DataCoutRevenuAux!W:Y,3,FALSE),0)</f>
        <v>0</v>
      </c>
      <c r="Y199" s="77">
        <f t="shared" si="64"/>
        <v>0</v>
      </c>
      <c r="Z199" s="77">
        <f t="shared" si="65"/>
        <v>0</v>
      </c>
      <c r="AA199" s="77">
        <f t="shared" si="66"/>
        <v>0</v>
      </c>
      <c r="AB199" s="79"/>
      <c r="AC199" s="77">
        <f t="shared" si="67"/>
        <v>0</v>
      </c>
      <c r="AD199" s="77">
        <f t="shared" si="68"/>
        <v>0</v>
      </c>
      <c r="AE199" s="77">
        <f t="shared" si="69"/>
        <v>0</v>
      </c>
      <c r="AF199" s="79"/>
      <c r="AG199" s="6">
        <f t="shared" si="70"/>
        <v>0</v>
      </c>
      <c r="AH199" s="6">
        <f t="shared" si="71"/>
        <v>0</v>
      </c>
      <c r="AI199" s="6">
        <f t="shared" si="72"/>
        <v>0</v>
      </c>
    </row>
    <row r="200" spans="1:35" x14ac:dyDescent="0.3">
      <c r="A200" s="189">
        <f>DataDemande!U233</f>
        <v>0</v>
      </c>
      <c r="B200" s="189" t="str">
        <f t="shared" si="57"/>
        <v>0</v>
      </c>
      <c r="C200" s="189" t="str">
        <f t="shared" si="58"/>
        <v>0</v>
      </c>
      <c r="D200" s="189">
        <f>IFERROR(VLOOKUP(A200,DataCoutRevenuAux!M:Q,5,FALSE),0)</f>
        <v>0</v>
      </c>
      <c r="E200" s="189">
        <f>IFERROR(VLOOKUP(A200,DataDemande!U:Z,2,FALSE),0)</f>
        <v>0</v>
      </c>
      <c r="G200" s="77">
        <f>IFERROR(VLOOKUP(A200,DataDemande!U:Z,3,FALSE),0)</f>
        <v>0</v>
      </c>
      <c r="H200" s="77">
        <f>IFERROR(VLOOKUP($A200,DataDemande!$U:$Z,4,FALSE),0)</f>
        <v>0</v>
      </c>
      <c r="I200" s="77">
        <f>IFERROR(VLOOKUP($A200,DataDemande!$U:$Z,5,FALSE),0)</f>
        <v>0</v>
      </c>
      <c r="J200" s="77">
        <f>IFERROR(VLOOKUP($A200,DataDemande!$U:$Z,6,FALSE),0)</f>
        <v>0</v>
      </c>
      <c r="K200" s="79"/>
      <c r="L200" s="77">
        <f>IFERROR(VLOOKUP($A200,DataPrixBillets!$S:$W,2,FALSE),0)</f>
        <v>0</v>
      </c>
      <c r="M200" s="77">
        <f>IFERROR(VLOOKUP($A200,DataPrixBillets!$S:$W,3,FALSE),0)</f>
        <v>0</v>
      </c>
      <c r="N200" s="77">
        <f>IFERROR(VLOOKUP($A200,DataPrixBillets!$S:$W,4,FALSE),0)</f>
        <v>0</v>
      </c>
      <c r="O200" s="77">
        <f>IFERROR(VLOOKUP($A200,DataPrixBillets!$S:$W,5,FALSE),0)</f>
        <v>0</v>
      </c>
      <c r="P200" s="79"/>
      <c r="Q200" s="77">
        <f t="shared" si="59"/>
        <v>0</v>
      </c>
      <c r="R200" s="77">
        <f t="shared" si="60"/>
        <v>0</v>
      </c>
      <c r="S200" s="77">
        <f t="shared" si="61"/>
        <v>0</v>
      </c>
      <c r="T200" s="77">
        <f t="shared" si="62"/>
        <v>0</v>
      </c>
      <c r="U200" s="79"/>
      <c r="V200" s="77">
        <f t="shared" si="63"/>
        <v>0</v>
      </c>
      <c r="W200" s="77">
        <f>IFERROR(VLOOKUP(A200,DataCoutRevenuAux!W:Y,2,FALSE),0)</f>
        <v>0</v>
      </c>
      <c r="X200" s="77">
        <f>IFERROR(VLOOKUP(A200,DataCoutRevenuAux!W:Y,3,FALSE),0)</f>
        <v>0</v>
      </c>
      <c r="Y200" s="77">
        <f t="shared" si="64"/>
        <v>0</v>
      </c>
      <c r="Z200" s="77">
        <f t="shared" si="65"/>
        <v>0</v>
      </c>
      <c r="AA200" s="77">
        <f t="shared" si="66"/>
        <v>0</v>
      </c>
      <c r="AB200" s="79"/>
      <c r="AC200" s="77">
        <f t="shared" si="67"/>
        <v>0</v>
      </c>
      <c r="AD200" s="77">
        <f t="shared" si="68"/>
        <v>0</v>
      </c>
      <c r="AE200" s="77">
        <f t="shared" si="69"/>
        <v>0</v>
      </c>
      <c r="AF200" s="79"/>
      <c r="AG200" s="6">
        <f t="shared" si="70"/>
        <v>0</v>
      </c>
      <c r="AH200" s="6">
        <f t="shared" si="71"/>
        <v>0</v>
      </c>
      <c r="AI200" s="6">
        <f t="shared" si="72"/>
        <v>0</v>
      </c>
    </row>
    <row r="201" spans="1:35" x14ac:dyDescent="0.3">
      <c r="A201" s="189">
        <f>DataDemande!U234</f>
        <v>0</v>
      </c>
      <c r="B201" s="189" t="str">
        <f t="shared" si="57"/>
        <v>0</v>
      </c>
      <c r="C201" s="189" t="str">
        <f t="shared" si="58"/>
        <v>0</v>
      </c>
      <c r="D201" s="189">
        <f>IFERROR(VLOOKUP(A201,DataCoutRevenuAux!M:Q,5,FALSE),0)</f>
        <v>0</v>
      </c>
      <c r="E201" s="189">
        <f>IFERROR(VLOOKUP(A201,DataDemande!U:Z,2,FALSE),0)</f>
        <v>0</v>
      </c>
      <c r="G201" s="77">
        <f>IFERROR(VLOOKUP(A201,DataDemande!U:Z,3,FALSE),0)</f>
        <v>0</v>
      </c>
      <c r="H201" s="77">
        <f>IFERROR(VLOOKUP($A201,DataDemande!$U:$Z,4,FALSE),0)</f>
        <v>0</v>
      </c>
      <c r="I201" s="77">
        <f>IFERROR(VLOOKUP($A201,DataDemande!$U:$Z,5,FALSE),0)</f>
        <v>0</v>
      </c>
      <c r="J201" s="77">
        <f>IFERROR(VLOOKUP($A201,DataDemande!$U:$Z,6,FALSE),0)</f>
        <v>0</v>
      </c>
      <c r="K201" s="79"/>
      <c r="L201" s="77">
        <f>IFERROR(VLOOKUP($A201,DataPrixBillets!$S:$W,2,FALSE),0)</f>
        <v>0</v>
      </c>
      <c r="M201" s="77">
        <f>IFERROR(VLOOKUP($A201,DataPrixBillets!$S:$W,3,FALSE),0)</f>
        <v>0</v>
      </c>
      <c r="N201" s="77">
        <f>IFERROR(VLOOKUP($A201,DataPrixBillets!$S:$W,4,FALSE),0)</f>
        <v>0</v>
      </c>
      <c r="O201" s="77">
        <f>IFERROR(VLOOKUP($A201,DataPrixBillets!$S:$W,5,FALSE),0)</f>
        <v>0</v>
      </c>
      <c r="P201" s="79"/>
      <c r="Q201" s="77">
        <f t="shared" si="59"/>
        <v>0</v>
      </c>
      <c r="R201" s="77">
        <f t="shared" si="60"/>
        <v>0</v>
      </c>
      <c r="S201" s="77">
        <f t="shared" si="61"/>
        <v>0</v>
      </c>
      <c r="T201" s="77">
        <f t="shared" si="62"/>
        <v>0</v>
      </c>
      <c r="U201" s="79"/>
      <c r="V201" s="77">
        <f t="shared" si="63"/>
        <v>0</v>
      </c>
      <c r="W201" s="77">
        <f>IFERROR(VLOOKUP(A201,DataCoutRevenuAux!W:Y,2,FALSE),0)</f>
        <v>0</v>
      </c>
      <c r="X201" s="77">
        <f>IFERROR(VLOOKUP(A201,DataCoutRevenuAux!W:Y,3,FALSE),0)</f>
        <v>0</v>
      </c>
      <c r="Y201" s="77">
        <f t="shared" si="64"/>
        <v>0</v>
      </c>
      <c r="Z201" s="77">
        <f t="shared" si="65"/>
        <v>0</v>
      </c>
      <c r="AA201" s="77">
        <f t="shared" si="66"/>
        <v>0</v>
      </c>
      <c r="AB201" s="79"/>
      <c r="AC201" s="77">
        <f t="shared" si="67"/>
        <v>0</v>
      </c>
      <c r="AD201" s="77">
        <f t="shared" si="68"/>
        <v>0</v>
      </c>
      <c r="AE201" s="77">
        <f t="shared" si="69"/>
        <v>0</v>
      </c>
      <c r="AF201" s="79"/>
      <c r="AG201" s="6">
        <f t="shared" si="70"/>
        <v>0</v>
      </c>
      <c r="AH201" s="6">
        <f t="shared" si="71"/>
        <v>0</v>
      </c>
      <c r="AI201" s="6">
        <f t="shared" si="72"/>
        <v>0</v>
      </c>
    </row>
    <row r="202" spans="1:35" x14ac:dyDescent="0.3">
      <c r="A202" s="189">
        <f>DataDemande!U235</f>
        <v>0</v>
      </c>
      <c r="B202" s="189" t="str">
        <f t="shared" si="57"/>
        <v>0</v>
      </c>
      <c r="C202" s="189" t="str">
        <f t="shared" si="58"/>
        <v>0</v>
      </c>
      <c r="D202" s="189">
        <f>IFERROR(VLOOKUP(A202,DataCoutRevenuAux!M:Q,5,FALSE),0)</f>
        <v>0</v>
      </c>
      <c r="E202" s="189">
        <f>IFERROR(VLOOKUP(A202,DataDemande!U:Z,2,FALSE),0)</f>
        <v>0</v>
      </c>
      <c r="G202" s="77">
        <f>IFERROR(VLOOKUP(A202,DataDemande!U:Z,3,FALSE),0)</f>
        <v>0</v>
      </c>
      <c r="H202" s="77">
        <f>IFERROR(VLOOKUP($A202,DataDemande!$U:$Z,4,FALSE),0)</f>
        <v>0</v>
      </c>
      <c r="I202" s="77">
        <f>IFERROR(VLOOKUP($A202,DataDemande!$U:$Z,5,FALSE),0)</f>
        <v>0</v>
      </c>
      <c r="J202" s="77">
        <f>IFERROR(VLOOKUP($A202,DataDemande!$U:$Z,6,FALSE),0)</f>
        <v>0</v>
      </c>
      <c r="K202" s="79"/>
      <c r="L202" s="77">
        <f>IFERROR(VLOOKUP($A202,DataPrixBillets!$S:$W,2,FALSE),0)</f>
        <v>0</v>
      </c>
      <c r="M202" s="77">
        <f>IFERROR(VLOOKUP($A202,DataPrixBillets!$S:$W,3,FALSE),0)</f>
        <v>0</v>
      </c>
      <c r="N202" s="77">
        <f>IFERROR(VLOOKUP($A202,DataPrixBillets!$S:$W,4,FALSE),0)</f>
        <v>0</v>
      </c>
      <c r="O202" s="77">
        <f>IFERROR(VLOOKUP($A202,DataPrixBillets!$S:$W,5,FALSE),0)</f>
        <v>0</v>
      </c>
      <c r="P202" s="79"/>
      <c r="Q202" s="77">
        <f t="shared" si="59"/>
        <v>0</v>
      </c>
      <c r="R202" s="77">
        <f t="shared" si="60"/>
        <v>0</v>
      </c>
      <c r="S202" s="77">
        <f t="shared" si="61"/>
        <v>0</v>
      </c>
      <c r="T202" s="77">
        <f t="shared" si="62"/>
        <v>0</v>
      </c>
      <c r="U202" s="79"/>
      <c r="V202" s="77">
        <f t="shared" si="63"/>
        <v>0</v>
      </c>
      <c r="W202" s="77">
        <f>IFERROR(VLOOKUP(A202,DataCoutRevenuAux!W:Y,2,FALSE),0)</f>
        <v>0</v>
      </c>
      <c r="X202" s="77">
        <f>IFERROR(VLOOKUP(A202,DataCoutRevenuAux!W:Y,3,FALSE),0)</f>
        <v>0</v>
      </c>
      <c r="Y202" s="77">
        <f t="shared" si="64"/>
        <v>0</v>
      </c>
      <c r="Z202" s="77">
        <f t="shared" si="65"/>
        <v>0</v>
      </c>
      <c r="AA202" s="77">
        <f t="shared" si="66"/>
        <v>0</v>
      </c>
      <c r="AB202" s="79"/>
      <c r="AC202" s="77">
        <f t="shared" si="67"/>
        <v>0</v>
      </c>
      <c r="AD202" s="77">
        <f t="shared" si="68"/>
        <v>0</v>
      </c>
      <c r="AE202" s="77">
        <f t="shared" si="69"/>
        <v>0</v>
      </c>
      <c r="AF202" s="79"/>
      <c r="AG202" s="6">
        <f t="shared" si="70"/>
        <v>0</v>
      </c>
      <c r="AH202" s="6">
        <f t="shared" si="71"/>
        <v>0</v>
      </c>
      <c r="AI202" s="6">
        <f t="shared" si="72"/>
        <v>0</v>
      </c>
    </row>
    <row r="203" spans="1:35" x14ac:dyDescent="0.3">
      <c r="A203" s="189">
        <f>DataDemande!U236</f>
        <v>0</v>
      </c>
      <c r="B203" s="189" t="str">
        <f t="shared" si="57"/>
        <v>0</v>
      </c>
      <c r="C203" s="189" t="str">
        <f t="shared" si="58"/>
        <v>0</v>
      </c>
      <c r="D203" s="189">
        <f>IFERROR(VLOOKUP(A203,DataCoutRevenuAux!M:Q,5,FALSE),0)</f>
        <v>0</v>
      </c>
      <c r="E203" s="189">
        <f>IFERROR(VLOOKUP(A203,DataDemande!U:Z,2,FALSE),0)</f>
        <v>0</v>
      </c>
      <c r="G203" s="77">
        <f>IFERROR(VLOOKUP(A203,DataDemande!U:Z,3,FALSE),0)</f>
        <v>0</v>
      </c>
      <c r="H203" s="77">
        <f>IFERROR(VLOOKUP($A203,DataDemande!$U:$Z,4,FALSE),0)</f>
        <v>0</v>
      </c>
      <c r="I203" s="77">
        <f>IFERROR(VLOOKUP($A203,DataDemande!$U:$Z,5,FALSE),0)</f>
        <v>0</v>
      </c>
      <c r="J203" s="77">
        <f>IFERROR(VLOOKUP($A203,DataDemande!$U:$Z,6,FALSE),0)</f>
        <v>0</v>
      </c>
      <c r="K203" s="79"/>
      <c r="L203" s="77">
        <f>IFERROR(VLOOKUP($A203,DataPrixBillets!$S:$W,2,FALSE),0)</f>
        <v>0</v>
      </c>
      <c r="M203" s="77">
        <f>IFERROR(VLOOKUP($A203,DataPrixBillets!$S:$W,3,FALSE),0)</f>
        <v>0</v>
      </c>
      <c r="N203" s="77">
        <f>IFERROR(VLOOKUP($A203,DataPrixBillets!$S:$W,4,FALSE),0)</f>
        <v>0</v>
      </c>
      <c r="O203" s="77">
        <f>IFERROR(VLOOKUP($A203,DataPrixBillets!$S:$W,5,FALSE),0)</f>
        <v>0</v>
      </c>
      <c r="P203" s="79"/>
      <c r="Q203" s="77">
        <f t="shared" si="59"/>
        <v>0</v>
      </c>
      <c r="R203" s="77">
        <f t="shared" si="60"/>
        <v>0</v>
      </c>
      <c r="S203" s="77">
        <f t="shared" si="61"/>
        <v>0</v>
      </c>
      <c r="T203" s="77">
        <f t="shared" si="62"/>
        <v>0</v>
      </c>
      <c r="U203" s="79"/>
      <c r="V203" s="77">
        <f t="shared" si="63"/>
        <v>0</v>
      </c>
      <c r="W203" s="77">
        <f>IFERROR(VLOOKUP(A203,DataCoutRevenuAux!W:Y,2,FALSE),0)</f>
        <v>0</v>
      </c>
      <c r="X203" s="77">
        <f>IFERROR(VLOOKUP(A203,DataCoutRevenuAux!W:Y,3,FALSE),0)</f>
        <v>0</v>
      </c>
      <c r="Y203" s="77">
        <f t="shared" si="64"/>
        <v>0</v>
      </c>
      <c r="Z203" s="77">
        <f t="shared" si="65"/>
        <v>0</v>
      </c>
      <c r="AA203" s="77">
        <f t="shared" si="66"/>
        <v>0</v>
      </c>
      <c r="AB203" s="79"/>
      <c r="AC203" s="77">
        <f t="shared" si="67"/>
        <v>0</v>
      </c>
      <c r="AD203" s="77">
        <f t="shared" si="68"/>
        <v>0</v>
      </c>
      <c r="AE203" s="77">
        <f t="shared" si="69"/>
        <v>0</v>
      </c>
      <c r="AF203" s="79"/>
      <c r="AG203" s="6">
        <f t="shared" si="70"/>
        <v>0</v>
      </c>
      <c r="AH203" s="6">
        <f t="shared" si="71"/>
        <v>0</v>
      </c>
      <c r="AI203" s="6">
        <f t="shared" si="72"/>
        <v>0</v>
      </c>
    </row>
    <row r="204" spans="1:35" x14ac:dyDescent="0.3">
      <c r="A204" s="189">
        <f>DataDemande!U237</f>
        <v>0</v>
      </c>
      <c r="B204" s="189" t="str">
        <f t="shared" si="57"/>
        <v>0</v>
      </c>
      <c r="C204" s="189" t="str">
        <f t="shared" si="58"/>
        <v>0</v>
      </c>
      <c r="D204" s="189">
        <f>IFERROR(VLOOKUP(A204,DataCoutRevenuAux!M:Q,5,FALSE),0)</f>
        <v>0</v>
      </c>
      <c r="E204" s="189">
        <f>IFERROR(VLOOKUP(A204,DataDemande!U:Z,2,FALSE),0)</f>
        <v>0</v>
      </c>
      <c r="G204" s="77">
        <f>IFERROR(VLOOKUP(A204,DataDemande!U:Z,3,FALSE),0)</f>
        <v>0</v>
      </c>
      <c r="H204" s="77">
        <f>IFERROR(VLOOKUP($A204,DataDemande!$U:$Z,4,FALSE),0)</f>
        <v>0</v>
      </c>
      <c r="I204" s="77">
        <f>IFERROR(VLOOKUP($A204,DataDemande!$U:$Z,5,FALSE),0)</f>
        <v>0</v>
      </c>
      <c r="J204" s="77">
        <f>IFERROR(VLOOKUP($A204,DataDemande!$U:$Z,6,FALSE),0)</f>
        <v>0</v>
      </c>
      <c r="K204" s="79"/>
      <c r="L204" s="77">
        <f>IFERROR(VLOOKUP($A204,DataPrixBillets!$S:$W,2,FALSE),0)</f>
        <v>0</v>
      </c>
      <c r="M204" s="77">
        <f>IFERROR(VLOOKUP($A204,DataPrixBillets!$S:$W,3,FALSE),0)</f>
        <v>0</v>
      </c>
      <c r="N204" s="77">
        <f>IFERROR(VLOOKUP($A204,DataPrixBillets!$S:$W,4,FALSE),0)</f>
        <v>0</v>
      </c>
      <c r="O204" s="77">
        <f>IFERROR(VLOOKUP($A204,DataPrixBillets!$S:$W,5,FALSE),0)</f>
        <v>0</v>
      </c>
      <c r="P204" s="79"/>
      <c r="Q204" s="77">
        <f t="shared" si="59"/>
        <v>0</v>
      </c>
      <c r="R204" s="77">
        <f t="shared" si="60"/>
        <v>0</v>
      </c>
      <c r="S204" s="77">
        <f t="shared" si="61"/>
        <v>0</v>
      </c>
      <c r="T204" s="77">
        <f t="shared" si="62"/>
        <v>0</v>
      </c>
      <c r="U204" s="79"/>
      <c r="V204" s="77">
        <f t="shared" si="63"/>
        <v>0</v>
      </c>
      <c r="W204" s="77">
        <f>IFERROR(VLOOKUP(A204,DataCoutRevenuAux!W:Y,2,FALSE),0)</f>
        <v>0</v>
      </c>
      <c r="X204" s="77">
        <f>IFERROR(VLOOKUP(A204,DataCoutRevenuAux!W:Y,3,FALSE),0)</f>
        <v>0</v>
      </c>
      <c r="Y204" s="77">
        <f t="shared" si="64"/>
        <v>0</v>
      </c>
      <c r="Z204" s="77">
        <f t="shared" si="65"/>
        <v>0</v>
      </c>
      <c r="AA204" s="77">
        <f t="shared" si="66"/>
        <v>0</v>
      </c>
      <c r="AB204" s="79"/>
      <c r="AC204" s="77">
        <f t="shared" si="67"/>
        <v>0</v>
      </c>
      <c r="AD204" s="77">
        <f t="shared" si="68"/>
        <v>0</v>
      </c>
      <c r="AE204" s="77">
        <f t="shared" si="69"/>
        <v>0</v>
      </c>
      <c r="AF204" s="79"/>
      <c r="AG204" s="6">
        <f t="shared" si="70"/>
        <v>0</v>
      </c>
      <c r="AH204" s="6">
        <f t="shared" si="71"/>
        <v>0</v>
      </c>
      <c r="AI204" s="6">
        <f t="shared" si="72"/>
        <v>0</v>
      </c>
    </row>
    <row r="205" spans="1:35" x14ac:dyDescent="0.3">
      <c r="A205" s="189">
        <f>DataDemande!U238</f>
        <v>0</v>
      </c>
      <c r="B205" s="189" t="str">
        <f t="shared" si="57"/>
        <v>0</v>
      </c>
      <c r="C205" s="189" t="str">
        <f t="shared" si="58"/>
        <v>0</v>
      </c>
      <c r="D205" s="189">
        <f>IFERROR(VLOOKUP(A205,DataCoutRevenuAux!M:Q,5,FALSE),0)</f>
        <v>0</v>
      </c>
      <c r="E205" s="189">
        <f>IFERROR(VLOOKUP(A205,DataDemande!U:Z,2,FALSE),0)</f>
        <v>0</v>
      </c>
      <c r="G205" s="77">
        <f>IFERROR(VLOOKUP(A205,DataDemande!U:Z,3,FALSE),0)</f>
        <v>0</v>
      </c>
      <c r="H205" s="77">
        <f>IFERROR(VLOOKUP($A205,DataDemande!$U:$Z,4,FALSE),0)</f>
        <v>0</v>
      </c>
      <c r="I205" s="77">
        <f>IFERROR(VLOOKUP($A205,DataDemande!$U:$Z,5,FALSE),0)</f>
        <v>0</v>
      </c>
      <c r="J205" s="77">
        <f>IFERROR(VLOOKUP($A205,DataDemande!$U:$Z,6,FALSE),0)</f>
        <v>0</v>
      </c>
      <c r="K205" s="79"/>
      <c r="L205" s="77">
        <f>IFERROR(VLOOKUP($A205,DataPrixBillets!$S:$W,2,FALSE),0)</f>
        <v>0</v>
      </c>
      <c r="M205" s="77">
        <f>IFERROR(VLOOKUP($A205,DataPrixBillets!$S:$W,3,FALSE),0)</f>
        <v>0</v>
      </c>
      <c r="N205" s="77">
        <f>IFERROR(VLOOKUP($A205,DataPrixBillets!$S:$W,4,FALSE),0)</f>
        <v>0</v>
      </c>
      <c r="O205" s="77">
        <f>IFERROR(VLOOKUP($A205,DataPrixBillets!$S:$W,5,FALSE),0)</f>
        <v>0</v>
      </c>
      <c r="P205" s="79"/>
      <c r="Q205" s="77">
        <f t="shared" si="59"/>
        <v>0</v>
      </c>
      <c r="R205" s="77">
        <f t="shared" si="60"/>
        <v>0</v>
      </c>
      <c r="S205" s="77">
        <f t="shared" si="61"/>
        <v>0</v>
      </c>
      <c r="T205" s="77">
        <f t="shared" si="62"/>
        <v>0</v>
      </c>
      <c r="U205" s="79"/>
      <c r="V205" s="77">
        <f t="shared" si="63"/>
        <v>0</v>
      </c>
      <c r="W205" s="77">
        <f>IFERROR(VLOOKUP(A205,DataCoutRevenuAux!W:Y,2,FALSE),0)</f>
        <v>0</v>
      </c>
      <c r="X205" s="77">
        <f>IFERROR(VLOOKUP(A205,DataCoutRevenuAux!W:Y,3,FALSE),0)</f>
        <v>0</v>
      </c>
      <c r="Y205" s="77">
        <f t="shared" si="64"/>
        <v>0</v>
      </c>
      <c r="Z205" s="77">
        <f t="shared" si="65"/>
        <v>0</v>
      </c>
      <c r="AA205" s="77">
        <f t="shared" si="66"/>
        <v>0</v>
      </c>
      <c r="AB205" s="79"/>
      <c r="AC205" s="77">
        <f t="shared" si="67"/>
        <v>0</v>
      </c>
      <c r="AD205" s="77">
        <f t="shared" si="68"/>
        <v>0</v>
      </c>
      <c r="AE205" s="77">
        <f t="shared" si="69"/>
        <v>0</v>
      </c>
      <c r="AF205" s="79"/>
      <c r="AG205" s="6">
        <f t="shared" si="70"/>
        <v>0</v>
      </c>
      <c r="AH205" s="6">
        <f t="shared" si="71"/>
        <v>0</v>
      </c>
      <c r="AI205" s="6">
        <f t="shared" si="72"/>
        <v>0</v>
      </c>
    </row>
    <row r="206" spans="1:35" x14ac:dyDescent="0.3">
      <c r="A206" s="189">
        <f>DataDemande!U239</f>
        <v>0</v>
      </c>
      <c r="B206" s="189" t="str">
        <f t="shared" si="57"/>
        <v>0</v>
      </c>
      <c r="C206" s="189" t="str">
        <f t="shared" si="58"/>
        <v>0</v>
      </c>
      <c r="D206" s="189">
        <f>IFERROR(VLOOKUP(A206,DataCoutRevenuAux!M:Q,5,FALSE),0)</f>
        <v>0</v>
      </c>
      <c r="E206" s="189">
        <f>IFERROR(VLOOKUP(A206,DataDemande!U:Z,2,FALSE),0)</f>
        <v>0</v>
      </c>
      <c r="G206" s="77">
        <f>IFERROR(VLOOKUP(A206,DataDemande!U:Z,3,FALSE),0)</f>
        <v>0</v>
      </c>
      <c r="H206" s="77">
        <f>IFERROR(VLOOKUP($A206,DataDemande!$U:$Z,4,FALSE),0)</f>
        <v>0</v>
      </c>
      <c r="I206" s="77">
        <f>IFERROR(VLOOKUP($A206,DataDemande!$U:$Z,5,FALSE),0)</f>
        <v>0</v>
      </c>
      <c r="J206" s="77">
        <f>IFERROR(VLOOKUP($A206,DataDemande!$U:$Z,6,FALSE),0)</f>
        <v>0</v>
      </c>
      <c r="K206" s="79"/>
      <c r="L206" s="77">
        <f>IFERROR(VLOOKUP($A206,DataPrixBillets!$S:$W,2,FALSE),0)</f>
        <v>0</v>
      </c>
      <c r="M206" s="77">
        <f>IFERROR(VLOOKUP($A206,DataPrixBillets!$S:$W,3,FALSE),0)</f>
        <v>0</v>
      </c>
      <c r="N206" s="77">
        <f>IFERROR(VLOOKUP($A206,DataPrixBillets!$S:$W,4,FALSE),0)</f>
        <v>0</v>
      </c>
      <c r="O206" s="77">
        <f>IFERROR(VLOOKUP($A206,DataPrixBillets!$S:$W,5,FALSE),0)</f>
        <v>0</v>
      </c>
      <c r="P206" s="79"/>
      <c r="Q206" s="77">
        <f t="shared" si="59"/>
        <v>0</v>
      </c>
      <c r="R206" s="77">
        <f t="shared" si="60"/>
        <v>0</v>
      </c>
      <c r="S206" s="77">
        <f t="shared" si="61"/>
        <v>0</v>
      </c>
      <c r="T206" s="77">
        <f t="shared" si="62"/>
        <v>0</v>
      </c>
      <c r="U206" s="79"/>
      <c r="V206" s="77">
        <f t="shared" si="63"/>
        <v>0</v>
      </c>
      <c r="W206" s="77">
        <f>IFERROR(VLOOKUP(A206,DataCoutRevenuAux!W:Y,2,FALSE),0)</f>
        <v>0</v>
      </c>
      <c r="X206" s="77">
        <f>IFERROR(VLOOKUP(A206,DataCoutRevenuAux!W:Y,3,FALSE),0)</f>
        <v>0</v>
      </c>
      <c r="Y206" s="77">
        <f t="shared" si="64"/>
        <v>0</v>
      </c>
      <c r="Z206" s="77">
        <f t="shared" si="65"/>
        <v>0</v>
      </c>
      <c r="AA206" s="77">
        <f t="shared" si="66"/>
        <v>0</v>
      </c>
      <c r="AB206" s="79"/>
      <c r="AC206" s="77">
        <f t="shared" si="67"/>
        <v>0</v>
      </c>
      <c r="AD206" s="77">
        <f t="shared" si="68"/>
        <v>0</v>
      </c>
      <c r="AE206" s="77">
        <f t="shared" si="69"/>
        <v>0</v>
      </c>
      <c r="AF206" s="79"/>
      <c r="AG206" s="6">
        <f t="shared" si="70"/>
        <v>0</v>
      </c>
      <c r="AH206" s="6">
        <f t="shared" si="71"/>
        <v>0</v>
      </c>
      <c r="AI206" s="6">
        <f t="shared" si="72"/>
        <v>0</v>
      </c>
    </row>
    <row r="207" spans="1:35" x14ac:dyDescent="0.3">
      <c r="A207" s="189">
        <f>DataDemande!U240</f>
        <v>0</v>
      </c>
      <c r="B207" s="189" t="str">
        <f t="shared" si="57"/>
        <v>0</v>
      </c>
      <c r="C207" s="189" t="str">
        <f t="shared" si="58"/>
        <v>0</v>
      </c>
      <c r="D207" s="189">
        <f>IFERROR(VLOOKUP(A207,DataCoutRevenuAux!M:Q,5,FALSE),0)</f>
        <v>0</v>
      </c>
      <c r="E207" s="189">
        <f>IFERROR(VLOOKUP(A207,DataDemande!U:Z,2,FALSE),0)</f>
        <v>0</v>
      </c>
      <c r="G207" s="77">
        <f>IFERROR(VLOOKUP(A207,DataDemande!U:Z,3,FALSE),0)</f>
        <v>0</v>
      </c>
      <c r="H207" s="77">
        <f>IFERROR(VLOOKUP($A207,DataDemande!$U:$Z,4,FALSE),0)</f>
        <v>0</v>
      </c>
      <c r="I207" s="77">
        <f>IFERROR(VLOOKUP($A207,DataDemande!$U:$Z,5,FALSE),0)</f>
        <v>0</v>
      </c>
      <c r="J207" s="77">
        <f>IFERROR(VLOOKUP($A207,DataDemande!$U:$Z,6,FALSE),0)</f>
        <v>0</v>
      </c>
      <c r="K207" s="79"/>
      <c r="L207" s="77">
        <f>IFERROR(VLOOKUP($A207,DataPrixBillets!$S:$W,2,FALSE),0)</f>
        <v>0</v>
      </c>
      <c r="M207" s="77">
        <f>IFERROR(VLOOKUP($A207,DataPrixBillets!$S:$W,3,FALSE),0)</f>
        <v>0</v>
      </c>
      <c r="N207" s="77">
        <f>IFERROR(VLOOKUP($A207,DataPrixBillets!$S:$W,4,FALSE),0)</f>
        <v>0</v>
      </c>
      <c r="O207" s="77">
        <f>IFERROR(VLOOKUP($A207,DataPrixBillets!$S:$W,5,FALSE),0)</f>
        <v>0</v>
      </c>
      <c r="P207" s="79"/>
      <c r="Q207" s="77">
        <f t="shared" si="59"/>
        <v>0</v>
      </c>
      <c r="R207" s="77">
        <f t="shared" si="60"/>
        <v>0</v>
      </c>
      <c r="S207" s="77">
        <f t="shared" si="61"/>
        <v>0</v>
      </c>
      <c r="T207" s="77">
        <f t="shared" si="62"/>
        <v>0</v>
      </c>
      <c r="U207" s="79"/>
      <c r="V207" s="77">
        <f t="shared" si="63"/>
        <v>0</v>
      </c>
      <c r="W207" s="77">
        <f>IFERROR(VLOOKUP(A207,DataCoutRevenuAux!W:Y,2,FALSE),0)</f>
        <v>0</v>
      </c>
      <c r="X207" s="77">
        <f>IFERROR(VLOOKUP(A207,DataCoutRevenuAux!W:Y,3,FALSE),0)</f>
        <v>0</v>
      </c>
      <c r="Y207" s="77">
        <f t="shared" si="64"/>
        <v>0</v>
      </c>
      <c r="Z207" s="77">
        <f t="shared" si="65"/>
        <v>0</v>
      </c>
      <c r="AA207" s="77">
        <f t="shared" si="66"/>
        <v>0</v>
      </c>
      <c r="AB207" s="79"/>
      <c r="AC207" s="77">
        <f t="shared" si="67"/>
        <v>0</v>
      </c>
      <c r="AD207" s="77">
        <f t="shared" si="68"/>
        <v>0</v>
      </c>
      <c r="AE207" s="77">
        <f t="shared" si="69"/>
        <v>0</v>
      </c>
      <c r="AF207" s="79"/>
      <c r="AG207" s="6">
        <f t="shared" si="70"/>
        <v>0</v>
      </c>
      <c r="AH207" s="6">
        <f t="shared" si="71"/>
        <v>0</v>
      </c>
      <c r="AI207" s="6">
        <f t="shared" si="72"/>
        <v>0</v>
      </c>
    </row>
    <row r="208" spans="1:35" x14ac:dyDescent="0.3">
      <c r="A208" s="189">
        <f>DataDemande!U241</f>
        <v>0</v>
      </c>
      <c r="B208" s="189" t="str">
        <f t="shared" si="57"/>
        <v>0</v>
      </c>
      <c r="C208" s="189" t="str">
        <f t="shared" si="58"/>
        <v>0</v>
      </c>
      <c r="D208" s="189">
        <f>IFERROR(VLOOKUP(A208,DataCoutRevenuAux!M:Q,5,FALSE),0)</f>
        <v>0</v>
      </c>
      <c r="E208" s="189">
        <f>IFERROR(VLOOKUP(A208,DataDemande!U:Z,2,FALSE),0)</f>
        <v>0</v>
      </c>
      <c r="G208" s="77">
        <f>IFERROR(VLOOKUP(A208,DataDemande!U:Z,3,FALSE),0)</f>
        <v>0</v>
      </c>
      <c r="H208" s="77">
        <f>IFERROR(VLOOKUP($A208,DataDemande!$U:$Z,4,FALSE),0)</f>
        <v>0</v>
      </c>
      <c r="I208" s="77">
        <f>IFERROR(VLOOKUP($A208,DataDemande!$U:$Z,5,FALSE),0)</f>
        <v>0</v>
      </c>
      <c r="J208" s="77">
        <f>IFERROR(VLOOKUP($A208,DataDemande!$U:$Z,6,FALSE),0)</f>
        <v>0</v>
      </c>
      <c r="K208" s="79"/>
      <c r="L208" s="77">
        <f>IFERROR(VLOOKUP($A208,DataPrixBillets!$S:$W,2,FALSE),0)</f>
        <v>0</v>
      </c>
      <c r="M208" s="77">
        <f>IFERROR(VLOOKUP($A208,DataPrixBillets!$S:$W,3,FALSE),0)</f>
        <v>0</v>
      </c>
      <c r="N208" s="77">
        <f>IFERROR(VLOOKUP($A208,DataPrixBillets!$S:$W,4,FALSE),0)</f>
        <v>0</v>
      </c>
      <c r="O208" s="77">
        <f>IFERROR(VLOOKUP($A208,DataPrixBillets!$S:$W,5,FALSE),0)</f>
        <v>0</v>
      </c>
      <c r="P208" s="79"/>
      <c r="Q208" s="77">
        <f t="shared" si="59"/>
        <v>0</v>
      </c>
      <c r="R208" s="77">
        <f t="shared" si="60"/>
        <v>0</v>
      </c>
      <c r="S208" s="77">
        <f t="shared" si="61"/>
        <v>0</v>
      </c>
      <c r="T208" s="77">
        <f t="shared" si="62"/>
        <v>0</v>
      </c>
      <c r="U208" s="79"/>
      <c r="V208" s="77">
        <f t="shared" si="63"/>
        <v>0</v>
      </c>
      <c r="W208" s="77">
        <f>IFERROR(VLOOKUP(A208,DataCoutRevenuAux!W:Y,2,FALSE),0)</f>
        <v>0</v>
      </c>
      <c r="X208" s="77">
        <f>IFERROR(VLOOKUP(A208,DataCoutRevenuAux!W:Y,3,FALSE),0)</f>
        <v>0</v>
      </c>
      <c r="Y208" s="77">
        <f t="shared" si="64"/>
        <v>0</v>
      </c>
      <c r="Z208" s="77">
        <f t="shared" si="65"/>
        <v>0</v>
      </c>
      <c r="AA208" s="77">
        <f t="shared" si="66"/>
        <v>0</v>
      </c>
      <c r="AB208" s="79"/>
      <c r="AC208" s="77">
        <f t="shared" si="67"/>
        <v>0</v>
      </c>
      <c r="AD208" s="77">
        <f t="shared" si="68"/>
        <v>0</v>
      </c>
      <c r="AE208" s="77">
        <f t="shared" si="69"/>
        <v>0</v>
      </c>
      <c r="AF208" s="79"/>
      <c r="AG208" s="6">
        <f t="shared" si="70"/>
        <v>0</v>
      </c>
      <c r="AH208" s="6">
        <f t="shared" si="71"/>
        <v>0</v>
      </c>
      <c r="AI208" s="6">
        <f t="shared" si="72"/>
        <v>0</v>
      </c>
    </row>
    <row r="209" spans="1:35" x14ac:dyDescent="0.3">
      <c r="A209" s="189">
        <f>DataDemande!U242</f>
        <v>0</v>
      </c>
      <c r="B209" s="189" t="str">
        <f t="shared" si="57"/>
        <v>0</v>
      </c>
      <c r="C209" s="189" t="str">
        <f t="shared" si="58"/>
        <v>0</v>
      </c>
      <c r="D209" s="189">
        <f>IFERROR(VLOOKUP(A209,DataCoutRevenuAux!M:Q,5,FALSE),0)</f>
        <v>0</v>
      </c>
      <c r="E209" s="189">
        <f>IFERROR(VLOOKUP(A209,DataDemande!U:Z,2,FALSE),0)</f>
        <v>0</v>
      </c>
      <c r="G209" s="77">
        <f>IFERROR(VLOOKUP(A209,DataDemande!U:Z,3,FALSE),0)</f>
        <v>0</v>
      </c>
      <c r="H209" s="77">
        <f>IFERROR(VLOOKUP($A209,DataDemande!$U:$Z,4,FALSE),0)</f>
        <v>0</v>
      </c>
      <c r="I209" s="77">
        <f>IFERROR(VLOOKUP($A209,DataDemande!$U:$Z,5,FALSE),0)</f>
        <v>0</v>
      </c>
      <c r="J209" s="77">
        <f>IFERROR(VLOOKUP($A209,DataDemande!$U:$Z,6,FALSE),0)</f>
        <v>0</v>
      </c>
      <c r="K209" s="79"/>
      <c r="L209" s="77">
        <f>IFERROR(VLOOKUP($A209,DataPrixBillets!$S:$W,2,FALSE),0)</f>
        <v>0</v>
      </c>
      <c r="M209" s="77">
        <f>IFERROR(VLOOKUP($A209,DataPrixBillets!$S:$W,3,FALSE),0)</f>
        <v>0</v>
      </c>
      <c r="N209" s="77">
        <f>IFERROR(VLOOKUP($A209,DataPrixBillets!$S:$W,4,FALSE),0)</f>
        <v>0</v>
      </c>
      <c r="O209" s="77">
        <f>IFERROR(VLOOKUP($A209,DataPrixBillets!$S:$W,5,FALSE),0)</f>
        <v>0</v>
      </c>
      <c r="P209" s="79"/>
      <c r="Q209" s="77">
        <f t="shared" si="59"/>
        <v>0</v>
      </c>
      <c r="R209" s="77">
        <f t="shared" si="60"/>
        <v>0</v>
      </c>
      <c r="S209" s="77">
        <f t="shared" si="61"/>
        <v>0</v>
      </c>
      <c r="T209" s="77">
        <f t="shared" si="62"/>
        <v>0</v>
      </c>
      <c r="U209" s="79"/>
      <c r="V209" s="77">
        <f t="shared" si="63"/>
        <v>0</v>
      </c>
      <c r="W209" s="77">
        <f>IFERROR(VLOOKUP(A209,DataCoutRevenuAux!W:Y,2,FALSE),0)</f>
        <v>0</v>
      </c>
      <c r="X209" s="77">
        <f>IFERROR(VLOOKUP(A209,DataCoutRevenuAux!W:Y,3,FALSE),0)</f>
        <v>0</v>
      </c>
      <c r="Y209" s="77">
        <f t="shared" si="64"/>
        <v>0</v>
      </c>
      <c r="Z209" s="77">
        <f t="shared" si="65"/>
        <v>0</v>
      </c>
      <c r="AA209" s="77">
        <f t="shared" si="66"/>
        <v>0</v>
      </c>
      <c r="AB209" s="79"/>
      <c r="AC209" s="77">
        <f t="shared" si="67"/>
        <v>0</v>
      </c>
      <c r="AD209" s="77">
        <f t="shared" si="68"/>
        <v>0</v>
      </c>
      <c r="AE209" s="77">
        <f t="shared" si="69"/>
        <v>0</v>
      </c>
      <c r="AF209" s="79"/>
      <c r="AG209" s="6">
        <f t="shared" si="70"/>
        <v>0</v>
      </c>
      <c r="AH209" s="6">
        <f t="shared" si="71"/>
        <v>0</v>
      </c>
      <c r="AI209" s="6">
        <f t="shared" si="72"/>
        <v>0</v>
      </c>
    </row>
    <row r="210" spans="1:35" x14ac:dyDescent="0.3">
      <c r="A210" s="189">
        <f>DataDemande!U243</f>
        <v>0</v>
      </c>
      <c r="B210" s="189" t="str">
        <f t="shared" si="57"/>
        <v>0</v>
      </c>
      <c r="C210" s="189" t="str">
        <f t="shared" si="58"/>
        <v>0</v>
      </c>
      <c r="D210" s="189">
        <f>IFERROR(VLOOKUP(A210,DataCoutRevenuAux!M:Q,5,FALSE),0)</f>
        <v>0</v>
      </c>
      <c r="E210" s="189">
        <f>IFERROR(VLOOKUP(A210,DataDemande!U:Z,2,FALSE),0)</f>
        <v>0</v>
      </c>
      <c r="G210" s="77">
        <f>IFERROR(VLOOKUP(A210,DataDemande!U:Z,3,FALSE),0)</f>
        <v>0</v>
      </c>
      <c r="H210" s="77">
        <f>IFERROR(VLOOKUP($A210,DataDemande!$U:$Z,4,FALSE),0)</f>
        <v>0</v>
      </c>
      <c r="I210" s="77">
        <f>IFERROR(VLOOKUP($A210,DataDemande!$U:$Z,5,FALSE),0)</f>
        <v>0</v>
      </c>
      <c r="J210" s="77">
        <f>IFERROR(VLOOKUP($A210,DataDemande!$U:$Z,6,FALSE),0)</f>
        <v>0</v>
      </c>
      <c r="K210" s="79"/>
      <c r="L210" s="77">
        <f>IFERROR(VLOOKUP($A210,DataPrixBillets!$S:$W,2,FALSE),0)</f>
        <v>0</v>
      </c>
      <c r="M210" s="77">
        <f>IFERROR(VLOOKUP($A210,DataPrixBillets!$S:$W,3,FALSE),0)</f>
        <v>0</v>
      </c>
      <c r="N210" s="77">
        <f>IFERROR(VLOOKUP($A210,DataPrixBillets!$S:$W,4,FALSE),0)</f>
        <v>0</v>
      </c>
      <c r="O210" s="77">
        <f>IFERROR(VLOOKUP($A210,DataPrixBillets!$S:$W,5,FALSE),0)</f>
        <v>0</v>
      </c>
      <c r="P210" s="79"/>
      <c r="Q210" s="77">
        <f t="shared" si="59"/>
        <v>0</v>
      </c>
      <c r="R210" s="77">
        <f t="shared" si="60"/>
        <v>0</v>
      </c>
      <c r="S210" s="77">
        <f t="shared" si="61"/>
        <v>0</v>
      </c>
      <c r="T210" s="77">
        <f t="shared" si="62"/>
        <v>0</v>
      </c>
      <c r="U210" s="79"/>
      <c r="V210" s="77">
        <f t="shared" si="63"/>
        <v>0</v>
      </c>
      <c r="W210" s="77">
        <f>IFERROR(VLOOKUP(A210,DataCoutRevenuAux!W:Y,2,FALSE),0)</f>
        <v>0</v>
      </c>
      <c r="X210" s="77">
        <f>IFERROR(VLOOKUP(A210,DataCoutRevenuAux!W:Y,3,FALSE),0)</f>
        <v>0</v>
      </c>
      <c r="Y210" s="77">
        <f t="shared" si="64"/>
        <v>0</v>
      </c>
      <c r="Z210" s="77">
        <f t="shared" si="65"/>
        <v>0</v>
      </c>
      <c r="AA210" s="77">
        <f t="shared" si="66"/>
        <v>0</v>
      </c>
      <c r="AB210" s="79"/>
      <c r="AC210" s="77">
        <f t="shared" si="67"/>
        <v>0</v>
      </c>
      <c r="AD210" s="77">
        <f t="shared" si="68"/>
        <v>0</v>
      </c>
      <c r="AE210" s="77">
        <f t="shared" si="69"/>
        <v>0</v>
      </c>
      <c r="AF210" s="79"/>
      <c r="AG210" s="6">
        <f t="shared" si="70"/>
        <v>0</v>
      </c>
      <c r="AH210" s="6">
        <f t="shared" si="71"/>
        <v>0</v>
      </c>
      <c r="AI210" s="6">
        <f t="shared" si="72"/>
        <v>0</v>
      </c>
    </row>
    <row r="211" spans="1:35" x14ac:dyDescent="0.3">
      <c r="A211" s="189">
        <f>DataDemande!U244</f>
        <v>0</v>
      </c>
      <c r="B211" s="189" t="str">
        <f t="shared" si="57"/>
        <v>0</v>
      </c>
      <c r="C211" s="189" t="str">
        <f t="shared" si="58"/>
        <v>0</v>
      </c>
      <c r="D211" s="189">
        <f>IFERROR(VLOOKUP(A211,DataCoutRevenuAux!M:Q,5,FALSE),0)</f>
        <v>0</v>
      </c>
      <c r="E211" s="189">
        <f>IFERROR(VLOOKUP(A211,DataDemande!U:Z,2,FALSE),0)</f>
        <v>0</v>
      </c>
      <c r="G211" s="77">
        <f>IFERROR(VLOOKUP(A211,DataDemande!U:Z,3,FALSE),0)</f>
        <v>0</v>
      </c>
      <c r="H211" s="77">
        <f>IFERROR(VLOOKUP($A211,DataDemande!$U:$Z,4,FALSE),0)</f>
        <v>0</v>
      </c>
      <c r="I211" s="77">
        <f>IFERROR(VLOOKUP($A211,DataDemande!$U:$Z,5,FALSE),0)</f>
        <v>0</v>
      </c>
      <c r="J211" s="77">
        <f>IFERROR(VLOOKUP($A211,DataDemande!$U:$Z,6,FALSE),0)</f>
        <v>0</v>
      </c>
      <c r="K211" s="79"/>
      <c r="L211" s="77">
        <f>IFERROR(VLOOKUP($A211,DataPrixBillets!$S:$W,2,FALSE),0)</f>
        <v>0</v>
      </c>
      <c r="M211" s="77">
        <f>IFERROR(VLOOKUP($A211,DataPrixBillets!$S:$W,3,FALSE),0)</f>
        <v>0</v>
      </c>
      <c r="N211" s="77">
        <f>IFERROR(VLOOKUP($A211,DataPrixBillets!$S:$W,4,FALSE),0)</f>
        <v>0</v>
      </c>
      <c r="O211" s="77">
        <f>IFERROR(VLOOKUP($A211,DataPrixBillets!$S:$W,5,FALSE),0)</f>
        <v>0</v>
      </c>
      <c r="P211" s="79"/>
      <c r="Q211" s="77">
        <f t="shared" si="59"/>
        <v>0</v>
      </c>
      <c r="R211" s="77">
        <f t="shared" si="60"/>
        <v>0</v>
      </c>
      <c r="S211" s="77">
        <f t="shared" si="61"/>
        <v>0</v>
      </c>
      <c r="T211" s="77">
        <f t="shared" si="62"/>
        <v>0</v>
      </c>
      <c r="U211" s="79"/>
      <c r="V211" s="77">
        <f t="shared" si="63"/>
        <v>0</v>
      </c>
      <c r="W211" s="77">
        <f>IFERROR(VLOOKUP(A211,DataCoutRevenuAux!W:Y,2,FALSE),0)</f>
        <v>0</v>
      </c>
      <c r="X211" s="77">
        <f>IFERROR(VLOOKUP(A211,DataCoutRevenuAux!W:Y,3,FALSE),0)</f>
        <v>0</v>
      </c>
      <c r="Y211" s="77">
        <f t="shared" si="64"/>
        <v>0</v>
      </c>
      <c r="Z211" s="77">
        <f t="shared" si="65"/>
        <v>0</v>
      </c>
      <c r="AA211" s="77">
        <f t="shared" si="66"/>
        <v>0</v>
      </c>
      <c r="AB211" s="79"/>
      <c r="AC211" s="77">
        <f t="shared" si="67"/>
        <v>0</v>
      </c>
      <c r="AD211" s="77">
        <f t="shared" si="68"/>
        <v>0</v>
      </c>
      <c r="AE211" s="77">
        <f t="shared" si="69"/>
        <v>0</v>
      </c>
      <c r="AF211" s="79"/>
      <c r="AG211" s="6">
        <f t="shared" si="70"/>
        <v>0</v>
      </c>
      <c r="AH211" s="6">
        <f t="shared" si="71"/>
        <v>0</v>
      </c>
      <c r="AI211" s="6">
        <f t="shared" si="72"/>
        <v>0</v>
      </c>
    </row>
    <row r="212" spans="1:35" x14ac:dyDescent="0.3">
      <c r="A212" s="189">
        <f>DataDemande!U245</f>
        <v>0</v>
      </c>
      <c r="B212" s="189" t="str">
        <f t="shared" si="57"/>
        <v>0</v>
      </c>
      <c r="C212" s="189" t="str">
        <f t="shared" si="58"/>
        <v>0</v>
      </c>
      <c r="D212" s="189">
        <f>IFERROR(VLOOKUP(A212,DataCoutRevenuAux!M:Q,5,FALSE),0)</f>
        <v>0</v>
      </c>
      <c r="E212" s="189">
        <f>IFERROR(VLOOKUP(A212,DataDemande!U:Z,2,FALSE),0)</f>
        <v>0</v>
      </c>
      <c r="G212" s="77">
        <f>IFERROR(VLOOKUP(A212,DataDemande!U:Z,3,FALSE),0)</f>
        <v>0</v>
      </c>
      <c r="H212" s="77">
        <f>IFERROR(VLOOKUP($A212,DataDemande!$U:$Z,4,FALSE),0)</f>
        <v>0</v>
      </c>
      <c r="I212" s="77">
        <f>IFERROR(VLOOKUP($A212,DataDemande!$U:$Z,5,FALSE),0)</f>
        <v>0</v>
      </c>
      <c r="J212" s="77">
        <f>IFERROR(VLOOKUP($A212,DataDemande!$U:$Z,6,FALSE),0)</f>
        <v>0</v>
      </c>
      <c r="K212" s="79"/>
      <c r="L212" s="77">
        <f>IFERROR(VLOOKUP($A212,DataPrixBillets!$S:$W,2,FALSE),0)</f>
        <v>0</v>
      </c>
      <c r="M212" s="77">
        <f>IFERROR(VLOOKUP($A212,DataPrixBillets!$S:$W,3,FALSE),0)</f>
        <v>0</v>
      </c>
      <c r="N212" s="77">
        <f>IFERROR(VLOOKUP($A212,DataPrixBillets!$S:$W,4,FALSE),0)</f>
        <v>0</v>
      </c>
      <c r="O212" s="77">
        <f>IFERROR(VLOOKUP($A212,DataPrixBillets!$S:$W,5,FALSE),0)</f>
        <v>0</v>
      </c>
      <c r="P212" s="79"/>
      <c r="Q212" s="77">
        <f t="shared" si="59"/>
        <v>0</v>
      </c>
      <c r="R212" s="77">
        <f t="shared" si="60"/>
        <v>0</v>
      </c>
      <c r="S212" s="77">
        <f t="shared" si="61"/>
        <v>0</v>
      </c>
      <c r="T212" s="77">
        <f t="shared" si="62"/>
        <v>0</v>
      </c>
      <c r="U212" s="79"/>
      <c r="V212" s="77">
        <f t="shared" si="63"/>
        <v>0</v>
      </c>
      <c r="W212" s="77">
        <f>IFERROR(VLOOKUP(A212,DataCoutRevenuAux!W:Y,2,FALSE),0)</f>
        <v>0</v>
      </c>
      <c r="X212" s="77">
        <f>IFERROR(VLOOKUP(A212,DataCoutRevenuAux!W:Y,3,FALSE),0)</f>
        <v>0</v>
      </c>
      <c r="Y212" s="77">
        <f t="shared" si="64"/>
        <v>0</v>
      </c>
      <c r="Z212" s="77">
        <f t="shared" si="65"/>
        <v>0</v>
      </c>
      <c r="AA212" s="77">
        <f t="shared" si="66"/>
        <v>0</v>
      </c>
      <c r="AB212" s="79"/>
      <c r="AC212" s="77">
        <f t="shared" si="67"/>
        <v>0</v>
      </c>
      <c r="AD212" s="77">
        <f t="shared" si="68"/>
        <v>0</v>
      </c>
      <c r="AE212" s="77">
        <f t="shared" si="69"/>
        <v>0</v>
      </c>
      <c r="AF212" s="79"/>
      <c r="AG212" s="6">
        <f t="shared" si="70"/>
        <v>0</v>
      </c>
      <c r="AH212" s="6">
        <f t="shared" si="71"/>
        <v>0</v>
      </c>
      <c r="AI212" s="6">
        <f t="shared" si="72"/>
        <v>0</v>
      </c>
    </row>
    <row r="213" spans="1:35" x14ac:dyDescent="0.3">
      <c r="A213" s="189">
        <f>DataDemande!U246</f>
        <v>0</v>
      </c>
      <c r="B213" s="189" t="str">
        <f t="shared" si="57"/>
        <v>0</v>
      </c>
      <c r="C213" s="189" t="str">
        <f t="shared" si="58"/>
        <v>0</v>
      </c>
      <c r="D213" s="189">
        <f>IFERROR(VLOOKUP(A213,DataCoutRevenuAux!M:Q,5,FALSE),0)</f>
        <v>0</v>
      </c>
      <c r="E213" s="189">
        <f>IFERROR(VLOOKUP(A213,DataDemande!U:Z,2,FALSE),0)</f>
        <v>0</v>
      </c>
      <c r="G213" s="77">
        <f>IFERROR(VLOOKUP(A213,DataDemande!U:Z,3,FALSE),0)</f>
        <v>0</v>
      </c>
      <c r="H213" s="77">
        <f>IFERROR(VLOOKUP($A213,DataDemande!$U:$Z,4,FALSE),0)</f>
        <v>0</v>
      </c>
      <c r="I213" s="77">
        <f>IFERROR(VLOOKUP($A213,DataDemande!$U:$Z,5,FALSE),0)</f>
        <v>0</v>
      </c>
      <c r="J213" s="77">
        <f>IFERROR(VLOOKUP($A213,DataDemande!$U:$Z,6,FALSE),0)</f>
        <v>0</v>
      </c>
      <c r="K213" s="79"/>
      <c r="L213" s="77">
        <f>IFERROR(VLOOKUP($A213,DataPrixBillets!$S:$W,2,FALSE),0)</f>
        <v>0</v>
      </c>
      <c r="M213" s="77">
        <f>IFERROR(VLOOKUP($A213,DataPrixBillets!$S:$W,3,FALSE),0)</f>
        <v>0</v>
      </c>
      <c r="N213" s="77">
        <f>IFERROR(VLOOKUP($A213,DataPrixBillets!$S:$W,4,FALSE),0)</f>
        <v>0</v>
      </c>
      <c r="O213" s="77">
        <f>IFERROR(VLOOKUP($A213,DataPrixBillets!$S:$W,5,FALSE),0)</f>
        <v>0</v>
      </c>
      <c r="P213" s="79"/>
      <c r="Q213" s="77">
        <f t="shared" si="59"/>
        <v>0</v>
      </c>
      <c r="R213" s="77">
        <f t="shared" si="60"/>
        <v>0</v>
      </c>
      <c r="S213" s="77">
        <f t="shared" si="61"/>
        <v>0</v>
      </c>
      <c r="T213" s="77">
        <f t="shared" si="62"/>
        <v>0</v>
      </c>
      <c r="U213" s="79"/>
      <c r="V213" s="77">
        <f t="shared" si="63"/>
        <v>0</v>
      </c>
      <c r="W213" s="77">
        <f>IFERROR(VLOOKUP(A213,DataCoutRevenuAux!W:Y,2,FALSE),0)</f>
        <v>0</v>
      </c>
      <c r="X213" s="77">
        <f>IFERROR(VLOOKUP(A213,DataCoutRevenuAux!W:Y,3,FALSE),0)</f>
        <v>0</v>
      </c>
      <c r="Y213" s="77">
        <f t="shared" si="64"/>
        <v>0</v>
      </c>
      <c r="Z213" s="77">
        <f t="shared" si="65"/>
        <v>0</v>
      </c>
      <c r="AA213" s="77">
        <f t="shared" si="66"/>
        <v>0</v>
      </c>
      <c r="AB213" s="79"/>
      <c r="AC213" s="77">
        <f t="shared" si="67"/>
        <v>0</v>
      </c>
      <c r="AD213" s="77">
        <f t="shared" si="68"/>
        <v>0</v>
      </c>
      <c r="AE213" s="77">
        <f t="shared" si="69"/>
        <v>0</v>
      </c>
      <c r="AF213" s="79"/>
      <c r="AG213" s="6">
        <f t="shared" si="70"/>
        <v>0</v>
      </c>
      <c r="AH213" s="6">
        <f t="shared" si="71"/>
        <v>0</v>
      </c>
      <c r="AI213" s="6">
        <f t="shared" si="72"/>
        <v>0</v>
      </c>
    </row>
    <row r="214" spans="1:35" x14ac:dyDescent="0.3">
      <c r="A214" s="189">
        <f>DataDemande!U247</f>
        <v>0</v>
      </c>
      <c r="B214" s="189" t="str">
        <f t="shared" si="57"/>
        <v>0</v>
      </c>
      <c r="C214" s="189" t="str">
        <f t="shared" si="58"/>
        <v>0</v>
      </c>
      <c r="D214" s="189">
        <f>IFERROR(VLOOKUP(A214,DataCoutRevenuAux!M:Q,5,FALSE),0)</f>
        <v>0</v>
      </c>
      <c r="E214" s="189">
        <f>IFERROR(VLOOKUP(A214,DataDemande!U:Z,2,FALSE),0)</f>
        <v>0</v>
      </c>
      <c r="G214" s="77">
        <f>IFERROR(VLOOKUP(A214,DataDemande!U:Z,3,FALSE),0)</f>
        <v>0</v>
      </c>
      <c r="H214" s="77">
        <f>IFERROR(VLOOKUP($A214,DataDemande!$U:$Z,4,FALSE),0)</f>
        <v>0</v>
      </c>
      <c r="I214" s="77">
        <f>IFERROR(VLOOKUP($A214,DataDemande!$U:$Z,5,FALSE),0)</f>
        <v>0</v>
      </c>
      <c r="J214" s="77">
        <f>IFERROR(VLOOKUP($A214,DataDemande!$U:$Z,6,FALSE),0)</f>
        <v>0</v>
      </c>
      <c r="K214" s="79"/>
      <c r="L214" s="77">
        <f>IFERROR(VLOOKUP($A214,DataPrixBillets!$S:$W,2,FALSE),0)</f>
        <v>0</v>
      </c>
      <c r="M214" s="77">
        <f>IFERROR(VLOOKUP($A214,DataPrixBillets!$S:$W,3,FALSE),0)</f>
        <v>0</v>
      </c>
      <c r="N214" s="77">
        <f>IFERROR(VLOOKUP($A214,DataPrixBillets!$S:$W,4,FALSE),0)</f>
        <v>0</v>
      </c>
      <c r="O214" s="77">
        <f>IFERROR(VLOOKUP($A214,DataPrixBillets!$S:$W,5,FALSE),0)</f>
        <v>0</v>
      </c>
      <c r="P214" s="79"/>
      <c r="Q214" s="77">
        <f t="shared" si="59"/>
        <v>0</v>
      </c>
      <c r="R214" s="77">
        <f t="shared" si="60"/>
        <v>0</v>
      </c>
      <c r="S214" s="77">
        <f t="shared" si="61"/>
        <v>0</v>
      </c>
      <c r="T214" s="77">
        <f t="shared" si="62"/>
        <v>0</v>
      </c>
      <c r="U214" s="79"/>
      <c r="V214" s="77">
        <f t="shared" si="63"/>
        <v>0</v>
      </c>
      <c r="W214" s="77">
        <f>IFERROR(VLOOKUP(A214,DataCoutRevenuAux!W:Y,2,FALSE),0)</f>
        <v>0</v>
      </c>
      <c r="X214" s="77">
        <f>IFERROR(VLOOKUP(A214,DataCoutRevenuAux!W:Y,3,FALSE),0)</f>
        <v>0</v>
      </c>
      <c r="Y214" s="77">
        <f t="shared" si="64"/>
        <v>0</v>
      </c>
      <c r="Z214" s="77">
        <f t="shared" si="65"/>
        <v>0</v>
      </c>
      <c r="AA214" s="77">
        <f t="shared" si="66"/>
        <v>0</v>
      </c>
      <c r="AB214" s="79"/>
      <c r="AC214" s="77">
        <f t="shared" si="67"/>
        <v>0</v>
      </c>
      <c r="AD214" s="77">
        <f t="shared" si="68"/>
        <v>0</v>
      </c>
      <c r="AE214" s="77">
        <f t="shared" si="69"/>
        <v>0</v>
      </c>
      <c r="AF214" s="79"/>
      <c r="AG214" s="6">
        <f t="shared" si="70"/>
        <v>0</v>
      </c>
      <c r="AH214" s="6">
        <f t="shared" si="71"/>
        <v>0</v>
      </c>
      <c r="AI214" s="6">
        <f t="shared" si="72"/>
        <v>0</v>
      </c>
    </row>
    <row r="215" spans="1:35" x14ac:dyDescent="0.3">
      <c r="A215" s="189">
        <f>DataDemande!U248</f>
        <v>0</v>
      </c>
      <c r="B215" s="189" t="str">
        <f t="shared" si="57"/>
        <v>0</v>
      </c>
      <c r="C215" s="189" t="str">
        <f t="shared" si="58"/>
        <v>0</v>
      </c>
      <c r="D215" s="189">
        <f>IFERROR(VLOOKUP(A215,DataCoutRevenuAux!M:Q,5,FALSE),0)</f>
        <v>0</v>
      </c>
      <c r="E215" s="189">
        <f>IFERROR(VLOOKUP(A215,DataDemande!U:Z,2,FALSE),0)</f>
        <v>0</v>
      </c>
      <c r="G215" s="77">
        <f>IFERROR(VLOOKUP(A215,DataDemande!U:Z,3,FALSE),0)</f>
        <v>0</v>
      </c>
      <c r="H215" s="77">
        <f>IFERROR(VLOOKUP($A215,DataDemande!$U:$Z,4,FALSE),0)</f>
        <v>0</v>
      </c>
      <c r="I215" s="77">
        <f>IFERROR(VLOOKUP($A215,DataDemande!$U:$Z,5,FALSE),0)</f>
        <v>0</v>
      </c>
      <c r="J215" s="77">
        <f>IFERROR(VLOOKUP($A215,DataDemande!$U:$Z,6,FALSE),0)</f>
        <v>0</v>
      </c>
      <c r="K215" s="79"/>
      <c r="L215" s="77">
        <f>IFERROR(VLOOKUP($A215,DataPrixBillets!$S:$W,2,FALSE),0)</f>
        <v>0</v>
      </c>
      <c r="M215" s="77">
        <f>IFERROR(VLOOKUP($A215,DataPrixBillets!$S:$W,3,FALSE),0)</f>
        <v>0</v>
      </c>
      <c r="N215" s="77">
        <f>IFERROR(VLOOKUP($A215,DataPrixBillets!$S:$W,4,FALSE),0)</f>
        <v>0</v>
      </c>
      <c r="O215" s="77">
        <f>IFERROR(VLOOKUP($A215,DataPrixBillets!$S:$W,5,FALSE),0)</f>
        <v>0</v>
      </c>
      <c r="P215" s="79"/>
      <c r="Q215" s="77">
        <f t="shared" si="59"/>
        <v>0</v>
      </c>
      <c r="R215" s="77">
        <f t="shared" si="60"/>
        <v>0</v>
      </c>
      <c r="S215" s="77">
        <f t="shared" si="61"/>
        <v>0</v>
      </c>
      <c r="T215" s="77">
        <f t="shared" si="62"/>
        <v>0</v>
      </c>
      <c r="U215" s="79"/>
      <c r="V215" s="77">
        <f t="shared" si="63"/>
        <v>0</v>
      </c>
      <c r="W215" s="77">
        <f>IFERROR(VLOOKUP(A215,DataCoutRevenuAux!W:Y,2,FALSE),0)</f>
        <v>0</v>
      </c>
      <c r="X215" s="77">
        <f>IFERROR(VLOOKUP(A215,DataCoutRevenuAux!W:Y,3,FALSE),0)</f>
        <v>0</v>
      </c>
      <c r="Y215" s="77">
        <f t="shared" si="64"/>
        <v>0</v>
      </c>
      <c r="Z215" s="77">
        <f t="shared" si="65"/>
        <v>0</v>
      </c>
      <c r="AA215" s="77">
        <f t="shared" si="66"/>
        <v>0</v>
      </c>
      <c r="AB215" s="79"/>
      <c r="AC215" s="77">
        <f t="shared" si="67"/>
        <v>0</v>
      </c>
      <c r="AD215" s="77">
        <f t="shared" si="68"/>
        <v>0</v>
      </c>
      <c r="AE215" s="77">
        <f t="shared" si="69"/>
        <v>0</v>
      </c>
      <c r="AF215" s="79"/>
      <c r="AG215" s="6">
        <f t="shared" si="70"/>
        <v>0</v>
      </c>
      <c r="AH215" s="6">
        <f t="shared" si="71"/>
        <v>0</v>
      </c>
      <c r="AI215" s="6">
        <f t="shared" si="72"/>
        <v>0</v>
      </c>
    </row>
    <row r="216" spans="1:35" x14ac:dyDescent="0.3">
      <c r="A216" s="189">
        <f>DataDemande!U249</f>
        <v>0</v>
      </c>
      <c r="B216" s="189" t="str">
        <f t="shared" si="57"/>
        <v>0</v>
      </c>
      <c r="C216" s="189" t="str">
        <f t="shared" si="58"/>
        <v>0</v>
      </c>
      <c r="D216" s="189">
        <f>IFERROR(VLOOKUP(A216,DataCoutRevenuAux!M:Q,5,FALSE),0)</f>
        <v>0</v>
      </c>
      <c r="E216" s="189">
        <f>IFERROR(VLOOKUP(A216,DataDemande!U:Z,2,FALSE),0)</f>
        <v>0</v>
      </c>
      <c r="G216" s="77">
        <f>IFERROR(VLOOKUP(A216,DataDemande!U:Z,3,FALSE),0)</f>
        <v>0</v>
      </c>
      <c r="H216" s="77">
        <f>IFERROR(VLOOKUP($A216,DataDemande!$U:$Z,4,FALSE),0)</f>
        <v>0</v>
      </c>
      <c r="I216" s="77">
        <f>IFERROR(VLOOKUP($A216,DataDemande!$U:$Z,5,FALSE),0)</f>
        <v>0</v>
      </c>
      <c r="J216" s="77">
        <f>IFERROR(VLOOKUP($A216,DataDemande!$U:$Z,6,FALSE),0)</f>
        <v>0</v>
      </c>
      <c r="K216" s="79"/>
      <c r="L216" s="77">
        <f>IFERROR(VLOOKUP($A216,DataPrixBillets!$S:$W,2,FALSE),0)</f>
        <v>0</v>
      </c>
      <c r="M216" s="77">
        <f>IFERROR(VLOOKUP($A216,DataPrixBillets!$S:$W,3,FALSE),0)</f>
        <v>0</v>
      </c>
      <c r="N216" s="77">
        <f>IFERROR(VLOOKUP($A216,DataPrixBillets!$S:$W,4,FALSE),0)</f>
        <v>0</v>
      </c>
      <c r="O216" s="77">
        <f>IFERROR(VLOOKUP($A216,DataPrixBillets!$S:$W,5,FALSE),0)</f>
        <v>0</v>
      </c>
      <c r="P216" s="79"/>
      <c r="Q216" s="77">
        <f t="shared" si="59"/>
        <v>0</v>
      </c>
      <c r="R216" s="77">
        <f t="shared" si="60"/>
        <v>0</v>
      </c>
      <c r="S216" s="77">
        <f t="shared" si="61"/>
        <v>0</v>
      </c>
      <c r="T216" s="77">
        <f t="shared" si="62"/>
        <v>0</v>
      </c>
      <c r="U216" s="79"/>
      <c r="V216" s="77">
        <f t="shared" si="63"/>
        <v>0</v>
      </c>
      <c r="W216" s="77">
        <f>IFERROR(VLOOKUP(A216,DataCoutRevenuAux!W:Y,2,FALSE),0)</f>
        <v>0</v>
      </c>
      <c r="X216" s="77">
        <f>IFERROR(VLOOKUP(A216,DataCoutRevenuAux!W:Y,3,FALSE),0)</f>
        <v>0</v>
      </c>
      <c r="Y216" s="77">
        <f t="shared" si="64"/>
        <v>0</v>
      </c>
      <c r="Z216" s="77">
        <f t="shared" si="65"/>
        <v>0</v>
      </c>
      <c r="AA216" s="77">
        <f t="shared" si="66"/>
        <v>0</v>
      </c>
      <c r="AB216" s="79"/>
      <c r="AC216" s="77">
        <f t="shared" si="67"/>
        <v>0</v>
      </c>
      <c r="AD216" s="77">
        <f t="shared" si="68"/>
        <v>0</v>
      </c>
      <c r="AE216" s="77">
        <f t="shared" si="69"/>
        <v>0</v>
      </c>
      <c r="AF216" s="79"/>
      <c r="AG216" s="6">
        <f t="shared" si="70"/>
        <v>0</v>
      </c>
      <c r="AH216" s="6">
        <f t="shared" si="71"/>
        <v>0</v>
      </c>
      <c r="AI216" s="6">
        <f t="shared" si="72"/>
        <v>0</v>
      </c>
    </row>
    <row r="217" spans="1:35" x14ac:dyDescent="0.3">
      <c r="A217" s="189">
        <f>DataDemande!U250</f>
        <v>0</v>
      </c>
      <c r="B217" s="189" t="str">
        <f t="shared" si="57"/>
        <v>0</v>
      </c>
      <c r="C217" s="189" t="str">
        <f t="shared" si="58"/>
        <v>0</v>
      </c>
      <c r="D217" s="189">
        <f>IFERROR(VLOOKUP(A217,DataCoutRevenuAux!M:Q,5,FALSE),0)</f>
        <v>0</v>
      </c>
      <c r="E217" s="189">
        <f>IFERROR(VLOOKUP(A217,DataDemande!U:Z,2,FALSE),0)</f>
        <v>0</v>
      </c>
      <c r="G217" s="77">
        <f>IFERROR(VLOOKUP(A217,DataDemande!U:Z,3,FALSE),0)</f>
        <v>0</v>
      </c>
      <c r="H217" s="77">
        <f>IFERROR(VLOOKUP($A217,DataDemande!$U:$Z,4,FALSE),0)</f>
        <v>0</v>
      </c>
      <c r="I217" s="77">
        <f>IFERROR(VLOOKUP($A217,DataDemande!$U:$Z,5,FALSE),0)</f>
        <v>0</v>
      </c>
      <c r="J217" s="77">
        <f>IFERROR(VLOOKUP($A217,DataDemande!$U:$Z,6,FALSE),0)</f>
        <v>0</v>
      </c>
      <c r="K217" s="79"/>
      <c r="L217" s="77">
        <f>IFERROR(VLOOKUP($A217,DataPrixBillets!$S:$W,2,FALSE),0)</f>
        <v>0</v>
      </c>
      <c r="M217" s="77">
        <f>IFERROR(VLOOKUP($A217,DataPrixBillets!$S:$W,3,FALSE),0)</f>
        <v>0</v>
      </c>
      <c r="N217" s="77">
        <f>IFERROR(VLOOKUP($A217,DataPrixBillets!$S:$W,4,FALSE),0)</f>
        <v>0</v>
      </c>
      <c r="O217" s="77">
        <f>IFERROR(VLOOKUP($A217,DataPrixBillets!$S:$W,5,FALSE),0)</f>
        <v>0</v>
      </c>
      <c r="P217" s="79"/>
      <c r="Q217" s="77">
        <f t="shared" si="59"/>
        <v>0</v>
      </c>
      <c r="R217" s="77">
        <f t="shared" si="60"/>
        <v>0</v>
      </c>
      <c r="S217" s="77">
        <f t="shared" si="61"/>
        <v>0</v>
      </c>
      <c r="T217" s="77">
        <f t="shared" si="62"/>
        <v>0</v>
      </c>
      <c r="U217" s="79"/>
      <c r="V217" s="77">
        <f t="shared" si="63"/>
        <v>0</v>
      </c>
      <c r="W217" s="77">
        <f>IFERROR(VLOOKUP(A217,DataCoutRevenuAux!W:Y,2,FALSE),0)</f>
        <v>0</v>
      </c>
      <c r="X217" s="77">
        <f>IFERROR(VLOOKUP(A217,DataCoutRevenuAux!W:Y,3,FALSE),0)</f>
        <v>0</v>
      </c>
      <c r="Y217" s="77">
        <f t="shared" si="64"/>
        <v>0</v>
      </c>
      <c r="Z217" s="77">
        <f t="shared" si="65"/>
        <v>0</v>
      </c>
      <c r="AA217" s="77">
        <f t="shared" si="66"/>
        <v>0</v>
      </c>
      <c r="AB217" s="79"/>
      <c r="AC217" s="77">
        <f t="shared" si="67"/>
        <v>0</v>
      </c>
      <c r="AD217" s="77">
        <f t="shared" si="68"/>
        <v>0</v>
      </c>
      <c r="AE217" s="77">
        <f t="shared" si="69"/>
        <v>0</v>
      </c>
      <c r="AF217" s="79"/>
      <c r="AG217" s="6">
        <f t="shared" si="70"/>
        <v>0</v>
      </c>
      <c r="AH217" s="6">
        <f t="shared" si="71"/>
        <v>0</v>
      </c>
      <c r="AI217" s="6">
        <f t="shared" si="72"/>
        <v>0</v>
      </c>
    </row>
    <row r="218" spans="1:35" x14ac:dyDescent="0.3">
      <c r="A218" s="189">
        <f>DataDemande!U251</f>
        <v>0</v>
      </c>
      <c r="B218" s="189" t="str">
        <f t="shared" si="57"/>
        <v>0</v>
      </c>
      <c r="C218" s="189" t="str">
        <f t="shared" si="58"/>
        <v>0</v>
      </c>
      <c r="D218" s="189">
        <f>IFERROR(VLOOKUP(A218,DataCoutRevenuAux!M:Q,5,FALSE),0)</f>
        <v>0</v>
      </c>
      <c r="E218" s="189">
        <f>IFERROR(VLOOKUP(A218,DataDemande!U:Z,2,FALSE),0)</f>
        <v>0</v>
      </c>
      <c r="G218" s="77">
        <f>IFERROR(VLOOKUP(A218,DataDemande!U:Z,3,FALSE),0)</f>
        <v>0</v>
      </c>
      <c r="H218" s="77">
        <f>IFERROR(VLOOKUP($A218,DataDemande!$U:$Z,4,FALSE),0)</f>
        <v>0</v>
      </c>
      <c r="I218" s="77">
        <f>IFERROR(VLOOKUP($A218,DataDemande!$U:$Z,5,FALSE),0)</f>
        <v>0</v>
      </c>
      <c r="J218" s="77">
        <f>IFERROR(VLOOKUP($A218,DataDemande!$U:$Z,6,FALSE),0)</f>
        <v>0</v>
      </c>
      <c r="K218" s="79"/>
      <c r="L218" s="77">
        <f>IFERROR(VLOOKUP($A218,DataPrixBillets!$S:$W,2,FALSE),0)</f>
        <v>0</v>
      </c>
      <c r="M218" s="77">
        <f>IFERROR(VLOOKUP($A218,DataPrixBillets!$S:$W,3,FALSE),0)</f>
        <v>0</v>
      </c>
      <c r="N218" s="77">
        <f>IFERROR(VLOOKUP($A218,DataPrixBillets!$S:$W,4,FALSE),0)</f>
        <v>0</v>
      </c>
      <c r="O218" s="77">
        <f>IFERROR(VLOOKUP($A218,DataPrixBillets!$S:$W,5,FALSE),0)</f>
        <v>0</v>
      </c>
      <c r="P218" s="79"/>
      <c r="Q218" s="77">
        <f t="shared" si="59"/>
        <v>0</v>
      </c>
      <c r="R218" s="77">
        <f t="shared" si="60"/>
        <v>0</v>
      </c>
      <c r="S218" s="77">
        <f t="shared" si="61"/>
        <v>0</v>
      </c>
      <c r="T218" s="77">
        <f t="shared" si="62"/>
        <v>0</v>
      </c>
      <c r="U218" s="79"/>
      <c r="V218" s="77">
        <f t="shared" si="63"/>
        <v>0</v>
      </c>
      <c r="W218" s="77">
        <f>IFERROR(VLOOKUP(A218,DataCoutRevenuAux!W:Y,2,FALSE),0)</f>
        <v>0</v>
      </c>
      <c r="X218" s="77">
        <f>IFERROR(VLOOKUP(A218,DataCoutRevenuAux!W:Y,3,FALSE),0)</f>
        <v>0</v>
      </c>
      <c r="Y218" s="77">
        <f t="shared" si="64"/>
        <v>0</v>
      </c>
      <c r="Z218" s="77">
        <f t="shared" si="65"/>
        <v>0</v>
      </c>
      <c r="AA218" s="77">
        <f t="shared" si="66"/>
        <v>0</v>
      </c>
      <c r="AB218" s="79"/>
      <c r="AC218" s="77">
        <f t="shared" si="67"/>
        <v>0</v>
      </c>
      <c r="AD218" s="77">
        <f t="shared" si="68"/>
        <v>0</v>
      </c>
      <c r="AE218" s="77">
        <f t="shared" si="69"/>
        <v>0</v>
      </c>
      <c r="AF218" s="79"/>
      <c r="AG218" s="6">
        <f t="shared" si="70"/>
        <v>0</v>
      </c>
      <c r="AH218" s="6">
        <f t="shared" si="71"/>
        <v>0</v>
      </c>
      <c r="AI218" s="6">
        <f t="shared" si="72"/>
        <v>0</v>
      </c>
    </row>
    <row r="219" spans="1:35" x14ac:dyDescent="0.3">
      <c r="A219" s="189">
        <f>DataDemande!U252</f>
        <v>0</v>
      </c>
      <c r="B219" s="189" t="str">
        <f t="shared" si="57"/>
        <v>0</v>
      </c>
      <c r="C219" s="189" t="str">
        <f t="shared" si="58"/>
        <v>0</v>
      </c>
      <c r="D219" s="189">
        <f>IFERROR(VLOOKUP(A219,DataCoutRevenuAux!M:Q,5,FALSE),0)</f>
        <v>0</v>
      </c>
      <c r="E219" s="189">
        <f>IFERROR(VLOOKUP(A219,DataDemande!U:Z,2,FALSE),0)</f>
        <v>0</v>
      </c>
      <c r="G219" s="77">
        <f>IFERROR(VLOOKUP(A219,DataDemande!U:Z,3,FALSE),0)</f>
        <v>0</v>
      </c>
      <c r="H219" s="77">
        <f>IFERROR(VLOOKUP($A219,DataDemande!$U:$Z,4,FALSE),0)</f>
        <v>0</v>
      </c>
      <c r="I219" s="77">
        <f>IFERROR(VLOOKUP($A219,DataDemande!$U:$Z,5,FALSE),0)</f>
        <v>0</v>
      </c>
      <c r="J219" s="77">
        <f>IFERROR(VLOOKUP($A219,DataDemande!$U:$Z,6,FALSE),0)</f>
        <v>0</v>
      </c>
      <c r="K219" s="79"/>
      <c r="L219" s="77">
        <f>IFERROR(VLOOKUP($A219,DataPrixBillets!$S:$W,2,FALSE),0)</f>
        <v>0</v>
      </c>
      <c r="M219" s="77">
        <f>IFERROR(VLOOKUP($A219,DataPrixBillets!$S:$W,3,FALSE),0)</f>
        <v>0</v>
      </c>
      <c r="N219" s="77">
        <f>IFERROR(VLOOKUP($A219,DataPrixBillets!$S:$W,4,FALSE),0)</f>
        <v>0</v>
      </c>
      <c r="O219" s="77">
        <f>IFERROR(VLOOKUP($A219,DataPrixBillets!$S:$W,5,FALSE),0)</f>
        <v>0</v>
      </c>
      <c r="P219" s="79"/>
      <c r="Q219" s="77">
        <f t="shared" si="59"/>
        <v>0</v>
      </c>
      <c r="R219" s="77">
        <f t="shared" si="60"/>
        <v>0</v>
      </c>
      <c r="S219" s="77">
        <f t="shared" si="61"/>
        <v>0</v>
      </c>
      <c r="T219" s="77">
        <f t="shared" si="62"/>
        <v>0</v>
      </c>
      <c r="U219" s="79"/>
      <c r="V219" s="77">
        <f t="shared" si="63"/>
        <v>0</v>
      </c>
      <c r="W219" s="77">
        <f>IFERROR(VLOOKUP(A219,DataCoutRevenuAux!W:Y,2,FALSE),0)</f>
        <v>0</v>
      </c>
      <c r="X219" s="77">
        <f>IFERROR(VLOOKUP(A219,DataCoutRevenuAux!W:Y,3,FALSE),0)</f>
        <v>0</v>
      </c>
      <c r="Y219" s="77">
        <f t="shared" si="64"/>
        <v>0</v>
      </c>
      <c r="Z219" s="77">
        <f t="shared" si="65"/>
        <v>0</v>
      </c>
      <c r="AA219" s="77">
        <f t="shared" si="66"/>
        <v>0</v>
      </c>
      <c r="AB219" s="79"/>
      <c r="AC219" s="77">
        <f t="shared" si="67"/>
        <v>0</v>
      </c>
      <c r="AD219" s="77">
        <f t="shared" si="68"/>
        <v>0</v>
      </c>
      <c r="AE219" s="77">
        <f t="shared" si="69"/>
        <v>0</v>
      </c>
      <c r="AF219" s="79"/>
      <c r="AG219" s="6">
        <f t="shared" si="70"/>
        <v>0</v>
      </c>
      <c r="AH219" s="6">
        <f t="shared" si="71"/>
        <v>0</v>
      </c>
      <c r="AI219" s="6">
        <f t="shared" si="72"/>
        <v>0</v>
      </c>
    </row>
    <row r="220" spans="1:35" x14ac:dyDescent="0.3">
      <c r="A220" s="189">
        <f>DataDemande!U253</f>
        <v>0</v>
      </c>
      <c r="B220" s="189" t="str">
        <f t="shared" si="57"/>
        <v>0</v>
      </c>
      <c r="C220" s="189" t="str">
        <f t="shared" si="58"/>
        <v>0</v>
      </c>
      <c r="D220" s="189">
        <f>IFERROR(VLOOKUP(A220,DataCoutRevenuAux!M:Q,5,FALSE),0)</f>
        <v>0</v>
      </c>
      <c r="E220" s="189">
        <f>IFERROR(VLOOKUP(A220,DataDemande!U:Z,2,FALSE),0)</f>
        <v>0</v>
      </c>
      <c r="G220" s="77">
        <f>IFERROR(VLOOKUP(A220,DataDemande!U:Z,3,FALSE),0)</f>
        <v>0</v>
      </c>
      <c r="H220" s="77">
        <f>IFERROR(VLOOKUP($A220,DataDemande!$U:$Z,4,FALSE),0)</f>
        <v>0</v>
      </c>
      <c r="I220" s="77">
        <f>IFERROR(VLOOKUP($A220,DataDemande!$U:$Z,5,FALSE),0)</f>
        <v>0</v>
      </c>
      <c r="J220" s="77">
        <f>IFERROR(VLOOKUP($A220,DataDemande!$U:$Z,6,FALSE),0)</f>
        <v>0</v>
      </c>
      <c r="K220" s="79"/>
      <c r="L220" s="77">
        <f>IFERROR(VLOOKUP($A220,DataPrixBillets!$S:$W,2,FALSE),0)</f>
        <v>0</v>
      </c>
      <c r="M220" s="77">
        <f>IFERROR(VLOOKUP($A220,DataPrixBillets!$S:$W,3,FALSE),0)</f>
        <v>0</v>
      </c>
      <c r="N220" s="77">
        <f>IFERROR(VLOOKUP($A220,DataPrixBillets!$S:$W,4,FALSE),0)</f>
        <v>0</v>
      </c>
      <c r="O220" s="77">
        <f>IFERROR(VLOOKUP($A220,DataPrixBillets!$S:$W,5,FALSE),0)</f>
        <v>0</v>
      </c>
      <c r="P220" s="79"/>
      <c r="Q220" s="77">
        <f t="shared" si="59"/>
        <v>0</v>
      </c>
      <c r="R220" s="77">
        <f t="shared" si="60"/>
        <v>0</v>
      </c>
      <c r="S220" s="77">
        <f t="shared" si="61"/>
        <v>0</v>
      </c>
      <c r="T220" s="77">
        <f t="shared" si="62"/>
        <v>0</v>
      </c>
      <c r="U220" s="79"/>
      <c r="V220" s="77">
        <f t="shared" si="63"/>
        <v>0</v>
      </c>
      <c r="W220" s="77">
        <f>IFERROR(VLOOKUP(A220,DataCoutRevenuAux!W:Y,2,FALSE),0)</f>
        <v>0</v>
      </c>
      <c r="X220" s="77">
        <f>IFERROR(VLOOKUP(A220,DataCoutRevenuAux!W:Y,3,FALSE),0)</f>
        <v>0</v>
      </c>
      <c r="Y220" s="77">
        <f t="shared" si="64"/>
        <v>0</v>
      </c>
      <c r="Z220" s="77">
        <f t="shared" si="65"/>
        <v>0</v>
      </c>
      <c r="AA220" s="77">
        <f t="shared" si="66"/>
        <v>0</v>
      </c>
      <c r="AB220" s="79"/>
      <c r="AC220" s="77">
        <f t="shared" si="67"/>
        <v>0</v>
      </c>
      <c r="AD220" s="77">
        <f t="shared" si="68"/>
        <v>0</v>
      </c>
      <c r="AE220" s="77">
        <f t="shared" si="69"/>
        <v>0</v>
      </c>
      <c r="AF220" s="79"/>
      <c r="AG220" s="6">
        <f t="shared" si="70"/>
        <v>0</v>
      </c>
      <c r="AH220" s="6">
        <f t="shared" si="71"/>
        <v>0</v>
      </c>
      <c r="AI220" s="6">
        <f t="shared" si="72"/>
        <v>0</v>
      </c>
    </row>
    <row r="221" spans="1:35" x14ac:dyDescent="0.3">
      <c r="A221" s="189">
        <f>DataDemande!U254</f>
        <v>0</v>
      </c>
      <c r="B221" s="189" t="str">
        <f t="shared" si="57"/>
        <v>0</v>
      </c>
      <c r="C221" s="189" t="str">
        <f t="shared" si="58"/>
        <v>0</v>
      </c>
      <c r="D221" s="189">
        <f>IFERROR(VLOOKUP(A221,DataCoutRevenuAux!M:Q,5,FALSE),0)</f>
        <v>0</v>
      </c>
      <c r="E221" s="189">
        <f>IFERROR(VLOOKUP(A221,DataDemande!U:Z,2,FALSE),0)</f>
        <v>0</v>
      </c>
      <c r="G221" s="77">
        <f>IFERROR(VLOOKUP(A221,DataDemande!U:Z,3,FALSE),0)</f>
        <v>0</v>
      </c>
      <c r="H221" s="77">
        <f>IFERROR(VLOOKUP($A221,DataDemande!$U:$Z,4,FALSE),0)</f>
        <v>0</v>
      </c>
      <c r="I221" s="77">
        <f>IFERROR(VLOOKUP($A221,DataDemande!$U:$Z,5,FALSE),0)</f>
        <v>0</v>
      </c>
      <c r="J221" s="77">
        <f>IFERROR(VLOOKUP($A221,DataDemande!$U:$Z,6,FALSE),0)</f>
        <v>0</v>
      </c>
      <c r="K221" s="79"/>
      <c r="L221" s="77">
        <f>IFERROR(VLOOKUP($A221,DataPrixBillets!$S:$W,2,FALSE),0)</f>
        <v>0</v>
      </c>
      <c r="M221" s="77">
        <f>IFERROR(VLOOKUP($A221,DataPrixBillets!$S:$W,3,FALSE),0)</f>
        <v>0</v>
      </c>
      <c r="N221" s="77">
        <f>IFERROR(VLOOKUP($A221,DataPrixBillets!$S:$W,4,FALSE),0)</f>
        <v>0</v>
      </c>
      <c r="O221" s="77">
        <f>IFERROR(VLOOKUP($A221,DataPrixBillets!$S:$W,5,FALSE),0)</f>
        <v>0</v>
      </c>
      <c r="P221" s="79"/>
      <c r="Q221" s="77">
        <f t="shared" si="59"/>
        <v>0</v>
      </c>
      <c r="R221" s="77">
        <f t="shared" si="60"/>
        <v>0</v>
      </c>
      <c r="S221" s="77">
        <f t="shared" si="61"/>
        <v>0</v>
      </c>
      <c r="T221" s="77">
        <f t="shared" si="62"/>
        <v>0</v>
      </c>
      <c r="U221" s="79"/>
      <c r="V221" s="77">
        <f t="shared" si="63"/>
        <v>0</v>
      </c>
      <c r="W221" s="77">
        <f>IFERROR(VLOOKUP(A221,DataCoutRevenuAux!W:Y,2,FALSE),0)</f>
        <v>0</v>
      </c>
      <c r="X221" s="77">
        <f>IFERROR(VLOOKUP(A221,DataCoutRevenuAux!W:Y,3,FALSE),0)</f>
        <v>0</v>
      </c>
      <c r="Y221" s="77">
        <f t="shared" si="64"/>
        <v>0</v>
      </c>
      <c r="Z221" s="77">
        <f t="shared" si="65"/>
        <v>0</v>
      </c>
      <c r="AA221" s="77">
        <f t="shared" si="66"/>
        <v>0</v>
      </c>
      <c r="AB221" s="79"/>
      <c r="AC221" s="77">
        <f t="shared" si="67"/>
        <v>0</v>
      </c>
      <c r="AD221" s="77">
        <f t="shared" si="68"/>
        <v>0</v>
      </c>
      <c r="AE221" s="77">
        <f t="shared" si="69"/>
        <v>0</v>
      </c>
      <c r="AF221" s="79"/>
      <c r="AG221" s="6">
        <f t="shared" si="70"/>
        <v>0</v>
      </c>
      <c r="AH221" s="6">
        <f t="shared" si="71"/>
        <v>0</v>
      </c>
      <c r="AI221" s="6">
        <f t="shared" si="72"/>
        <v>0</v>
      </c>
    </row>
    <row r="222" spans="1:35" x14ac:dyDescent="0.3">
      <c r="A222" s="189">
        <f>DataDemande!U255</f>
        <v>0</v>
      </c>
      <c r="B222" s="189" t="str">
        <f t="shared" si="57"/>
        <v>0</v>
      </c>
      <c r="C222" s="189" t="str">
        <f t="shared" si="58"/>
        <v>0</v>
      </c>
      <c r="D222" s="189">
        <f>IFERROR(VLOOKUP(A222,DataCoutRevenuAux!M:Q,5,FALSE),0)</f>
        <v>0</v>
      </c>
      <c r="E222" s="189">
        <f>IFERROR(VLOOKUP(A222,DataDemande!U:Z,2,FALSE),0)</f>
        <v>0</v>
      </c>
      <c r="G222" s="77">
        <f>IFERROR(VLOOKUP(A222,DataDemande!U:Z,3,FALSE),0)</f>
        <v>0</v>
      </c>
      <c r="H222" s="77">
        <f>IFERROR(VLOOKUP($A222,DataDemande!$U:$Z,4,FALSE),0)</f>
        <v>0</v>
      </c>
      <c r="I222" s="77">
        <f>IFERROR(VLOOKUP($A222,DataDemande!$U:$Z,5,FALSE),0)</f>
        <v>0</v>
      </c>
      <c r="J222" s="77">
        <f>IFERROR(VLOOKUP($A222,DataDemande!$U:$Z,6,FALSE),0)</f>
        <v>0</v>
      </c>
      <c r="K222" s="79"/>
      <c r="L222" s="77">
        <f>IFERROR(VLOOKUP($A222,DataPrixBillets!$S:$W,2,FALSE),0)</f>
        <v>0</v>
      </c>
      <c r="M222" s="77">
        <f>IFERROR(VLOOKUP($A222,DataPrixBillets!$S:$W,3,FALSE),0)</f>
        <v>0</v>
      </c>
      <c r="N222" s="77">
        <f>IFERROR(VLOOKUP($A222,DataPrixBillets!$S:$W,4,FALSE),0)</f>
        <v>0</v>
      </c>
      <c r="O222" s="77">
        <f>IFERROR(VLOOKUP($A222,DataPrixBillets!$S:$W,5,FALSE),0)</f>
        <v>0</v>
      </c>
      <c r="P222" s="79"/>
      <c r="Q222" s="77">
        <f t="shared" si="59"/>
        <v>0</v>
      </c>
      <c r="R222" s="77">
        <f t="shared" si="60"/>
        <v>0</v>
      </c>
      <c r="S222" s="77">
        <f t="shared" si="61"/>
        <v>0</v>
      </c>
      <c r="T222" s="77">
        <f t="shared" si="62"/>
        <v>0</v>
      </c>
      <c r="U222" s="79"/>
      <c r="V222" s="77">
        <f t="shared" si="63"/>
        <v>0</v>
      </c>
      <c r="W222" s="77">
        <f>IFERROR(VLOOKUP(A222,DataCoutRevenuAux!W:Y,2,FALSE),0)</f>
        <v>0</v>
      </c>
      <c r="X222" s="77">
        <f>IFERROR(VLOOKUP(A222,DataCoutRevenuAux!W:Y,3,FALSE),0)</f>
        <v>0</v>
      </c>
      <c r="Y222" s="77">
        <f t="shared" si="64"/>
        <v>0</v>
      </c>
      <c r="Z222" s="77">
        <f t="shared" si="65"/>
        <v>0</v>
      </c>
      <c r="AA222" s="77">
        <f t="shared" si="66"/>
        <v>0</v>
      </c>
      <c r="AB222" s="79"/>
      <c r="AC222" s="77">
        <f t="shared" si="67"/>
        <v>0</v>
      </c>
      <c r="AD222" s="77">
        <f t="shared" si="68"/>
        <v>0</v>
      </c>
      <c r="AE222" s="77">
        <f t="shared" si="69"/>
        <v>0</v>
      </c>
      <c r="AF222" s="79"/>
      <c r="AG222" s="6">
        <f t="shared" si="70"/>
        <v>0</v>
      </c>
      <c r="AH222" s="6">
        <f t="shared" si="71"/>
        <v>0</v>
      </c>
      <c r="AI222" s="6">
        <f t="shared" si="72"/>
        <v>0</v>
      </c>
    </row>
    <row r="223" spans="1:35" x14ac:dyDescent="0.3">
      <c r="A223" s="189">
        <f>DataDemande!U256</f>
        <v>0</v>
      </c>
      <c r="B223" s="189" t="str">
        <f t="shared" ref="B223:B278" si="73">LEFT(A223,3)</f>
        <v>0</v>
      </c>
      <c r="C223" s="189" t="str">
        <f t="shared" ref="C223:C278" si="74">RIGHT(A223,3)</f>
        <v>0</v>
      </c>
      <c r="D223" s="189">
        <f>IFERROR(VLOOKUP(A223,DataCoutRevenuAux!M:Q,5,FALSE),0)</f>
        <v>0</v>
      </c>
      <c r="E223" s="189">
        <f>IFERROR(VLOOKUP(A223,DataDemande!U:Z,2,FALSE),0)</f>
        <v>0</v>
      </c>
      <c r="G223" s="77">
        <f>IFERROR(VLOOKUP(A223,DataDemande!U:Z,3,FALSE),0)</f>
        <v>0</v>
      </c>
      <c r="H223" s="77">
        <f>IFERROR(VLOOKUP($A223,DataDemande!$U:$Z,4,FALSE),0)</f>
        <v>0</v>
      </c>
      <c r="I223" s="77">
        <f>IFERROR(VLOOKUP($A223,DataDemande!$U:$Z,5,FALSE),0)</f>
        <v>0</v>
      </c>
      <c r="J223" s="77">
        <f>IFERROR(VLOOKUP($A223,DataDemande!$U:$Z,6,FALSE),0)</f>
        <v>0</v>
      </c>
      <c r="K223" s="79"/>
      <c r="L223" s="77">
        <f>IFERROR(VLOOKUP($A223,DataPrixBillets!$S:$W,2,FALSE),0)</f>
        <v>0</v>
      </c>
      <c r="M223" s="77">
        <f>IFERROR(VLOOKUP($A223,DataPrixBillets!$S:$W,3,FALSE),0)</f>
        <v>0</v>
      </c>
      <c r="N223" s="77">
        <f>IFERROR(VLOOKUP($A223,DataPrixBillets!$S:$W,4,FALSE),0)</f>
        <v>0</v>
      </c>
      <c r="O223" s="77">
        <f>IFERROR(VLOOKUP($A223,DataPrixBillets!$S:$W,5,FALSE),0)</f>
        <v>0</v>
      </c>
      <c r="P223" s="79"/>
      <c r="Q223" s="77">
        <f t="shared" si="59"/>
        <v>0</v>
      </c>
      <c r="R223" s="77">
        <f t="shared" si="60"/>
        <v>0</v>
      </c>
      <c r="S223" s="77">
        <f t="shared" si="61"/>
        <v>0</v>
      </c>
      <c r="T223" s="77">
        <f t="shared" si="62"/>
        <v>0</v>
      </c>
      <c r="U223" s="79"/>
      <c r="V223" s="77">
        <f t="shared" si="63"/>
        <v>0</v>
      </c>
      <c r="W223" s="77">
        <f>IFERROR(VLOOKUP(A223,DataCoutRevenuAux!W:Y,2,FALSE),0)</f>
        <v>0</v>
      </c>
      <c r="X223" s="77">
        <f>IFERROR(VLOOKUP(A223,DataCoutRevenuAux!W:Y,3,FALSE),0)</f>
        <v>0</v>
      </c>
      <c r="Y223" s="77">
        <f t="shared" si="64"/>
        <v>0</v>
      </c>
      <c r="Z223" s="77">
        <f t="shared" si="65"/>
        <v>0</v>
      </c>
      <c r="AA223" s="77">
        <f t="shared" si="66"/>
        <v>0</v>
      </c>
      <c r="AB223" s="79"/>
      <c r="AC223" s="77">
        <f t="shared" si="67"/>
        <v>0</v>
      </c>
      <c r="AD223" s="77">
        <f t="shared" si="68"/>
        <v>0</v>
      </c>
      <c r="AE223" s="77">
        <f t="shared" si="69"/>
        <v>0</v>
      </c>
      <c r="AF223" s="79"/>
      <c r="AG223" s="6">
        <f t="shared" si="70"/>
        <v>0</v>
      </c>
      <c r="AH223" s="6">
        <f t="shared" si="71"/>
        <v>0</v>
      </c>
      <c r="AI223" s="6">
        <f t="shared" si="72"/>
        <v>0</v>
      </c>
    </row>
    <row r="224" spans="1:35" x14ac:dyDescent="0.3">
      <c r="A224" s="189">
        <f>DataDemande!U257</f>
        <v>0</v>
      </c>
      <c r="B224" s="189" t="str">
        <f t="shared" si="73"/>
        <v>0</v>
      </c>
      <c r="C224" s="189" t="str">
        <f t="shared" si="74"/>
        <v>0</v>
      </c>
      <c r="D224" s="189">
        <f>IFERROR(VLOOKUP(A224,DataCoutRevenuAux!M:Q,5,FALSE),0)</f>
        <v>0</v>
      </c>
      <c r="E224" s="189">
        <f>IFERROR(VLOOKUP(A224,DataDemande!U:Z,2,FALSE),0)</f>
        <v>0</v>
      </c>
      <c r="G224" s="77">
        <f>IFERROR(VLOOKUP(A224,DataDemande!U:Z,3,FALSE),0)</f>
        <v>0</v>
      </c>
      <c r="H224" s="77">
        <f>IFERROR(VLOOKUP($A224,DataDemande!$U:$Z,4,FALSE),0)</f>
        <v>0</v>
      </c>
      <c r="I224" s="77">
        <f>IFERROR(VLOOKUP($A224,DataDemande!$U:$Z,5,FALSE),0)</f>
        <v>0</v>
      </c>
      <c r="J224" s="77">
        <f>IFERROR(VLOOKUP($A224,DataDemande!$U:$Z,6,FALSE),0)</f>
        <v>0</v>
      </c>
      <c r="K224" s="79"/>
      <c r="L224" s="77">
        <f>IFERROR(VLOOKUP($A224,DataPrixBillets!$S:$W,2,FALSE),0)</f>
        <v>0</v>
      </c>
      <c r="M224" s="77">
        <f>IFERROR(VLOOKUP($A224,DataPrixBillets!$S:$W,3,FALSE),0)</f>
        <v>0</v>
      </c>
      <c r="N224" s="77">
        <f>IFERROR(VLOOKUP($A224,DataPrixBillets!$S:$W,4,FALSE),0)</f>
        <v>0</v>
      </c>
      <c r="O224" s="77">
        <f>IFERROR(VLOOKUP($A224,DataPrixBillets!$S:$W,5,FALSE),0)</f>
        <v>0</v>
      </c>
      <c r="P224" s="79"/>
      <c r="Q224" s="77">
        <f t="shared" si="59"/>
        <v>0</v>
      </c>
      <c r="R224" s="77">
        <f t="shared" si="60"/>
        <v>0</v>
      </c>
      <c r="S224" s="77">
        <f t="shared" si="61"/>
        <v>0</v>
      </c>
      <c r="T224" s="77">
        <f t="shared" si="62"/>
        <v>0</v>
      </c>
      <c r="U224" s="79"/>
      <c r="V224" s="77">
        <f t="shared" si="63"/>
        <v>0</v>
      </c>
      <c r="W224" s="77">
        <f>IFERROR(VLOOKUP(A224,DataCoutRevenuAux!W:Y,2,FALSE),0)</f>
        <v>0</v>
      </c>
      <c r="X224" s="77">
        <f>IFERROR(VLOOKUP(A224,DataCoutRevenuAux!W:Y,3,FALSE),0)</f>
        <v>0</v>
      </c>
      <c r="Y224" s="77">
        <f t="shared" si="64"/>
        <v>0</v>
      </c>
      <c r="Z224" s="77">
        <f t="shared" si="65"/>
        <v>0</v>
      </c>
      <c r="AA224" s="77">
        <f t="shared" si="66"/>
        <v>0</v>
      </c>
      <c r="AB224" s="79"/>
      <c r="AC224" s="77">
        <f t="shared" si="67"/>
        <v>0</v>
      </c>
      <c r="AD224" s="77">
        <f t="shared" si="68"/>
        <v>0</v>
      </c>
      <c r="AE224" s="77">
        <f t="shared" si="69"/>
        <v>0</v>
      </c>
      <c r="AF224" s="79"/>
      <c r="AG224" s="6">
        <f t="shared" si="70"/>
        <v>0</v>
      </c>
      <c r="AH224" s="6">
        <f t="shared" si="71"/>
        <v>0</v>
      </c>
      <c r="AI224" s="6">
        <f t="shared" si="72"/>
        <v>0</v>
      </c>
    </row>
    <row r="225" spans="1:35" x14ac:dyDescent="0.3">
      <c r="A225" s="189">
        <f>DataDemande!U258</f>
        <v>0</v>
      </c>
      <c r="B225" s="189" t="str">
        <f t="shared" si="73"/>
        <v>0</v>
      </c>
      <c r="C225" s="189" t="str">
        <f t="shared" si="74"/>
        <v>0</v>
      </c>
      <c r="D225" s="189">
        <f>IFERROR(VLOOKUP(A225,DataCoutRevenuAux!M:Q,5,FALSE),0)</f>
        <v>0</v>
      </c>
      <c r="E225" s="189">
        <f>IFERROR(VLOOKUP(A225,DataDemande!U:Z,2,FALSE),0)</f>
        <v>0</v>
      </c>
      <c r="G225" s="77">
        <f>IFERROR(VLOOKUP(A225,DataDemande!U:Z,3,FALSE),0)</f>
        <v>0</v>
      </c>
      <c r="H225" s="77">
        <f>IFERROR(VLOOKUP($A225,DataDemande!$U:$Z,4,FALSE),0)</f>
        <v>0</v>
      </c>
      <c r="I225" s="77">
        <f>IFERROR(VLOOKUP($A225,DataDemande!$U:$Z,5,FALSE),0)</f>
        <v>0</v>
      </c>
      <c r="J225" s="77">
        <f>IFERROR(VLOOKUP($A225,DataDemande!$U:$Z,6,FALSE),0)</f>
        <v>0</v>
      </c>
      <c r="K225" s="79"/>
      <c r="L225" s="77">
        <f>IFERROR(VLOOKUP($A225,DataPrixBillets!$S:$W,2,FALSE),0)</f>
        <v>0</v>
      </c>
      <c r="M225" s="77">
        <f>IFERROR(VLOOKUP($A225,DataPrixBillets!$S:$W,3,FALSE),0)</f>
        <v>0</v>
      </c>
      <c r="N225" s="77">
        <f>IFERROR(VLOOKUP($A225,DataPrixBillets!$S:$W,4,FALSE),0)</f>
        <v>0</v>
      </c>
      <c r="O225" s="77">
        <f>IFERROR(VLOOKUP($A225,DataPrixBillets!$S:$W,5,FALSE),0)</f>
        <v>0</v>
      </c>
      <c r="P225" s="79"/>
      <c r="Q225" s="77">
        <f t="shared" si="59"/>
        <v>0</v>
      </c>
      <c r="R225" s="77">
        <f t="shared" si="60"/>
        <v>0</v>
      </c>
      <c r="S225" s="77">
        <f t="shared" si="61"/>
        <v>0</v>
      </c>
      <c r="T225" s="77">
        <f t="shared" si="62"/>
        <v>0</v>
      </c>
      <c r="U225" s="79"/>
      <c r="V225" s="77">
        <f t="shared" si="63"/>
        <v>0</v>
      </c>
      <c r="W225" s="77">
        <f>IFERROR(VLOOKUP(A225,DataCoutRevenuAux!W:Y,2,FALSE),0)</f>
        <v>0</v>
      </c>
      <c r="X225" s="77">
        <f>IFERROR(VLOOKUP(A225,DataCoutRevenuAux!W:Y,3,FALSE),0)</f>
        <v>0</v>
      </c>
      <c r="Y225" s="77">
        <f t="shared" si="64"/>
        <v>0</v>
      </c>
      <c r="Z225" s="77">
        <f t="shared" si="65"/>
        <v>0</v>
      </c>
      <c r="AA225" s="77">
        <f t="shared" si="66"/>
        <v>0</v>
      </c>
      <c r="AB225" s="79"/>
      <c r="AC225" s="77">
        <f t="shared" si="67"/>
        <v>0</v>
      </c>
      <c r="AD225" s="77">
        <f t="shared" si="68"/>
        <v>0</v>
      </c>
      <c r="AE225" s="77">
        <f t="shared" si="69"/>
        <v>0</v>
      </c>
      <c r="AF225" s="79"/>
      <c r="AG225" s="6">
        <f t="shared" si="70"/>
        <v>0</v>
      </c>
      <c r="AH225" s="6">
        <f t="shared" si="71"/>
        <v>0</v>
      </c>
      <c r="AI225" s="6">
        <f t="shared" si="72"/>
        <v>0</v>
      </c>
    </row>
    <row r="226" spans="1:35" x14ac:dyDescent="0.3">
      <c r="A226" s="189">
        <f>DataDemande!U259</f>
        <v>0</v>
      </c>
      <c r="B226" s="189" t="str">
        <f t="shared" si="73"/>
        <v>0</v>
      </c>
      <c r="C226" s="189" t="str">
        <f t="shared" si="74"/>
        <v>0</v>
      </c>
      <c r="D226" s="189">
        <f>IFERROR(VLOOKUP(A226,DataCoutRevenuAux!M:Q,5,FALSE),0)</f>
        <v>0</v>
      </c>
      <c r="E226" s="189">
        <f>IFERROR(VLOOKUP(A226,DataDemande!U:Z,2,FALSE),0)</f>
        <v>0</v>
      </c>
      <c r="G226" s="77">
        <f>IFERROR(VLOOKUP(A226,DataDemande!U:Z,3,FALSE),0)</f>
        <v>0</v>
      </c>
      <c r="H226" s="77">
        <f>IFERROR(VLOOKUP($A226,DataDemande!$U:$Z,4,FALSE),0)</f>
        <v>0</v>
      </c>
      <c r="I226" s="77">
        <f>IFERROR(VLOOKUP($A226,DataDemande!$U:$Z,5,FALSE),0)</f>
        <v>0</v>
      </c>
      <c r="J226" s="77">
        <f>IFERROR(VLOOKUP($A226,DataDemande!$U:$Z,6,FALSE),0)</f>
        <v>0</v>
      </c>
      <c r="K226" s="79"/>
      <c r="L226" s="77">
        <f>IFERROR(VLOOKUP($A226,DataPrixBillets!$S:$W,2,FALSE),0)</f>
        <v>0</v>
      </c>
      <c r="M226" s="77">
        <f>IFERROR(VLOOKUP($A226,DataPrixBillets!$S:$W,3,FALSE),0)</f>
        <v>0</v>
      </c>
      <c r="N226" s="77">
        <f>IFERROR(VLOOKUP($A226,DataPrixBillets!$S:$W,4,FALSE),0)</f>
        <v>0</v>
      </c>
      <c r="O226" s="77">
        <f>IFERROR(VLOOKUP($A226,DataPrixBillets!$S:$W,5,FALSE),0)</f>
        <v>0</v>
      </c>
      <c r="P226" s="79"/>
      <c r="Q226" s="77">
        <f t="shared" si="59"/>
        <v>0</v>
      </c>
      <c r="R226" s="77">
        <f t="shared" si="60"/>
        <v>0</v>
      </c>
      <c r="S226" s="77">
        <f t="shared" si="61"/>
        <v>0</v>
      </c>
      <c r="T226" s="77">
        <f t="shared" si="62"/>
        <v>0</v>
      </c>
      <c r="U226" s="79"/>
      <c r="V226" s="77">
        <f t="shared" si="63"/>
        <v>0</v>
      </c>
      <c r="W226" s="77">
        <f>IFERROR(VLOOKUP(A226,DataCoutRevenuAux!W:Y,2,FALSE),0)</f>
        <v>0</v>
      </c>
      <c r="X226" s="77">
        <f>IFERROR(VLOOKUP(A226,DataCoutRevenuAux!W:Y,3,FALSE),0)</f>
        <v>0</v>
      </c>
      <c r="Y226" s="77">
        <f t="shared" si="64"/>
        <v>0</v>
      </c>
      <c r="Z226" s="77">
        <f t="shared" si="65"/>
        <v>0</v>
      </c>
      <c r="AA226" s="77">
        <f t="shared" si="66"/>
        <v>0</v>
      </c>
      <c r="AB226" s="79"/>
      <c r="AC226" s="77">
        <f t="shared" si="67"/>
        <v>0</v>
      </c>
      <c r="AD226" s="77">
        <f t="shared" si="68"/>
        <v>0</v>
      </c>
      <c r="AE226" s="77">
        <f t="shared" si="69"/>
        <v>0</v>
      </c>
      <c r="AF226" s="79"/>
      <c r="AG226" s="6">
        <f t="shared" si="70"/>
        <v>0</v>
      </c>
      <c r="AH226" s="6">
        <f t="shared" si="71"/>
        <v>0</v>
      </c>
      <c r="AI226" s="6">
        <f t="shared" si="72"/>
        <v>0</v>
      </c>
    </row>
    <row r="227" spans="1:35" x14ac:dyDescent="0.3">
      <c r="A227" s="189">
        <f>DataDemande!U260</f>
        <v>0</v>
      </c>
      <c r="B227" s="189" t="str">
        <f t="shared" si="73"/>
        <v>0</v>
      </c>
      <c r="C227" s="189" t="str">
        <f t="shared" si="74"/>
        <v>0</v>
      </c>
      <c r="D227" s="189">
        <f>IFERROR(VLOOKUP(A227,DataCoutRevenuAux!M:Q,5,FALSE),0)</f>
        <v>0</v>
      </c>
      <c r="E227" s="189">
        <f>IFERROR(VLOOKUP(A227,DataDemande!U:Z,2,FALSE),0)</f>
        <v>0</v>
      </c>
      <c r="G227" s="77">
        <f>IFERROR(VLOOKUP(A227,DataDemande!U:Z,3,FALSE),0)</f>
        <v>0</v>
      </c>
      <c r="H227" s="77">
        <f>IFERROR(VLOOKUP($A227,DataDemande!$U:$Z,4,FALSE),0)</f>
        <v>0</v>
      </c>
      <c r="I227" s="77">
        <f>IFERROR(VLOOKUP($A227,DataDemande!$U:$Z,5,FALSE),0)</f>
        <v>0</v>
      </c>
      <c r="J227" s="77">
        <f>IFERROR(VLOOKUP($A227,DataDemande!$U:$Z,6,FALSE),0)</f>
        <v>0</v>
      </c>
      <c r="K227" s="79"/>
      <c r="L227" s="77">
        <f>IFERROR(VLOOKUP($A227,DataPrixBillets!$S:$W,2,FALSE),0)</f>
        <v>0</v>
      </c>
      <c r="M227" s="77">
        <f>IFERROR(VLOOKUP($A227,DataPrixBillets!$S:$W,3,FALSE),0)</f>
        <v>0</v>
      </c>
      <c r="N227" s="77">
        <f>IFERROR(VLOOKUP($A227,DataPrixBillets!$S:$W,4,FALSE),0)</f>
        <v>0</v>
      </c>
      <c r="O227" s="77">
        <f>IFERROR(VLOOKUP($A227,DataPrixBillets!$S:$W,5,FALSE),0)</f>
        <v>0</v>
      </c>
      <c r="P227" s="79"/>
      <c r="Q227" s="77">
        <f t="shared" si="59"/>
        <v>0</v>
      </c>
      <c r="R227" s="77">
        <f t="shared" si="60"/>
        <v>0</v>
      </c>
      <c r="S227" s="77">
        <f t="shared" si="61"/>
        <v>0</v>
      </c>
      <c r="T227" s="77">
        <f t="shared" si="62"/>
        <v>0</v>
      </c>
      <c r="U227" s="79"/>
      <c r="V227" s="77">
        <f t="shared" si="63"/>
        <v>0</v>
      </c>
      <c r="W227" s="77">
        <f>IFERROR(VLOOKUP(A227,DataCoutRevenuAux!W:Y,2,FALSE),0)</f>
        <v>0</v>
      </c>
      <c r="X227" s="77">
        <f>IFERROR(VLOOKUP(A227,DataCoutRevenuAux!W:Y,3,FALSE),0)</f>
        <v>0</v>
      </c>
      <c r="Y227" s="77">
        <f t="shared" si="64"/>
        <v>0</v>
      </c>
      <c r="Z227" s="77">
        <f t="shared" si="65"/>
        <v>0</v>
      </c>
      <c r="AA227" s="77">
        <f t="shared" si="66"/>
        <v>0</v>
      </c>
      <c r="AB227" s="79"/>
      <c r="AC227" s="77">
        <f t="shared" si="67"/>
        <v>0</v>
      </c>
      <c r="AD227" s="77">
        <f t="shared" si="68"/>
        <v>0</v>
      </c>
      <c r="AE227" s="77">
        <f t="shared" si="69"/>
        <v>0</v>
      </c>
      <c r="AF227" s="79"/>
      <c r="AG227" s="6">
        <f t="shared" si="70"/>
        <v>0</v>
      </c>
      <c r="AH227" s="6">
        <f t="shared" si="71"/>
        <v>0</v>
      </c>
      <c r="AI227" s="6">
        <f t="shared" si="72"/>
        <v>0</v>
      </c>
    </row>
    <row r="228" spans="1:35" x14ac:dyDescent="0.3">
      <c r="A228" s="189">
        <f>DataDemande!U261</f>
        <v>0</v>
      </c>
      <c r="B228" s="189" t="str">
        <f t="shared" si="73"/>
        <v>0</v>
      </c>
      <c r="C228" s="189" t="str">
        <f t="shared" si="74"/>
        <v>0</v>
      </c>
      <c r="D228" s="189">
        <f>IFERROR(VLOOKUP(A228,DataCoutRevenuAux!M:Q,5,FALSE),0)</f>
        <v>0</v>
      </c>
      <c r="E228" s="189">
        <f>IFERROR(VLOOKUP(A228,DataDemande!U:Z,2,FALSE),0)</f>
        <v>0</v>
      </c>
      <c r="G228" s="77">
        <f>IFERROR(VLOOKUP(A228,DataDemande!U:Z,3,FALSE),0)</f>
        <v>0</v>
      </c>
      <c r="H228" s="77">
        <f>IFERROR(VLOOKUP($A228,DataDemande!$U:$Z,4,FALSE),0)</f>
        <v>0</v>
      </c>
      <c r="I228" s="77">
        <f>IFERROR(VLOOKUP($A228,DataDemande!$U:$Z,5,FALSE),0)</f>
        <v>0</v>
      </c>
      <c r="J228" s="77">
        <f>IFERROR(VLOOKUP($A228,DataDemande!$U:$Z,6,FALSE),0)</f>
        <v>0</v>
      </c>
      <c r="K228" s="79"/>
      <c r="L228" s="77">
        <f>IFERROR(VLOOKUP($A228,DataPrixBillets!$S:$W,2,FALSE),0)</f>
        <v>0</v>
      </c>
      <c r="M228" s="77">
        <f>IFERROR(VLOOKUP($A228,DataPrixBillets!$S:$W,3,FALSE),0)</f>
        <v>0</v>
      </c>
      <c r="N228" s="77">
        <f>IFERROR(VLOOKUP($A228,DataPrixBillets!$S:$W,4,FALSE),0)</f>
        <v>0</v>
      </c>
      <c r="O228" s="77">
        <f>IFERROR(VLOOKUP($A228,DataPrixBillets!$S:$W,5,FALSE),0)</f>
        <v>0</v>
      </c>
      <c r="P228" s="79"/>
      <c r="Q228" s="77">
        <f t="shared" si="59"/>
        <v>0</v>
      </c>
      <c r="R228" s="77">
        <f t="shared" si="60"/>
        <v>0</v>
      </c>
      <c r="S228" s="77">
        <f t="shared" si="61"/>
        <v>0</v>
      </c>
      <c r="T228" s="77">
        <f t="shared" si="62"/>
        <v>0</v>
      </c>
      <c r="U228" s="79"/>
      <c r="V228" s="77">
        <f t="shared" si="63"/>
        <v>0</v>
      </c>
      <c r="W228" s="77">
        <f>IFERROR(VLOOKUP(A228,DataCoutRevenuAux!W:Y,2,FALSE),0)</f>
        <v>0</v>
      </c>
      <c r="X228" s="77">
        <f>IFERROR(VLOOKUP(A228,DataCoutRevenuAux!W:Y,3,FALSE),0)</f>
        <v>0</v>
      </c>
      <c r="Y228" s="77">
        <f t="shared" si="64"/>
        <v>0</v>
      </c>
      <c r="Z228" s="77">
        <f t="shared" si="65"/>
        <v>0</v>
      </c>
      <c r="AA228" s="77">
        <f t="shared" si="66"/>
        <v>0</v>
      </c>
      <c r="AB228" s="79"/>
      <c r="AC228" s="77">
        <f t="shared" si="67"/>
        <v>0</v>
      </c>
      <c r="AD228" s="77">
        <f t="shared" si="68"/>
        <v>0</v>
      </c>
      <c r="AE228" s="77">
        <f t="shared" si="69"/>
        <v>0</v>
      </c>
      <c r="AF228" s="79"/>
      <c r="AG228" s="6">
        <f t="shared" si="70"/>
        <v>0</v>
      </c>
      <c r="AH228" s="6">
        <f t="shared" si="71"/>
        <v>0</v>
      </c>
      <c r="AI228" s="6">
        <f t="shared" si="72"/>
        <v>0</v>
      </c>
    </row>
    <row r="229" spans="1:35" x14ac:dyDescent="0.3">
      <c r="A229" s="189">
        <f>DataDemande!U262</f>
        <v>0</v>
      </c>
      <c r="B229" s="189" t="str">
        <f t="shared" si="73"/>
        <v>0</v>
      </c>
      <c r="C229" s="189" t="str">
        <f t="shared" si="74"/>
        <v>0</v>
      </c>
      <c r="D229" s="189">
        <f>IFERROR(VLOOKUP(A229,DataCoutRevenuAux!M:Q,5,FALSE),0)</f>
        <v>0</v>
      </c>
      <c r="E229" s="189">
        <f>IFERROR(VLOOKUP(A229,DataDemande!U:Z,2,FALSE),0)</f>
        <v>0</v>
      </c>
      <c r="G229" s="77">
        <f>IFERROR(VLOOKUP(A229,DataDemande!U:Z,3,FALSE),0)</f>
        <v>0</v>
      </c>
      <c r="H229" s="77">
        <f>IFERROR(VLOOKUP($A229,DataDemande!$U:$Z,4,FALSE),0)</f>
        <v>0</v>
      </c>
      <c r="I229" s="77">
        <f>IFERROR(VLOOKUP($A229,DataDemande!$U:$Z,5,FALSE),0)</f>
        <v>0</v>
      </c>
      <c r="J229" s="77">
        <f>IFERROR(VLOOKUP($A229,DataDemande!$U:$Z,6,FALSE),0)</f>
        <v>0</v>
      </c>
      <c r="K229" s="79"/>
      <c r="L229" s="77">
        <f>IFERROR(VLOOKUP($A229,DataPrixBillets!$S:$W,2,FALSE),0)</f>
        <v>0</v>
      </c>
      <c r="M229" s="77">
        <f>IFERROR(VLOOKUP($A229,DataPrixBillets!$S:$W,3,FALSE),0)</f>
        <v>0</v>
      </c>
      <c r="N229" s="77">
        <f>IFERROR(VLOOKUP($A229,DataPrixBillets!$S:$W,4,FALSE),0)</f>
        <v>0</v>
      </c>
      <c r="O229" s="77">
        <f>IFERROR(VLOOKUP($A229,DataPrixBillets!$S:$W,5,FALSE),0)</f>
        <v>0</v>
      </c>
      <c r="P229" s="79"/>
      <c r="Q229" s="77">
        <f t="shared" si="59"/>
        <v>0</v>
      </c>
      <c r="R229" s="77">
        <f t="shared" si="60"/>
        <v>0</v>
      </c>
      <c r="S229" s="77">
        <f t="shared" si="61"/>
        <v>0</v>
      </c>
      <c r="T229" s="77">
        <f t="shared" si="62"/>
        <v>0</v>
      </c>
      <c r="U229" s="79"/>
      <c r="V229" s="77">
        <f t="shared" si="63"/>
        <v>0</v>
      </c>
      <c r="W229" s="77">
        <f>IFERROR(VLOOKUP(A229,DataCoutRevenuAux!W:Y,2,FALSE),0)</f>
        <v>0</v>
      </c>
      <c r="X229" s="77">
        <f>IFERROR(VLOOKUP(A229,DataCoutRevenuAux!W:Y,3,FALSE),0)</f>
        <v>0</v>
      </c>
      <c r="Y229" s="77">
        <f t="shared" si="64"/>
        <v>0</v>
      </c>
      <c r="Z229" s="77">
        <f t="shared" si="65"/>
        <v>0</v>
      </c>
      <c r="AA229" s="77">
        <f t="shared" si="66"/>
        <v>0</v>
      </c>
      <c r="AB229" s="79"/>
      <c r="AC229" s="77">
        <f t="shared" si="67"/>
        <v>0</v>
      </c>
      <c r="AD229" s="77">
        <f t="shared" si="68"/>
        <v>0</v>
      </c>
      <c r="AE229" s="77">
        <f t="shared" si="69"/>
        <v>0</v>
      </c>
      <c r="AF229" s="79"/>
      <c r="AG229" s="6">
        <f t="shared" si="70"/>
        <v>0</v>
      </c>
      <c r="AH229" s="6">
        <f t="shared" si="71"/>
        <v>0</v>
      </c>
      <c r="AI229" s="6">
        <f t="shared" si="72"/>
        <v>0</v>
      </c>
    </row>
    <row r="230" spans="1:35" x14ac:dyDescent="0.3">
      <c r="A230" s="189">
        <f>DataDemande!U263</f>
        <v>0</v>
      </c>
      <c r="B230" s="189" t="str">
        <f t="shared" si="73"/>
        <v>0</v>
      </c>
      <c r="C230" s="189" t="str">
        <f t="shared" si="74"/>
        <v>0</v>
      </c>
      <c r="D230" s="189">
        <f>IFERROR(VLOOKUP(A230,DataCoutRevenuAux!M:Q,5,FALSE),0)</f>
        <v>0</v>
      </c>
      <c r="E230" s="189">
        <f>IFERROR(VLOOKUP(A230,DataDemande!U:Z,2,FALSE),0)</f>
        <v>0</v>
      </c>
      <c r="G230" s="77">
        <f>IFERROR(VLOOKUP(A230,DataDemande!U:Z,3,FALSE),0)</f>
        <v>0</v>
      </c>
      <c r="H230" s="77">
        <f>IFERROR(VLOOKUP($A230,DataDemande!$U:$Z,4,FALSE),0)</f>
        <v>0</v>
      </c>
      <c r="I230" s="77">
        <f>IFERROR(VLOOKUP($A230,DataDemande!$U:$Z,5,FALSE),0)</f>
        <v>0</v>
      </c>
      <c r="J230" s="77">
        <f>IFERROR(VLOOKUP($A230,DataDemande!$U:$Z,6,FALSE),0)</f>
        <v>0</v>
      </c>
      <c r="K230" s="79"/>
      <c r="L230" s="77">
        <f>IFERROR(VLOOKUP($A230,DataPrixBillets!$S:$W,2,FALSE),0)</f>
        <v>0</v>
      </c>
      <c r="M230" s="77">
        <f>IFERROR(VLOOKUP($A230,DataPrixBillets!$S:$W,3,FALSE),0)</f>
        <v>0</v>
      </c>
      <c r="N230" s="77">
        <f>IFERROR(VLOOKUP($A230,DataPrixBillets!$S:$W,4,FALSE),0)</f>
        <v>0</v>
      </c>
      <c r="O230" s="77">
        <f>IFERROR(VLOOKUP($A230,DataPrixBillets!$S:$W,5,FALSE),0)</f>
        <v>0</v>
      </c>
      <c r="P230" s="79"/>
      <c r="Q230" s="77">
        <f t="shared" ref="Q230:Q278" si="75">L230*G230</f>
        <v>0</v>
      </c>
      <c r="R230" s="77">
        <f t="shared" ref="R230:R278" si="76">M230*H230</f>
        <v>0</v>
      </c>
      <c r="S230" s="77">
        <f t="shared" ref="S230:S278" si="77">N230*I230</f>
        <v>0</v>
      </c>
      <c r="T230" s="77">
        <f t="shared" ref="T230:T278" si="78">O230*J230</f>
        <v>0</v>
      </c>
      <c r="U230" s="79"/>
      <c r="V230" s="77">
        <f t="shared" ref="V230:V278" si="79">(G230*L230+H230*M230+I230*N230+J230*O230)</f>
        <v>0</v>
      </c>
      <c r="W230" s="77">
        <f>IFERROR(VLOOKUP(A230,DataCoutRevenuAux!W:Y,2,FALSE),0)</f>
        <v>0</v>
      </c>
      <c r="X230" s="77">
        <f>IFERROR(VLOOKUP(A230,DataCoutRevenuAux!W:Y,3,FALSE),0)</f>
        <v>0</v>
      </c>
      <c r="Y230" s="77">
        <f t="shared" ref="Y230:Y278" si="80">V230+W230</f>
        <v>0</v>
      </c>
      <c r="Z230" s="77">
        <f t="shared" ref="Z230:Z278" si="81">Y230*(365/12)</f>
        <v>0</v>
      </c>
      <c r="AA230" s="77">
        <f t="shared" ref="AA230:AA278" si="82">Z230*12</f>
        <v>0</v>
      </c>
      <c r="AB230" s="79"/>
      <c r="AC230" s="77">
        <f t="shared" ref="AC230:AC278" si="83">V230+W230-X230</f>
        <v>0</v>
      </c>
      <c r="AD230" s="77">
        <f t="shared" ref="AD230:AD278" si="84">(AC230*365)/12</f>
        <v>0</v>
      </c>
      <c r="AE230" s="77">
        <f t="shared" ref="AE230:AE278" si="85">AD230*12</f>
        <v>0</v>
      </c>
      <c r="AF230" s="79"/>
      <c r="AG230" s="6">
        <f t="shared" ref="AG230:AG278" si="86">IFERROR(AE230/AA230,0)</f>
        <v>0</v>
      </c>
      <c r="AH230" s="6">
        <f t="shared" ref="AH230:AH278" si="87">IFERROR(W230/Y230,0)</f>
        <v>0</v>
      </c>
      <c r="AI230" s="6">
        <f t="shared" ref="AI230:AI278" si="88">IFERROR(X230/Y230,0)</f>
        <v>0</v>
      </c>
    </row>
    <row r="231" spans="1:35" x14ac:dyDescent="0.3">
      <c r="A231" s="189">
        <f>DataDemande!U264</f>
        <v>0</v>
      </c>
      <c r="B231" s="189" t="str">
        <f t="shared" si="73"/>
        <v>0</v>
      </c>
      <c r="C231" s="189" t="str">
        <f t="shared" si="74"/>
        <v>0</v>
      </c>
      <c r="D231" s="189">
        <f>IFERROR(VLOOKUP(A231,DataCoutRevenuAux!M:Q,5,FALSE),0)</f>
        <v>0</v>
      </c>
      <c r="E231" s="189">
        <f>IFERROR(VLOOKUP(A231,DataDemande!U:Z,2,FALSE),0)</f>
        <v>0</v>
      </c>
      <c r="G231" s="77">
        <f>IFERROR(VLOOKUP(A231,DataDemande!U:Z,3,FALSE),0)</f>
        <v>0</v>
      </c>
      <c r="H231" s="77">
        <f>IFERROR(VLOOKUP($A231,DataDemande!$U:$Z,4,FALSE),0)</f>
        <v>0</v>
      </c>
      <c r="I231" s="77">
        <f>IFERROR(VLOOKUP($A231,DataDemande!$U:$Z,5,FALSE),0)</f>
        <v>0</v>
      </c>
      <c r="J231" s="77">
        <f>IFERROR(VLOOKUP($A231,DataDemande!$U:$Z,6,FALSE),0)</f>
        <v>0</v>
      </c>
      <c r="K231" s="79"/>
      <c r="L231" s="77">
        <f>IFERROR(VLOOKUP($A231,DataPrixBillets!$S:$W,2,FALSE),0)</f>
        <v>0</v>
      </c>
      <c r="M231" s="77">
        <f>IFERROR(VLOOKUP($A231,DataPrixBillets!$S:$W,3,FALSE),0)</f>
        <v>0</v>
      </c>
      <c r="N231" s="77">
        <f>IFERROR(VLOOKUP($A231,DataPrixBillets!$S:$W,4,FALSE),0)</f>
        <v>0</v>
      </c>
      <c r="O231" s="77">
        <f>IFERROR(VLOOKUP($A231,DataPrixBillets!$S:$W,5,FALSE),0)</f>
        <v>0</v>
      </c>
      <c r="P231" s="79"/>
      <c r="Q231" s="77">
        <f t="shared" si="75"/>
        <v>0</v>
      </c>
      <c r="R231" s="77">
        <f t="shared" si="76"/>
        <v>0</v>
      </c>
      <c r="S231" s="77">
        <f t="shared" si="77"/>
        <v>0</v>
      </c>
      <c r="T231" s="77">
        <f t="shared" si="78"/>
        <v>0</v>
      </c>
      <c r="U231" s="79"/>
      <c r="V231" s="77">
        <f t="shared" si="79"/>
        <v>0</v>
      </c>
      <c r="W231" s="77">
        <f>IFERROR(VLOOKUP(A231,DataCoutRevenuAux!W:Y,2,FALSE),0)</f>
        <v>0</v>
      </c>
      <c r="X231" s="77">
        <f>IFERROR(VLOOKUP(A231,DataCoutRevenuAux!W:Y,3,FALSE),0)</f>
        <v>0</v>
      </c>
      <c r="Y231" s="77">
        <f t="shared" si="80"/>
        <v>0</v>
      </c>
      <c r="Z231" s="77">
        <f t="shared" si="81"/>
        <v>0</v>
      </c>
      <c r="AA231" s="77">
        <f t="shared" si="82"/>
        <v>0</v>
      </c>
      <c r="AB231" s="79"/>
      <c r="AC231" s="77">
        <f t="shared" si="83"/>
        <v>0</v>
      </c>
      <c r="AD231" s="77">
        <f t="shared" si="84"/>
        <v>0</v>
      </c>
      <c r="AE231" s="77">
        <f t="shared" si="85"/>
        <v>0</v>
      </c>
      <c r="AF231" s="79"/>
      <c r="AG231" s="6">
        <f t="shared" si="86"/>
        <v>0</v>
      </c>
      <c r="AH231" s="6">
        <f t="shared" si="87"/>
        <v>0</v>
      </c>
      <c r="AI231" s="6">
        <f t="shared" si="88"/>
        <v>0</v>
      </c>
    </row>
    <row r="232" spans="1:35" x14ac:dyDescent="0.3">
      <c r="A232" s="189">
        <f>DataDemande!U265</f>
        <v>0</v>
      </c>
      <c r="B232" s="189" t="str">
        <f t="shared" si="73"/>
        <v>0</v>
      </c>
      <c r="C232" s="189" t="str">
        <f t="shared" si="74"/>
        <v>0</v>
      </c>
      <c r="D232" s="189">
        <f>IFERROR(VLOOKUP(A232,DataCoutRevenuAux!M:Q,5,FALSE),0)</f>
        <v>0</v>
      </c>
      <c r="E232" s="189">
        <f>IFERROR(VLOOKUP(A232,DataDemande!U:Z,2,FALSE),0)</f>
        <v>0</v>
      </c>
      <c r="G232" s="77">
        <f>IFERROR(VLOOKUP(A232,DataDemande!U:Z,3,FALSE),0)</f>
        <v>0</v>
      </c>
      <c r="H232" s="77">
        <f>IFERROR(VLOOKUP($A232,DataDemande!$U:$Z,4,FALSE),0)</f>
        <v>0</v>
      </c>
      <c r="I232" s="77">
        <f>IFERROR(VLOOKUP($A232,DataDemande!$U:$Z,5,FALSE),0)</f>
        <v>0</v>
      </c>
      <c r="J232" s="77">
        <f>IFERROR(VLOOKUP($A232,DataDemande!$U:$Z,6,FALSE),0)</f>
        <v>0</v>
      </c>
      <c r="K232" s="79"/>
      <c r="L232" s="77">
        <f>IFERROR(VLOOKUP($A232,DataPrixBillets!$S:$W,2,FALSE),0)</f>
        <v>0</v>
      </c>
      <c r="M232" s="77">
        <f>IFERROR(VLOOKUP($A232,DataPrixBillets!$S:$W,3,FALSE),0)</f>
        <v>0</v>
      </c>
      <c r="N232" s="77">
        <f>IFERROR(VLOOKUP($A232,DataPrixBillets!$S:$W,4,FALSE),0)</f>
        <v>0</v>
      </c>
      <c r="O232" s="77">
        <f>IFERROR(VLOOKUP($A232,DataPrixBillets!$S:$W,5,FALSE),0)</f>
        <v>0</v>
      </c>
      <c r="P232" s="79"/>
      <c r="Q232" s="77">
        <f t="shared" si="75"/>
        <v>0</v>
      </c>
      <c r="R232" s="77">
        <f t="shared" si="76"/>
        <v>0</v>
      </c>
      <c r="S232" s="77">
        <f t="shared" si="77"/>
        <v>0</v>
      </c>
      <c r="T232" s="77">
        <f t="shared" si="78"/>
        <v>0</v>
      </c>
      <c r="U232" s="79"/>
      <c r="V232" s="77">
        <f t="shared" si="79"/>
        <v>0</v>
      </c>
      <c r="W232" s="77">
        <f>IFERROR(VLOOKUP(A232,DataCoutRevenuAux!W:Y,2,FALSE),0)</f>
        <v>0</v>
      </c>
      <c r="X232" s="77">
        <f>IFERROR(VLOOKUP(A232,DataCoutRevenuAux!W:Y,3,FALSE),0)</f>
        <v>0</v>
      </c>
      <c r="Y232" s="77">
        <f t="shared" si="80"/>
        <v>0</v>
      </c>
      <c r="Z232" s="77">
        <f t="shared" si="81"/>
        <v>0</v>
      </c>
      <c r="AA232" s="77">
        <f t="shared" si="82"/>
        <v>0</v>
      </c>
      <c r="AB232" s="79"/>
      <c r="AC232" s="77">
        <f t="shared" si="83"/>
        <v>0</v>
      </c>
      <c r="AD232" s="77">
        <f t="shared" si="84"/>
        <v>0</v>
      </c>
      <c r="AE232" s="77">
        <f t="shared" si="85"/>
        <v>0</v>
      </c>
      <c r="AF232" s="79"/>
      <c r="AG232" s="6">
        <f t="shared" si="86"/>
        <v>0</v>
      </c>
      <c r="AH232" s="6">
        <f t="shared" si="87"/>
        <v>0</v>
      </c>
      <c r="AI232" s="6">
        <f t="shared" si="88"/>
        <v>0</v>
      </c>
    </row>
    <row r="233" spans="1:35" x14ac:dyDescent="0.3">
      <c r="A233" s="189">
        <f>DataDemande!U266</f>
        <v>0</v>
      </c>
      <c r="B233" s="189" t="str">
        <f t="shared" si="73"/>
        <v>0</v>
      </c>
      <c r="C233" s="189" t="str">
        <f t="shared" si="74"/>
        <v>0</v>
      </c>
      <c r="D233" s="189">
        <f>IFERROR(VLOOKUP(A233,DataCoutRevenuAux!M:Q,5,FALSE),0)</f>
        <v>0</v>
      </c>
      <c r="E233" s="189">
        <f>IFERROR(VLOOKUP(A233,DataDemande!U:Z,2,FALSE),0)</f>
        <v>0</v>
      </c>
      <c r="G233" s="77">
        <f>IFERROR(VLOOKUP(A233,DataDemande!U:Z,3,FALSE),0)</f>
        <v>0</v>
      </c>
      <c r="H233" s="77">
        <f>IFERROR(VLOOKUP($A233,DataDemande!$U:$Z,4,FALSE),0)</f>
        <v>0</v>
      </c>
      <c r="I233" s="77">
        <f>IFERROR(VLOOKUP($A233,DataDemande!$U:$Z,5,FALSE),0)</f>
        <v>0</v>
      </c>
      <c r="J233" s="77">
        <f>IFERROR(VLOOKUP($A233,DataDemande!$U:$Z,6,FALSE),0)</f>
        <v>0</v>
      </c>
      <c r="K233" s="79"/>
      <c r="L233" s="77">
        <f>IFERROR(VLOOKUP($A233,DataPrixBillets!$S:$W,2,FALSE),0)</f>
        <v>0</v>
      </c>
      <c r="M233" s="77">
        <f>IFERROR(VLOOKUP($A233,DataPrixBillets!$S:$W,3,FALSE),0)</f>
        <v>0</v>
      </c>
      <c r="N233" s="77">
        <f>IFERROR(VLOOKUP($A233,DataPrixBillets!$S:$W,4,FALSE),0)</f>
        <v>0</v>
      </c>
      <c r="O233" s="77">
        <f>IFERROR(VLOOKUP($A233,DataPrixBillets!$S:$W,5,FALSE),0)</f>
        <v>0</v>
      </c>
      <c r="P233" s="79"/>
      <c r="Q233" s="77">
        <f t="shared" si="75"/>
        <v>0</v>
      </c>
      <c r="R233" s="77">
        <f t="shared" si="76"/>
        <v>0</v>
      </c>
      <c r="S233" s="77">
        <f t="shared" si="77"/>
        <v>0</v>
      </c>
      <c r="T233" s="77">
        <f t="shared" si="78"/>
        <v>0</v>
      </c>
      <c r="U233" s="79"/>
      <c r="V233" s="77">
        <f t="shared" si="79"/>
        <v>0</v>
      </c>
      <c r="W233" s="77">
        <f>IFERROR(VLOOKUP(A233,DataCoutRevenuAux!W:Y,2,FALSE),0)</f>
        <v>0</v>
      </c>
      <c r="X233" s="77">
        <f>IFERROR(VLOOKUP(A233,DataCoutRevenuAux!W:Y,3,FALSE),0)</f>
        <v>0</v>
      </c>
      <c r="Y233" s="77">
        <f t="shared" si="80"/>
        <v>0</v>
      </c>
      <c r="Z233" s="77">
        <f t="shared" si="81"/>
        <v>0</v>
      </c>
      <c r="AA233" s="77">
        <f t="shared" si="82"/>
        <v>0</v>
      </c>
      <c r="AB233" s="79"/>
      <c r="AC233" s="77">
        <f t="shared" si="83"/>
        <v>0</v>
      </c>
      <c r="AD233" s="77">
        <f t="shared" si="84"/>
        <v>0</v>
      </c>
      <c r="AE233" s="77">
        <f t="shared" si="85"/>
        <v>0</v>
      </c>
      <c r="AF233" s="79"/>
      <c r="AG233" s="6">
        <f t="shared" si="86"/>
        <v>0</v>
      </c>
      <c r="AH233" s="6">
        <f t="shared" si="87"/>
        <v>0</v>
      </c>
      <c r="AI233" s="6">
        <f t="shared" si="88"/>
        <v>0</v>
      </c>
    </row>
    <row r="234" spans="1:35" x14ac:dyDescent="0.3">
      <c r="A234" s="189">
        <f>DataDemande!U267</f>
        <v>0</v>
      </c>
      <c r="B234" s="189" t="str">
        <f t="shared" si="73"/>
        <v>0</v>
      </c>
      <c r="C234" s="189" t="str">
        <f t="shared" si="74"/>
        <v>0</v>
      </c>
      <c r="D234" s="189">
        <f>IFERROR(VLOOKUP(A234,DataCoutRevenuAux!M:Q,5,FALSE),0)</f>
        <v>0</v>
      </c>
      <c r="E234" s="189">
        <f>IFERROR(VLOOKUP(A234,DataDemande!U:Z,2,FALSE),0)</f>
        <v>0</v>
      </c>
      <c r="G234" s="77">
        <f>IFERROR(VLOOKUP(A234,DataDemande!U:Z,3,FALSE),0)</f>
        <v>0</v>
      </c>
      <c r="H234" s="77">
        <f>IFERROR(VLOOKUP($A234,DataDemande!$U:$Z,4,FALSE),0)</f>
        <v>0</v>
      </c>
      <c r="I234" s="77">
        <f>IFERROR(VLOOKUP($A234,DataDemande!$U:$Z,5,FALSE),0)</f>
        <v>0</v>
      </c>
      <c r="J234" s="77">
        <f>IFERROR(VLOOKUP($A234,DataDemande!$U:$Z,6,FALSE),0)</f>
        <v>0</v>
      </c>
      <c r="K234" s="79"/>
      <c r="L234" s="77">
        <f>IFERROR(VLOOKUP($A234,DataPrixBillets!$S:$W,2,FALSE),0)</f>
        <v>0</v>
      </c>
      <c r="M234" s="77">
        <f>IFERROR(VLOOKUP($A234,DataPrixBillets!$S:$W,3,FALSE),0)</f>
        <v>0</v>
      </c>
      <c r="N234" s="77">
        <f>IFERROR(VLOOKUP($A234,DataPrixBillets!$S:$W,4,FALSE),0)</f>
        <v>0</v>
      </c>
      <c r="O234" s="77">
        <f>IFERROR(VLOOKUP($A234,DataPrixBillets!$S:$W,5,FALSE),0)</f>
        <v>0</v>
      </c>
      <c r="P234" s="79"/>
      <c r="Q234" s="77">
        <f t="shared" si="75"/>
        <v>0</v>
      </c>
      <c r="R234" s="77">
        <f t="shared" si="76"/>
        <v>0</v>
      </c>
      <c r="S234" s="77">
        <f t="shared" si="77"/>
        <v>0</v>
      </c>
      <c r="T234" s="77">
        <f t="shared" si="78"/>
        <v>0</v>
      </c>
      <c r="U234" s="79"/>
      <c r="V234" s="77">
        <f t="shared" si="79"/>
        <v>0</v>
      </c>
      <c r="W234" s="77">
        <f>IFERROR(VLOOKUP(A234,DataCoutRevenuAux!W:Y,2,FALSE),0)</f>
        <v>0</v>
      </c>
      <c r="X234" s="77">
        <f>IFERROR(VLOOKUP(A234,DataCoutRevenuAux!W:Y,3,FALSE),0)</f>
        <v>0</v>
      </c>
      <c r="Y234" s="77">
        <f t="shared" si="80"/>
        <v>0</v>
      </c>
      <c r="Z234" s="77">
        <f t="shared" si="81"/>
        <v>0</v>
      </c>
      <c r="AA234" s="77">
        <f t="shared" si="82"/>
        <v>0</v>
      </c>
      <c r="AB234" s="79"/>
      <c r="AC234" s="77">
        <f t="shared" si="83"/>
        <v>0</v>
      </c>
      <c r="AD234" s="77">
        <f t="shared" si="84"/>
        <v>0</v>
      </c>
      <c r="AE234" s="77">
        <f t="shared" si="85"/>
        <v>0</v>
      </c>
      <c r="AF234" s="79"/>
      <c r="AG234" s="6">
        <f t="shared" si="86"/>
        <v>0</v>
      </c>
      <c r="AH234" s="6">
        <f t="shared" si="87"/>
        <v>0</v>
      </c>
      <c r="AI234" s="6">
        <f t="shared" si="88"/>
        <v>0</v>
      </c>
    </row>
    <row r="235" spans="1:35" x14ac:dyDescent="0.3">
      <c r="A235" s="189">
        <f>DataDemande!U268</f>
        <v>0</v>
      </c>
      <c r="B235" s="189" t="str">
        <f t="shared" si="73"/>
        <v>0</v>
      </c>
      <c r="C235" s="189" t="str">
        <f t="shared" si="74"/>
        <v>0</v>
      </c>
      <c r="D235" s="189">
        <f>IFERROR(VLOOKUP(A235,DataCoutRevenuAux!M:Q,5,FALSE),0)</f>
        <v>0</v>
      </c>
      <c r="E235" s="189">
        <f>IFERROR(VLOOKUP(A235,DataDemande!U:Z,2,FALSE),0)</f>
        <v>0</v>
      </c>
      <c r="G235" s="77">
        <f>IFERROR(VLOOKUP(A235,DataDemande!U:Z,3,FALSE),0)</f>
        <v>0</v>
      </c>
      <c r="H235" s="77">
        <f>IFERROR(VLOOKUP($A235,DataDemande!$U:$Z,4,FALSE),0)</f>
        <v>0</v>
      </c>
      <c r="I235" s="77">
        <f>IFERROR(VLOOKUP($A235,DataDemande!$U:$Z,5,FALSE),0)</f>
        <v>0</v>
      </c>
      <c r="J235" s="77">
        <f>IFERROR(VLOOKUP($A235,DataDemande!$U:$Z,6,FALSE),0)</f>
        <v>0</v>
      </c>
      <c r="K235" s="79"/>
      <c r="L235" s="77">
        <f>IFERROR(VLOOKUP($A235,DataPrixBillets!$S:$W,2,FALSE),0)</f>
        <v>0</v>
      </c>
      <c r="M235" s="77">
        <f>IFERROR(VLOOKUP($A235,DataPrixBillets!$S:$W,3,FALSE),0)</f>
        <v>0</v>
      </c>
      <c r="N235" s="77">
        <f>IFERROR(VLOOKUP($A235,DataPrixBillets!$S:$W,4,FALSE),0)</f>
        <v>0</v>
      </c>
      <c r="O235" s="77">
        <f>IFERROR(VLOOKUP($A235,DataPrixBillets!$S:$W,5,FALSE),0)</f>
        <v>0</v>
      </c>
      <c r="P235" s="79"/>
      <c r="Q235" s="77">
        <f t="shared" si="75"/>
        <v>0</v>
      </c>
      <c r="R235" s="77">
        <f t="shared" si="76"/>
        <v>0</v>
      </c>
      <c r="S235" s="77">
        <f t="shared" si="77"/>
        <v>0</v>
      </c>
      <c r="T235" s="77">
        <f t="shared" si="78"/>
        <v>0</v>
      </c>
      <c r="U235" s="79"/>
      <c r="V235" s="77">
        <f t="shared" si="79"/>
        <v>0</v>
      </c>
      <c r="W235" s="77">
        <f>IFERROR(VLOOKUP(A235,DataCoutRevenuAux!W:Y,2,FALSE),0)</f>
        <v>0</v>
      </c>
      <c r="X235" s="77">
        <f>IFERROR(VLOOKUP(A235,DataCoutRevenuAux!W:Y,3,FALSE),0)</f>
        <v>0</v>
      </c>
      <c r="Y235" s="77">
        <f t="shared" si="80"/>
        <v>0</v>
      </c>
      <c r="Z235" s="77">
        <f t="shared" si="81"/>
        <v>0</v>
      </c>
      <c r="AA235" s="77">
        <f t="shared" si="82"/>
        <v>0</v>
      </c>
      <c r="AB235" s="79"/>
      <c r="AC235" s="77">
        <f t="shared" si="83"/>
        <v>0</v>
      </c>
      <c r="AD235" s="77">
        <f t="shared" si="84"/>
        <v>0</v>
      </c>
      <c r="AE235" s="77">
        <f t="shared" si="85"/>
        <v>0</v>
      </c>
      <c r="AF235" s="79"/>
      <c r="AG235" s="6">
        <f t="shared" si="86"/>
        <v>0</v>
      </c>
      <c r="AH235" s="6">
        <f t="shared" si="87"/>
        <v>0</v>
      </c>
      <c r="AI235" s="6">
        <f t="shared" si="88"/>
        <v>0</v>
      </c>
    </row>
    <row r="236" spans="1:35" x14ac:dyDescent="0.3">
      <c r="A236" s="189">
        <f>DataDemande!U269</f>
        <v>0</v>
      </c>
      <c r="B236" s="189" t="str">
        <f t="shared" si="73"/>
        <v>0</v>
      </c>
      <c r="C236" s="189" t="str">
        <f t="shared" si="74"/>
        <v>0</v>
      </c>
      <c r="D236" s="189">
        <f>IFERROR(VLOOKUP(A236,DataCoutRevenuAux!M:Q,5,FALSE),0)</f>
        <v>0</v>
      </c>
      <c r="E236" s="189">
        <f>IFERROR(VLOOKUP(A236,DataDemande!U:Z,2,FALSE),0)</f>
        <v>0</v>
      </c>
      <c r="G236" s="77">
        <f>IFERROR(VLOOKUP(A236,DataDemande!U:Z,3,FALSE),0)</f>
        <v>0</v>
      </c>
      <c r="H236" s="77">
        <f>IFERROR(VLOOKUP($A236,DataDemande!$U:$Z,4,FALSE),0)</f>
        <v>0</v>
      </c>
      <c r="I236" s="77">
        <f>IFERROR(VLOOKUP($A236,DataDemande!$U:$Z,5,FALSE),0)</f>
        <v>0</v>
      </c>
      <c r="J236" s="77">
        <f>IFERROR(VLOOKUP($A236,DataDemande!$U:$Z,6,FALSE),0)</f>
        <v>0</v>
      </c>
      <c r="K236" s="79"/>
      <c r="L236" s="77">
        <f>IFERROR(VLOOKUP($A236,DataPrixBillets!$S:$W,2,FALSE),0)</f>
        <v>0</v>
      </c>
      <c r="M236" s="77">
        <f>IFERROR(VLOOKUP($A236,DataPrixBillets!$S:$W,3,FALSE),0)</f>
        <v>0</v>
      </c>
      <c r="N236" s="77">
        <f>IFERROR(VLOOKUP($A236,DataPrixBillets!$S:$W,4,FALSE),0)</f>
        <v>0</v>
      </c>
      <c r="O236" s="77">
        <f>IFERROR(VLOOKUP($A236,DataPrixBillets!$S:$W,5,FALSE),0)</f>
        <v>0</v>
      </c>
      <c r="P236" s="79"/>
      <c r="Q236" s="77">
        <f t="shared" si="75"/>
        <v>0</v>
      </c>
      <c r="R236" s="77">
        <f t="shared" si="76"/>
        <v>0</v>
      </c>
      <c r="S236" s="77">
        <f t="shared" si="77"/>
        <v>0</v>
      </c>
      <c r="T236" s="77">
        <f t="shared" si="78"/>
        <v>0</v>
      </c>
      <c r="U236" s="79"/>
      <c r="V236" s="77">
        <f t="shared" si="79"/>
        <v>0</v>
      </c>
      <c r="W236" s="77">
        <f>IFERROR(VLOOKUP(A236,DataCoutRevenuAux!W:Y,2,FALSE),0)</f>
        <v>0</v>
      </c>
      <c r="X236" s="77">
        <f>IFERROR(VLOOKUP(A236,DataCoutRevenuAux!W:Y,3,FALSE),0)</f>
        <v>0</v>
      </c>
      <c r="Y236" s="77">
        <f t="shared" si="80"/>
        <v>0</v>
      </c>
      <c r="Z236" s="77">
        <f t="shared" si="81"/>
        <v>0</v>
      </c>
      <c r="AA236" s="77">
        <f t="shared" si="82"/>
        <v>0</v>
      </c>
      <c r="AB236" s="79"/>
      <c r="AC236" s="77">
        <f t="shared" si="83"/>
        <v>0</v>
      </c>
      <c r="AD236" s="77">
        <f t="shared" si="84"/>
        <v>0</v>
      </c>
      <c r="AE236" s="77">
        <f t="shared" si="85"/>
        <v>0</v>
      </c>
      <c r="AF236" s="79"/>
      <c r="AG236" s="6">
        <f t="shared" si="86"/>
        <v>0</v>
      </c>
      <c r="AH236" s="6">
        <f t="shared" si="87"/>
        <v>0</v>
      </c>
      <c r="AI236" s="6">
        <f t="shared" si="88"/>
        <v>0</v>
      </c>
    </row>
    <row r="237" spans="1:35" x14ac:dyDescent="0.3">
      <c r="A237" s="189">
        <f>DataDemande!U270</f>
        <v>0</v>
      </c>
      <c r="B237" s="189" t="str">
        <f t="shared" si="73"/>
        <v>0</v>
      </c>
      <c r="C237" s="189" t="str">
        <f t="shared" si="74"/>
        <v>0</v>
      </c>
      <c r="D237" s="189">
        <f>IFERROR(VLOOKUP(A237,DataCoutRevenuAux!M:Q,5,FALSE),0)</f>
        <v>0</v>
      </c>
      <c r="E237" s="189">
        <f>IFERROR(VLOOKUP(A237,DataDemande!U:Z,2,FALSE),0)</f>
        <v>0</v>
      </c>
      <c r="G237" s="77">
        <f>IFERROR(VLOOKUP(A237,DataDemande!U:Z,3,FALSE),0)</f>
        <v>0</v>
      </c>
      <c r="H237" s="77">
        <f>IFERROR(VLOOKUP($A237,DataDemande!$U:$Z,4,FALSE),0)</f>
        <v>0</v>
      </c>
      <c r="I237" s="77">
        <f>IFERROR(VLOOKUP($A237,DataDemande!$U:$Z,5,FALSE),0)</f>
        <v>0</v>
      </c>
      <c r="J237" s="77">
        <f>IFERROR(VLOOKUP($A237,DataDemande!$U:$Z,6,FALSE),0)</f>
        <v>0</v>
      </c>
      <c r="K237" s="79"/>
      <c r="L237" s="77">
        <f>IFERROR(VLOOKUP($A237,DataPrixBillets!$S:$W,2,FALSE),0)</f>
        <v>0</v>
      </c>
      <c r="M237" s="77">
        <f>IFERROR(VLOOKUP($A237,DataPrixBillets!$S:$W,3,FALSE),0)</f>
        <v>0</v>
      </c>
      <c r="N237" s="77">
        <f>IFERROR(VLOOKUP($A237,DataPrixBillets!$S:$W,4,FALSE),0)</f>
        <v>0</v>
      </c>
      <c r="O237" s="77">
        <f>IFERROR(VLOOKUP($A237,DataPrixBillets!$S:$W,5,FALSE),0)</f>
        <v>0</v>
      </c>
      <c r="P237" s="79"/>
      <c r="Q237" s="77">
        <f t="shared" si="75"/>
        <v>0</v>
      </c>
      <c r="R237" s="77">
        <f t="shared" si="76"/>
        <v>0</v>
      </c>
      <c r="S237" s="77">
        <f t="shared" si="77"/>
        <v>0</v>
      </c>
      <c r="T237" s="77">
        <f t="shared" si="78"/>
        <v>0</v>
      </c>
      <c r="U237" s="79"/>
      <c r="V237" s="77">
        <f t="shared" si="79"/>
        <v>0</v>
      </c>
      <c r="W237" s="77">
        <f>IFERROR(VLOOKUP(A237,DataCoutRevenuAux!W:Y,2,FALSE),0)</f>
        <v>0</v>
      </c>
      <c r="X237" s="77">
        <f>IFERROR(VLOOKUP(A237,DataCoutRevenuAux!W:Y,3,FALSE),0)</f>
        <v>0</v>
      </c>
      <c r="Y237" s="77">
        <f t="shared" si="80"/>
        <v>0</v>
      </c>
      <c r="Z237" s="77">
        <f t="shared" si="81"/>
        <v>0</v>
      </c>
      <c r="AA237" s="77">
        <f t="shared" si="82"/>
        <v>0</v>
      </c>
      <c r="AB237" s="79"/>
      <c r="AC237" s="77">
        <f t="shared" si="83"/>
        <v>0</v>
      </c>
      <c r="AD237" s="77">
        <f t="shared" si="84"/>
        <v>0</v>
      </c>
      <c r="AE237" s="77">
        <f t="shared" si="85"/>
        <v>0</v>
      </c>
      <c r="AF237" s="79"/>
      <c r="AG237" s="6">
        <f t="shared" si="86"/>
        <v>0</v>
      </c>
      <c r="AH237" s="6">
        <f t="shared" si="87"/>
        <v>0</v>
      </c>
      <c r="AI237" s="6">
        <f t="shared" si="88"/>
        <v>0</v>
      </c>
    </row>
    <row r="238" spans="1:35" x14ac:dyDescent="0.3">
      <c r="A238" s="189">
        <f>DataDemande!U271</f>
        <v>0</v>
      </c>
      <c r="B238" s="189" t="str">
        <f t="shared" si="73"/>
        <v>0</v>
      </c>
      <c r="C238" s="189" t="str">
        <f t="shared" si="74"/>
        <v>0</v>
      </c>
      <c r="D238" s="189">
        <f>IFERROR(VLOOKUP(A238,DataCoutRevenuAux!M:Q,5,FALSE),0)</f>
        <v>0</v>
      </c>
      <c r="E238" s="189">
        <f>IFERROR(VLOOKUP(A238,DataDemande!U:Z,2,FALSE),0)</f>
        <v>0</v>
      </c>
      <c r="G238" s="77">
        <f>IFERROR(VLOOKUP(A238,DataDemande!U:Z,3,FALSE),0)</f>
        <v>0</v>
      </c>
      <c r="H238" s="77">
        <f>IFERROR(VLOOKUP($A238,DataDemande!$U:$Z,4,FALSE),0)</f>
        <v>0</v>
      </c>
      <c r="I238" s="77">
        <f>IFERROR(VLOOKUP($A238,DataDemande!$U:$Z,5,FALSE),0)</f>
        <v>0</v>
      </c>
      <c r="J238" s="77">
        <f>IFERROR(VLOOKUP($A238,DataDemande!$U:$Z,6,FALSE),0)</f>
        <v>0</v>
      </c>
      <c r="K238" s="79"/>
      <c r="L238" s="77">
        <f>IFERROR(VLOOKUP($A238,DataPrixBillets!$S:$W,2,FALSE),0)</f>
        <v>0</v>
      </c>
      <c r="M238" s="77">
        <f>IFERROR(VLOOKUP($A238,DataPrixBillets!$S:$W,3,FALSE),0)</f>
        <v>0</v>
      </c>
      <c r="N238" s="77">
        <f>IFERROR(VLOOKUP($A238,DataPrixBillets!$S:$W,4,FALSE),0)</f>
        <v>0</v>
      </c>
      <c r="O238" s="77">
        <f>IFERROR(VLOOKUP($A238,DataPrixBillets!$S:$W,5,FALSE),0)</f>
        <v>0</v>
      </c>
      <c r="P238" s="79"/>
      <c r="Q238" s="77">
        <f t="shared" si="75"/>
        <v>0</v>
      </c>
      <c r="R238" s="77">
        <f t="shared" si="76"/>
        <v>0</v>
      </c>
      <c r="S238" s="77">
        <f t="shared" si="77"/>
        <v>0</v>
      </c>
      <c r="T238" s="77">
        <f t="shared" si="78"/>
        <v>0</v>
      </c>
      <c r="U238" s="79"/>
      <c r="V238" s="77">
        <f t="shared" si="79"/>
        <v>0</v>
      </c>
      <c r="W238" s="77">
        <f>IFERROR(VLOOKUP(A238,DataCoutRevenuAux!W:Y,2,FALSE),0)</f>
        <v>0</v>
      </c>
      <c r="X238" s="77">
        <f>IFERROR(VLOOKUP(A238,DataCoutRevenuAux!W:Y,3,FALSE),0)</f>
        <v>0</v>
      </c>
      <c r="Y238" s="77">
        <f t="shared" si="80"/>
        <v>0</v>
      </c>
      <c r="Z238" s="77">
        <f t="shared" si="81"/>
        <v>0</v>
      </c>
      <c r="AA238" s="77">
        <f t="shared" si="82"/>
        <v>0</v>
      </c>
      <c r="AB238" s="79"/>
      <c r="AC238" s="77">
        <f t="shared" si="83"/>
        <v>0</v>
      </c>
      <c r="AD238" s="77">
        <f t="shared" si="84"/>
        <v>0</v>
      </c>
      <c r="AE238" s="77">
        <f t="shared" si="85"/>
        <v>0</v>
      </c>
      <c r="AF238" s="79"/>
      <c r="AG238" s="6">
        <f t="shared" si="86"/>
        <v>0</v>
      </c>
      <c r="AH238" s="6">
        <f t="shared" si="87"/>
        <v>0</v>
      </c>
      <c r="AI238" s="6">
        <f t="shared" si="88"/>
        <v>0</v>
      </c>
    </row>
    <row r="239" spans="1:35" x14ac:dyDescent="0.3">
      <c r="A239" s="189">
        <f>DataDemande!U272</f>
        <v>0</v>
      </c>
      <c r="B239" s="189" t="str">
        <f t="shared" si="73"/>
        <v>0</v>
      </c>
      <c r="C239" s="189" t="str">
        <f t="shared" si="74"/>
        <v>0</v>
      </c>
      <c r="D239" s="189">
        <f>IFERROR(VLOOKUP(A239,DataCoutRevenuAux!M:Q,5,FALSE),0)</f>
        <v>0</v>
      </c>
      <c r="E239" s="189">
        <f>IFERROR(VLOOKUP(A239,DataDemande!U:Z,2,FALSE),0)</f>
        <v>0</v>
      </c>
      <c r="G239" s="77">
        <f>IFERROR(VLOOKUP(A239,DataDemande!U:Z,3,FALSE),0)</f>
        <v>0</v>
      </c>
      <c r="H239" s="77">
        <f>IFERROR(VLOOKUP($A239,DataDemande!$U:$Z,4,FALSE),0)</f>
        <v>0</v>
      </c>
      <c r="I239" s="77">
        <f>IFERROR(VLOOKUP($A239,DataDemande!$U:$Z,5,FALSE),0)</f>
        <v>0</v>
      </c>
      <c r="J239" s="77">
        <f>IFERROR(VLOOKUP($A239,DataDemande!$U:$Z,6,FALSE),0)</f>
        <v>0</v>
      </c>
      <c r="K239" s="79"/>
      <c r="L239" s="77">
        <f>IFERROR(VLOOKUP($A239,DataPrixBillets!$S:$W,2,FALSE),0)</f>
        <v>0</v>
      </c>
      <c r="M239" s="77">
        <f>IFERROR(VLOOKUP($A239,DataPrixBillets!$S:$W,3,FALSE),0)</f>
        <v>0</v>
      </c>
      <c r="N239" s="77">
        <f>IFERROR(VLOOKUP($A239,DataPrixBillets!$S:$W,4,FALSE),0)</f>
        <v>0</v>
      </c>
      <c r="O239" s="77">
        <f>IFERROR(VLOOKUP($A239,DataPrixBillets!$S:$W,5,FALSE),0)</f>
        <v>0</v>
      </c>
      <c r="P239" s="79"/>
      <c r="Q239" s="77">
        <f t="shared" si="75"/>
        <v>0</v>
      </c>
      <c r="R239" s="77">
        <f t="shared" si="76"/>
        <v>0</v>
      </c>
      <c r="S239" s="77">
        <f t="shared" si="77"/>
        <v>0</v>
      </c>
      <c r="T239" s="77">
        <f t="shared" si="78"/>
        <v>0</v>
      </c>
      <c r="U239" s="79"/>
      <c r="V239" s="77">
        <f t="shared" si="79"/>
        <v>0</v>
      </c>
      <c r="W239" s="77">
        <f>IFERROR(VLOOKUP(A239,DataCoutRevenuAux!W:Y,2,FALSE),0)</f>
        <v>0</v>
      </c>
      <c r="X239" s="77">
        <f>IFERROR(VLOOKUP(A239,DataCoutRevenuAux!W:Y,3,FALSE),0)</f>
        <v>0</v>
      </c>
      <c r="Y239" s="77">
        <f t="shared" si="80"/>
        <v>0</v>
      </c>
      <c r="Z239" s="77">
        <f t="shared" si="81"/>
        <v>0</v>
      </c>
      <c r="AA239" s="77">
        <f t="shared" si="82"/>
        <v>0</v>
      </c>
      <c r="AB239" s="79"/>
      <c r="AC239" s="77">
        <f t="shared" si="83"/>
        <v>0</v>
      </c>
      <c r="AD239" s="77">
        <f t="shared" si="84"/>
        <v>0</v>
      </c>
      <c r="AE239" s="77">
        <f t="shared" si="85"/>
        <v>0</v>
      </c>
      <c r="AF239" s="79"/>
      <c r="AG239" s="6">
        <f t="shared" si="86"/>
        <v>0</v>
      </c>
      <c r="AH239" s="6">
        <f t="shared" si="87"/>
        <v>0</v>
      </c>
      <c r="AI239" s="6">
        <f t="shared" si="88"/>
        <v>0</v>
      </c>
    </row>
    <row r="240" spans="1:35" x14ac:dyDescent="0.3">
      <c r="A240" s="189">
        <f>DataDemande!U273</f>
        <v>0</v>
      </c>
      <c r="B240" s="189" t="str">
        <f t="shared" si="73"/>
        <v>0</v>
      </c>
      <c r="C240" s="189" t="str">
        <f t="shared" si="74"/>
        <v>0</v>
      </c>
      <c r="D240" s="189">
        <f>IFERROR(VLOOKUP(A240,DataCoutRevenuAux!M:Q,5,FALSE),0)</f>
        <v>0</v>
      </c>
      <c r="E240" s="189">
        <f>IFERROR(VLOOKUP(A240,DataDemande!U:Z,2,FALSE),0)</f>
        <v>0</v>
      </c>
      <c r="G240" s="77">
        <f>IFERROR(VLOOKUP(A240,DataDemande!U:Z,3,FALSE),0)</f>
        <v>0</v>
      </c>
      <c r="H240" s="77">
        <f>IFERROR(VLOOKUP($A240,DataDemande!$U:$Z,4,FALSE),0)</f>
        <v>0</v>
      </c>
      <c r="I240" s="77">
        <f>IFERROR(VLOOKUP($A240,DataDemande!$U:$Z,5,FALSE),0)</f>
        <v>0</v>
      </c>
      <c r="J240" s="77">
        <f>IFERROR(VLOOKUP($A240,DataDemande!$U:$Z,6,FALSE),0)</f>
        <v>0</v>
      </c>
      <c r="K240" s="79"/>
      <c r="L240" s="77">
        <f>IFERROR(VLOOKUP($A240,DataPrixBillets!$S:$W,2,FALSE),0)</f>
        <v>0</v>
      </c>
      <c r="M240" s="77">
        <f>IFERROR(VLOOKUP($A240,DataPrixBillets!$S:$W,3,FALSE),0)</f>
        <v>0</v>
      </c>
      <c r="N240" s="77">
        <f>IFERROR(VLOOKUP($A240,DataPrixBillets!$S:$W,4,FALSE),0)</f>
        <v>0</v>
      </c>
      <c r="O240" s="77">
        <f>IFERROR(VLOOKUP($A240,DataPrixBillets!$S:$W,5,FALSE),0)</f>
        <v>0</v>
      </c>
      <c r="P240" s="79"/>
      <c r="Q240" s="77">
        <f t="shared" si="75"/>
        <v>0</v>
      </c>
      <c r="R240" s="77">
        <f t="shared" si="76"/>
        <v>0</v>
      </c>
      <c r="S240" s="77">
        <f t="shared" si="77"/>
        <v>0</v>
      </c>
      <c r="T240" s="77">
        <f t="shared" si="78"/>
        <v>0</v>
      </c>
      <c r="U240" s="79"/>
      <c r="V240" s="77">
        <f t="shared" si="79"/>
        <v>0</v>
      </c>
      <c r="W240" s="77">
        <f>IFERROR(VLOOKUP(A240,DataCoutRevenuAux!W:Y,2,FALSE),0)</f>
        <v>0</v>
      </c>
      <c r="X240" s="77">
        <f>IFERROR(VLOOKUP(A240,DataCoutRevenuAux!W:Y,3,FALSE),0)</f>
        <v>0</v>
      </c>
      <c r="Y240" s="77">
        <f t="shared" si="80"/>
        <v>0</v>
      </c>
      <c r="Z240" s="77">
        <f t="shared" si="81"/>
        <v>0</v>
      </c>
      <c r="AA240" s="77">
        <f t="shared" si="82"/>
        <v>0</v>
      </c>
      <c r="AB240" s="79"/>
      <c r="AC240" s="77">
        <f t="shared" si="83"/>
        <v>0</v>
      </c>
      <c r="AD240" s="77">
        <f t="shared" si="84"/>
        <v>0</v>
      </c>
      <c r="AE240" s="77">
        <f t="shared" si="85"/>
        <v>0</v>
      </c>
      <c r="AF240" s="79"/>
      <c r="AG240" s="6">
        <f t="shared" si="86"/>
        <v>0</v>
      </c>
      <c r="AH240" s="6">
        <f t="shared" si="87"/>
        <v>0</v>
      </c>
      <c r="AI240" s="6">
        <f t="shared" si="88"/>
        <v>0</v>
      </c>
    </row>
    <row r="241" spans="1:35" x14ac:dyDescent="0.3">
      <c r="A241" s="189">
        <f>DataDemande!U274</f>
        <v>0</v>
      </c>
      <c r="B241" s="189" t="str">
        <f t="shared" si="73"/>
        <v>0</v>
      </c>
      <c r="C241" s="189" t="str">
        <f t="shared" si="74"/>
        <v>0</v>
      </c>
      <c r="D241" s="189">
        <f>IFERROR(VLOOKUP(A241,DataCoutRevenuAux!M:Q,5,FALSE),0)</f>
        <v>0</v>
      </c>
      <c r="E241" s="189">
        <f>IFERROR(VLOOKUP(A241,DataDemande!U:Z,2,FALSE),0)</f>
        <v>0</v>
      </c>
      <c r="G241" s="77">
        <f>IFERROR(VLOOKUP(A241,DataDemande!U:Z,3,FALSE),0)</f>
        <v>0</v>
      </c>
      <c r="H241" s="77">
        <f>IFERROR(VLOOKUP($A241,DataDemande!$U:$Z,4,FALSE),0)</f>
        <v>0</v>
      </c>
      <c r="I241" s="77">
        <f>IFERROR(VLOOKUP($A241,DataDemande!$U:$Z,5,FALSE),0)</f>
        <v>0</v>
      </c>
      <c r="J241" s="77">
        <f>IFERROR(VLOOKUP($A241,DataDemande!$U:$Z,6,FALSE),0)</f>
        <v>0</v>
      </c>
      <c r="K241" s="79"/>
      <c r="L241" s="77">
        <f>IFERROR(VLOOKUP($A241,DataPrixBillets!$S:$W,2,FALSE),0)</f>
        <v>0</v>
      </c>
      <c r="M241" s="77">
        <f>IFERROR(VLOOKUP($A241,DataPrixBillets!$S:$W,3,FALSE),0)</f>
        <v>0</v>
      </c>
      <c r="N241" s="77">
        <f>IFERROR(VLOOKUP($A241,DataPrixBillets!$S:$W,4,FALSE),0)</f>
        <v>0</v>
      </c>
      <c r="O241" s="77">
        <f>IFERROR(VLOOKUP($A241,DataPrixBillets!$S:$W,5,FALSE),0)</f>
        <v>0</v>
      </c>
      <c r="P241" s="79"/>
      <c r="Q241" s="77">
        <f t="shared" si="75"/>
        <v>0</v>
      </c>
      <c r="R241" s="77">
        <f t="shared" si="76"/>
        <v>0</v>
      </c>
      <c r="S241" s="77">
        <f t="shared" si="77"/>
        <v>0</v>
      </c>
      <c r="T241" s="77">
        <f t="shared" si="78"/>
        <v>0</v>
      </c>
      <c r="U241" s="79"/>
      <c r="V241" s="77">
        <f t="shared" si="79"/>
        <v>0</v>
      </c>
      <c r="W241" s="77">
        <f>IFERROR(VLOOKUP(A241,DataCoutRevenuAux!W:Y,2,FALSE),0)</f>
        <v>0</v>
      </c>
      <c r="X241" s="77">
        <f>IFERROR(VLOOKUP(A241,DataCoutRevenuAux!W:Y,3,FALSE),0)</f>
        <v>0</v>
      </c>
      <c r="Y241" s="77">
        <f t="shared" si="80"/>
        <v>0</v>
      </c>
      <c r="Z241" s="77">
        <f t="shared" si="81"/>
        <v>0</v>
      </c>
      <c r="AA241" s="77">
        <f t="shared" si="82"/>
        <v>0</v>
      </c>
      <c r="AB241" s="79"/>
      <c r="AC241" s="77">
        <f t="shared" si="83"/>
        <v>0</v>
      </c>
      <c r="AD241" s="77">
        <f t="shared" si="84"/>
        <v>0</v>
      </c>
      <c r="AE241" s="77">
        <f t="shared" si="85"/>
        <v>0</v>
      </c>
      <c r="AF241" s="79"/>
      <c r="AG241" s="6">
        <f t="shared" si="86"/>
        <v>0</v>
      </c>
      <c r="AH241" s="6">
        <f t="shared" si="87"/>
        <v>0</v>
      </c>
      <c r="AI241" s="6">
        <f t="shared" si="88"/>
        <v>0</v>
      </c>
    </row>
    <row r="242" spans="1:35" x14ac:dyDescent="0.3">
      <c r="A242" s="189">
        <f>DataDemande!U275</f>
        <v>0</v>
      </c>
      <c r="B242" s="189" t="str">
        <f t="shared" si="73"/>
        <v>0</v>
      </c>
      <c r="C242" s="189" t="str">
        <f t="shared" si="74"/>
        <v>0</v>
      </c>
      <c r="D242" s="189">
        <f>IFERROR(VLOOKUP(A242,DataCoutRevenuAux!M:Q,5,FALSE),0)</f>
        <v>0</v>
      </c>
      <c r="E242" s="189">
        <f>IFERROR(VLOOKUP(A242,DataDemande!U:Z,2,FALSE),0)</f>
        <v>0</v>
      </c>
      <c r="G242" s="77">
        <f>IFERROR(VLOOKUP(A242,DataDemande!U:Z,3,FALSE),0)</f>
        <v>0</v>
      </c>
      <c r="H242" s="77">
        <f>IFERROR(VLOOKUP($A242,DataDemande!$U:$Z,4,FALSE),0)</f>
        <v>0</v>
      </c>
      <c r="I242" s="77">
        <f>IFERROR(VLOOKUP($A242,DataDemande!$U:$Z,5,FALSE),0)</f>
        <v>0</v>
      </c>
      <c r="J242" s="77">
        <f>IFERROR(VLOOKUP($A242,DataDemande!$U:$Z,6,FALSE),0)</f>
        <v>0</v>
      </c>
      <c r="K242" s="79"/>
      <c r="L242" s="77">
        <f>IFERROR(VLOOKUP($A242,DataPrixBillets!$S:$W,2,FALSE),0)</f>
        <v>0</v>
      </c>
      <c r="M242" s="77">
        <f>IFERROR(VLOOKUP($A242,DataPrixBillets!$S:$W,3,FALSE),0)</f>
        <v>0</v>
      </c>
      <c r="N242" s="77">
        <f>IFERROR(VLOOKUP($A242,DataPrixBillets!$S:$W,4,FALSE),0)</f>
        <v>0</v>
      </c>
      <c r="O242" s="77">
        <f>IFERROR(VLOOKUP($A242,DataPrixBillets!$S:$W,5,FALSE),0)</f>
        <v>0</v>
      </c>
      <c r="P242" s="79"/>
      <c r="Q242" s="77">
        <f t="shared" si="75"/>
        <v>0</v>
      </c>
      <c r="R242" s="77">
        <f t="shared" si="76"/>
        <v>0</v>
      </c>
      <c r="S242" s="77">
        <f t="shared" si="77"/>
        <v>0</v>
      </c>
      <c r="T242" s="77">
        <f t="shared" si="78"/>
        <v>0</v>
      </c>
      <c r="U242" s="79"/>
      <c r="V242" s="77">
        <f t="shared" si="79"/>
        <v>0</v>
      </c>
      <c r="W242" s="77">
        <f>IFERROR(VLOOKUP(A242,DataCoutRevenuAux!W:Y,2,FALSE),0)</f>
        <v>0</v>
      </c>
      <c r="X242" s="77">
        <f>IFERROR(VLOOKUP(A242,DataCoutRevenuAux!W:Y,3,FALSE),0)</f>
        <v>0</v>
      </c>
      <c r="Y242" s="77">
        <f t="shared" si="80"/>
        <v>0</v>
      </c>
      <c r="Z242" s="77">
        <f t="shared" si="81"/>
        <v>0</v>
      </c>
      <c r="AA242" s="77">
        <f t="shared" si="82"/>
        <v>0</v>
      </c>
      <c r="AB242" s="79"/>
      <c r="AC242" s="77">
        <f t="shared" si="83"/>
        <v>0</v>
      </c>
      <c r="AD242" s="77">
        <f t="shared" si="84"/>
        <v>0</v>
      </c>
      <c r="AE242" s="77">
        <f t="shared" si="85"/>
        <v>0</v>
      </c>
      <c r="AF242" s="79"/>
      <c r="AG242" s="6">
        <f t="shared" si="86"/>
        <v>0</v>
      </c>
      <c r="AH242" s="6">
        <f t="shared" si="87"/>
        <v>0</v>
      </c>
      <c r="AI242" s="6">
        <f t="shared" si="88"/>
        <v>0</v>
      </c>
    </row>
    <row r="243" spans="1:35" x14ac:dyDescent="0.3">
      <c r="A243" s="189">
        <f>DataDemande!U276</f>
        <v>0</v>
      </c>
      <c r="B243" s="189" t="str">
        <f t="shared" si="73"/>
        <v>0</v>
      </c>
      <c r="C243" s="189" t="str">
        <f t="shared" si="74"/>
        <v>0</v>
      </c>
      <c r="D243" s="189">
        <f>IFERROR(VLOOKUP(A243,DataCoutRevenuAux!M:Q,5,FALSE),0)</f>
        <v>0</v>
      </c>
      <c r="E243" s="189">
        <f>IFERROR(VLOOKUP(A243,DataDemande!U:Z,2,FALSE),0)</f>
        <v>0</v>
      </c>
      <c r="G243" s="77">
        <f>IFERROR(VLOOKUP(A243,DataDemande!U:Z,3,FALSE),0)</f>
        <v>0</v>
      </c>
      <c r="H243" s="77">
        <f>IFERROR(VLOOKUP($A243,DataDemande!$U:$Z,4,FALSE),0)</f>
        <v>0</v>
      </c>
      <c r="I243" s="77">
        <f>IFERROR(VLOOKUP($A243,DataDemande!$U:$Z,5,FALSE),0)</f>
        <v>0</v>
      </c>
      <c r="J243" s="77">
        <f>IFERROR(VLOOKUP($A243,DataDemande!$U:$Z,6,FALSE),0)</f>
        <v>0</v>
      </c>
      <c r="K243" s="79"/>
      <c r="L243" s="77">
        <f>IFERROR(VLOOKUP($A243,DataPrixBillets!$S:$W,2,FALSE),0)</f>
        <v>0</v>
      </c>
      <c r="M243" s="77">
        <f>IFERROR(VLOOKUP($A243,DataPrixBillets!$S:$W,3,FALSE),0)</f>
        <v>0</v>
      </c>
      <c r="N243" s="77">
        <f>IFERROR(VLOOKUP($A243,DataPrixBillets!$S:$W,4,FALSE),0)</f>
        <v>0</v>
      </c>
      <c r="O243" s="77">
        <f>IFERROR(VLOOKUP($A243,DataPrixBillets!$S:$W,5,FALSE),0)</f>
        <v>0</v>
      </c>
      <c r="P243" s="79"/>
      <c r="Q243" s="77">
        <f t="shared" si="75"/>
        <v>0</v>
      </c>
      <c r="R243" s="77">
        <f t="shared" si="76"/>
        <v>0</v>
      </c>
      <c r="S243" s="77">
        <f t="shared" si="77"/>
        <v>0</v>
      </c>
      <c r="T243" s="77">
        <f t="shared" si="78"/>
        <v>0</v>
      </c>
      <c r="U243" s="79"/>
      <c r="V243" s="77">
        <f t="shared" si="79"/>
        <v>0</v>
      </c>
      <c r="W243" s="77">
        <f>IFERROR(VLOOKUP(A243,DataCoutRevenuAux!W:Y,2,FALSE),0)</f>
        <v>0</v>
      </c>
      <c r="X243" s="77">
        <f>IFERROR(VLOOKUP(A243,DataCoutRevenuAux!W:Y,3,FALSE),0)</f>
        <v>0</v>
      </c>
      <c r="Y243" s="77">
        <f t="shared" si="80"/>
        <v>0</v>
      </c>
      <c r="Z243" s="77">
        <f t="shared" si="81"/>
        <v>0</v>
      </c>
      <c r="AA243" s="77">
        <f t="shared" si="82"/>
        <v>0</v>
      </c>
      <c r="AB243" s="79"/>
      <c r="AC243" s="77">
        <f t="shared" si="83"/>
        <v>0</v>
      </c>
      <c r="AD243" s="77">
        <f t="shared" si="84"/>
        <v>0</v>
      </c>
      <c r="AE243" s="77">
        <f t="shared" si="85"/>
        <v>0</v>
      </c>
      <c r="AF243" s="79"/>
      <c r="AG243" s="6">
        <f t="shared" si="86"/>
        <v>0</v>
      </c>
      <c r="AH243" s="6">
        <f t="shared" si="87"/>
        <v>0</v>
      </c>
      <c r="AI243" s="6">
        <f t="shared" si="88"/>
        <v>0</v>
      </c>
    </row>
    <row r="244" spans="1:35" x14ac:dyDescent="0.3">
      <c r="A244" s="189">
        <f>DataDemande!U277</f>
        <v>0</v>
      </c>
      <c r="B244" s="189" t="str">
        <f t="shared" si="73"/>
        <v>0</v>
      </c>
      <c r="C244" s="189" t="str">
        <f t="shared" si="74"/>
        <v>0</v>
      </c>
      <c r="D244" s="189">
        <f>IFERROR(VLOOKUP(A244,DataCoutRevenuAux!M:Q,5,FALSE),0)</f>
        <v>0</v>
      </c>
      <c r="E244" s="189">
        <f>IFERROR(VLOOKUP(A244,DataDemande!U:Z,2,FALSE),0)</f>
        <v>0</v>
      </c>
      <c r="G244" s="77">
        <f>IFERROR(VLOOKUP(A244,DataDemande!U:Z,3,FALSE),0)</f>
        <v>0</v>
      </c>
      <c r="H244" s="77">
        <f>IFERROR(VLOOKUP($A244,DataDemande!$U:$Z,4,FALSE),0)</f>
        <v>0</v>
      </c>
      <c r="I244" s="77">
        <f>IFERROR(VLOOKUP($A244,DataDemande!$U:$Z,5,FALSE),0)</f>
        <v>0</v>
      </c>
      <c r="J244" s="77">
        <f>IFERROR(VLOOKUP($A244,DataDemande!$U:$Z,6,FALSE),0)</f>
        <v>0</v>
      </c>
      <c r="K244" s="79"/>
      <c r="L244" s="77">
        <f>IFERROR(VLOOKUP($A244,DataPrixBillets!$S:$W,2,FALSE),0)</f>
        <v>0</v>
      </c>
      <c r="M244" s="77">
        <f>IFERROR(VLOOKUP($A244,DataPrixBillets!$S:$W,3,FALSE),0)</f>
        <v>0</v>
      </c>
      <c r="N244" s="77">
        <f>IFERROR(VLOOKUP($A244,DataPrixBillets!$S:$W,4,FALSE),0)</f>
        <v>0</v>
      </c>
      <c r="O244" s="77">
        <f>IFERROR(VLOOKUP($A244,DataPrixBillets!$S:$W,5,FALSE),0)</f>
        <v>0</v>
      </c>
      <c r="P244" s="79"/>
      <c r="Q244" s="77">
        <f t="shared" si="75"/>
        <v>0</v>
      </c>
      <c r="R244" s="77">
        <f t="shared" si="76"/>
        <v>0</v>
      </c>
      <c r="S244" s="77">
        <f t="shared" si="77"/>
        <v>0</v>
      </c>
      <c r="T244" s="77">
        <f t="shared" si="78"/>
        <v>0</v>
      </c>
      <c r="U244" s="79"/>
      <c r="V244" s="77">
        <f t="shared" si="79"/>
        <v>0</v>
      </c>
      <c r="W244" s="77">
        <f>IFERROR(VLOOKUP(A244,DataCoutRevenuAux!W:Y,2,FALSE),0)</f>
        <v>0</v>
      </c>
      <c r="X244" s="77">
        <f>IFERROR(VLOOKUP(A244,DataCoutRevenuAux!W:Y,3,FALSE),0)</f>
        <v>0</v>
      </c>
      <c r="Y244" s="77">
        <f t="shared" si="80"/>
        <v>0</v>
      </c>
      <c r="Z244" s="77">
        <f t="shared" si="81"/>
        <v>0</v>
      </c>
      <c r="AA244" s="77">
        <f t="shared" si="82"/>
        <v>0</v>
      </c>
      <c r="AB244" s="79"/>
      <c r="AC244" s="77">
        <f t="shared" si="83"/>
        <v>0</v>
      </c>
      <c r="AD244" s="77">
        <f t="shared" si="84"/>
        <v>0</v>
      </c>
      <c r="AE244" s="77">
        <f t="shared" si="85"/>
        <v>0</v>
      </c>
      <c r="AF244" s="79"/>
      <c r="AG244" s="6">
        <f t="shared" si="86"/>
        <v>0</v>
      </c>
      <c r="AH244" s="6">
        <f t="shared" si="87"/>
        <v>0</v>
      </c>
      <c r="AI244" s="6">
        <f t="shared" si="88"/>
        <v>0</v>
      </c>
    </row>
    <row r="245" spans="1:35" x14ac:dyDescent="0.3">
      <c r="A245" s="189">
        <f>DataDemande!U278</f>
        <v>0</v>
      </c>
      <c r="B245" s="189" t="str">
        <f t="shared" si="73"/>
        <v>0</v>
      </c>
      <c r="C245" s="189" t="str">
        <f t="shared" si="74"/>
        <v>0</v>
      </c>
      <c r="D245" s="189">
        <f>IFERROR(VLOOKUP(A245,DataCoutRevenuAux!M:Q,5,FALSE),0)</f>
        <v>0</v>
      </c>
      <c r="E245" s="189">
        <f>IFERROR(VLOOKUP(A245,DataDemande!U:Z,2,FALSE),0)</f>
        <v>0</v>
      </c>
      <c r="G245" s="77">
        <f>IFERROR(VLOOKUP(A245,DataDemande!U:Z,3,FALSE),0)</f>
        <v>0</v>
      </c>
      <c r="H245" s="77">
        <f>IFERROR(VLOOKUP($A245,DataDemande!$U:$Z,4,FALSE),0)</f>
        <v>0</v>
      </c>
      <c r="I245" s="77">
        <f>IFERROR(VLOOKUP($A245,DataDemande!$U:$Z,5,FALSE),0)</f>
        <v>0</v>
      </c>
      <c r="J245" s="77">
        <f>IFERROR(VLOOKUP($A245,DataDemande!$U:$Z,6,FALSE),0)</f>
        <v>0</v>
      </c>
      <c r="K245" s="79"/>
      <c r="L245" s="77">
        <f>IFERROR(VLOOKUP($A245,DataPrixBillets!$S:$W,2,FALSE),0)</f>
        <v>0</v>
      </c>
      <c r="M245" s="77">
        <f>IFERROR(VLOOKUP($A245,DataPrixBillets!$S:$W,3,FALSE),0)</f>
        <v>0</v>
      </c>
      <c r="N245" s="77">
        <f>IFERROR(VLOOKUP($A245,DataPrixBillets!$S:$W,4,FALSE),0)</f>
        <v>0</v>
      </c>
      <c r="O245" s="77">
        <f>IFERROR(VLOOKUP($A245,DataPrixBillets!$S:$W,5,FALSE),0)</f>
        <v>0</v>
      </c>
      <c r="P245" s="79"/>
      <c r="Q245" s="77">
        <f t="shared" si="75"/>
        <v>0</v>
      </c>
      <c r="R245" s="77">
        <f t="shared" si="76"/>
        <v>0</v>
      </c>
      <c r="S245" s="77">
        <f t="shared" si="77"/>
        <v>0</v>
      </c>
      <c r="T245" s="77">
        <f t="shared" si="78"/>
        <v>0</v>
      </c>
      <c r="U245" s="79"/>
      <c r="V245" s="77">
        <f t="shared" si="79"/>
        <v>0</v>
      </c>
      <c r="W245" s="77">
        <f>IFERROR(VLOOKUP(A245,DataCoutRevenuAux!W:Y,2,FALSE),0)</f>
        <v>0</v>
      </c>
      <c r="X245" s="77">
        <f>IFERROR(VLOOKUP(A245,DataCoutRevenuAux!W:Y,3,FALSE),0)</f>
        <v>0</v>
      </c>
      <c r="Y245" s="77">
        <f t="shared" si="80"/>
        <v>0</v>
      </c>
      <c r="Z245" s="77">
        <f t="shared" si="81"/>
        <v>0</v>
      </c>
      <c r="AA245" s="77">
        <f t="shared" si="82"/>
        <v>0</v>
      </c>
      <c r="AB245" s="79"/>
      <c r="AC245" s="77">
        <f t="shared" si="83"/>
        <v>0</v>
      </c>
      <c r="AD245" s="77">
        <f t="shared" si="84"/>
        <v>0</v>
      </c>
      <c r="AE245" s="77">
        <f t="shared" si="85"/>
        <v>0</v>
      </c>
      <c r="AF245" s="79"/>
      <c r="AG245" s="6">
        <f t="shared" si="86"/>
        <v>0</v>
      </c>
      <c r="AH245" s="6">
        <f t="shared" si="87"/>
        <v>0</v>
      </c>
      <c r="AI245" s="6">
        <f t="shared" si="88"/>
        <v>0</v>
      </c>
    </row>
    <row r="246" spans="1:35" x14ac:dyDescent="0.3">
      <c r="A246" s="189">
        <f>DataDemande!U279</f>
        <v>0</v>
      </c>
      <c r="B246" s="189" t="str">
        <f t="shared" si="73"/>
        <v>0</v>
      </c>
      <c r="C246" s="189" t="str">
        <f t="shared" si="74"/>
        <v>0</v>
      </c>
      <c r="D246" s="189">
        <f>IFERROR(VLOOKUP(A246,DataCoutRevenuAux!M:Q,5,FALSE),0)</f>
        <v>0</v>
      </c>
      <c r="E246" s="189">
        <f>IFERROR(VLOOKUP(A246,DataDemande!U:Z,2,FALSE),0)</f>
        <v>0</v>
      </c>
      <c r="G246" s="77">
        <f>IFERROR(VLOOKUP(A246,DataDemande!U:Z,3,FALSE),0)</f>
        <v>0</v>
      </c>
      <c r="H246" s="77">
        <f>IFERROR(VLOOKUP($A246,DataDemande!$U:$Z,4,FALSE),0)</f>
        <v>0</v>
      </c>
      <c r="I246" s="77">
        <f>IFERROR(VLOOKUP($A246,DataDemande!$U:$Z,5,FALSE),0)</f>
        <v>0</v>
      </c>
      <c r="J246" s="77">
        <f>IFERROR(VLOOKUP($A246,DataDemande!$U:$Z,6,FALSE),0)</f>
        <v>0</v>
      </c>
      <c r="K246" s="79"/>
      <c r="L246" s="77">
        <f>IFERROR(VLOOKUP($A246,DataPrixBillets!$S:$W,2,FALSE),0)</f>
        <v>0</v>
      </c>
      <c r="M246" s="77">
        <f>IFERROR(VLOOKUP($A246,DataPrixBillets!$S:$W,3,FALSE),0)</f>
        <v>0</v>
      </c>
      <c r="N246" s="77">
        <f>IFERROR(VLOOKUP($A246,DataPrixBillets!$S:$W,4,FALSE),0)</f>
        <v>0</v>
      </c>
      <c r="O246" s="77">
        <f>IFERROR(VLOOKUP($A246,DataPrixBillets!$S:$W,5,FALSE),0)</f>
        <v>0</v>
      </c>
      <c r="P246" s="79"/>
      <c r="Q246" s="77">
        <f t="shared" si="75"/>
        <v>0</v>
      </c>
      <c r="R246" s="77">
        <f t="shared" si="76"/>
        <v>0</v>
      </c>
      <c r="S246" s="77">
        <f t="shared" si="77"/>
        <v>0</v>
      </c>
      <c r="T246" s="77">
        <f t="shared" si="78"/>
        <v>0</v>
      </c>
      <c r="U246" s="79"/>
      <c r="V246" s="77">
        <f t="shared" si="79"/>
        <v>0</v>
      </c>
      <c r="W246" s="77">
        <f>IFERROR(VLOOKUP(A246,DataCoutRevenuAux!W:Y,2,FALSE),0)</f>
        <v>0</v>
      </c>
      <c r="X246" s="77">
        <f>IFERROR(VLOOKUP(A246,DataCoutRevenuAux!W:Y,3,FALSE),0)</f>
        <v>0</v>
      </c>
      <c r="Y246" s="77">
        <f t="shared" si="80"/>
        <v>0</v>
      </c>
      <c r="Z246" s="77">
        <f t="shared" si="81"/>
        <v>0</v>
      </c>
      <c r="AA246" s="77">
        <f t="shared" si="82"/>
        <v>0</v>
      </c>
      <c r="AB246" s="79"/>
      <c r="AC246" s="77">
        <f t="shared" si="83"/>
        <v>0</v>
      </c>
      <c r="AD246" s="77">
        <f t="shared" si="84"/>
        <v>0</v>
      </c>
      <c r="AE246" s="77">
        <f t="shared" si="85"/>
        <v>0</v>
      </c>
      <c r="AF246" s="79"/>
      <c r="AG246" s="6">
        <f t="shared" si="86"/>
        <v>0</v>
      </c>
      <c r="AH246" s="6">
        <f t="shared" si="87"/>
        <v>0</v>
      </c>
      <c r="AI246" s="6">
        <f t="shared" si="88"/>
        <v>0</v>
      </c>
    </row>
    <row r="247" spans="1:35" x14ac:dyDescent="0.3">
      <c r="A247" s="189">
        <f>DataDemande!U280</f>
        <v>0</v>
      </c>
      <c r="B247" s="189" t="str">
        <f t="shared" si="73"/>
        <v>0</v>
      </c>
      <c r="C247" s="189" t="str">
        <f t="shared" si="74"/>
        <v>0</v>
      </c>
      <c r="D247" s="189">
        <f>IFERROR(VLOOKUP(A247,DataCoutRevenuAux!M:Q,5,FALSE),0)</f>
        <v>0</v>
      </c>
      <c r="E247" s="189">
        <f>IFERROR(VLOOKUP(A247,DataDemande!U:Z,2,FALSE),0)</f>
        <v>0</v>
      </c>
      <c r="G247" s="77">
        <f>IFERROR(VLOOKUP(A247,DataDemande!U:Z,3,FALSE),0)</f>
        <v>0</v>
      </c>
      <c r="H247" s="77">
        <f>IFERROR(VLOOKUP($A247,DataDemande!$U:$Z,4,FALSE),0)</f>
        <v>0</v>
      </c>
      <c r="I247" s="77">
        <f>IFERROR(VLOOKUP($A247,DataDemande!$U:$Z,5,FALSE),0)</f>
        <v>0</v>
      </c>
      <c r="J247" s="77">
        <f>IFERROR(VLOOKUP($A247,DataDemande!$U:$Z,6,FALSE),0)</f>
        <v>0</v>
      </c>
      <c r="K247" s="79"/>
      <c r="L247" s="77">
        <f>IFERROR(VLOOKUP($A247,DataPrixBillets!$S:$W,2,FALSE),0)</f>
        <v>0</v>
      </c>
      <c r="M247" s="77">
        <f>IFERROR(VLOOKUP($A247,DataPrixBillets!$S:$W,3,FALSE),0)</f>
        <v>0</v>
      </c>
      <c r="N247" s="77">
        <f>IFERROR(VLOOKUP($A247,DataPrixBillets!$S:$W,4,FALSE),0)</f>
        <v>0</v>
      </c>
      <c r="O247" s="77">
        <f>IFERROR(VLOOKUP($A247,DataPrixBillets!$S:$W,5,FALSE),0)</f>
        <v>0</v>
      </c>
      <c r="P247" s="79"/>
      <c r="Q247" s="77">
        <f t="shared" si="75"/>
        <v>0</v>
      </c>
      <c r="R247" s="77">
        <f t="shared" si="76"/>
        <v>0</v>
      </c>
      <c r="S247" s="77">
        <f t="shared" si="77"/>
        <v>0</v>
      </c>
      <c r="T247" s="77">
        <f t="shared" si="78"/>
        <v>0</v>
      </c>
      <c r="U247" s="79"/>
      <c r="V247" s="77">
        <f t="shared" si="79"/>
        <v>0</v>
      </c>
      <c r="W247" s="77">
        <f>IFERROR(VLOOKUP(A247,DataCoutRevenuAux!W:Y,2,FALSE),0)</f>
        <v>0</v>
      </c>
      <c r="X247" s="77">
        <f>IFERROR(VLOOKUP(A247,DataCoutRevenuAux!W:Y,3,FALSE),0)</f>
        <v>0</v>
      </c>
      <c r="Y247" s="77">
        <f t="shared" si="80"/>
        <v>0</v>
      </c>
      <c r="Z247" s="77">
        <f t="shared" si="81"/>
        <v>0</v>
      </c>
      <c r="AA247" s="77">
        <f t="shared" si="82"/>
        <v>0</v>
      </c>
      <c r="AB247" s="79"/>
      <c r="AC247" s="77">
        <f t="shared" si="83"/>
        <v>0</v>
      </c>
      <c r="AD247" s="77">
        <f t="shared" si="84"/>
        <v>0</v>
      </c>
      <c r="AE247" s="77">
        <f t="shared" si="85"/>
        <v>0</v>
      </c>
      <c r="AF247" s="79"/>
      <c r="AG247" s="6">
        <f t="shared" si="86"/>
        <v>0</v>
      </c>
      <c r="AH247" s="6">
        <f t="shared" si="87"/>
        <v>0</v>
      </c>
      <c r="AI247" s="6">
        <f t="shared" si="88"/>
        <v>0</v>
      </c>
    </row>
    <row r="248" spans="1:35" x14ac:dyDescent="0.3">
      <c r="A248" s="189">
        <f>DataDemande!U281</f>
        <v>0</v>
      </c>
      <c r="B248" s="189" t="str">
        <f t="shared" si="73"/>
        <v>0</v>
      </c>
      <c r="C248" s="189" t="str">
        <f t="shared" si="74"/>
        <v>0</v>
      </c>
      <c r="D248" s="189">
        <f>IFERROR(VLOOKUP(A248,DataCoutRevenuAux!M:Q,5,FALSE),0)</f>
        <v>0</v>
      </c>
      <c r="E248" s="189">
        <f>IFERROR(VLOOKUP(A248,DataDemande!U:Z,2,FALSE),0)</f>
        <v>0</v>
      </c>
      <c r="G248" s="77">
        <f>IFERROR(VLOOKUP(A248,DataDemande!U:Z,3,FALSE),0)</f>
        <v>0</v>
      </c>
      <c r="H248" s="77">
        <f>IFERROR(VLOOKUP($A248,DataDemande!$U:$Z,4,FALSE),0)</f>
        <v>0</v>
      </c>
      <c r="I248" s="77">
        <f>IFERROR(VLOOKUP($A248,DataDemande!$U:$Z,5,FALSE),0)</f>
        <v>0</v>
      </c>
      <c r="J248" s="77">
        <f>IFERROR(VLOOKUP($A248,DataDemande!$U:$Z,6,FALSE),0)</f>
        <v>0</v>
      </c>
      <c r="K248" s="79"/>
      <c r="L248" s="77">
        <f>IFERROR(VLOOKUP($A248,DataPrixBillets!$S:$W,2,FALSE),0)</f>
        <v>0</v>
      </c>
      <c r="M248" s="77">
        <f>IFERROR(VLOOKUP($A248,DataPrixBillets!$S:$W,3,FALSE),0)</f>
        <v>0</v>
      </c>
      <c r="N248" s="77">
        <f>IFERROR(VLOOKUP($A248,DataPrixBillets!$S:$W,4,FALSE),0)</f>
        <v>0</v>
      </c>
      <c r="O248" s="77">
        <f>IFERROR(VLOOKUP($A248,DataPrixBillets!$S:$W,5,FALSE),0)</f>
        <v>0</v>
      </c>
      <c r="P248" s="79"/>
      <c r="Q248" s="77">
        <f t="shared" si="75"/>
        <v>0</v>
      </c>
      <c r="R248" s="77">
        <f t="shared" si="76"/>
        <v>0</v>
      </c>
      <c r="S248" s="77">
        <f t="shared" si="77"/>
        <v>0</v>
      </c>
      <c r="T248" s="77">
        <f t="shared" si="78"/>
        <v>0</v>
      </c>
      <c r="U248" s="79"/>
      <c r="V248" s="77">
        <f t="shared" si="79"/>
        <v>0</v>
      </c>
      <c r="W248" s="77">
        <f>IFERROR(VLOOKUP(A248,DataCoutRevenuAux!W:Y,2,FALSE),0)</f>
        <v>0</v>
      </c>
      <c r="X248" s="77">
        <f>IFERROR(VLOOKUP(A248,DataCoutRevenuAux!W:Y,3,FALSE),0)</f>
        <v>0</v>
      </c>
      <c r="Y248" s="77">
        <f t="shared" si="80"/>
        <v>0</v>
      </c>
      <c r="Z248" s="77">
        <f t="shared" si="81"/>
        <v>0</v>
      </c>
      <c r="AA248" s="77">
        <f t="shared" si="82"/>
        <v>0</v>
      </c>
      <c r="AB248" s="79"/>
      <c r="AC248" s="77">
        <f t="shared" si="83"/>
        <v>0</v>
      </c>
      <c r="AD248" s="77">
        <f t="shared" si="84"/>
        <v>0</v>
      </c>
      <c r="AE248" s="77">
        <f t="shared" si="85"/>
        <v>0</v>
      </c>
      <c r="AF248" s="79"/>
      <c r="AG248" s="6">
        <f t="shared" si="86"/>
        <v>0</v>
      </c>
      <c r="AH248" s="6">
        <f t="shared" si="87"/>
        <v>0</v>
      </c>
      <c r="AI248" s="6">
        <f t="shared" si="88"/>
        <v>0</v>
      </c>
    </row>
    <row r="249" spans="1:35" x14ac:dyDescent="0.3">
      <c r="A249" s="189">
        <f>DataDemande!U282</f>
        <v>0</v>
      </c>
      <c r="B249" s="189" t="str">
        <f t="shared" si="73"/>
        <v>0</v>
      </c>
      <c r="C249" s="189" t="str">
        <f t="shared" si="74"/>
        <v>0</v>
      </c>
      <c r="D249" s="189">
        <f>IFERROR(VLOOKUP(A249,DataCoutRevenuAux!M:Q,5,FALSE),0)</f>
        <v>0</v>
      </c>
      <c r="E249" s="189">
        <f>IFERROR(VLOOKUP(A249,DataDemande!U:Z,2,FALSE),0)</f>
        <v>0</v>
      </c>
      <c r="G249" s="77">
        <f>IFERROR(VLOOKUP(A249,DataDemande!U:Z,3,FALSE),0)</f>
        <v>0</v>
      </c>
      <c r="H249" s="77">
        <f>IFERROR(VLOOKUP($A249,DataDemande!$U:$Z,4,FALSE),0)</f>
        <v>0</v>
      </c>
      <c r="I249" s="77">
        <f>IFERROR(VLOOKUP($A249,DataDemande!$U:$Z,5,FALSE),0)</f>
        <v>0</v>
      </c>
      <c r="J249" s="77">
        <f>IFERROR(VLOOKUP($A249,DataDemande!$U:$Z,6,FALSE),0)</f>
        <v>0</v>
      </c>
      <c r="K249" s="79"/>
      <c r="L249" s="77">
        <f>IFERROR(VLOOKUP($A249,DataPrixBillets!$S:$W,2,FALSE),0)</f>
        <v>0</v>
      </c>
      <c r="M249" s="77">
        <f>IFERROR(VLOOKUP($A249,DataPrixBillets!$S:$W,3,FALSE),0)</f>
        <v>0</v>
      </c>
      <c r="N249" s="77">
        <f>IFERROR(VLOOKUP($A249,DataPrixBillets!$S:$W,4,FALSE),0)</f>
        <v>0</v>
      </c>
      <c r="O249" s="77">
        <f>IFERROR(VLOOKUP($A249,DataPrixBillets!$S:$W,5,FALSE),0)</f>
        <v>0</v>
      </c>
      <c r="P249" s="79"/>
      <c r="Q249" s="77">
        <f t="shared" si="75"/>
        <v>0</v>
      </c>
      <c r="R249" s="77">
        <f t="shared" si="76"/>
        <v>0</v>
      </c>
      <c r="S249" s="77">
        <f t="shared" si="77"/>
        <v>0</v>
      </c>
      <c r="T249" s="77">
        <f t="shared" si="78"/>
        <v>0</v>
      </c>
      <c r="U249" s="79"/>
      <c r="V249" s="77">
        <f t="shared" si="79"/>
        <v>0</v>
      </c>
      <c r="W249" s="77">
        <f>IFERROR(VLOOKUP(A249,DataCoutRevenuAux!W:Y,2,FALSE),0)</f>
        <v>0</v>
      </c>
      <c r="X249" s="77">
        <f>IFERROR(VLOOKUP(A249,DataCoutRevenuAux!W:Y,3,FALSE),0)</f>
        <v>0</v>
      </c>
      <c r="Y249" s="77">
        <f t="shared" si="80"/>
        <v>0</v>
      </c>
      <c r="Z249" s="77">
        <f t="shared" si="81"/>
        <v>0</v>
      </c>
      <c r="AA249" s="77">
        <f t="shared" si="82"/>
        <v>0</v>
      </c>
      <c r="AB249" s="79"/>
      <c r="AC249" s="77">
        <f t="shared" si="83"/>
        <v>0</v>
      </c>
      <c r="AD249" s="77">
        <f t="shared" si="84"/>
        <v>0</v>
      </c>
      <c r="AE249" s="77">
        <f t="shared" si="85"/>
        <v>0</v>
      </c>
      <c r="AF249" s="79"/>
      <c r="AG249" s="6">
        <f t="shared" si="86"/>
        <v>0</v>
      </c>
      <c r="AH249" s="6">
        <f t="shared" si="87"/>
        <v>0</v>
      </c>
      <c r="AI249" s="6">
        <f t="shared" si="88"/>
        <v>0</v>
      </c>
    </row>
    <row r="250" spans="1:35" x14ac:dyDescent="0.3">
      <c r="A250" s="189">
        <f>DataDemande!U283</f>
        <v>0</v>
      </c>
      <c r="B250" s="189" t="str">
        <f t="shared" si="73"/>
        <v>0</v>
      </c>
      <c r="C250" s="189" t="str">
        <f t="shared" si="74"/>
        <v>0</v>
      </c>
      <c r="D250" s="189">
        <f>IFERROR(VLOOKUP(A250,DataCoutRevenuAux!M:Q,5,FALSE),0)</f>
        <v>0</v>
      </c>
      <c r="E250" s="189">
        <f>IFERROR(VLOOKUP(A250,DataDemande!U:Z,2,FALSE),0)</f>
        <v>0</v>
      </c>
      <c r="G250" s="77">
        <f>IFERROR(VLOOKUP(A250,DataDemande!U:Z,3,FALSE),0)</f>
        <v>0</v>
      </c>
      <c r="H250" s="77">
        <f>IFERROR(VLOOKUP($A250,DataDemande!$U:$Z,4,FALSE),0)</f>
        <v>0</v>
      </c>
      <c r="I250" s="77">
        <f>IFERROR(VLOOKUP($A250,DataDemande!$U:$Z,5,FALSE),0)</f>
        <v>0</v>
      </c>
      <c r="J250" s="77">
        <f>IFERROR(VLOOKUP($A250,DataDemande!$U:$Z,6,FALSE),0)</f>
        <v>0</v>
      </c>
      <c r="K250" s="79"/>
      <c r="L250" s="77">
        <f>IFERROR(VLOOKUP($A250,DataPrixBillets!$S:$W,2,FALSE),0)</f>
        <v>0</v>
      </c>
      <c r="M250" s="77">
        <f>IFERROR(VLOOKUP($A250,DataPrixBillets!$S:$W,3,FALSE),0)</f>
        <v>0</v>
      </c>
      <c r="N250" s="77">
        <f>IFERROR(VLOOKUP($A250,DataPrixBillets!$S:$W,4,FALSE),0)</f>
        <v>0</v>
      </c>
      <c r="O250" s="77">
        <f>IFERROR(VLOOKUP($A250,DataPrixBillets!$S:$W,5,FALSE),0)</f>
        <v>0</v>
      </c>
      <c r="P250" s="79"/>
      <c r="Q250" s="77">
        <f t="shared" si="75"/>
        <v>0</v>
      </c>
      <c r="R250" s="77">
        <f t="shared" si="76"/>
        <v>0</v>
      </c>
      <c r="S250" s="77">
        <f t="shared" si="77"/>
        <v>0</v>
      </c>
      <c r="T250" s="77">
        <f t="shared" si="78"/>
        <v>0</v>
      </c>
      <c r="U250" s="79"/>
      <c r="V250" s="77">
        <f t="shared" si="79"/>
        <v>0</v>
      </c>
      <c r="W250" s="77">
        <f>IFERROR(VLOOKUP(A250,DataCoutRevenuAux!W:Y,2,FALSE),0)</f>
        <v>0</v>
      </c>
      <c r="X250" s="77">
        <f>IFERROR(VLOOKUP(A250,DataCoutRevenuAux!W:Y,3,FALSE),0)</f>
        <v>0</v>
      </c>
      <c r="Y250" s="77">
        <f t="shared" si="80"/>
        <v>0</v>
      </c>
      <c r="Z250" s="77">
        <f t="shared" si="81"/>
        <v>0</v>
      </c>
      <c r="AA250" s="77">
        <f t="shared" si="82"/>
        <v>0</v>
      </c>
      <c r="AB250" s="79"/>
      <c r="AC250" s="77">
        <f t="shared" si="83"/>
        <v>0</v>
      </c>
      <c r="AD250" s="77">
        <f t="shared" si="84"/>
        <v>0</v>
      </c>
      <c r="AE250" s="77">
        <f t="shared" si="85"/>
        <v>0</v>
      </c>
      <c r="AF250" s="79"/>
      <c r="AG250" s="6">
        <f t="shared" si="86"/>
        <v>0</v>
      </c>
      <c r="AH250" s="6">
        <f t="shared" si="87"/>
        <v>0</v>
      </c>
      <c r="AI250" s="6">
        <f t="shared" si="88"/>
        <v>0</v>
      </c>
    </row>
    <row r="251" spans="1:35" x14ac:dyDescent="0.3">
      <c r="A251" s="189">
        <f>DataDemande!U284</f>
        <v>0</v>
      </c>
      <c r="B251" s="189" t="str">
        <f t="shared" si="73"/>
        <v>0</v>
      </c>
      <c r="C251" s="189" t="str">
        <f t="shared" si="74"/>
        <v>0</v>
      </c>
      <c r="D251" s="189">
        <f>IFERROR(VLOOKUP(A251,DataCoutRevenuAux!M:Q,5,FALSE),0)</f>
        <v>0</v>
      </c>
      <c r="E251" s="189">
        <f>IFERROR(VLOOKUP(A251,DataDemande!U:Z,2,FALSE),0)</f>
        <v>0</v>
      </c>
      <c r="G251" s="77">
        <f>IFERROR(VLOOKUP(A251,DataDemande!U:Z,3,FALSE),0)</f>
        <v>0</v>
      </c>
      <c r="H251" s="77">
        <f>IFERROR(VLOOKUP($A251,DataDemande!$U:$Z,4,FALSE),0)</f>
        <v>0</v>
      </c>
      <c r="I251" s="77">
        <f>IFERROR(VLOOKUP($A251,DataDemande!$U:$Z,5,FALSE),0)</f>
        <v>0</v>
      </c>
      <c r="J251" s="77">
        <f>IFERROR(VLOOKUP($A251,DataDemande!$U:$Z,6,FALSE),0)</f>
        <v>0</v>
      </c>
      <c r="K251" s="79"/>
      <c r="L251" s="77">
        <f>IFERROR(VLOOKUP($A251,DataPrixBillets!$S:$W,2,FALSE),0)</f>
        <v>0</v>
      </c>
      <c r="M251" s="77">
        <f>IFERROR(VLOOKUP($A251,DataPrixBillets!$S:$W,3,FALSE),0)</f>
        <v>0</v>
      </c>
      <c r="N251" s="77">
        <f>IFERROR(VLOOKUP($A251,DataPrixBillets!$S:$W,4,FALSE),0)</f>
        <v>0</v>
      </c>
      <c r="O251" s="77">
        <f>IFERROR(VLOOKUP($A251,DataPrixBillets!$S:$W,5,FALSE),0)</f>
        <v>0</v>
      </c>
      <c r="P251" s="79"/>
      <c r="Q251" s="77">
        <f t="shared" si="75"/>
        <v>0</v>
      </c>
      <c r="R251" s="77">
        <f t="shared" si="76"/>
        <v>0</v>
      </c>
      <c r="S251" s="77">
        <f t="shared" si="77"/>
        <v>0</v>
      </c>
      <c r="T251" s="77">
        <f t="shared" si="78"/>
        <v>0</v>
      </c>
      <c r="U251" s="79"/>
      <c r="V251" s="77">
        <f t="shared" si="79"/>
        <v>0</v>
      </c>
      <c r="W251" s="77">
        <f>IFERROR(VLOOKUP(A251,DataCoutRevenuAux!W:Y,2,FALSE),0)</f>
        <v>0</v>
      </c>
      <c r="X251" s="77">
        <f>IFERROR(VLOOKUP(A251,DataCoutRevenuAux!W:Y,3,FALSE),0)</f>
        <v>0</v>
      </c>
      <c r="Y251" s="77">
        <f t="shared" si="80"/>
        <v>0</v>
      </c>
      <c r="Z251" s="77">
        <f t="shared" si="81"/>
        <v>0</v>
      </c>
      <c r="AA251" s="77">
        <f t="shared" si="82"/>
        <v>0</v>
      </c>
      <c r="AB251" s="79"/>
      <c r="AC251" s="77">
        <f t="shared" si="83"/>
        <v>0</v>
      </c>
      <c r="AD251" s="77">
        <f t="shared" si="84"/>
        <v>0</v>
      </c>
      <c r="AE251" s="77">
        <f t="shared" si="85"/>
        <v>0</v>
      </c>
      <c r="AF251" s="79"/>
      <c r="AG251" s="6">
        <f t="shared" si="86"/>
        <v>0</v>
      </c>
      <c r="AH251" s="6">
        <f t="shared" si="87"/>
        <v>0</v>
      </c>
      <c r="AI251" s="6">
        <f t="shared" si="88"/>
        <v>0</v>
      </c>
    </row>
    <row r="252" spans="1:35" x14ac:dyDescent="0.3">
      <c r="A252" s="189">
        <f>DataDemande!U285</f>
        <v>0</v>
      </c>
      <c r="B252" s="189" t="str">
        <f t="shared" si="73"/>
        <v>0</v>
      </c>
      <c r="C252" s="189" t="str">
        <f t="shared" si="74"/>
        <v>0</v>
      </c>
      <c r="D252" s="189">
        <f>IFERROR(VLOOKUP(A252,DataCoutRevenuAux!M:Q,5,FALSE),0)</f>
        <v>0</v>
      </c>
      <c r="E252" s="189">
        <f>IFERROR(VLOOKUP(A252,DataDemande!U:Z,2,FALSE),0)</f>
        <v>0</v>
      </c>
      <c r="G252" s="77">
        <f>IFERROR(VLOOKUP(A252,DataDemande!U:Z,3,FALSE),0)</f>
        <v>0</v>
      </c>
      <c r="H252" s="77">
        <f>IFERROR(VLOOKUP($A252,DataDemande!$U:$Z,4,FALSE),0)</f>
        <v>0</v>
      </c>
      <c r="I252" s="77">
        <f>IFERROR(VLOOKUP($A252,DataDemande!$U:$Z,5,FALSE),0)</f>
        <v>0</v>
      </c>
      <c r="J252" s="77">
        <f>IFERROR(VLOOKUP($A252,DataDemande!$U:$Z,6,FALSE),0)</f>
        <v>0</v>
      </c>
      <c r="K252" s="79"/>
      <c r="L252" s="77">
        <f>IFERROR(VLOOKUP($A252,DataPrixBillets!$S:$W,2,FALSE),0)</f>
        <v>0</v>
      </c>
      <c r="M252" s="77">
        <f>IFERROR(VLOOKUP($A252,DataPrixBillets!$S:$W,3,FALSE),0)</f>
        <v>0</v>
      </c>
      <c r="N252" s="77">
        <f>IFERROR(VLOOKUP($A252,DataPrixBillets!$S:$W,4,FALSE),0)</f>
        <v>0</v>
      </c>
      <c r="O252" s="77">
        <f>IFERROR(VLOOKUP($A252,DataPrixBillets!$S:$W,5,FALSE),0)</f>
        <v>0</v>
      </c>
      <c r="P252" s="79"/>
      <c r="Q252" s="77">
        <f t="shared" si="75"/>
        <v>0</v>
      </c>
      <c r="R252" s="77">
        <f t="shared" si="76"/>
        <v>0</v>
      </c>
      <c r="S252" s="77">
        <f t="shared" si="77"/>
        <v>0</v>
      </c>
      <c r="T252" s="77">
        <f t="shared" si="78"/>
        <v>0</v>
      </c>
      <c r="U252" s="79"/>
      <c r="V252" s="77">
        <f t="shared" si="79"/>
        <v>0</v>
      </c>
      <c r="W252" s="77">
        <f>IFERROR(VLOOKUP(A252,DataCoutRevenuAux!W:Y,2,FALSE),0)</f>
        <v>0</v>
      </c>
      <c r="X252" s="77">
        <f>IFERROR(VLOOKUP(A252,DataCoutRevenuAux!W:Y,3,FALSE),0)</f>
        <v>0</v>
      </c>
      <c r="Y252" s="77">
        <f t="shared" si="80"/>
        <v>0</v>
      </c>
      <c r="Z252" s="77">
        <f t="shared" si="81"/>
        <v>0</v>
      </c>
      <c r="AA252" s="77">
        <f t="shared" si="82"/>
        <v>0</v>
      </c>
      <c r="AB252" s="79"/>
      <c r="AC252" s="77">
        <f t="shared" si="83"/>
        <v>0</v>
      </c>
      <c r="AD252" s="77">
        <f t="shared" si="84"/>
        <v>0</v>
      </c>
      <c r="AE252" s="77">
        <f t="shared" si="85"/>
        <v>0</v>
      </c>
      <c r="AF252" s="79"/>
      <c r="AG252" s="6">
        <f t="shared" si="86"/>
        <v>0</v>
      </c>
      <c r="AH252" s="6">
        <f t="shared" si="87"/>
        <v>0</v>
      </c>
      <c r="AI252" s="6">
        <f t="shared" si="88"/>
        <v>0</v>
      </c>
    </row>
    <row r="253" spans="1:35" x14ac:dyDescent="0.3">
      <c r="A253" s="189">
        <f>DataDemande!U286</f>
        <v>0</v>
      </c>
      <c r="B253" s="189" t="str">
        <f t="shared" si="73"/>
        <v>0</v>
      </c>
      <c r="C253" s="189" t="str">
        <f t="shared" si="74"/>
        <v>0</v>
      </c>
      <c r="D253" s="189">
        <f>IFERROR(VLOOKUP(A253,DataCoutRevenuAux!M:Q,5,FALSE),0)</f>
        <v>0</v>
      </c>
      <c r="E253" s="189">
        <f>IFERROR(VLOOKUP(A253,DataDemande!U:Z,2,FALSE),0)</f>
        <v>0</v>
      </c>
      <c r="G253" s="77">
        <f>IFERROR(VLOOKUP(A253,DataDemande!U:Z,3,FALSE),0)</f>
        <v>0</v>
      </c>
      <c r="H253" s="77">
        <f>IFERROR(VLOOKUP($A253,DataDemande!$U:$Z,4,FALSE),0)</f>
        <v>0</v>
      </c>
      <c r="I253" s="77">
        <f>IFERROR(VLOOKUP($A253,DataDemande!$U:$Z,5,FALSE),0)</f>
        <v>0</v>
      </c>
      <c r="J253" s="77">
        <f>IFERROR(VLOOKUP($A253,DataDemande!$U:$Z,6,FALSE),0)</f>
        <v>0</v>
      </c>
      <c r="K253" s="79"/>
      <c r="L253" s="77">
        <f>IFERROR(VLOOKUP($A253,DataPrixBillets!$S:$W,2,FALSE),0)</f>
        <v>0</v>
      </c>
      <c r="M253" s="77">
        <f>IFERROR(VLOOKUP($A253,DataPrixBillets!$S:$W,3,FALSE),0)</f>
        <v>0</v>
      </c>
      <c r="N253" s="77">
        <f>IFERROR(VLOOKUP($A253,DataPrixBillets!$S:$W,4,FALSE),0)</f>
        <v>0</v>
      </c>
      <c r="O253" s="77">
        <f>IFERROR(VLOOKUP($A253,DataPrixBillets!$S:$W,5,FALSE),0)</f>
        <v>0</v>
      </c>
      <c r="P253" s="79"/>
      <c r="Q253" s="77">
        <f t="shared" si="75"/>
        <v>0</v>
      </c>
      <c r="R253" s="77">
        <f t="shared" si="76"/>
        <v>0</v>
      </c>
      <c r="S253" s="77">
        <f t="shared" si="77"/>
        <v>0</v>
      </c>
      <c r="T253" s="77">
        <f t="shared" si="78"/>
        <v>0</v>
      </c>
      <c r="U253" s="79"/>
      <c r="V253" s="77">
        <f t="shared" si="79"/>
        <v>0</v>
      </c>
      <c r="W253" s="77">
        <f>IFERROR(VLOOKUP(A253,DataCoutRevenuAux!W:Y,2,FALSE),0)</f>
        <v>0</v>
      </c>
      <c r="X253" s="77">
        <f>IFERROR(VLOOKUP(A253,DataCoutRevenuAux!W:Y,3,FALSE),0)</f>
        <v>0</v>
      </c>
      <c r="Y253" s="77">
        <f t="shared" si="80"/>
        <v>0</v>
      </c>
      <c r="Z253" s="77">
        <f t="shared" si="81"/>
        <v>0</v>
      </c>
      <c r="AA253" s="77">
        <f t="shared" si="82"/>
        <v>0</v>
      </c>
      <c r="AB253" s="79"/>
      <c r="AC253" s="77">
        <f t="shared" si="83"/>
        <v>0</v>
      </c>
      <c r="AD253" s="77">
        <f t="shared" si="84"/>
        <v>0</v>
      </c>
      <c r="AE253" s="77">
        <f t="shared" si="85"/>
        <v>0</v>
      </c>
      <c r="AF253" s="79"/>
      <c r="AG253" s="6">
        <f t="shared" si="86"/>
        <v>0</v>
      </c>
      <c r="AH253" s="6">
        <f t="shared" si="87"/>
        <v>0</v>
      </c>
      <c r="AI253" s="6">
        <f t="shared" si="88"/>
        <v>0</v>
      </c>
    </row>
    <row r="254" spans="1:35" x14ac:dyDescent="0.3">
      <c r="A254" s="189">
        <f>DataDemande!U287</f>
        <v>0</v>
      </c>
      <c r="B254" s="189" t="str">
        <f t="shared" si="73"/>
        <v>0</v>
      </c>
      <c r="C254" s="189" t="str">
        <f t="shared" si="74"/>
        <v>0</v>
      </c>
      <c r="D254" s="189">
        <f>IFERROR(VLOOKUP(A254,DataCoutRevenuAux!M:Q,5,FALSE),0)</f>
        <v>0</v>
      </c>
      <c r="E254" s="189">
        <f>IFERROR(VLOOKUP(A254,DataDemande!U:Z,2,FALSE),0)</f>
        <v>0</v>
      </c>
      <c r="G254" s="77">
        <f>IFERROR(VLOOKUP(A254,DataDemande!U:Z,3,FALSE),0)</f>
        <v>0</v>
      </c>
      <c r="H254" s="77">
        <f>IFERROR(VLOOKUP($A254,DataDemande!$U:$Z,4,FALSE),0)</f>
        <v>0</v>
      </c>
      <c r="I254" s="77">
        <f>IFERROR(VLOOKUP($A254,DataDemande!$U:$Z,5,FALSE),0)</f>
        <v>0</v>
      </c>
      <c r="J254" s="77">
        <f>IFERROR(VLOOKUP($A254,DataDemande!$U:$Z,6,FALSE),0)</f>
        <v>0</v>
      </c>
      <c r="K254" s="79"/>
      <c r="L254" s="77">
        <f>IFERROR(VLOOKUP($A254,DataPrixBillets!$S:$W,2,FALSE),0)</f>
        <v>0</v>
      </c>
      <c r="M254" s="77">
        <f>IFERROR(VLOOKUP($A254,DataPrixBillets!$S:$W,3,FALSE),0)</f>
        <v>0</v>
      </c>
      <c r="N254" s="77">
        <f>IFERROR(VLOOKUP($A254,DataPrixBillets!$S:$W,4,FALSE),0)</f>
        <v>0</v>
      </c>
      <c r="O254" s="77">
        <f>IFERROR(VLOOKUP($A254,DataPrixBillets!$S:$W,5,FALSE),0)</f>
        <v>0</v>
      </c>
      <c r="P254" s="79"/>
      <c r="Q254" s="77">
        <f t="shared" si="75"/>
        <v>0</v>
      </c>
      <c r="R254" s="77">
        <f t="shared" si="76"/>
        <v>0</v>
      </c>
      <c r="S254" s="77">
        <f t="shared" si="77"/>
        <v>0</v>
      </c>
      <c r="T254" s="77">
        <f t="shared" si="78"/>
        <v>0</v>
      </c>
      <c r="U254" s="79"/>
      <c r="V254" s="77">
        <f t="shared" si="79"/>
        <v>0</v>
      </c>
      <c r="W254" s="77">
        <f>IFERROR(VLOOKUP(A254,DataCoutRevenuAux!W:Y,2,FALSE),0)</f>
        <v>0</v>
      </c>
      <c r="X254" s="77">
        <f>IFERROR(VLOOKUP(A254,DataCoutRevenuAux!W:Y,3,FALSE),0)</f>
        <v>0</v>
      </c>
      <c r="Y254" s="77">
        <f t="shared" si="80"/>
        <v>0</v>
      </c>
      <c r="Z254" s="77">
        <f t="shared" si="81"/>
        <v>0</v>
      </c>
      <c r="AA254" s="77">
        <f t="shared" si="82"/>
        <v>0</v>
      </c>
      <c r="AB254" s="79"/>
      <c r="AC254" s="77">
        <f t="shared" si="83"/>
        <v>0</v>
      </c>
      <c r="AD254" s="77">
        <f t="shared" si="84"/>
        <v>0</v>
      </c>
      <c r="AE254" s="77">
        <f t="shared" si="85"/>
        <v>0</v>
      </c>
      <c r="AF254" s="79"/>
      <c r="AG254" s="6">
        <f t="shared" si="86"/>
        <v>0</v>
      </c>
      <c r="AH254" s="6">
        <f t="shared" si="87"/>
        <v>0</v>
      </c>
      <c r="AI254" s="6">
        <f t="shared" si="88"/>
        <v>0</v>
      </c>
    </row>
    <row r="255" spans="1:35" x14ac:dyDescent="0.3">
      <c r="A255" s="189">
        <f>DataDemande!U288</f>
        <v>0</v>
      </c>
      <c r="B255" s="189" t="str">
        <f t="shared" si="73"/>
        <v>0</v>
      </c>
      <c r="C255" s="189" t="str">
        <f t="shared" si="74"/>
        <v>0</v>
      </c>
      <c r="D255" s="189">
        <f>IFERROR(VLOOKUP(A255,DataCoutRevenuAux!M:Q,5,FALSE),0)</f>
        <v>0</v>
      </c>
      <c r="E255" s="189">
        <f>IFERROR(VLOOKUP(A255,DataDemande!U:Z,2,FALSE),0)</f>
        <v>0</v>
      </c>
      <c r="G255" s="77">
        <f>IFERROR(VLOOKUP(A255,DataDemande!U:Z,3,FALSE),0)</f>
        <v>0</v>
      </c>
      <c r="H255" s="77">
        <f>IFERROR(VLOOKUP($A255,DataDemande!$U:$Z,4,FALSE),0)</f>
        <v>0</v>
      </c>
      <c r="I255" s="77">
        <f>IFERROR(VLOOKUP($A255,DataDemande!$U:$Z,5,FALSE),0)</f>
        <v>0</v>
      </c>
      <c r="J255" s="77">
        <f>IFERROR(VLOOKUP($A255,DataDemande!$U:$Z,6,FALSE),0)</f>
        <v>0</v>
      </c>
      <c r="K255" s="79"/>
      <c r="L255" s="77">
        <f>IFERROR(VLOOKUP($A255,DataPrixBillets!$S:$W,2,FALSE),0)</f>
        <v>0</v>
      </c>
      <c r="M255" s="77">
        <f>IFERROR(VLOOKUP($A255,DataPrixBillets!$S:$W,3,FALSE),0)</f>
        <v>0</v>
      </c>
      <c r="N255" s="77">
        <f>IFERROR(VLOOKUP($A255,DataPrixBillets!$S:$W,4,FALSE),0)</f>
        <v>0</v>
      </c>
      <c r="O255" s="77">
        <f>IFERROR(VLOOKUP($A255,DataPrixBillets!$S:$W,5,FALSE),0)</f>
        <v>0</v>
      </c>
      <c r="P255" s="79"/>
      <c r="Q255" s="77">
        <f t="shared" si="75"/>
        <v>0</v>
      </c>
      <c r="R255" s="77">
        <f t="shared" si="76"/>
        <v>0</v>
      </c>
      <c r="S255" s="77">
        <f t="shared" si="77"/>
        <v>0</v>
      </c>
      <c r="T255" s="77">
        <f t="shared" si="78"/>
        <v>0</v>
      </c>
      <c r="U255" s="79"/>
      <c r="V255" s="77">
        <f t="shared" si="79"/>
        <v>0</v>
      </c>
      <c r="W255" s="77">
        <f>IFERROR(VLOOKUP(A255,DataCoutRevenuAux!W:Y,2,FALSE),0)</f>
        <v>0</v>
      </c>
      <c r="X255" s="77">
        <f>IFERROR(VLOOKUP(A255,DataCoutRevenuAux!W:Y,3,FALSE),0)</f>
        <v>0</v>
      </c>
      <c r="Y255" s="77">
        <f t="shared" si="80"/>
        <v>0</v>
      </c>
      <c r="Z255" s="77">
        <f t="shared" si="81"/>
        <v>0</v>
      </c>
      <c r="AA255" s="77">
        <f t="shared" si="82"/>
        <v>0</v>
      </c>
      <c r="AB255" s="79"/>
      <c r="AC255" s="77">
        <f t="shared" si="83"/>
        <v>0</v>
      </c>
      <c r="AD255" s="77">
        <f t="shared" si="84"/>
        <v>0</v>
      </c>
      <c r="AE255" s="77">
        <f t="shared" si="85"/>
        <v>0</v>
      </c>
      <c r="AF255" s="79"/>
      <c r="AG255" s="6">
        <f t="shared" si="86"/>
        <v>0</v>
      </c>
      <c r="AH255" s="6">
        <f t="shared" si="87"/>
        <v>0</v>
      </c>
      <c r="AI255" s="6">
        <f t="shared" si="88"/>
        <v>0</v>
      </c>
    </row>
    <row r="256" spans="1:35" x14ac:dyDescent="0.3">
      <c r="A256" s="189">
        <f>DataDemande!U289</f>
        <v>0</v>
      </c>
      <c r="B256" s="189" t="str">
        <f t="shared" si="73"/>
        <v>0</v>
      </c>
      <c r="C256" s="189" t="str">
        <f t="shared" si="74"/>
        <v>0</v>
      </c>
      <c r="D256" s="189">
        <f>IFERROR(VLOOKUP(A256,DataCoutRevenuAux!M:Q,5,FALSE),0)</f>
        <v>0</v>
      </c>
      <c r="E256" s="189">
        <f>IFERROR(VLOOKUP(A256,DataDemande!U:Z,2,FALSE),0)</f>
        <v>0</v>
      </c>
      <c r="G256" s="77">
        <f>IFERROR(VLOOKUP(A256,DataDemande!U:Z,3,FALSE),0)</f>
        <v>0</v>
      </c>
      <c r="H256" s="77">
        <f>IFERROR(VLOOKUP($A256,DataDemande!$U:$Z,4,FALSE),0)</f>
        <v>0</v>
      </c>
      <c r="I256" s="77">
        <f>IFERROR(VLOOKUP($A256,DataDemande!$U:$Z,5,FALSE),0)</f>
        <v>0</v>
      </c>
      <c r="J256" s="77">
        <f>IFERROR(VLOOKUP($A256,DataDemande!$U:$Z,6,FALSE),0)</f>
        <v>0</v>
      </c>
      <c r="K256" s="79"/>
      <c r="L256" s="77">
        <f>IFERROR(VLOOKUP($A256,DataPrixBillets!$S:$W,2,FALSE),0)</f>
        <v>0</v>
      </c>
      <c r="M256" s="77">
        <f>IFERROR(VLOOKUP($A256,DataPrixBillets!$S:$W,3,FALSE),0)</f>
        <v>0</v>
      </c>
      <c r="N256" s="77">
        <f>IFERROR(VLOOKUP($A256,DataPrixBillets!$S:$W,4,FALSE),0)</f>
        <v>0</v>
      </c>
      <c r="O256" s="77">
        <f>IFERROR(VLOOKUP($A256,DataPrixBillets!$S:$W,5,FALSE),0)</f>
        <v>0</v>
      </c>
      <c r="P256" s="79"/>
      <c r="Q256" s="77">
        <f t="shared" si="75"/>
        <v>0</v>
      </c>
      <c r="R256" s="77">
        <f t="shared" si="76"/>
        <v>0</v>
      </c>
      <c r="S256" s="77">
        <f t="shared" si="77"/>
        <v>0</v>
      </c>
      <c r="T256" s="77">
        <f t="shared" si="78"/>
        <v>0</v>
      </c>
      <c r="U256" s="79"/>
      <c r="V256" s="77">
        <f t="shared" si="79"/>
        <v>0</v>
      </c>
      <c r="W256" s="77">
        <f>IFERROR(VLOOKUP(A256,DataCoutRevenuAux!W:Y,2,FALSE),0)</f>
        <v>0</v>
      </c>
      <c r="X256" s="77">
        <f>IFERROR(VLOOKUP(A256,DataCoutRevenuAux!W:Y,3,FALSE),0)</f>
        <v>0</v>
      </c>
      <c r="Y256" s="77">
        <f t="shared" si="80"/>
        <v>0</v>
      </c>
      <c r="Z256" s="77">
        <f t="shared" si="81"/>
        <v>0</v>
      </c>
      <c r="AA256" s="77">
        <f t="shared" si="82"/>
        <v>0</v>
      </c>
      <c r="AB256" s="79"/>
      <c r="AC256" s="77">
        <f t="shared" si="83"/>
        <v>0</v>
      </c>
      <c r="AD256" s="77">
        <f t="shared" si="84"/>
        <v>0</v>
      </c>
      <c r="AE256" s="77">
        <f t="shared" si="85"/>
        <v>0</v>
      </c>
      <c r="AF256" s="79"/>
      <c r="AG256" s="6">
        <f t="shared" si="86"/>
        <v>0</v>
      </c>
      <c r="AH256" s="6">
        <f t="shared" si="87"/>
        <v>0</v>
      </c>
      <c r="AI256" s="6">
        <f t="shared" si="88"/>
        <v>0</v>
      </c>
    </row>
    <row r="257" spans="1:35" x14ac:dyDescent="0.3">
      <c r="A257" s="189">
        <f>DataDemande!U290</f>
        <v>0</v>
      </c>
      <c r="B257" s="189" t="str">
        <f t="shared" si="73"/>
        <v>0</v>
      </c>
      <c r="C257" s="189" t="str">
        <f t="shared" si="74"/>
        <v>0</v>
      </c>
      <c r="D257" s="189">
        <f>IFERROR(VLOOKUP(A257,DataCoutRevenuAux!M:Q,5,FALSE),0)</f>
        <v>0</v>
      </c>
      <c r="E257" s="189">
        <f>IFERROR(VLOOKUP(A257,DataDemande!U:Z,2,FALSE),0)</f>
        <v>0</v>
      </c>
      <c r="G257" s="77">
        <f>IFERROR(VLOOKUP(A257,DataDemande!U:Z,3,FALSE),0)</f>
        <v>0</v>
      </c>
      <c r="H257" s="77">
        <f>IFERROR(VLOOKUP($A257,DataDemande!$U:$Z,4,FALSE),0)</f>
        <v>0</v>
      </c>
      <c r="I257" s="77">
        <f>IFERROR(VLOOKUP($A257,DataDemande!$U:$Z,5,FALSE),0)</f>
        <v>0</v>
      </c>
      <c r="J257" s="77">
        <f>IFERROR(VLOOKUP($A257,DataDemande!$U:$Z,6,FALSE),0)</f>
        <v>0</v>
      </c>
      <c r="K257" s="79"/>
      <c r="L257" s="77">
        <f>IFERROR(VLOOKUP($A257,DataPrixBillets!$S:$W,2,FALSE),0)</f>
        <v>0</v>
      </c>
      <c r="M257" s="77">
        <f>IFERROR(VLOOKUP($A257,DataPrixBillets!$S:$W,3,FALSE),0)</f>
        <v>0</v>
      </c>
      <c r="N257" s="77">
        <f>IFERROR(VLOOKUP($A257,DataPrixBillets!$S:$W,4,FALSE),0)</f>
        <v>0</v>
      </c>
      <c r="O257" s="77">
        <f>IFERROR(VLOOKUP($A257,DataPrixBillets!$S:$W,5,FALSE),0)</f>
        <v>0</v>
      </c>
      <c r="P257" s="79"/>
      <c r="Q257" s="77">
        <f t="shared" si="75"/>
        <v>0</v>
      </c>
      <c r="R257" s="77">
        <f t="shared" si="76"/>
        <v>0</v>
      </c>
      <c r="S257" s="77">
        <f t="shared" si="77"/>
        <v>0</v>
      </c>
      <c r="T257" s="77">
        <f t="shared" si="78"/>
        <v>0</v>
      </c>
      <c r="U257" s="79"/>
      <c r="V257" s="77">
        <f t="shared" si="79"/>
        <v>0</v>
      </c>
      <c r="W257" s="77">
        <f>IFERROR(VLOOKUP(A257,DataCoutRevenuAux!W:Y,2,FALSE),0)</f>
        <v>0</v>
      </c>
      <c r="X257" s="77">
        <f>IFERROR(VLOOKUP(A257,DataCoutRevenuAux!W:Y,3,FALSE),0)</f>
        <v>0</v>
      </c>
      <c r="Y257" s="77">
        <f t="shared" si="80"/>
        <v>0</v>
      </c>
      <c r="Z257" s="77">
        <f t="shared" si="81"/>
        <v>0</v>
      </c>
      <c r="AA257" s="77">
        <f t="shared" si="82"/>
        <v>0</v>
      </c>
      <c r="AB257" s="79"/>
      <c r="AC257" s="77">
        <f t="shared" si="83"/>
        <v>0</v>
      </c>
      <c r="AD257" s="77">
        <f t="shared" si="84"/>
        <v>0</v>
      </c>
      <c r="AE257" s="77">
        <f t="shared" si="85"/>
        <v>0</v>
      </c>
      <c r="AF257" s="79"/>
      <c r="AG257" s="6">
        <f t="shared" si="86"/>
        <v>0</v>
      </c>
      <c r="AH257" s="6">
        <f t="shared" si="87"/>
        <v>0</v>
      </c>
      <c r="AI257" s="6">
        <f t="shared" si="88"/>
        <v>0</v>
      </c>
    </row>
    <row r="258" spans="1:35" x14ac:dyDescent="0.3">
      <c r="A258" s="189">
        <f>DataDemande!U291</f>
        <v>0</v>
      </c>
      <c r="B258" s="189" t="str">
        <f t="shared" si="73"/>
        <v>0</v>
      </c>
      <c r="C258" s="189" t="str">
        <f t="shared" si="74"/>
        <v>0</v>
      </c>
      <c r="D258" s="189">
        <f>IFERROR(VLOOKUP(A258,DataCoutRevenuAux!M:Q,5,FALSE),0)</f>
        <v>0</v>
      </c>
      <c r="E258" s="189">
        <f>IFERROR(VLOOKUP(A258,DataDemande!U:Z,2,FALSE),0)</f>
        <v>0</v>
      </c>
      <c r="G258" s="77">
        <f>IFERROR(VLOOKUP(A258,DataDemande!U:Z,3,FALSE),0)</f>
        <v>0</v>
      </c>
      <c r="H258" s="77">
        <f>IFERROR(VLOOKUP($A258,DataDemande!$U:$Z,4,FALSE),0)</f>
        <v>0</v>
      </c>
      <c r="I258" s="77">
        <f>IFERROR(VLOOKUP($A258,DataDemande!$U:$Z,5,FALSE),0)</f>
        <v>0</v>
      </c>
      <c r="J258" s="77">
        <f>IFERROR(VLOOKUP($A258,DataDemande!$U:$Z,6,FALSE),0)</f>
        <v>0</v>
      </c>
      <c r="K258" s="79"/>
      <c r="L258" s="77">
        <f>IFERROR(VLOOKUP($A258,DataPrixBillets!$S:$W,2,FALSE),0)</f>
        <v>0</v>
      </c>
      <c r="M258" s="77">
        <f>IFERROR(VLOOKUP($A258,DataPrixBillets!$S:$W,3,FALSE),0)</f>
        <v>0</v>
      </c>
      <c r="N258" s="77">
        <f>IFERROR(VLOOKUP($A258,DataPrixBillets!$S:$W,4,FALSE),0)</f>
        <v>0</v>
      </c>
      <c r="O258" s="77">
        <f>IFERROR(VLOOKUP($A258,DataPrixBillets!$S:$W,5,FALSE),0)</f>
        <v>0</v>
      </c>
      <c r="P258" s="79"/>
      <c r="Q258" s="77">
        <f t="shared" si="75"/>
        <v>0</v>
      </c>
      <c r="R258" s="77">
        <f t="shared" si="76"/>
        <v>0</v>
      </c>
      <c r="S258" s="77">
        <f t="shared" si="77"/>
        <v>0</v>
      </c>
      <c r="T258" s="77">
        <f t="shared" si="78"/>
        <v>0</v>
      </c>
      <c r="U258" s="79"/>
      <c r="V258" s="77">
        <f t="shared" si="79"/>
        <v>0</v>
      </c>
      <c r="W258" s="77">
        <f>IFERROR(VLOOKUP(A258,DataCoutRevenuAux!W:Y,2,FALSE),0)</f>
        <v>0</v>
      </c>
      <c r="X258" s="77">
        <f>IFERROR(VLOOKUP(A258,DataCoutRevenuAux!W:Y,3,FALSE),0)</f>
        <v>0</v>
      </c>
      <c r="Y258" s="77">
        <f t="shared" si="80"/>
        <v>0</v>
      </c>
      <c r="Z258" s="77">
        <f t="shared" si="81"/>
        <v>0</v>
      </c>
      <c r="AA258" s="77">
        <f t="shared" si="82"/>
        <v>0</v>
      </c>
      <c r="AB258" s="79"/>
      <c r="AC258" s="77">
        <f t="shared" si="83"/>
        <v>0</v>
      </c>
      <c r="AD258" s="77">
        <f t="shared" si="84"/>
        <v>0</v>
      </c>
      <c r="AE258" s="77">
        <f t="shared" si="85"/>
        <v>0</v>
      </c>
      <c r="AF258" s="79"/>
      <c r="AG258" s="6">
        <f t="shared" si="86"/>
        <v>0</v>
      </c>
      <c r="AH258" s="6">
        <f t="shared" si="87"/>
        <v>0</v>
      </c>
      <c r="AI258" s="6">
        <f t="shared" si="88"/>
        <v>0</v>
      </c>
    </row>
    <row r="259" spans="1:35" x14ac:dyDescent="0.3">
      <c r="A259" s="189">
        <f>DataDemande!U292</f>
        <v>0</v>
      </c>
      <c r="B259" s="189" t="str">
        <f t="shared" si="73"/>
        <v>0</v>
      </c>
      <c r="C259" s="189" t="str">
        <f t="shared" si="74"/>
        <v>0</v>
      </c>
      <c r="D259" s="189">
        <f>IFERROR(VLOOKUP(A259,DataCoutRevenuAux!M:Q,5,FALSE),0)</f>
        <v>0</v>
      </c>
      <c r="E259" s="189">
        <f>IFERROR(VLOOKUP(A259,DataDemande!U:Z,2,FALSE),0)</f>
        <v>0</v>
      </c>
      <c r="G259" s="77">
        <f>IFERROR(VLOOKUP(A259,DataDemande!U:Z,3,FALSE),0)</f>
        <v>0</v>
      </c>
      <c r="H259" s="77">
        <f>IFERROR(VLOOKUP($A259,DataDemande!$U:$Z,4,FALSE),0)</f>
        <v>0</v>
      </c>
      <c r="I259" s="77">
        <f>IFERROR(VLOOKUP($A259,DataDemande!$U:$Z,5,FALSE),0)</f>
        <v>0</v>
      </c>
      <c r="J259" s="77">
        <f>IFERROR(VLOOKUP($A259,DataDemande!$U:$Z,6,FALSE),0)</f>
        <v>0</v>
      </c>
      <c r="K259" s="79"/>
      <c r="L259" s="77">
        <f>IFERROR(VLOOKUP($A259,DataPrixBillets!$S:$W,2,FALSE),0)</f>
        <v>0</v>
      </c>
      <c r="M259" s="77">
        <f>IFERROR(VLOOKUP($A259,DataPrixBillets!$S:$W,3,FALSE),0)</f>
        <v>0</v>
      </c>
      <c r="N259" s="77">
        <f>IFERROR(VLOOKUP($A259,DataPrixBillets!$S:$W,4,FALSE),0)</f>
        <v>0</v>
      </c>
      <c r="O259" s="77">
        <f>IFERROR(VLOOKUP($A259,DataPrixBillets!$S:$W,5,FALSE),0)</f>
        <v>0</v>
      </c>
      <c r="P259" s="79"/>
      <c r="Q259" s="77">
        <f t="shared" si="75"/>
        <v>0</v>
      </c>
      <c r="R259" s="77">
        <f t="shared" si="76"/>
        <v>0</v>
      </c>
      <c r="S259" s="77">
        <f t="shared" si="77"/>
        <v>0</v>
      </c>
      <c r="T259" s="77">
        <f t="shared" si="78"/>
        <v>0</v>
      </c>
      <c r="U259" s="79"/>
      <c r="V259" s="77">
        <f t="shared" si="79"/>
        <v>0</v>
      </c>
      <c r="W259" s="77">
        <f>IFERROR(VLOOKUP(A259,DataCoutRevenuAux!W:Y,2,FALSE),0)</f>
        <v>0</v>
      </c>
      <c r="X259" s="77">
        <f>IFERROR(VLOOKUP(A259,DataCoutRevenuAux!W:Y,3,FALSE),0)</f>
        <v>0</v>
      </c>
      <c r="Y259" s="77">
        <f t="shared" si="80"/>
        <v>0</v>
      </c>
      <c r="Z259" s="77">
        <f t="shared" si="81"/>
        <v>0</v>
      </c>
      <c r="AA259" s="77">
        <f t="shared" si="82"/>
        <v>0</v>
      </c>
      <c r="AB259" s="79"/>
      <c r="AC259" s="77">
        <f t="shared" si="83"/>
        <v>0</v>
      </c>
      <c r="AD259" s="77">
        <f t="shared" si="84"/>
        <v>0</v>
      </c>
      <c r="AE259" s="77">
        <f t="shared" si="85"/>
        <v>0</v>
      </c>
      <c r="AF259" s="79"/>
      <c r="AG259" s="6">
        <f t="shared" si="86"/>
        <v>0</v>
      </c>
      <c r="AH259" s="6">
        <f t="shared" si="87"/>
        <v>0</v>
      </c>
      <c r="AI259" s="6">
        <f t="shared" si="88"/>
        <v>0</v>
      </c>
    </row>
    <row r="260" spans="1:35" x14ac:dyDescent="0.3">
      <c r="A260" s="189">
        <f>DataDemande!U293</f>
        <v>0</v>
      </c>
      <c r="B260" s="189" t="str">
        <f t="shared" si="73"/>
        <v>0</v>
      </c>
      <c r="C260" s="189" t="str">
        <f t="shared" si="74"/>
        <v>0</v>
      </c>
      <c r="D260" s="189">
        <f>IFERROR(VLOOKUP(A260,DataCoutRevenuAux!M:Q,5,FALSE),0)</f>
        <v>0</v>
      </c>
      <c r="E260" s="189">
        <f>IFERROR(VLOOKUP(A260,DataDemande!U:Z,2,FALSE),0)</f>
        <v>0</v>
      </c>
      <c r="G260" s="77">
        <f>IFERROR(VLOOKUP(A260,DataDemande!U:Z,3,FALSE),0)</f>
        <v>0</v>
      </c>
      <c r="H260" s="77">
        <f>IFERROR(VLOOKUP($A260,DataDemande!$U:$Z,4,FALSE),0)</f>
        <v>0</v>
      </c>
      <c r="I260" s="77">
        <f>IFERROR(VLOOKUP($A260,DataDemande!$U:$Z,5,FALSE),0)</f>
        <v>0</v>
      </c>
      <c r="J260" s="77">
        <f>IFERROR(VLOOKUP($A260,DataDemande!$U:$Z,6,FALSE),0)</f>
        <v>0</v>
      </c>
      <c r="K260" s="79"/>
      <c r="L260" s="77">
        <f>IFERROR(VLOOKUP($A260,DataPrixBillets!$S:$W,2,FALSE),0)</f>
        <v>0</v>
      </c>
      <c r="M260" s="77">
        <f>IFERROR(VLOOKUP($A260,DataPrixBillets!$S:$W,3,FALSE),0)</f>
        <v>0</v>
      </c>
      <c r="N260" s="77">
        <f>IFERROR(VLOOKUP($A260,DataPrixBillets!$S:$W,4,FALSE),0)</f>
        <v>0</v>
      </c>
      <c r="O260" s="77">
        <f>IFERROR(VLOOKUP($A260,DataPrixBillets!$S:$W,5,FALSE),0)</f>
        <v>0</v>
      </c>
      <c r="P260" s="79"/>
      <c r="Q260" s="77">
        <f t="shared" si="75"/>
        <v>0</v>
      </c>
      <c r="R260" s="77">
        <f t="shared" si="76"/>
        <v>0</v>
      </c>
      <c r="S260" s="77">
        <f t="shared" si="77"/>
        <v>0</v>
      </c>
      <c r="T260" s="77">
        <f t="shared" si="78"/>
        <v>0</v>
      </c>
      <c r="U260" s="79"/>
      <c r="V260" s="77">
        <f t="shared" si="79"/>
        <v>0</v>
      </c>
      <c r="W260" s="77">
        <f>IFERROR(VLOOKUP(A260,DataCoutRevenuAux!W:Y,2,FALSE),0)</f>
        <v>0</v>
      </c>
      <c r="X260" s="77">
        <f>IFERROR(VLOOKUP(A260,DataCoutRevenuAux!W:Y,3,FALSE),0)</f>
        <v>0</v>
      </c>
      <c r="Y260" s="77">
        <f t="shared" si="80"/>
        <v>0</v>
      </c>
      <c r="Z260" s="77">
        <f t="shared" si="81"/>
        <v>0</v>
      </c>
      <c r="AA260" s="77">
        <f t="shared" si="82"/>
        <v>0</v>
      </c>
      <c r="AB260" s="79"/>
      <c r="AC260" s="77">
        <f t="shared" si="83"/>
        <v>0</v>
      </c>
      <c r="AD260" s="77">
        <f t="shared" si="84"/>
        <v>0</v>
      </c>
      <c r="AE260" s="77">
        <f t="shared" si="85"/>
        <v>0</v>
      </c>
      <c r="AF260" s="79"/>
      <c r="AG260" s="6">
        <f t="shared" si="86"/>
        <v>0</v>
      </c>
      <c r="AH260" s="6">
        <f t="shared" si="87"/>
        <v>0</v>
      </c>
      <c r="AI260" s="6">
        <f t="shared" si="88"/>
        <v>0</v>
      </c>
    </row>
    <row r="261" spans="1:35" x14ac:dyDescent="0.3">
      <c r="A261" s="189">
        <f>DataDemande!U294</f>
        <v>0</v>
      </c>
      <c r="B261" s="189" t="str">
        <f t="shared" si="73"/>
        <v>0</v>
      </c>
      <c r="C261" s="189" t="str">
        <f t="shared" si="74"/>
        <v>0</v>
      </c>
      <c r="D261" s="189">
        <f>IFERROR(VLOOKUP(A261,DataCoutRevenuAux!M:Q,5,FALSE),0)</f>
        <v>0</v>
      </c>
      <c r="E261" s="189">
        <f>IFERROR(VLOOKUP(A261,DataDemande!U:Z,2,FALSE),0)</f>
        <v>0</v>
      </c>
      <c r="G261" s="77">
        <f>IFERROR(VLOOKUP(A261,DataDemande!U:Z,3,FALSE),0)</f>
        <v>0</v>
      </c>
      <c r="H261" s="77">
        <f>IFERROR(VLOOKUP($A261,DataDemande!$U:$Z,4,FALSE),0)</f>
        <v>0</v>
      </c>
      <c r="I261" s="77">
        <f>IFERROR(VLOOKUP($A261,DataDemande!$U:$Z,5,FALSE),0)</f>
        <v>0</v>
      </c>
      <c r="J261" s="77">
        <f>IFERROR(VLOOKUP($A261,DataDemande!$U:$Z,6,FALSE),0)</f>
        <v>0</v>
      </c>
      <c r="K261" s="79"/>
      <c r="L261" s="77">
        <f>IFERROR(VLOOKUP($A261,DataPrixBillets!$S:$W,2,FALSE),0)</f>
        <v>0</v>
      </c>
      <c r="M261" s="77">
        <f>IFERROR(VLOOKUP($A261,DataPrixBillets!$S:$W,3,FALSE),0)</f>
        <v>0</v>
      </c>
      <c r="N261" s="77">
        <f>IFERROR(VLOOKUP($A261,DataPrixBillets!$S:$W,4,FALSE),0)</f>
        <v>0</v>
      </c>
      <c r="O261" s="77">
        <f>IFERROR(VLOOKUP($A261,DataPrixBillets!$S:$W,5,FALSE),0)</f>
        <v>0</v>
      </c>
      <c r="P261" s="79"/>
      <c r="Q261" s="77">
        <f t="shared" si="75"/>
        <v>0</v>
      </c>
      <c r="R261" s="77">
        <f t="shared" si="76"/>
        <v>0</v>
      </c>
      <c r="S261" s="77">
        <f t="shared" si="77"/>
        <v>0</v>
      </c>
      <c r="T261" s="77">
        <f t="shared" si="78"/>
        <v>0</v>
      </c>
      <c r="U261" s="79"/>
      <c r="V261" s="77">
        <f t="shared" si="79"/>
        <v>0</v>
      </c>
      <c r="W261" s="77">
        <f>IFERROR(VLOOKUP(A261,DataCoutRevenuAux!W:Y,2,FALSE),0)</f>
        <v>0</v>
      </c>
      <c r="X261" s="77">
        <f>IFERROR(VLOOKUP(A261,DataCoutRevenuAux!W:Y,3,FALSE),0)</f>
        <v>0</v>
      </c>
      <c r="Y261" s="77">
        <f t="shared" si="80"/>
        <v>0</v>
      </c>
      <c r="Z261" s="77">
        <f t="shared" si="81"/>
        <v>0</v>
      </c>
      <c r="AA261" s="77">
        <f t="shared" si="82"/>
        <v>0</v>
      </c>
      <c r="AB261" s="79"/>
      <c r="AC261" s="77">
        <f t="shared" si="83"/>
        <v>0</v>
      </c>
      <c r="AD261" s="77">
        <f t="shared" si="84"/>
        <v>0</v>
      </c>
      <c r="AE261" s="77">
        <f t="shared" si="85"/>
        <v>0</v>
      </c>
      <c r="AF261" s="79"/>
      <c r="AG261" s="6">
        <f t="shared" si="86"/>
        <v>0</v>
      </c>
      <c r="AH261" s="6">
        <f t="shared" si="87"/>
        <v>0</v>
      </c>
      <c r="AI261" s="6">
        <f t="shared" si="88"/>
        <v>0</v>
      </c>
    </row>
    <row r="262" spans="1:35" x14ac:dyDescent="0.3">
      <c r="A262" s="189">
        <f>DataDemande!U295</f>
        <v>0</v>
      </c>
      <c r="B262" s="189" t="str">
        <f t="shared" si="73"/>
        <v>0</v>
      </c>
      <c r="C262" s="189" t="str">
        <f t="shared" si="74"/>
        <v>0</v>
      </c>
      <c r="D262" s="189">
        <f>IFERROR(VLOOKUP(A262,DataCoutRevenuAux!M:Q,5,FALSE),0)</f>
        <v>0</v>
      </c>
      <c r="E262" s="189">
        <f>IFERROR(VLOOKUP(A262,DataDemande!U:Z,2,FALSE),0)</f>
        <v>0</v>
      </c>
      <c r="G262" s="77">
        <f>IFERROR(VLOOKUP(A262,DataDemande!U:Z,3,FALSE),0)</f>
        <v>0</v>
      </c>
      <c r="H262" s="77">
        <f>IFERROR(VLOOKUP($A262,DataDemande!$U:$Z,4,FALSE),0)</f>
        <v>0</v>
      </c>
      <c r="I262" s="77">
        <f>IFERROR(VLOOKUP($A262,DataDemande!$U:$Z,5,FALSE),0)</f>
        <v>0</v>
      </c>
      <c r="J262" s="77">
        <f>IFERROR(VLOOKUP($A262,DataDemande!$U:$Z,6,FALSE),0)</f>
        <v>0</v>
      </c>
      <c r="K262" s="79"/>
      <c r="L262" s="77">
        <f>IFERROR(VLOOKUP($A262,DataPrixBillets!$S:$W,2,FALSE),0)</f>
        <v>0</v>
      </c>
      <c r="M262" s="77">
        <f>IFERROR(VLOOKUP($A262,DataPrixBillets!$S:$W,3,FALSE),0)</f>
        <v>0</v>
      </c>
      <c r="N262" s="77">
        <f>IFERROR(VLOOKUP($A262,DataPrixBillets!$S:$W,4,FALSE),0)</f>
        <v>0</v>
      </c>
      <c r="O262" s="77">
        <f>IFERROR(VLOOKUP($A262,DataPrixBillets!$S:$W,5,FALSE),0)</f>
        <v>0</v>
      </c>
      <c r="P262" s="79"/>
      <c r="Q262" s="77">
        <f t="shared" si="75"/>
        <v>0</v>
      </c>
      <c r="R262" s="77">
        <f t="shared" si="76"/>
        <v>0</v>
      </c>
      <c r="S262" s="77">
        <f t="shared" si="77"/>
        <v>0</v>
      </c>
      <c r="T262" s="77">
        <f t="shared" si="78"/>
        <v>0</v>
      </c>
      <c r="U262" s="79"/>
      <c r="V262" s="77">
        <f t="shared" si="79"/>
        <v>0</v>
      </c>
      <c r="W262" s="77">
        <f>IFERROR(VLOOKUP(A262,DataCoutRevenuAux!W:Y,2,FALSE),0)</f>
        <v>0</v>
      </c>
      <c r="X262" s="77">
        <f>IFERROR(VLOOKUP(A262,DataCoutRevenuAux!W:Y,3,FALSE),0)</f>
        <v>0</v>
      </c>
      <c r="Y262" s="77">
        <f t="shared" si="80"/>
        <v>0</v>
      </c>
      <c r="Z262" s="77">
        <f t="shared" si="81"/>
        <v>0</v>
      </c>
      <c r="AA262" s="77">
        <f t="shared" si="82"/>
        <v>0</v>
      </c>
      <c r="AB262" s="79"/>
      <c r="AC262" s="77">
        <f t="shared" si="83"/>
        <v>0</v>
      </c>
      <c r="AD262" s="77">
        <f t="shared" si="84"/>
        <v>0</v>
      </c>
      <c r="AE262" s="77">
        <f t="shared" si="85"/>
        <v>0</v>
      </c>
      <c r="AF262" s="79"/>
      <c r="AG262" s="6">
        <f t="shared" si="86"/>
        <v>0</v>
      </c>
      <c r="AH262" s="6">
        <f t="shared" si="87"/>
        <v>0</v>
      </c>
      <c r="AI262" s="6">
        <f t="shared" si="88"/>
        <v>0</v>
      </c>
    </row>
    <row r="263" spans="1:35" x14ac:dyDescent="0.3">
      <c r="A263" s="189">
        <f>DataDemande!U296</f>
        <v>0</v>
      </c>
      <c r="B263" s="189" t="str">
        <f t="shared" si="73"/>
        <v>0</v>
      </c>
      <c r="C263" s="189" t="str">
        <f t="shared" si="74"/>
        <v>0</v>
      </c>
      <c r="D263" s="189">
        <f>IFERROR(VLOOKUP(A263,DataCoutRevenuAux!M:Q,5,FALSE),0)</f>
        <v>0</v>
      </c>
      <c r="E263" s="189">
        <f>IFERROR(VLOOKUP(A263,DataDemande!U:Z,2,FALSE),0)</f>
        <v>0</v>
      </c>
      <c r="G263" s="77">
        <f>IFERROR(VLOOKUP(A263,DataDemande!U:Z,3,FALSE),0)</f>
        <v>0</v>
      </c>
      <c r="H263" s="77">
        <f>IFERROR(VLOOKUP($A263,DataDemande!$U:$Z,4,FALSE),0)</f>
        <v>0</v>
      </c>
      <c r="I263" s="77">
        <f>IFERROR(VLOOKUP($A263,DataDemande!$U:$Z,5,FALSE),0)</f>
        <v>0</v>
      </c>
      <c r="J263" s="77">
        <f>IFERROR(VLOOKUP($A263,DataDemande!$U:$Z,6,FALSE),0)</f>
        <v>0</v>
      </c>
      <c r="K263" s="79"/>
      <c r="L263" s="77">
        <f>IFERROR(VLOOKUP($A263,DataPrixBillets!$S:$W,2,FALSE),0)</f>
        <v>0</v>
      </c>
      <c r="M263" s="77">
        <f>IFERROR(VLOOKUP($A263,DataPrixBillets!$S:$W,3,FALSE),0)</f>
        <v>0</v>
      </c>
      <c r="N263" s="77">
        <f>IFERROR(VLOOKUP($A263,DataPrixBillets!$S:$W,4,FALSE),0)</f>
        <v>0</v>
      </c>
      <c r="O263" s="77">
        <f>IFERROR(VLOOKUP($A263,DataPrixBillets!$S:$W,5,FALSE),0)</f>
        <v>0</v>
      </c>
      <c r="P263" s="79"/>
      <c r="Q263" s="77">
        <f t="shared" si="75"/>
        <v>0</v>
      </c>
      <c r="R263" s="77">
        <f t="shared" si="76"/>
        <v>0</v>
      </c>
      <c r="S263" s="77">
        <f t="shared" si="77"/>
        <v>0</v>
      </c>
      <c r="T263" s="77">
        <f t="shared" si="78"/>
        <v>0</v>
      </c>
      <c r="U263" s="79"/>
      <c r="V263" s="77">
        <f t="shared" si="79"/>
        <v>0</v>
      </c>
      <c r="W263" s="77">
        <f>IFERROR(VLOOKUP(A263,DataCoutRevenuAux!W:Y,2,FALSE),0)</f>
        <v>0</v>
      </c>
      <c r="X263" s="77">
        <f>IFERROR(VLOOKUP(A263,DataCoutRevenuAux!W:Y,3,FALSE),0)</f>
        <v>0</v>
      </c>
      <c r="Y263" s="77">
        <f t="shared" si="80"/>
        <v>0</v>
      </c>
      <c r="Z263" s="77">
        <f t="shared" si="81"/>
        <v>0</v>
      </c>
      <c r="AA263" s="77">
        <f t="shared" si="82"/>
        <v>0</v>
      </c>
      <c r="AB263" s="79"/>
      <c r="AC263" s="77">
        <f t="shared" si="83"/>
        <v>0</v>
      </c>
      <c r="AD263" s="77">
        <f t="shared" si="84"/>
        <v>0</v>
      </c>
      <c r="AE263" s="77">
        <f t="shared" si="85"/>
        <v>0</v>
      </c>
      <c r="AF263" s="79"/>
      <c r="AG263" s="6">
        <f t="shared" si="86"/>
        <v>0</v>
      </c>
      <c r="AH263" s="6">
        <f t="shared" si="87"/>
        <v>0</v>
      </c>
      <c r="AI263" s="6">
        <f t="shared" si="88"/>
        <v>0</v>
      </c>
    </row>
    <row r="264" spans="1:35" x14ac:dyDescent="0.3">
      <c r="A264" s="189">
        <f>DataDemande!U297</f>
        <v>0</v>
      </c>
      <c r="B264" s="189" t="str">
        <f t="shared" si="73"/>
        <v>0</v>
      </c>
      <c r="C264" s="189" t="str">
        <f t="shared" si="74"/>
        <v>0</v>
      </c>
      <c r="D264" s="189">
        <f>IFERROR(VLOOKUP(A264,DataCoutRevenuAux!M:Q,5,FALSE),0)</f>
        <v>0</v>
      </c>
      <c r="E264" s="189">
        <f>IFERROR(VLOOKUP(A264,DataDemande!U:Z,2,FALSE),0)</f>
        <v>0</v>
      </c>
      <c r="G264" s="77">
        <f>IFERROR(VLOOKUP(A264,DataDemande!U:Z,3,FALSE),0)</f>
        <v>0</v>
      </c>
      <c r="H264" s="77">
        <f>IFERROR(VLOOKUP($A264,DataDemande!$U:$Z,4,FALSE),0)</f>
        <v>0</v>
      </c>
      <c r="I264" s="77">
        <f>IFERROR(VLOOKUP($A264,DataDemande!$U:$Z,5,FALSE),0)</f>
        <v>0</v>
      </c>
      <c r="J264" s="77">
        <f>IFERROR(VLOOKUP($A264,DataDemande!$U:$Z,6,FALSE),0)</f>
        <v>0</v>
      </c>
      <c r="K264" s="79"/>
      <c r="L264" s="77">
        <f>IFERROR(VLOOKUP($A264,DataPrixBillets!$S:$W,2,FALSE),0)</f>
        <v>0</v>
      </c>
      <c r="M264" s="77">
        <f>IFERROR(VLOOKUP($A264,DataPrixBillets!$S:$W,3,FALSE),0)</f>
        <v>0</v>
      </c>
      <c r="N264" s="77">
        <f>IFERROR(VLOOKUP($A264,DataPrixBillets!$S:$W,4,FALSE),0)</f>
        <v>0</v>
      </c>
      <c r="O264" s="77">
        <f>IFERROR(VLOOKUP($A264,DataPrixBillets!$S:$W,5,FALSE),0)</f>
        <v>0</v>
      </c>
      <c r="P264" s="79"/>
      <c r="Q264" s="77">
        <f t="shared" si="75"/>
        <v>0</v>
      </c>
      <c r="R264" s="77">
        <f t="shared" si="76"/>
        <v>0</v>
      </c>
      <c r="S264" s="77">
        <f t="shared" si="77"/>
        <v>0</v>
      </c>
      <c r="T264" s="77">
        <f t="shared" si="78"/>
        <v>0</v>
      </c>
      <c r="U264" s="79"/>
      <c r="V264" s="77">
        <f t="shared" si="79"/>
        <v>0</v>
      </c>
      <c r="W264" s="77">
        <f>IFERROR(VLOOKUP(A264,DataCoutRevenuAux!W:Y,2,FALSE),0)</f>
        <v>0</v>
      </c>
      <c r="X264" s="77">
        <f>IFERROR(VLOOKUP(A264,DataCoutRevenuAux!W:Y,3,FALSE),0)</f>
        <v>0</v>
      </c>
      <c r="Y264" s="77">
        <f t="shared" si="80"/>
        <v>0</v>
      </c>
      <c r="Z264" s="77">
        <f t="shared" si="81"/>
        <v>0</v>
      </c>
      <c r="AA264" s="77">
        <f t="shared" si="82"/>
        <v>0</v>
      </c>
      <c r="AB264" s="79"/>
      <c r="AC264" s="77">
        <f t="shared" si="83"/>
        <v>0</v>
      </c>
      <c r="AD264" s="77">
        <f t="shared" si="84"/>
        <v>0</v>
      </c>
      <c r="AE264" s="77">
        <f t="shared" si="85"/>
        <v>0</v>
      </c>
      <c r="AF264" s="79"/>
      <c r="AG264" s="6">
        <f t="shared" si="86"/>
        <v>0</v>
      </c>
      <c r="AH264" s="6">
        <f t="shared" si="87"/>
        <v>0</v>
      </c>
      <c r="AI264" s="6">
        <f t="shared" si="88"/>
        <v>0</v>
      </c>
    </row>
    <row r="265" spans="1:35" x14ac:dyDescent="0.3">
      <c r="A265" s="189">
        <f>DataDemande!U298</f>
        <v>0</v>
      </c>
      <c r="B265" s="189" t="str">
        <f t="shared" si="73"/>
        <v>0</v>
      </c>
      <c r="C265" s="189" t="str">
        <f t="shared" si="74"/>
        <v>0</v>
      </c>
      <c r="D265" s="189">
        <f>IFERROR(VLOOKUP(A265,DataCoutRevenuAux!M:Q,5,FALSE),0)</f>
        <v>0</v>
      </c>
      <c r="E265" s="189">
        <f>IFERROR(VLOOKUP(A265,DataDemande!U:Z,2,FALSE),0)</f>
        <v>0</v>
      </c>
      <c r="G265" s="77">
        <f>IFERROR(VLOOKUP(A265,DataDemande!U:Z,3,FALSE),0)</f>
        <v>0</v>
      </c>
      <c r="H265" s="77">
        <f>IFERROR(VLOOKUP($A265,DataDemande!$U:$Z,4,FALSE),0)</f>
        <v>0</v>
      </c>
      <c r="I265" s="77">
        <f>IFERROR(VLOOKUP($A265,DataDemande!$U:$Z,5,FALSE),0)</f>
        <v>0</v>
      </c>
      <c r="J265" s="77">
        <f>IFERROR(VLOOKUP($A265,DataDemande!$U:$Z,6,FALSE),0)</f>
        <v>0</v>
      </c>
      <c r="K265" s="79"/>
      <c r="L265" s="77">
        <f>IFERROR(VLOOKUP($A265,DataPrixBillets!$S:$W,2,FALSE),0)</f>
        <v>0</v>
      </c>
      <c r="M265" s="77">
        <f>IFERROR(VLOOKUP($A265,DataPrixBillets!$S:$W,3,FALSE),0)</f>
        <v>0</v>
      </c>
      <c r="N265" s="77">
        <f>IFERROR(VLOOKUP($A265,DataPrixBillets!$S:$W,4,FALSE),0)</f>
        <v>0</v>
      </c>
      <c r="O265" s="77">
        <f>IFERROR(VLOOKUP($A265,DataPrixBillets!$S:$W,5,FALSE),0)</f>
        <v>0</v>
      </c>
      <c r="P265" s="79"/>
      <c r="Q265" s="77">
        <f t="shared" si="75"/>
        <v>0</v>
      </c>
      <c r="R265" s="77">
        <f t="shared" si="76"/>
        <v>0</v>
      </c>
      <c r="S265" s="77">
        <f t="shared" si="77"/>
        <v>0</v>
      </c>
      <c r="T265" s="77">
        <f t="shared" si="78"/>
        <v>0</v>
      </c>
      <c r="U265" s="79"/>
      <c r="V265" s="77">
        <f t="shared" si="79"/>
        <v>0</v>
      </c>
      <c r="W265" s="77">
        <f>IFERROR(VLOOKUP(A265,DataCoutRevenuAux!W:Y,2,FALSE),0)</f>
        <v>0</v>
      </c>
      <c r="X265" s="77">
        <f>IFERROR(VLOOKUP(A265,DataCoutRevenuAux!W:Y,3,FALSE),0)</f>
        <v>0</v>
      </c>
      <c r="Y265" s="77">
        <f t="shared" si="80"/>
        <v>0</v>
      </c>
      <c r="Z265" s="77">
        <f t="shared" si="81"/>
        <v>0</v>
      </c>
      <c r="AA265" s="77">
        <f t="shared" si="82"/>
        <v>0</v>
      </c>
      <c r="AB265" s="79"/>
      <c r="AC265" s="77">
        <f t="shared" si="83"/>
        <v>0</v>
      </c>
      <c r="AD265" s="77">
        <f t="shared" si="84"/>
        <v>0</v>
      </c>
      <c r="AE265" s="77">
        <f t="shared" si="85"/>
        <v>0</v>
      </c>
      <c r="AF265" s="79"/>
      <c r="AG265" s="6">
        <f t="shared" si="86"/>
        <v>0</v>
      </c>
      <c r="AH265" s="6">
        <f t="shared" si="87"/>
        <v>0</v>
      </c>
      <c r="AI265" s="6">
        <f t="shared" si="88"/>
        <v>0</v>
      </c>
    </row>
    <row r="266" spans="1:35" x14ac:dyDescent="0.3">
      <c r="A266" s="189">
        <f>DataDemande!U299</f>
        <v>0</v>
      </c>
      <c r="B266" s="189" t="str">
        <f t="shared" si="73"/>
        <v>0</v>
      </c>
      <c r="C266" s="189" t="str">
        <f t="shared" si="74"/>
        <v>0</v>
      </c>
      <c r="D266" s="189">
        <f>IFERROR(VLOOKUP(A266,DataCoutRevenuAux!M:Q,5,FALSE),0)</f>
        <v>0</v>
      </c>
      <c r="E266" s="189">
        <f>IFERROR(VLOOKUP(A266,DataDemande!U:Z,2,FALSE),0)</f>
        <v>0</v>
      </c>
      <c r="G266" s="77">
        <f>IFERROR(VLOOKUP(A266,DataDemande!U:Z,3,FALSE),0)</f>
        <v>0</v>
      </c>
      <c r="H266" s="77">
        <f>IFERROR(VLOOKUP($A266,DataDemande!$U:$Z,4,FALSE),0)</f>
        <v>0</v>
      </c>
      <c r="I266" s="77">
        <f>IFERROR(VLOOKUP($A266,DataDemande!$U:$Z,5,FALSE),0)</f>
        <v>0</v>
      </c>
      <c r="J266" s="77">
        <f>IFERROR(VLOOKUP($A266,DataDemande!$U:$Z,6,FALSE),0)</f>
        <v>0</v>
      </c>
      <c r="K266" s="79"/>
      <c r="L266" s="77">
        <f>IFERROR(VLOOKUP($A266,DataPrixBillets!$S:$W,2,FALSE),0)</f>
        <v>0</v>
      </c>
      <c r="M266" s="77">
        <f>IFERROR(VLOOKUP($A266,DataPrixBillets!$S:$W,3,FALSE),0)</f>
        <v>0</v>
      </c>
      <c r="N266" s="77">
        <f>IFERROR(VLOOKUP($A266,DataPrixBillets!$S:$W,4,FALSE),0)</f>
        <v>0</v>
      </c>
      <c r="O266" s="77">
        <f>IFERROR(VLOOKUP($A266,DataPrixBillets!$S:$W,5,FALSE),0)</f>
        <v>0</v>
      </c>
      <c r="P266" s="79"/>
      <c r="Q266" s="77">
        <f t="shared" si="75"/>
        <v>0</v>
      </c>
      <c r="R266" s="77">
        <f t="shared" si="76"/>
        <v>0</v>
      </c>
      <c r="S266" s="77">
        <f t="shared" si="77"/>
        <v>0</v>
      </c>
      <c r="T266" s="77">
        <f t="shared" si="78"/>
        <v>0</v>
      </c>
      <c r="U266" s="79"/>
      <c r="V266" s="77">
        <f t="shared" si="79"/>
        <v>0</v>
      </c>
      <c r="W266" s="77">
        <f>IFERROR(VLOOKUP(A266,DataCoutRevenuAux!W:Y,2,FALSE),0)</f>
        <v>0</v>
      </c>
      <c r="X266" s="77">
        <f>IFERROR(VLOOKUP(A266,DataCoutRevenuAux!W:Y,3,FALSE),0)</f>
        <v>0</v>
      </c>
      <c r="Y266" s="77">
        <f t="shared" si="80"/>
        <v>0</v>
      </c>
      <c r="Z266" s="77">
        <f t="shared" si="81"/>
        <v>0</v>
      </c>
      <c r="AA266" s="77">
        <f t="shared" si="82"/>
        <v>0</v>
      </c>
      <c r="AB266" s="79"/>
      <c r="AC266" s="77">
        <f t="shared" si="83"/>
        <v>0</v>
      </c>
      <c r="AD266" s="77">
        <f t="shared" si="84"/>
        <v>0</v>
      </c>
      <c r="AE266" s="77">
        <f t="shared" si="85"/>
        <v>0</v>
      </c>
      <c r="AF266" s="79"/>
      <c r="AG266" s="6">
        <f t="shared" si="86"/>
        <v>0</v>
      </c>
      <c r="AH266" s="6">
        <f t="shared" si="87"/>
        <v>0</v>
      </c>
      <c r="AI266" s="6">
        <f t="shared" si="88"/>
        <v>0</v>
      </c>
    </row>
    <row r="267" spans="1:35" x14ac:dyDescent="0.3">
      <c r="A267" s="189">
        <f>DataDemande!U300</f>
        <v>0</v>
      </c>
      <c r="B267" s="189" t="str">
        <f t="shared" si="73"/>
        <v>0</v>
      </c>
      <c r="C267" s="189" t="str">
        <f t="shared" si="74"/>
        <v>0</v>
      </c>
      <c r="D267" s="189">
        <f>IFERROR(VLOOKUP(A267,DataCoutRevenuAux!M:Q,5,FALSE),0)</f>
        <v>0</v>
      </c>
      <c r="E267" s="189">
        <f>IFERROR(VLOOKUP(A267,DataDemande!U:Z,2,FALSE),0)</f>
        <v>0</v>
      </c>
      <c r="G267" s="77">
        <f>IFERROR(VLOOKUP(A267,DataDemande!U:Z,3,FALSE),0)</f>
        <v>0</v>
      </c>
      <c r="H267" s="77">
        <f>IFERROR(VLOOKUP($A267,DataDemande!$U:$Z,4,FALSE),0)</f>
        <v>0</v>
      </c>
      <c r="I267" s="77">
        <f>IFERROR(VLOOKUP($A267,DataDemande!$U:$Z,5,FALSE),0)</f>
        <v>0</v>
      </c>
      <c r="J267" s="77">
        <f>IFERROR(VLOOKUP($A267,DataDemande!$U:$Z,6,FALSE),0)</f>
        <v>0</v>
      </c>
      <c r="K267" s="79"/>
      <c r="L267" s="77">
        <f>IFERROR(VLOOKUP($A267,DataPrixBillets!$S:$W,2,FALSE),0)</f>
        <v>0</v>
      </c>
      <c r="M267" s="77">
        <f>IFERROR(VLOOKUP($A267,DataPrixBillets!$S:$W,3,FALSE),0)</f>
        <v>0</v>
      </c>
      <c r="N267" s="77">
        <f>IFERROR(VLOOKUP($A267,DataPrixBillets!$S:$W,4,FALSE),0)</f>
        <v>0</v>
      </c>
      <c r="O267" s="77">
        <f>IFERROR(VLOOKUP($A267,DataPrixBillets!$S:$W,5,FALSE),0)</f>
        <v>0</v>
      </c>
      <c r="P267" s="79"/>
      <c r="Q267" s="77">
        <f t="shared" si="75"/>
        <v>0</v>
      </c>
      <c r="R267" s="77">
        <f t="shared" si="76"/>
        <v>0</v>
      </c>
      <c r="S267" s="77">
        <f t="shared" si="77"/>
        <v>0</v>
      </c>
      <c r="T267" s="77">
        <f t="shared" si="78"/>
        <v>0</v>
      </c>
      <c r="U267" s="79"/>
      <c r="V267" s="77">
        <f t="shared" si="79"/>
        <v>0</v>
      </c>
      <c r="W267" s="77">
        <f>IFERROR(VLOOKUP(A267,DataCoutRevenuAux!W:Y,2,FALSE),0)</f>
        <v>0</v>
      </c>
      <c r="X267" s="77">
        <f>IFERROR(VLOOKUP(A267,DataCoutRevenuAux!W:Y,3,FALSE),0)</f>
        <v>0</v>
      </c>
      <c r="Y267" s="77">
        <f t="shared" si="80"/>
        <v>0</v>
      </c>
      <c r="Z267" s="77">
        <f t="shared" si="81"/>
        <v>0</v>
      </c>
      <c r="AA267" s="77">
        <f t="shared" si="82"/>
        <v>0</v>
      </c>
      <c r="AB267" s="79"/>
      <c r="AC267" s="77">
        <f t="shared" si="83"/>
        <v>0</v>
      </c>
      <c r="AD267" s="77">
        <f t="shared" si="84"/>
        <v>0</v>
      </c>
      <c r="AE267" s="77">
        <f t="shared" si="85"/>
        <v>0</v>
      </c>
      <c r="AF267" s="79"/>
      <c r="AG267" s="6">
        <f t="shared" si="86"/>
        <v>0</v>
      </c>
      <c r="AH267" s="6">
        <f t="shared" si="87"/>
        <v>0</v>
      </c>
      <c r="AI267" s="6">
        <f t="shared" si="88"/>
        <v>0</v>
      </c>
    </row>
    <row r="268" spans="1:35" x14ac:dyDescent="0.3">
      <c r="A268" s="189">
        <f>DataDemande!U301</f>
        <v>0</v>
      </c>
      <c r="B268" s="189" t="str">
        <f t="shared" si="73"/>
        <v>0</v>
      </c>
      <c r="C268" s="189" t="str">
        <f t="shared" si="74"/>
        <v>0</v>
      </c>
      <c r="D268" s="189">
        <f>IFERROR(VLOOKUP(A268,DataCoutRevenuAux!M:Q,5,FALSE),0)</f>
        <v>0</v>
      </c>
      <c r="E268" s="189">
        <f>IFERROR(VLOOKUP(A268,DataDemande!U:Z,2,FALSE),0)</f>
        <v>0</v>
      </c>
      <c r="G268" s="77">
        <f>IFERROR(VLOOKUP(A268,DataDemande!U:Z,3,FALSE),0)</f>
        <v>0</v>
      </c>
      <c r="H268" s="77">
        <f>IFERROR(VLOOKUP($A268,DataDemande!$U:$Z,4,FALSE),0)</f>
        <v>0</v>
      </c>
      <c r="I268" s="77">
        <f>IFERROR(VLOOKUP($A268,DataDemande!$U:$Z,5,FALSE),0)</f>
        <v>0</v>
      </c>
      <c r="J268" s="77">
        <f>IFERROR(VLOOKUP($A268,DataDemande!$U:$Z,6,FALSE),0)</f>
        <v>0</v>
      </c>
      <c r="K268" s="79"/>
      <c r="L268" s="77">
        <f>IFERROR(VLOOKUP($A268,DataPrixBillets!$S:$W,2,FALSE),0)</f>
        <v>0</v>
      </c>
      <c r="M268" s="77">
        <f>IFERROR(VLOOKUP($A268,DataPrixBillets!$S:$W,3,FALSE),0)</f>
        <v>0</v>
      </c>
      <c r="N268" s="77">
        <f>IFERROR(VLOOKUP($A268,DataPrixBillets!$S:$W,4,FALSE),0)</f>
        <v>0</v>
      </c>
      <c r="O268" s="77">
        <f>IFERROR(VLOOKUP($A268,DataPrixBillets!$S:$W,5,FALSE),0)</f>
        <v>0</v>
      </c>
      <c r="P268" s="79"/>
      <c r="Q268" s="77">
        <f t="shared" si="75"/>
        <v>0</v>
      </c>
      <c r="R268" s="77">
        <f t="shared" si="76"/>
        <v>0</v>
      </c>
      <c r="S268" s="77">
        <f t="shared" si="77"/>
        <v>0</v>
      </c>
      <c r="T268" s="77">
        <f t="shared" si="78"/>
        <v>0</v>
      </c>
      <c r="U268" s="79"/>
      <c r="V268" s="77">
        <f t="shared" si="79"/>
        <v>0</v>
      </c>
      <c r="W268" s="77">
        <f>IFERROR(VLOOKUP(A268,DataCoutRevenuAux!W:Y,2,FALSE),0)</f>
        <v>0</v>
      </c>
      <c r="X268" s="77">
        <f>IFERROR(VLOOKUP(A268,DataCoutRevenuAux!W:Y,3,FALSE),0)</f>
        <v>0</v>
      </c>
      <c r="Y268" s="77">
        <f t="shared" si="80"/>
        <v>0</v>
      </c>
      <c r="Z268" s="77">
        <f t="shared" si="81"/>
        <v>0</v>
      </c>
      <c r="AA268" s="77">
        <f t="shared" si="82"/>
        <v>0</v>
      </c>
      <c r="AB268" s="79"/>
      <c r="AC268" s="77">
        <f t="shared" si="83"/>
        <v>0</v>
      </c>
      <c r="AD268" s="77">
        <f t="shared" si="84"/>
        <v>0</v>
      </c>
      <c r="AE268" s="77">
        <f t="shared" si="85"/>
        <v>0</v>
      </c>
      <c r="AF268" s="79"/>
      <c r="AG268" s="6">
        <f t="shared" si="86"/>
        <v>0</v>
      </c>
      <c r="AH268" s="6">
        <f t="shared" si="87"/>
        <v>0</v>
      </c>
      <c r="AI268" s="6">
        <f t="shared" si="88"/>
        <v>0</v>
      </c>
    </row>
    <row r="269" spans="1:35" x14ac:dyDescent="0.3">
      <c r="A269" s="189">
        <f>DataDemande!U302</f>
        <v>0</v>
      </c>
      <c r="B269" s="189" t="str">
        <f t="shared" si="73"/>
        <v>0</v>
      </c>
      <c r="C269" s="189" t="str">
        <f t="shared" si="74"/>
        <v>0</v>
      </c>
      <c r="D269" s="189">
        <f>IFERROR(VLOOKUP(A269,DataCoutRevenuAux!M:Q,5,FALSE),0)</f>
        <v>0</v>
      </c>
      <c r="E269" s="189">
        <f>IFERROR(VLOOKUP(A269,DataDemande!U:Z,2,FALSE),0)</f>
        <v>0</v>
      </c>
      <c r="G269" s="77">
        <f>IFERROR(VLOOKUP(A269,DataDemande!U:Z,3,FALSE),0)</f>
        <v>0</v>
      </c>
      <c r="H269" s="77">
        <f>IFERROR(VLOOKUP($A269,DataDemande!$U:$Z,4,FALSE),0)</f>
        <v>0</v>
      </c>
      <c r="I269" s="77">
        <f>IFERROR(VLOOKUP($A269,DataDemande!$U:$Z,5,FALSE),0)</f>
        <v>0</v>
      </c>
      <c r="J269" s="77">
        <f>IFERROR(VLOOKUP($A269,DataDemande!$U:$Z,6,FALSE),0)</f>
        <v>0</v>
      </c>
      <c r="K269" s="79"/>
      <c r="L269" s="77">
        <f>IFERROR(VLOOKUP($A269,DataPrixBillets!$S:$W,2,FALSE),0)</f>
        <v>0</v>
      </c>
      <c r="M269" s="77">
        <f>IFERROR(VLOOKUP($A269,DataPrixBillets!$S:$W,3,FALSE),0)</f>
        <v>0</v>
      </c>
      <c r="N269" s="77">
        <f>IFERROR(VLOOKUP($A269,DataPrixBillets!$S:$W,4,FALSE),0)</f>
        <v>0</v>
      </c>
      <c r="O269" s="77">
        <f>IFERROR(VLOOKUP($A269,DataPrixBillets!$S:$W,5,FALSE),0)</f>
        <v>0</v>
      </c>
      <c r="P269" s="79"/>
      <c r="Q269" s="77">
        <f t="shared" si="75"/>
        <v>0</v>
      </c>
      <c r="R269" s="77">
        <f t="shared" si="76"/>
        <v>0</v>
      </c>
      <c r="S269" s="77">
        <f t="shared" si="77"/>
        <v>0</v>
      </c>
      <c r="T269" s="77">
        <f t="shared" si="78"/>
        <v>0</v>
      </c>
      <c r="U269" s="79"/>
      <c r="V269" s="77">
        <f t="shared" si="79"/>
        <v>0</v>
      </c>
      <c r="W269" s="77">
        <f>IFERROR(VLOOKUP(A269,DataCoutRevenuAux!W:Y,2,FALSE),0)</f>
        <v>0</v>
      </c>
      <c r="X269" s="77">
        <f>IFERROR(VLOOKUP(A269,DataCoutRevenuAux!W:Y,3,FALSE),0)</f>
        <v>0</v>
      </c>
      <c r="Y269" s="77">
        <f t="shared" si="80"/>
        <v>0</v>
      </c>
      <c r="Z269" s="77">
        <f t="shared" si="81"/>
        <v>0</v>
      </c>
      <c r="AA269" s="77">
        <f t="shared" si="82"/>
        <v>0</v>
      </c>
      <c r="AB269" s="79"/>
      <c r="AC269" s="77">
        <f t="shared" si="83"/>
        <v>0</v>
      </c>
      <c r="AD269" s="77">
        <f t="shared" si="84"/>
        <v>0</v>
      </c>
      <c r="AE269" s="77">
        <f t="shared" si="85"/>
        <v>0</v>
      </c>
      <c r="AF269" s="79"/>
      <c r="AG269" s="6">
        <f t="shared" si="86"/>
        <v>0</v>
      </c>
      <c r="AH269" s="6">
        <f t="shared" si="87"/>
        <v>0</v>
      </c>
      <c r="AI269" s="6">
        <f t="shared" si="88"/>
        <v>0</v>
      </c>
    </row>
    <row r="270" spans="1:35" x14ac:dyDescent="0.3">
      <c r="A270" s="189">
        <f>DataDemande!U303</f>
        <v>0</v>
      </c>
      <c r="B270" s="189" t="str">
        <f t="shared" si="73"/>
        <v>0</v>
      </c>
      <c r="C270" s="189" t="str">
        <f t="shared" si="74"/>
        <v>0</v>
      </c>
      <c r="D270" s="189">
        <f>IFERROR(VLOOKUP(A270,DataCoutRevenuAux!M:Q,5,FALSE),0)</f>
        <v>0</v>
      </c>
      <c r="E270" s="189">
        <f>IFERROR(VLOOKUP(A270,DataDemande!U:Z,2,FALSE),0)</f>
        <v>0</v>
      </c>
      <c r="G270" s="77">
        <f>IFERROR(VLOOKUP(A270,DataDemande!U:Z,3,FALSE),0)</f>
        <v>0</v>
      </c>
      <c r="H270" s="77">
        <f>IFERROR(VLOOKUP($A270,DataDemande!$U:$Z,4,FALSE),0)</f>
        <v>0</v>
      </c>
      <c r="I270" s="77">
        <f>IFERROR(VLOOKUP($A270,DataDemande!$U:$Z,5,FALSE),0)</f>
        <v>0</v>
      </c>
      <c r="J270" s="77">
        <f>IFERROR(VLOOKUP($A270,DataDemande!$U:$Z,6,FALSE),0)</f>
        <v>0</v>
      </c>
      <c r="K270" s="79"/>
      <c r="L270" s="77">
        <f>IFERROR(VLOOKUP($A270,DataPrixBillets!$S:$W,2,FALSE),0)</f>
        <v>0</v>
      </c>
      <c r="M270" s="77">
        <f>IFERROR(VLOOKUP($A270,DataPrixBillets!$S:$W,3,FALSE),0)</f>
        <v>0</v>
      </c>
      <c r="N270" s="77">
        <f>IFERROR(VLOOKUP($A270,DataPrixBillets!$S:$W,4,FALSE),0)</f>
        <v>0</v>
      </c>
      <c r="O270" s="77">
        <f>IFERROR(VLOOKUP($A270,DataPrixBillets!$S:$W,5,FALSE),0)</f>
        <v>0</v>
      </c>
      <c r="P270" s="79"/>
      <c r="Q270" s="77">
        <f t="shared" si="75"/>
        <v>0</v>
      </c>
      <c r="R270" s="77">
        <f t="shared" si="76"/>
        <v>0</v>
      </c>
      <c r="S270" s="77">
        <f t="shared" si="77"/>
        <v>0</v>
      </c>
      <c r="T270" s="77">
        <f t="shared" si="78"/>
        <v>0</v>
      </c>
      <c r="U270" s="79"/>
      <c r="V270" s="77">
        <f t="shared" si="79"/>
        <v>0</v>
      </c>
      <c r="W270" s="77">
        <f>IFERROR(VLOOKUP(A270,DataCoutRevenuAux!W:Y,2,FALSE),0)</f>
        <v>0</v>
      </c>
      <c r="X270" s="77">
        <f>IFERROR(VLOOKUP(A270,DataCoutRevenuAux!W:Y,3,FALSE),0)</f>
        <v>0</v>
      </c>
      <c r="Y270" s="77">
        <f t="shared" si="80"/>
        <v>0</v>
      </c>
      <c r="Z270" s="77">
        <f t="shared" si="81"/>
        <v>0</v>
      </c>
      <c r="AA270" s="77">
        <f t="shared" si="82"/>
        <v>0</v>
      </c>
      <c r="AB270" s="79"/>
      <c r="AC270" s="77">
        <f t="shared" si="83"/>
        <v>0</v>
      </c>
      <c r="AD270" s="77">
        <f t="shared" si="84"/>
        <v>0</v>
      </c>
      <c r="AE270" s="77">
        <f t="shared" si="85"/>
        <v>0</v>
      </c>
      <c r="AF270" s="79"/>
      <c r="AG270" s="6">
        <f t="shared" si="86"/>
        <v>0</v>
      </c>
      <c r="AH270" s="6">
        <f t="shared" si="87"/>
        <v>0</v>
      </c>
      <c r="AI270" s="6">
        <f t="shared" si="88"/>
        <v>0</v>
      </c>
    </row>
    <row r="271" spans="1:35" x14ac:dyDescent="0.3">
      <c r="A271" s="189">
        <f>DataDemande!U304</f>
        <v>0</v>
      </c>
      <c r="B271" s="189" t="str">
        <f t="shared" si="73"/>
        <v>0</v>
      </c>
      <c r="C271" s="189" t="str">
        <f t="shared" si="74"/>
        <v>0</v>
      </c>
      <c r="D271" s="189">
        <f>IFERROR(VLOOKUP(A271,DataCoutRevenuAux!M:Q,5,FALSE),0)</f>
        <v>0</v>
      </c>
      <c r="E271" s="189">
        <f>IFERROR(VLOOKUP(A271,DataDemande!U:Z,2,FALSE),0)</f>
        <v>0</v>
      </c>
      <c r="G271" s="77">
        <f>IFERROR(VLOOKUP(A271,DataDemande!U:Z,3,FALSE),0)</f>
        <v>0</v>
      </c>
      <c r="H271" s="77">
        <f>IFERROR(VLOOKUP($A271,DataDemande!$U:$Z,4,FALSE),0)</f>
        <v>0</v>
      </c>
      <c r="I271" s="77">
        <f>IFERROR(VLOOKUP($A271,DataDemande!$U:$Z,5,FALSE),0)</f>
        <v>0</v>
      </c>
      <c r="J271" s="77">
        <f>IFERROR(VLOOKUP($A271,DataDemande!$U:$Z,6,FALSE),0)</f>
        <v>0</v>
      </c>
      <c r="K271" s="79"/>
      <c r="L271" s="77">
        <f>IFERROR(VLOOKUP($A271,DataPrixBillets!$S:$W,2,FALSE),0)</f>
        <v>0</v>
      </c>
      <c r="M271" s="77">
        <f>IFERROR(VLOOKUP($A271,DataPrixBillets!$S:$W,3,FALSE),0)</f>
        <v>0</v>
      </c>
      <c r="N271" s="77">
        <f>IFERROR(VLOOKUP($A271,DataPrixBillets!$S:$W,4,FALSE),0)</f>
        <v>0</v>
      </c>
      <c r="O271" s="77">
        <f>IFERROR(VLOOKUP($A271,DataPrixBillets!$S:$W,5,FALSE),0)</f>
        <v>0</v>
      </c>
      <c r="P271" s="79"/>
      <c r="Q271" s="77">
        <f t="shared" si="75"/>
        <v>0</v>
      </c>
      <c r="R271" s="77">
        <f t="shared" si="76"/>
        <v>0</v>
      </c>
      <c r="S271" s="77">
        <f t="shared" si="77"/>
        <v>0</v>
      </c>
      <c r="T271" s="77">
        <f t="shared" si="78"/>
        <v>0</v>
      </c>
      <c r="U271" s="79"/>
      <c r="V271" s="77">
        <f t="shared" si="79"/>
        <v>0</v>
      </c>
      <c r="W271" s="77">
        <f>IFERROR(VLOOKUP(A271,DataCoutRevenuAux!W:Y,2,FALSE),0)</f>
        <v>0</v>
      </c>
      <c r="X271" s="77">
        <f>IFERROR(VLOOKUP(A271,DataCoutRevenuAux!W:Y,3,FALSE),0)</f>
        <v>0</v>
      </c>
      <c r="Y271" s="77">
        <f t="shared" si="80"/>
        <v>0</v>
      </c>
      <c r="Z271" s="77">
        <f t="shared" si="81"/>
        <v>0</v>
      </c>
      <c r="AA271" s="77">
        <f t="shared" si="82"/>
        <v>0</v>
      </c>
      <c r="AB271" s="79"/>
      <c r="AC271" s="77">
        <f t="shared" si="83"/>
        <v>0</v>
      </c>
      <c r="AD271" s="77">
        <f t="shared" si="84"/>
        <v>0</v>
      </c>
      <c r="AE271" s="77">
        <f t="shared" si="85"/>
        <v>0</v>
      </c>
      <c r="AF271" s="79"/>
      <c r="AG271" s="6">
        <f t="shared" si="86"/>
        <v>0</v>
      </c>
      <c r="AH271" s="6">
        <f t="shared" si="87"/>
        <v>0</v>
      </c>
      <c r="AI271" s="6">
        <f t="shared" si="88"/>
        <v>0</v>
      </c>
    </row>
    <row r="272" spans="1:35" x14ac:dyDescent="0.3">
      <c r="A272" s="189">
        <f>DataDemande!U305</f>
        <v>0</v>
      </c>
      <c r="B272" s="189" t="str">
        <f t="shared" si="73"/>
        <v>0</v>
      </c>
      <c r="C272" s="189" t="str">
        <f t="shared" si="74"/>
        <v>0</v>
      </c>
      <c r="D272" s="189">
        <f>IFERROR(VLOOKUP(A272,DataCoutRevenuAux!M:Q,5,FALSE),0)</f>
        <v>0</v>
      </c>
      <c r="E272" s="189">
        <f>IFERROR(VLOOKUP(A272,DataDemande!U:Z,2,FALSE),0)</f>
        <v>0</v>
      </c>
      <c r="G272" s="77">
        <f>IFERROR(VLOOKUP(A272,DataDemande!U:Z,3,FALSE),0)</f>
        <v>0</v>
      </c>
      <c r="H272" s="77">
        <f>IFERROR(VLOOKUP($A272,DataDemande!$U:$Z,4,FALSE),0)</f>
        <v>0</v>
      </c>
      <c r="I272" s="77">
        <f>IFERROR(VLOOKUP($A272,DataDemande!$U:$Z,5,FALSE),0)</f>
        <v>0</v>
      </c>
      <c r="J272" s="77">
        <f>IFERROR(VLOOKUP($A272,DataDemande!$U:$Z,6,FALSE),0)</f>
        <v>0</v>
      </c>
      <c r="K272" s="79"/>
      <c r="L272" s="77">
        <f>IFERROR(VLOOKUP($A272,DataPrixBillets!$S:$W,2,FALSE),0)</f>
        <v>0</v>
      </c>
      <c r="M272" s="77">
        <f>IFERROR(VLOOKUP($A272,DataPrixBillets!$S:$W,3,FALSE),0)</f>
        <v>0</v>
      </c>
      <c r="N272" s="77">
        <f>IFERROR(VLOOKUP($A272,DataPrixBillets!$S:$W,4,FALSE),0)</f>
        <v>0</v>
      </c>
      <c r="O272" s="77">
        <f>IFERROR(VLOOKUP($A272,DataPrixBillets!$S:$W,5,FALSE),0)</f>
        <v>0</v>
      </c>
      <c r="P272" s="79"/>
      <c r="Q272" s="77">
        <f t="shared" si="75"/>
        <v>0</v>
      </c>
      <c r="R272" s="77">
        <f t="shared" si="76"/>
        <v>0</v>
      </c>
      <c r="S272" s="77">
        <f t="shared" si="77"/>
        <v>0</v>
      </c>
      <c r="T272" s="77">
        <f t="shared" si="78"/>
        <v>0</v>
      </c>
      <c r="U272" s="79"/>
      <c r="V272" s="77">
        <f t="shared" si="79"/>
        <v>0</v>
      </c>
      <c r="W272" s="77">
        <f>IFERROR(VLOOKUP(A272,DataCoutRevenuAux!W:Y,2,FALSE),0)</f>
        <v>0</v>
      </c>
      <c r="X272" s="77">
        <f>IFERROR(VLOOKUP(A272,DataCoutRevenuAux!W:Y,3,FALSE),0)</f>
        <v>0</v>
      </c>
      <c r="Y272" s="77">
        <f t="shared" si="80"/>
        <v>0</v>
      </c>
      <c r="Z272" s="77">
        <f t="shared" si="81"/>
        <v>0</v>
      </c>
      <c r="AA272" s="77">
        <f t="shared" si="82"/>
        <v>0</v>
      </c>
      <c r="AB272" s="79"/>
      <c r="AC272" s="77">
        <f t="shared" si="83"/>
        <v>0</v>
      </c>
      <c r="AD272" s="77">
        <f t="shared" si="84"/>
        <v>0</v>
      </c>
      <c r="AE272" s="77">
        <f t="shared" si="85"/>
        <v>0</v>
      </c>
      <c r="AF272" s="79"/>
      <c r="AG272" s="6">
        <f t="shared" si="86"/>
        <v>0</v>
      </c>
      <c r="AH272" s="6">
        <f t="shared" si="87"/>
        <v>0</v>
      </c>
      <c r="AI272" s="6">
        <f t="shared" si="88"/>
        <v>0</v>
      </c>
    </row>
    <row r="273" spans="1:35" x14ac:dyDescent="0.3">
      <c r="A273" s="189">
        <f>DataDemande!U306</f>
        <v>0</v>
      </c>
      <c r="B273" s="189" t="str">
        <f t="shared" si="73"/>
        <v>0</v>
      </c>
      <c r="C273" s="189" t="str">
        <f t="shared" si="74"/>
        <v>0</v>
      </c>
      <c r="D273" s="189">
        <f>IFERROR(VLOOKUP(A273,DataCoutRevenuAux!M:Q,5,FALSE),0)</f>
        <v>0</v>
      </c>
      <c r="E273" s="189">
        <f>IFERROR(VLOOKUP(A273,DataDemande!U:Z,2,FALSE),0)</f>
        <v>0</v>
      </c>
      <c r="G273" s="77">
        <f>IFERROR(VLOOKUP(A273,DataDemande!U:Z,3,FALSE),0)</f>
        <v>0</v>
      </c>
      <c r="H273" s="77">
        <f>IFERROR(VLOOKUP($A273,DataDemande!$U:$Z,4,FALSE),0)</f>
        <v>0</v>
      </c>
      <c r="I273" s="77">
        <f>IFERROR(VLOOKUP($A273,DataDemande!$U:$Z,5,FALSE),0)</f>
        <v>0</v>
      </c>
      <c r="J273" s="77">
        <f>IFERROR(VLOOKUP($A273,DataDemande!$U:$Z,6,FALSE),0)</f>
        <v>0</v>
      </c>
      <c r="K273" s="79"/>
      <c r="L273" s="77">
        <f>IFERROR(VLOOKUP($A273,DataPrixBillets!$S:$W,2,FALSE),0)</f>
        <v>0</v>
      </c>
      <c r="M273" s="77">
        <f>IFERROR(VLOOKUP($A273,DataPrixBillets!$S:$W,3,FALSE),0)</f>
        <v>0</v>
      </c>
      <c r="N273" s="77">
        <f>IFERROR(VLOOKUP($A273,DataPrixBillets!$S:$W,4,FALSE),0)</f>
        <v>0</v>
      </c>
      <c r="O273" s="77">
        <f>IFERROR(VLOOKUP($A273,DataPrixBillets!$S:$W,5,FALSE),0)</f>
        <v>0</v>
      </c>
      <c r="P273" s="79"/>
      <c r="Q273" s="77">
        <f t="shared" si="75"/>
        <v>0</v>
      </c>
      <c r="R273" s="77">
        <f t="shared" si="76"/>
        <v>0</v>
      </c>
      <c r="S273" s="77">
        <f t="shared" si="77"/>
        <v>0</v>
      </c>
      <c r="T273" s="77">
        <f t="shared" si="78"/>
        <v>0</v>
      </c>
      <c r="U273" s="79"/>
      <c r="V273" s="77">
        <f t="shared" si="79"/>
        <v>0</v>
      </c>
      <c r="W273" s="77">
        <f>IFERROR(VLOOKUP(A273,DataCoutRevenuAux!W:Y,2,FALSE),0)</f>
        <v>0</v>
      </c>
      <c r="X273" s="77">
        <f>IFERROR(VLOOKUP(A273,DataCoutRevenuAux!W:Y,3,FALSE),0)</f>
        <v>0</v>
      </c>
      <c r="Y273" s="77">
        <f t="shared" si="80"/>
        <v>0</v>
      </c>
      <c r="Z273" s="77">
        <f t="shared" si="81"/>
        <v>0</v>
      </c>
      <c r="AA273" s="77">
        <f t="shared" si="82"/>
        <v>0</v>
      </c>
      <c r="AB273" s="79"/>
      <c r="AC273" s="77">
        <f t="shared" si="83"/>
        <v>0</v>
      </c>
      <c r="AD273" s="77">
        <f t="shared" si="84"/>
        <v>0</v>
      </c>
      <c r="AE273" s="77">
        <f t="shared" si="85"/>
        <v>0</v>
      </c>
      <c r="AF273" s="79"/>
      <c r="AG273" s="6">
        <f t="shared" si="86"/>
        <v>0</v>
      </c>
      <c r="AH273" s="6">
        <f t="shared" si="87"/>
        <v>0</v>
      </c>
      <c r="AI273" s="6">
        <f t="shared" si="88"/>
        <v>0</v>
      </c>
    </row>
    <row r="274" spans="1:35" x14ac:dyDescent="0.3">
      <c r="A274" s="189">
        <f>DataDemande!U307</f>
        <v>0</v>
      </c>
      <c r="B274" s="189" t="str">
        <f t="shared" si="73"/>
        <v>0</v>
      </c>
      <c r="C274" s="189" t="str">
        <f t="shared" si="74"/>
        <v>0</v>
      </c>
      <c r="D274" s="189">
        <f>IFERROR(VLOOKUP(A274,DataCoutRevenuAux!M:Q,5,FALSE),0)</f>
        <v>0</v>
      </c>
      <c r="E274" s="189">
        <f>IFERROR(VLOOKUP(A274,DataDemande!U:Z,2,FALSE),0)</f>
        <v>0</v>
      </c>
      <c r="G274" s="77">
        <f>IFERROR(VLOOKUP(A274,DataDemande!U:Z,3,FALSE),0)</f>
        <v>0</v>
      </c>
      <c r="H274" s="77">
        <f>IFERROR(VLOOKUP($A274,DataDemande!$U:$Z,4,FALSE),0)</f>
        <v>0</v>
      </c>
      <c r="I274" s="77">
        <f>IFERROR(VLOOKUP($A274,DataDemande!$U:$Z,5,FALSE),0)</f>
        <v>0</v>
      </c>
      <c r="J274" s="77">
        <f>IFERROR(VLOOKUP($A274,DataDemande!$U:$Z,6,FALSE),0)</f>
        <v>0</v>
      </c>
      <c r="K274" s="79"/>
      <c r="L274" s="77">
        <f>IFERROR(VLOOKUP($A274,DataPrixBillets!$S:$W,2,FALSE),0)</f>
        <v>0</v>
      </c>
      <c r="M274" s="77">
        <f>IFERROR(VLOOKUP($A274,DataPrixBillets!$S:$W,3,FALSE),0)</f>
        <v>0</v>
      </c>
      <c r="N274" s="77">
        <f>IFERROR(VLOOKUP($A274,DataPrixBillets!$S:$W,4,FALSE),0)</f>
        <v>0</v>
      </c>
      <c r="O274" s="77">
        <f>IFERROR(VLOOKUP($A274,DataPrixBillets!$S:$W,5,FALSE),0)</f>
        <v>0</v>
      </c>
      <c r="P274" s="79"/>
      <c r="Q274" s="77">
        <f t="shared" si="75"/>
        <v>0</v>
      </c>
      <c r="R274" s="77">
        <f t="shared" si="76"/>
        <v>0</v>
      </c>
      <c r="S274" s="77">
        <f t="shared" si="77"/>
        <v>0</v>
      </c>
      <c r="T274" s="77">
        <f t="shared" si="78"/>
        <v>0</v>
      </c>
      <c r="U274" s="79"/>
      <c r="V274" s="77">
        <f t="shared" si="79"/>
        <v>0</v>
      </c>
      <c r="W274" s="77">
        <f>IFERROR(VLOOKUP(A274,DataCoutRevenuAux!W:Y,2,FALSE),0)</f>
        <v>0</v>
      </c>
      <c r="X274" s="77">
        <f>IFERROR(VLOOKUP(A274,DataCoutRevenuAux!W:Y,3,FALSE),0)</f>
        <v>0</v>
      </c>
      <c r="Y274" s="77">
        <f t="shared" si="80"/>
        <v>0</v>
      </c>
      <c r="Z274" s="77">
        <f t="shared" si="81"/>
        <v>0</v>
      </c>
      <c r="AA274" s="77">
        <f t="shared" si="82"/>
        <v>0</v>
      </c>
      <c r="AB274" s="79"/>
      <c r="AC274" s="77">
        <f t="shared" si="83"/>
        <v>0</v>
      </c>
      <c r="AD274" s="77">
        <f t="shared" si="84"/>
        <v>0</v>
      </c>
      <c r="AE274" s="77">
        <f t="shared" si="85"/>
        <v>0</v>
      </c>
      <c r="AF274" s="79"/>
      <c r="AG274" s="6">
        <f t="shared" si="86"/>
        <v>0</v>
      </c>
      <c r="AH274" s="6">
        <f t="shared" si="87"/>
        <v>0</v>
      </c>
      <c r="AI274" s="6">
        <f t="shared" si="88"/>
        <v>0</v>
      </c>
    </row>
    <row r="275" spans="1:35" x14ac:dyDescent="0.3">
      <c r="A275" s="189">
        <f>DataDemande!U308</f>
        <v>0</v>
      </c>
      <c r="B275" s="189" t="str">
        <f t="shared" si="73"/>
        <v>0</v>
      </c>
      <c r="C275" s="189" t="str">
        <f t="shared" si="74"/>
        <v>0</v>
      </c>
      <c r="D275" s="189">
        <f>IFERROR(VLOOKUP(A275,DataCoutRevenuAux!M:Q,5,FALSE),0)</f>
        <v>0</v>
      </c>
      <c r="E275" s="189">
        <f>IFERROR(VLOOKUP(A275,DataDemande!U:Z,2,FALSE),0)</f>
        <v>0</v>
      </c>
      <c r="G275" s="77">
        <f>IFERROR(VLOOKUP(A275,DataDemande!U:Z,3,FALSE),0)</f>
        <v>0</v>
      </c>
      <c r="H275" s="77">
        <f>IFERROR(VLOOKUP($A275,DataDemande!$U:$Z,4,FALSE),0)</f>
        <v>0</v>
      </c>
      <c r="I275" s="77">
        <f>IFERROR(VLOOKUP($A275,DataDemande!$U:$Z,5,FALSE),0)</f>
        <v>0</v>
      </c>
      <c r="J275" s="77">
        <f>IFERROR(VLOOKUP($A275,DataDemande!$U:$Z,6,FALSE),0)</f>
        <v>0</v>
      </c>
      <c r="K275" s="79"/>
      <c r="L275" s="77">
        <f>IFERROR(VLOOKUP($A275,DataPrixBillets!$S:$W,2,FALSE),0)</f>
        <v>0</v>
      </c>
      <c r="M275" s="77">
        <f>IFERROR(VLOOKUP($A275,DataPrixBillets!$S:$W,3,FALSE),0)</f>
        <v>0</v>
      </c>
      <c r="N275" s="77">
        <f>IFERROR(VLOOKUP($A275,DataPrixBillets!$S:$W,4,FALSE),0)</f>
        <v>0</v>
      </c>
      <c r="O275" s="77">
        <f>IFERROR(VLOOKUP($A275,DataPrixBillets!$S:$W,5,FALSE),0)</f>
        <v>0</v>
      </c>
      <c r="P275" s="79"/>
      <c r="Q275" s="77">
        <f t="shared" si="75"/>
        <v>0</v>
      </c>
      <c r="R275" s="77">
        <f t="shared" si="76"/>
        <v>0</v>
      </c>
      <c r="S275" s="77">
        <f t="shared" si="77"/>
        <v>0</v>
      </c>
      <c r="T275" s="77">
        <f t="shared" si="78"/>
        <v>0</v>
      </c>
      <c r="U275" s="79"/>
      <c r="V275" s="77">
        <f t="shared" si="79"/>
        <v>0</v>
      </c>
      <c r="W275" s="77">
        <f>IFERROR(VLOOKUP(A275,DataCoutRevenuAux!W:Y,2,FALSE),0)</f>
        <v>0</v>
      </c>
      <c r="X275" s="77">
        <f>IFERROR(VLOOKUP(A275,DataCoutRevenuAux!W:Y,3,FALSE),0)</f>
        <v>0</v>
      </c>
      <c r="Y275" s="77">
        <f t="shared" si="80"/>
        <v>0</v>
      </c>
      <c r="Z275" s="77">
        <f t="shared" si="81"/>
        <v>0</v>
      </c>
      <c r="AA275" s="77">
        <f t="shared" si="82"/>
        <v>0</v>
      </c>
      <c r="AB275" s="79"/>
      <c r="AC275" s="77">
        <f t="shared" si="83"/>
        <v>0</v>
      </c>
      <c r="AD275" s="77">
        <f t="shared" si="84"/>
        <v>0</v>
      </c>
      <c r="AE275" s="77">
        <f t="shared" si="85"/>
        <v>0</v>
      </c>
      <c r="AF275" s="79"/>
      <c r="AG275" s="6">
        <f t="shared" si="86"/>
        <v>0</v>
      </c>
      <c r="AH275" s="6">
        <f t="shared" si="87"/>
        <v>0</v>
      </c>
      <c r="AI275" s="6">
        <f t="shared" si="88"/>
        <v>0</v>
      </c>
    </row>
    <row r="276" spans="1:35" x14ac:dyDescent="0.3">
      <c r="A276" s="189">
        <f>DataDemande!U309</f>
        <v>0</v>
      </c>
      <c r="B276" s="189" t="str">
        <f t="shared" si="73"/>
        <v>0</v>
      </c>
      <c r="C276" s="189" t="str">
        <f t="shared" si="74"/>
        <v>0</v>
      </c>
      <c r="D276" s="189">
        <f>IFERROR(VLOOKUP(A276,DataCoutRevenuAux!M:Q,5,FALSE),0)</f>
        <v>0</v>
      </c>
      <c r="E276" s="189">
        <f>IFERROR(VLOOKUP(A276,DataDemande!U:Z,2,FALSE),0)</f>
        <v>0</v>
      </c>
      <c r="G276" s="77">
        <f>IFERROR(VLOOKUP(A276,DataDemande!U:Z,3,FALSE),0)</f>
        <v>0</v>
      </c>
      <c r="H276" s="77">
        <f>IFERROR(VLOOKUP($A276,DataDemande!$U:$Z,4,FALSE),0)</f>
        <v>0</v>
      </c>
      <c r="I276" s="77">
        <f>IFERROR(VLOOKUP($A276,DataDemande!$U:$Z,5,FALSE),0)</f>
        <v>0</v>
      </c>
      <c r="J276" s="77">
        <f>IFERROR(VLOOKUP($A276,DataDemande!$U:$Z,6,FALSE),0)</f>
        <v>0</v>
      </c>
      <c r="K276" s="79"/>
      <c r="L276" s="77">
        <f>IFERROR(VLOOKUP($A276,DataPrixBillets!$S:$W,2,FALSE),0)</f>
        <v>0</v>
      </c>
      <c r="M276" s="77">
        <f>IFERROR(VLOOKUP($A276,DataPrixBillets!$S:$W,3,FALSE),0)</f>
        <v>0</v>
      </c>
      <c r="N276" s="77">
        <f>IFERROR(VLOOKUP($A276,DataPrixBillets!$S:$W,4,FALSE),0)</f>
        <v>0</v>
      </c>
      <c r="O276" s="77">
        <f>IFERROR(VLOOKUP($A276,DataPrixBillets!$S:$W,5,FALSE),0)</f>
        <v>0</v>
      </c>
      <c r="P276" s="79"/>
      <c r="Q276" s="77">
        <f t="shared" si="75"/>
        <v>0</v>
      </c>
      <c r="R276" s="77">
        <f t="shared" si="76"/>
        <v>0</v>
      </c>
      <c r="S276" s="77">
        <f t="shared" si="77"/>
        <v>0</v>
      </c>
      <c r="T276" s="77">
        <f t="shared" si="78"/>
        <v>0</v>
      </c>
      <c r="U276" s="79"/>
      <c r="V276" s="77">
        <f t="shared" si="79"/>
        <v>0</v>
      </c>
      <c r="W276" s="77">
        <f>IFERROR(VLOOKUP(A276,DataCoutRevenuAux!W:Y,2,FALSE),0)</f>
        <v>0</v>
      </c>
      <c r="X276" s="77">
        <f>IFERROR(VLOOKUP(A276,DataCoutRevenuAux!W:Y,3,FALSE),0)</f>
        <v>0</v>
      </c>
      <c r="Y276" s="77">
        <f t="shared" si="80"/>
        <v>0</v>
      </c>
      <c r="Z276" s="77">
        <f t="shared" si="81"/>
        <v>0</v>
      </c>
      <c r="AA276" s="77">
        <f t="shared" si="82"/>
        <v>0</v>
      </c>
      <c r="AB276" s="79"/>
      <c r="AC276" s="77">
        <f t="shared" si="83"/>
        <v>0</v>
      </c>
      <c r="AD276" s="77">
        <f t="shared" si="84"/>
        <v>0</v>
      </c>
      <c r="AE276" s="77">
        <f t="shared" si="85"/>
        <v>0</v>
      </c>
      <c r="AF276" s="79"/>
      <c r="AG276" s="6">
        <f t="shared" si="86"/>
        <v>0</v>
      </c>
      <c r="AH276" s="6">
        <f t="shared" si="87"/>
        <v>0</v>
      </c>
      <c r="AI276" s="6">
        <f t="shared" si="88"/>
        <v>0</v>
      </c>
    </row>
    <row r="277" spans="1:35" x14ac:dyDescent="0.3">
      <c r="A277" s="189">
        <f>DataDemande!U310</f>
        <v>0</v>
      </c>
      <c r="B277" s="189" t="str">
        <f t="shared" si="73"/>
        <v>0</v>
      </c>
      <c r="C277" s="189" t="str">
        <f t="shared" si="74"/>
        <v>0</v>
      </c>
      <c r="D277" s="189">
        <f>IFERROR(VLOOKUP(A277,DataCoutRevenuAux!M:Q,5,FALSE),0)</f>
        <v>0</v>
      </c>
      <c r="E277" s="189">
        <f>IFERROR(VLOOKUP(A277,DataDemande!U:Z,2,FALSE),0)</f>
        <v>0</v>
      </c>
      <c r="G277" s="77">
        <f>IFERROR(VLOOKUP(A277,DataDemande!U:Z,3,FALSE),0)</f>
        <v>0</v>
      </c>
      <c r="H277" s="77">
        <f>IFERROR(VLOOKUP($A277,DataDemande!$U:$Z,4,FALSE),0)</f>
        <v>0</v>
      </c>
      <c r="I277" s="77">
        <f>IFERROR(VLOOKUP($A277,DataDemande!$U:$Z,5,FALSE),0)</f>
        <v>0</v>
      </c>
      <c r="J277" s="77">
        <f>IFERROR(VLOOKUP($A277,DataDemande!$U:$Z,6,FALSE),0)</f>
        <v>0</v>
      </c>
      <c r="K277" s="79"/>
      <c r="L277" s="77">
        <f>IFERROR(VLOOKUP($A277,DataPrixBillets!$S:$W,2,FALSE),0)</f>
        <v>0</v>
      </c>
      <c r="M277" s="77">
        <f>IFERROR(VLOOKUP($A277,DataPrixBillets!$S:$W,3,FALSE),0)</f>
        <v>0</v>
      </c>
      <c r="N277" s="77">
        <f>IFERROR(VLOOKUP($A277,DataPrixBillets!$S:$W,4,FALSE),0)</f>
        <v>0</v>
      </c>
      <c r="O277" s="77">
        <f>IFERROR(VLOOKUP($A277,DataPrixBillets!$S:$W,5,FALSE),0)</f>
        <v>0</v>
      </c>
      <c r="P277" s="79"/>
      <c r="Q277" s="77">
        <f t="shared" si="75"/>
        <v>0</v>
      </c>
      <c r="R277" s="77">
        <f t="shared" si="76"/>
        <v>0</v>
      </c>
      <c r="S277" s="77">
        <f t="shared" si="77"/>
        <v>0</v>
      </c>
      <c r="T277" s="77">
        <f t="shared" si="78"/>
        <v>0</v>
      </c>
      <c r="U277" s="79"/>
      <c r="V277" s="77">
        <f t="shared" si="79"/>
        <v>0</v>
      </c>
      <c r="W277" s="77">
        <f>IFERROR(VLOOKUP(A277,DataCoutRevenuAux!W:Y,2,FALSE),0)</f>
        <v>0</v>
      </c>
      <c r="X277" s="77">
        <f>IFERROR(VLOOKUP(A277,DataCoutRevenuAux!W:Y,3,FALSE),0)</f>
        <v>0</v>
      </c>
      <c r="Y277" s="77">
        <f t="shared" si="80"/>
        <v>0</v>
      </c>
      <c r="Z277" s="77">
        <f t="shared" si="81"/>
        <v>0</v>
      </c>
      <c r="AA277" s="77">
        <f t="shared" si="82"/>
        <v>0</v>
      </c>
      <c r="AB277" s="79"/>
      <c r="AC277" s="77">
        <f t="shared" si="83"/>
        <v>0</v>
      </c>
      <c r="AD277" s="77">
        <f t="shared" si="84"/>
        <v>0</v>
      </c>
      <c r="AE277" s="77">
        <f t="shared" si="85"/>
        <v>0</v>
      </c>
      <c r="AF277" s="79"/>
      <c r="AG277" s="6">
        <f t="shared" si="86"/>
        <v>0</v>
      </c>
      <c r="AH277" s="6">
        <f t="shared" si="87"/>
        <v>0</v>
      </c>
      <c r="AI277" s="6">
        <f t="shared" si="88"/>
        <v>0</v>
      </c>
    </row>
    <row r="278" spans="1:35" x14ac:dyDescent="0.3">
      <c r="A278" s="189">
        <f>DataDemande!U311</f>
        <v>0</v>
      </c>
      <c r="B278" s="189" t="str">
        <f t="shared" si="73"/>
        <v>0</v>
      </c>
      <c r="C278" s="189" t="str">
        <f t="shared" si="74"/>
        <v>0</v>
      </c>
      <c r="D278" s="189">
        <f>IFERROR(VLOOKUP(A278,DataCoutRevenuAux!M:Q,5,FALSE),0)</f>
        <v>0</v>
      </c>
      <c r="E278" s="189">
        <f>IFERROR(VLOOKUP(A278,DataDemande!U:Z,2,FALSE),0)</f>
        <v>0</v>
      </c>
      <c r="G278" s="77">
        <f>IFERROR(VLOOKUP(A278,DataDemande!U:Z,3,FALSE),0)</f>
        <v>0</v>
      </c>
      <c r="H278" s="77">
        <f>IFERROR(VLOOKUP($A278,DataDemande!$U:$Z,4,FALSE),0)</f>
        <v>0</v>
      </c>
      <c r="I278" s="77">
        <f>IFERROR(VLOOKUP($A278,DataDemande!$U:$Z,5,FALSE),0)</f>
        <v>0</v>
      </c>
      <c r="J278" s="77">
        <f>IFERROR(VLOOKUP($A278,DataDemande!$U:$Z,6,FALSE),0)</f>
        <v>0</v>
      </c>
      <c r="K278" s="79"/>
      <c r="L278" s="77">
        <f>IFERROR(VLOOKUP($A278,DataPrixBillets!$S:$W,2,FALSE),0)</f>
        <v>0</v>
      </c>
      <c r="M278" s="77">
        <f>IFERROR(VLOOKUP($A278,DataPrixBillets!$S:$W,3,FALSE),0)</f>
        <v>0</v>
      </c>
      <c r="N278" s="77">
        <f>IFERROR(VLOOKUP($A278,DataPrixBillets!$S:$W,4,FALSE),0)</f>
        <v>0</v>
      </c>
      <c r="O278" s="77">
        <f>IFERROR(VLOOKUP($A278,DataPrixBillets!$S:$W,5,FALSE),0)</f>
        <v>0</v>
      </c>
      <c r="P278" s="79"/>
      <c r="Q278" s="77">
        <f t="shared" si="75"/>
        <v>0</v>
      </c>
      <c r="R278" s="77">
        <f t="shared" si="76"/>
        <v>0</v>
      </c>
      <c r="S278" s="77">
        <f t="shared" si="77"/>
        <v>0</v>
      </c>
      <c r="T278" s="77">
        <f t="shared" si="78"/>
        <v>0</v>
      </c>
      <c r="U278" s="79"/>
      <c r="V278" s="77">
        <f t="shared" si="79"/>
        <v>0</v>
      </c>
      <c r="W278" s="77">
        <f>IFERROR(VLOOKUP(A278,DataCoutRevenuAux!W:Y,2,FALSE),0)</f>
        <v>0</v>
      </c>
      <c r="X278" s="77">
        <f>IFERROR(VLOOKUP(A278,DataCoutRevenuAux!W:Y,3,FALSE),0)</f>
        <v>0</v>
      </c>
      <c r="Y278" s="77">
        <f t="shared" si="80"/>
        <v>0</v>
      </c>
      <c r="Z278" s="77">
        <f t="shared" si="81"/>
        <v>0</v>
      </c>
      <c r="AA278" s="77">
        <f t="shared" si="82"/>
        <v>0</v>
      </c>
      <c r="AB278" s="79"/>
      <c r="AC278" s="77">
        <f t="shared" si="83"/>
        <v>0</v>
      </c>
      <c r="AD278" s="77">
        <f t="shared" si="84"/>
        <v>0</v>
      </c>
      <c r="AE278" s="77">
        <f t="shared" si="85"/>
        <v>0</v>
      </c>
      <c r="AF278" s="79"/>
      <c r="AG278" s="6">
        <f t="shared" si="86"/>
        <v>0</v>
      </c>
      <c r="AH278" s="6">
        <f t="shared" si="87"/>
        <v>0</v>
      </c>
      <c r="AI278" s="6">
        <f t="shared" si="88"/>
        <v>0</v>
      </c>
    </row>
  </sheetData>
  <mergeCells count="6">
    <mergeCell ref="AG1:AI1"/>
    <mergeCell ref="G1:J1"/>
    <mergeCell ref="L1:O1"/>
    <mergeCell ref="AC1:AE1"/>
    <mergeCell ref="Q1:T1"/>
    <mergeCell ref="V1:AA1"/>
  </mergeCells>
  <conditionalFormatting sqref="O4:O42">
    <cfRule type="cellIs" dxfId="274" priority="5" operator="equal">
      <formula>0</formula>
    </cfRule>
  </conditionalFormatting>
  <conditionalFormatting sqref="AI4:AI278">
    <cfRule type="cellIs" dxfId="273" priority="3" operator="greaterThan">
      <formula>$AI$3</formula>
    </cfRule>
  </conditionalFormatting>
  <conditionalFormatting sqref="AH4:AH278">
    <cfRule type="cellIs" dxfId="272" priority="2" operator="greaterThan">
      <formula>$AH$3</formula>
    </cfRule>
  </conditionalFormatting>
  <conditionalFormatting sqref="AG4:AG278">
    <cfRule type="cellIs" dxfId="271" priority="1" operator="greaterThan">
      <formula>$AG$3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6"/>
  <dimension ref="A1:L21"/>
  <sheetViews>
    <sheetView workbookViewId="0">
      <selection activeCell="F21" sqref="F21"/>
    </sheetView>
  </sheetViews>
  <sheetFormatPr baseColWidth="10" defaultColWidth="11.44140625" defaultRowHeight="14.4" x14ac:dyDescent="0.3"/>
  <cols>
    <col min="1" max="1" width="19.44140625" bestFit="1" customWidth="1"/>
    <col min="3" max="4" width="17.88671875" bestFit="1" customWidth="1"/>
    <col min="6" max="6" width="15.44140625" bestFit="1" customWidth="1"/>
    <col min="7" max="7" width="10.33203125" bestFit="1" customWidth="1"/>
    <col min="8" max="8" width="15.109375" bestFit="1" customWidth="1"/>
    <col min="10" max="10" width="19.6640625" bestFit="1" customWidth="1"/>
    <col min="11" max="11" width="12.33203125" bestFit="1" customWidth="1"/>
    <col min="12" max="12" width="15.109375" bestFit="1" customWidth="1"/>
  </cols>
  <sheetData>
    <row r="1" spans="1:12" x14ac:dyDescent="0.3">
      <c r="A1" t="s">
        <v>51</v>
      </c>
      <c r="B1" t="s">
        <v>52</v>
      </c>
      <c r="C1" t="s">
        <v>53</v>
      </c>
      <c r="D1" t="s">
        <v>54</v>
      </c>
    </row>
    <row r="2" spans="1:12" x14ac:dyDescent="0.3">
      <c r="A2" s="92" t="s">
        <v>55</v>
      </c>
      <c r="B2" t="s">
        <v>56</v>
      </c>
      <c r="C2" s="8">
        <v>285456092</v>
      </c>
      <c r="D2" s="8">
        <f t="shared" ref="D2:D20" si="0">C2*7</f>
        <v>1998192644</v>
      </c>
      <c r="F2" s="94" t="s">
        <v>57</v>
      </c>
      <c r="G2" s="94"/>
      <c r="H2" s="94"/>
      <c r="J2" s="94" t="s">
        <v>58</v>
      </c>
      <c r="K2" s="94"/>
      <c r="L2" s="94"/>
    </row>
    <row r="3" spans="1:12" x14ac:dyDescent="0.3">
      <c r="A3" s="92" t="s">
        <v>59</v>
      </c>
      <c r="B3" t="s">
        <v>60</v>
      </c>
      <c r="C3" s="8">
        <v>249324749</v>
      </c>
      <c r="D3" s="8">
        <f t="shared" si="0"/>
        <v>1745273243</v>
      </c>
      <c r="F3" t="str">
        <f>A2</f>
        <v>Fric Airlines</v>
      </c>
      <c r="G3" t="str">
        <f t="shared" ref="G3:H3" si="1">B2</f>
        <v>Quentin</v>
      </c>
      <c r="H3" s="8">
        <f t="shared" si="1"/>
        <v>285456092</v>
      </c>
      <c r="J3" t="str">
        <f>A3</f>
        <v>BryanBlairlines</v>
      </c>
      <c r="K3" t="str">
        <f t="shared" ref="K3:L3" si="2">B3</f>
        <v>Bryan Blair</v>
      </c>
      <c r="L3" s="8">
        <f t="shared" si="2"/>
        <v>249324749</v>
      </c>
    </row>
    <row r="4" spans="1:12" x14ac:dyDescent="0.3">
      <c r="A4" s="92" t="s">
        <v>61</v>
      </c>
      <c r="B4" t="s">
        <v>62</v>
      </c>
      <c r="C4" s="8">
        <v>178605033</v>
      </c>
      <c r="D4" s="8">
        <f t="shared" si="0"/>
        <v>1250235231</v>
      </c>
      <c r="F4" t="str">
        <f>A5</f>
        <v>Belgium airways</v>
      </c>
      <c r="G4" t="str">
        <f t="shared" ref="G4:H5" si="3">B5</f>
        <v>Charly</v>
      </c>
      <c r="H4" s="8">
        <f t="shared" si="3"/>
        <v>144592005</v>
      </c>
      <c r="J4" t="str">
        <f>A4</f>
        <v>Phoenix Alliance evo</v>
      </c>
      <c r="K4" t="str">
        <f t="shared" ref="K4:L4" si="4">B4</f>
        <v>Aeschbacher</v>
      </c>
      <c r="L4" s="8">
        <f t="shared" si="4"/>
        <v>178605033</v>
      </c>
    </row>
    <row r="5" spans="1:12" x14ac:dyDescent="0.3">
      <c r="A5" s="92" t="s">
        <v>63</v>
      </c>
      <c r="B5" t="s">
        <v>64</v>
      </c>
      <c r="C5" s="8">
        <v>144592005</v>
      </c>
      <c r="D5" s="8">
        <f t="shared" si="0"/>
        <v>1012144035</v>
      </c>
      <c r="F5" t="str">
        <f>A6</f>
        <v>United Swiss</v>
      </c>
      <c r="G5" t="str">
        <f t="shared" si="3"/>
        <v>Asties900</v>
      </c>
      <c r="H5" s="8">
        <f t="shared" si="3"/>
        <v>111106228</v>
      </c>
      <c r="J5" t="str">
        <f>A7</f>
        <v>Cloud of Sky</v>
      </c>
      <c r="K5" t="str">
        <f t="shared" ref="K5:L5" si="5">B7</f>
        <v>Clouders</v>
      </c>
      <c r="L5" s="8">
        <f t="shared" si="5"/>
        <v>111100399</v>
      </c>
    </row>
    <row r="6" spans="1:12" x14ac:dyDescent="0.3">
      <c r="A6" s="92" t="s">
        <v>65</v>
      </c>
      <c r="B6" t="s">
        <v>66</v>
      </c>
      <c r="C6" s="8">
        <v>111106228</v>
      </c>
      <c r="D6" s="8">
        <f t="shared" si="0"/>
        <v>777743596</v>
      </c>
      <c r="F6" t="str">
        <f>A8</f>
        <v>AIR KARAKOL</v>
      </c>
      <c r="G6" t="str">
        <f t="shared" ref="G6:H6" si="6">B8</f>
        <v>Johan</v>
      </c>
      <c r="H6" s="8">
        <f t="shared" si="6"/>
        <v>101525607</v>
      </c>
      <c r="J6" t="str">
        <f>A9</f>
        <v>Zenith</v>
      </c>
      <c r="K6" t="str">
        <f t="shared" ref="K6:L6" si="7">B9</f>
        <v>Palleas</v>
      </c>
      <c r="L6" s="8">
        <f t="shared" si="7"/>
        <v>100789899</v>
      </c>
    </row>
    <row r="7" spans="1:12" x14ac:dyDescent="0.3">
      <c r="A7" s="92" t="s">
        <v>67</v>
      </c>
      <c r="B7" t="s">
        <v>68</v>
      </c>
      <c r="C7" s="8">
        <v>111100399</v>
      </c>
      <c r="D7" s="8">
        <f t="shared" si="0"/>
        <v>777702793</v>
      </c>
      <c r="F7" t="str">
        <f>A11</f>
        <v>Tupolef airline</v>
      </c>
      <c r="G7" t="str">
        <f t="shared" ref="G7:H7" si="8">B11</f>
        <v>Harlock</v>
      </c>
      <c r="H7" s="8">
        <f t="shared" si="8"/>
        <v>84849705</v>
      </c>
      <c r="J7" t="str">
        <f>A10</f>
        <v>Light Air</v>
      </c>
      <c r="K7" t="str">
        <f t="shared" ref="K7:L7" si="9">B10</f>
        <v>Brago</v>
      </c>
      <c r="L7" s="8">
        <f t="shared" si="9"/>
        <v>99882735</v>
      </c>
    </row>
    <row r="8" spans="1:12" x14ac:dyDescent="0.3">
      <c r="A8" s="92" t="s">
        <v>69</v>
      </c>
      <c r="B8" t="s">
        <v>70</v>
      </c>
      <c r="C8" s="8">
        <v>101525607</v>
      </c>
      <c r="D8" s="8">
        <f t="shared" si="0"/>
        <v>710679249</v>
      </c>
      <c r="F8" t="str">
        <f>A12</f>
        <v>Fly Air</v>
      </c>
      <c r="G8" t="str">
        <f t="shared" ref="G8:H8" si="10">B12</f>
        <v>Nic0o</v>
      </c>
      <c r="H8" s="8">
        <f t="shared" si="10"/>
        <v>67911583</v>
      </c>
      <c r="J8" t="str">
        <f>A13</f>
        <v>TAP AIRLINES 7</v>
      </c>
      <c r="K8" t="str">
        <f t="shared" ref="K8:L8" si="11">B13</f>
        <v>Bruno</v>
      </c>
      <c r="L8" s="8">
        <f t="shared" si="11"/>
        <v>45785533</v>
      </c>
    </row>
    <row r="9" spans="1:12" x14ac:dyDescent="0.3">
      <c r="A9" s="92" t="s">
        <v>71</v>
      </c>
      <c r="B9" t="s">
        <v>72</v>
      </c>
      <c r="C9" s="8">
        <v>100789899</v>
      </c>
      <c r="D9" s="8">
        <f t="shared" si="0"/>
        <v>705529293</v>
      </c>
      <c r="F9" t="str">
        <f>A14</f>
        <v>Airnationfust</v>
      </c>
      <c r="G9" t="str">
        <f t="shared" ref="G9:H9" si="12">B14</f>
        <v>Davidangh</v>
      </c>
      <c r="H9" s="8">
        <f t="shared" si="12"/>
        <v>35197276</v>
      </c>
      <c r="J9" t="str">
        <f>A15</f>
        <v>SwissairsLines</v>
      </c>
      <c r="K9" t="str">
        <f t="shared" ref="K9:L9" si="13">B15</f>
        <v>Nooka10</v>
      </c>
      <c r="L9" s="8">
        <f t="shared" si="13"/>
        <v>31113615</v>
      </c>
    </row>
    <row r="10" spans="1:12" x14ac:dyDescent="0.3">
      <c r="A10" s="92" t="s">
        <v>73</v>
      </c>
      <c r="B10" t="s">
        <v>74</v>
      </c>
      <c r="C10" s="8">
        <v>99882735</v>
      </c>
      <c r="D10" s="8">
        <f t="shared" si="0"/>
        <v>699179145</v>
      </c>
      <c r="F10" t="str">
        <f>A17</f>
        <v>WTO Airlines</v>
      </c>
      <c r="G10" t="str">
        <f t="shared" ref="G10:H10" si="14">B17</f>
        <v>Watine</v>
      </c>
      <c r="H10" s="8">
        <f t="shared" si="14"/>
        <v>10031068</v>
      </c>
      <c r="J10" t="str">
        <f>A16</f>
        <v>airHelvetia</v>
      </c>
      <c r="K10" t="str">
        <f t="shared" ref="K10:L10" si="15">B16</f>
        <v>Flys</v>
      </c>
      <c r="L10" s="8">
        <f t="shared" si="15"/>
        <v>21660365</v>
      </c>
    </row>
    <row r="11" spans="1:12" x14ac:dyDescent="0.3">
      <c r="A11" s="92" t="s">
        <v>75</v>
      </c>
      <c r="B11" t="s">
        <v>76</v>
      </c>
      <c r="C11" s="8">
        <v>84849705</v>
      </c>
      <c r="D11" s="8">
        <f t="shared" si="0"/>
        <v>593947935</v>
      </c>
      <c r="F11" t="str">
        <f>A18</f>
        <v>Heidi Volante</v>
      </c>
      <c r="G11" t="str">
        <f t="shared" ref="G11:H11" si="16">B18</f>
        <v>HuguesAZ</v>
      </c>
      <c r="H11" s="8">
        <f t="shared" si="16"/>
        <v>6366397</v>
      </c>
      <c r="J11" t="str">
        <f>A19</f>
        <v>Sean Airlines</v>
      </c>
      <c r="K11" t="str">
        <f t="shared" ref="K11:L11" si="17">B19</f>
        <v>Seanb</v>
      </c>
      <c r="L11" s="8">
        <f t="shared" si="17"/>
        <v>6012284</v>
      </c>
    </row>
    <row r="12" spans="1:12" x14ac:dyDescent="0.3">
      <c r="A12" s="92" t="s">
        <v>77</v>
      </c>
      <c r="B12" t="s">
        <v>78</v>
      </c>
      <c r="C12" s="8">
        <v>67911583</v>
      </c>
      <c r="D12" s="8">
        <f t="shared" si="0"/>
        <v>475381081</v>
      </c>
      <c r="F12" t="str">
        <f>A20</f>
        <v>Viet Sky</v>
      </c>
      <c r="G12" t="str">
        <f t="shared" ref="G12:H12" si="18">B20</f>
        <v>Sparte</v>
      </c>
      <c r="H12" s="8">
        <f t="shared" si="18"/>
        <v>5534626</v>
      </c>
      <c r="L12" s="8"/>
    </row>
    <row r="13" spans="1:12" x14ac:dyDescent="0.3">
      <c r="A13" s="92" t="s">
        <v>79</v>
      </c>
      <c r="B13" t="s">
        <v>80</v>
      </c>
      <c r="C13" s="8">
        <v>45785533</v>
      </c>
      <c r="D13" s="8">
        <f t="shared" si="0"/>
        <v>320498731</v>
      </c>
      <c r="H13" s="8"/>
      <c r="L13" s="8"/>
    </row>
    <row r="14" spans="1:12" x14ac:dyDescent="0.3">
      <c r="A14" s="92" t="s">
        <v>81</v>
      </c>
      <c r="B14" t="s">
        <v>82</v>
      </c>
      <c r="C14" s="8">
        <v>35197276</v>
      </c>
      <c r="D14" s="8">
        <f t="shared" si="0"/>
        <v>246380932</v>
      </c>
      <c r="F14" s="93" t="s">
        <v>83</v>
      </c>
      <c r="G14" s="93"/>
      <c r="H14" s="95">
        <f>SUM(H3:H12)</f>
        <v>852570587</v>
      </c>
      <c r="J14" s="93"/>
      <c r="K14" s="93"/>
      <c r="L14" s="95">
        <f>SUM(L3:L12)</f>
        <v>844274612</v>
      </c>
    </row>
    <row r="15" spans="1:12" x14ac:dyDescent="0.3">
      <c r="A15" s="92" t="s">
        <v>84</v>
      </c>
      <c r="B15" t="s">
        <v>85</v>
      </c>
      <c r="C15" s="8">
        <v>31113615</v>
      </c>
      <c r="D15" s="8">
        <f t="shared" si="0"/>
        <v>217795305</v>
      </c>
      <c r="F15" s="93" t="s">
        <v>86</v>
      </c>
      <c r="G15" s="93"/>
      <c r="H15" s="95">
        <f>H14*7</f>
        <v>5967994109</v>
      </c>
      <c r="J15" s="93" t="s">
        <v>86</v>
      </c>
      <c r="K15" s="93"/>
      <c r="L15" s="95">
        <f>L14*7</f>
        <v>5909922284</v>
      </c>
    </row>
    <row r="16" spans="1:12" x14ac:dyDescent="0.3">
      <c r="A16" s="92" t="s">
        <v>87</v>
      </c>
      <c r="B16" t="s">
        <v>88</v>
      </c>
      <c r="C16" s="8">
        <v>21660365</v>
      </c>
      <c r="D16" s="8">
        <f t="shared" si="0"/>
        <v>151622555</v>
      </c>
      <c r="H16" s="8"/>
      <c r="L16" s="8"/>
    </row>
    <row r="17" spans="1:12" x14ac:dyDescent="0.3">
      <c r="A17" s="92" t="s">
        <v>89</v>
      </c>
      <c r="B17" t="s">
        <v>90</v>
      </c>
      <c r="C17" s="8">
        <v>10031068</v>
      </c>
      <c r="D17" s="8">
        <f t="shared" si="0"/>
        <v>70217476</v>
      </c>
      <c r="H17" s="8"/>
      <c r="L17" s="8"/>
    </row>
    <row r="18" spans="1:12" x14ac:dyDescent="0.3">
      <c r="A18" s="92" t="s">
        <v>91</v>
      </c>
      <c r="B18" t="s">
        <v>92</v>
      </c>
      <c r="C18" s="8">
        <v>6366397</v>
      </c>
      <c r="D18" s="8">
        <f t="shared" si="0"/>
        <v>44564779</v>
      </c>
      <c r="H18" s="8"/>
      <c r="L18" s="8"/>
    </row>
    <row r="19" spans="1:12" x14ac:dyDescent="0.3">
      <c r="A19" s="92" t="s">
        <v>93</v>
      </c>
      <c r="B19" t="s">
        <v>94</v>
      </c>
      <c r="C19" s="8">
        <v>6012284</v>
      </c>
      <c r="D19" s="8">
        <f t="shared" si="0"/>
        <v>42085988</v>
      </c>
      <c r="H19" s="8"/>
      <c r="L19" s="8"/>
    </row>
    <row r="20" spans="1:12" x14ac:dyDescent="0.3">
      <c r="A20" s="92" t="s">
        <v>95</v>
      </c>
      <c r="B20" t="s">
        <v>96</v>
      </c>
      <c r="C20" s="8">
        <v>5534626</v>
      </c>
      <c r="D20" s="8">
        <f t="shared" si="0"/>
        <v>38742382</v>
      </c>
      <c r="H20" s="8"/>
      <c r="L20" s="8"/>
    </row>
    <row r="21" spans="1:12" x14ac:dyDescent="0.3">
      <c r="A21" s="92" t="s">
        <v>97</v>
      </c>
      <c r="C21" s="86">
        <f>SUM(C2:C20)</f>
        <v>1696845199</v>
      </c>
      <c r="D21" s="86">
        <f>SUM(D2:D20)</f>
        <v>11877916393</v>
      </c>
    </row>
  </sheetData>
  <autoFilter ref="A1:D21" xr:uid="{00000000-0009-0000-0000-000006000000}">
    <sortState xmlns:xlrd2="http://schemas.microsoft.com/office/spreadsheetml/2017/richdata2" ref="A2:D20">
      <sortCondition descending="1" ref="C1:C21"/>
    </sortState>
  </autoFilter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7"/>
  <dimension ref="A1:L21"/>
  <sheetViews>
    <sheetView topLeftCell="A4" workbookViewId="0">
      <selection activeCell="C6" sqref="C6"/>
    </sheetView>
  </sheetViews>
  <sheetFormatPr baseColWidth="10" defaultColWidth="11.44140625" defaultRowHeight="14.4" x14ac:dyDescent="0.3"/>
  <cols>
    <col min="1" max="1" width="19.44140625" bestFit="1" customWidth="1"/>
    <col min="3" max="4" width="17.88671875" bestFit="1" customWidth="1"/>
    <col min="5" max="5" width="18.88671875" bestFit="1" customWidth="1"/>
    <col min="6" max="6" width="15.44140625" bestFit="1" customWidth="1"/>
    <col min="7" max="7" width="10.33203125" bestFit="1" customWidth="1"/>
    <col min="8" max="8" width="15.109375" bestFit="1" customWidth="1"/>
    <col min="10" max="10" width="19.6640625" bestFit="1" customWidth="1"/>
    <col min="11" max="11" width="12.33203125" bestFit="1" customWidth="1"/>
    <col min="12" max="12" width="15.109375" bestFit="1" customWidth="1"/>
  </cols>
  <sheetData>
    <row r="1" spans="1:12" x14ac:dyDescent="0.3">
      <c r="A1" t="s">
        <v>51</v>
      </c>
      <c r="B1" t="s">
        <v>52</v>
      </c>
      <c r="C1" t="s">
        <v>53</v>
      </c>
      <c r="D1" t="s">
        <v>54</v>
      </c>
    </row>
    <row r="2" spans="1:12" x14ac:dyDescent="0.3">
      <c r="A2" s="20" t="s">
        <v>98</v>
      </c>
      <c r="B2" s="20" t="s">
        <v>99</v>
      </c>
      <c r="C2" s="26">
        <v>8483262</v>
      </c>
      <c r="D2" s="8">
        <f t="shared" ref="D2:D20" si="0">C2*7</f>
        <v>59382834</v>
      </c>
      <c r="F2" s="94" t="s">
        <v>57</v>
      </c>
      <c r="G2" s="94"/>
      <c r="H2" s="94"/>
      <c r="J2" s="94" t="s">
        <v>58</v>
      </c>
      <c r="K2" s="94"/>
      <c r="L2" s="94"/>
    </row>
    <row r="3" spans="1:12" x14ac:dyDescent="0.3">
      <c r="A3" s="20" t="s">
        <v>100</v>
      </c>
      <c r="B3" s="20" t="s">
        <v>101</v>
      </c>
      <c r="C3" s="26">
        <v>30747519</v>
      </c>
      <c r="D3" s="8">
        <f t="shared" si="0"/>
        <v>215232633</v>
      </c>
      <c r="F3" t="str">
        <f>A2</f>
        <v>SWISSFLY</v>
      </c>
      <c r="G3" t="str">
        <f t="shared" ref="G3:H3" si="1">B2</f>
        <v>Dorian</v>
      </c>
      <c r="H3" s="8">
        <f t="shared" si="1"/>
        <v>8483262</v>
      </c>
      <c r="J3" t="str">
        <f>A3</f>
        <v>Hors classement</v>
      </c>
      <c r="K3" t="str">
        <f t="shared" ref="K3:L4" si="2">B3</f>
        <v>ToroPicana</v>
      </c>
      <c r="L3" s="8">
        <f t="shared" si="2"/>
        <v>30747519</v>
      </c>
    </row>
    <row r="4" spans="1:12" x14ac:dyDescent="0.3">
      <c r="A4" s="20" t="s">
        <v>102</v>
      </c>
      <c r="B4" s="20" t="s">
        <v>103</v>
      </c>
      <c r="C4" s="26">
        <v>22683382</v>
      </c>
      <c r="D4" s="8">
        <f t="shared" si="0"/>
        <v>158783674</v>
      </c>
      <c r="F4" t="str">
        <f>A5</f>
        <v>Air egly</v>
      </c>
      <c r="G4" t="str">
        <f t="shared" ref="G4:H5" si="3">B5</f>
        <v>Bruno</v>
      </c>
      <c r="H4" s="8">
        <f t="shared" si="3"/>
        <v>60862629</v>
      </c>
      <c r="J4" t="str">
        <f>A4</f>
        <v>West Airlines</v>
      </c>
      <c r="K4" t="str">
        <f t="shared" si="2"/>
        <v>Crumby</v>
      </c>
      <c r="L4" s="8">
        <f t="shared" si="2"/>
        <v>22683382</v>
      </c>
    </row>
    <row r="5" spans="1:12" x14ac:dyDescent="0.3">
      <c r="A5" s="20" t="s">
        <v>104</v>
      </c>
      <c r="B5" s="20" t="s">
        <v>80</v>
      </c>
      <c r="C5" s="26">
        <v>60862629</v>
      </c>
      <c r="D5" s="8">
        <f t="shared" si="0"/>
        <v>426038403</v>
      </c>
      <c r="F5" t="str">
        <f>A6</f>
        <v>Cocorico Fly</v>
      </c>
      <c r="G5" t="str">
        <f t="shared" si="3"/>
        <v>Garrigues</v>
      </c>
      <c r="H5" s="8">
        <f t="shared" si="3"/>
        <v>7508400</v>
      </c>
      <c r="J5" t="str">
        <f>A7</f>
        <v>Air 2013</v>
      </c>
      <c r="K5" t="str">
        <f t="shared" ref="K5:L5" si="4">B7</f>
        <v>Charly01</v>
      </c>
      <c r="L5" s="8">
        <f t="shared" si="4"/>
        <v>105967363</v>
      </c>
    </row>
    <row r="6" spans="1:12" x14ac:dyDescent="0.3">
      <c r="A6" s="20" t="s">
        <v>105</v>
      </c>
      <c r="B6" s="20" t="s">
        <v>106</v>
      </c>
      <c r="C6" s="26">
        <v>7508400</v>
      </c>
      <c r="D6" s="8">
        <f t="shared" si="0"/>
        <v>52558800</v>
      </c>
      <c r="F6" t="str">
        <f>A8</f>
        <v>Gravity Air</v>
      </c>
      <c r="G6" t="str">
        <f t="shared" ref="G6:H6" si="5">B8</f>
        <v>Harrison</v>
      </c>
      <c r="H6" s="8">
        <f t="shared" si="5"/>
        <v>18312331</v>
      </c>
      <c r="J6" t="str">
        <f>A9</f>
        <v>World Airlines</v>
      </c>
      <c r="K6" t="str">
        <f t="shared" ref="K6:L7" si="6">B9</f>
        <v>Luca</v>
      </c>
      <c r="L6" s="8">
        <f t="shared" si="6"/>
        <v>92201597</v>
      </c>
    </row>
    <row r="7" spans="1:12" x14ac:dyDescent="0.3">
      <c r="A7" s="20" t="s">
        <v>107</v>
      </c>
      <c r="B7" s="20" t="s">
        <v>108</v>
      </c>
      <c r="C7" s="26">
        <v>105967363</v>
      </c>
      <c r="D7" s="8">
        <f t="shared" si="0"/>
        <v>741771541</v>
      </c>
      <c r="F7">
        <f>A11</f>
        <v>0</v>
      </c>
      <c r="G7">
        <f t="shared" ref="G7:H8" si="7">B11</f>
        <v>0</v>
      </c>
      <c r="H7" s="8">
        <f t="shared" si="7"/>
        <v>0</v>
      </c>
      <c r="J7" t="str">
        <f>A10</f>
        <v>High Fly World</v>
      </c>
      <c r="K7" t="str">
        <f t="shared" si="6"/>
        <v>Ben06</v>
      </c>
      <c r="L7" s="8">
        <f t="shared" si="6"/>
        <v>36774900</v>
      </c>
    </row>
    <row r="8" spans="1:12" x14ac:dyDescent="0.3">
      <c r="A8" s="20" t="s">
        <v>109</v>
      </c>
      <c r="B8" s="20" t="s">
        <v>110</v>
      </c>
      <c r="C8" s="26">
        <v>18312331</v>
      </c>
      <c r="D8" s="8">
        <f t="shared" si="0"/>
        <v>128186317</v>
      </c>
      <c r="F8">
        <f>A12</f>
        <v>0</v>
      </c>
      <c r="G8">
        <f t="shared" si="7"/>
        <v>0</v>
      </c>
      <c r="H8" s="8">
        <f t="shared" si="7"/>
        <v>0</v>
      </c>
      <c r="J8">
        <f>A13</f>
        <v>0</v>
      </c>
      <c r="K8">
        <f t="shared" ref="K8:L8" si="8">B13</f>
        <v>0</v>
      </c>
      <c r="L8" s="8">
        <f t="shared" si="8"/>
        <v>0</v>
      </c>
    </row>
    <row r="9" spans="1:12" x14ac:dyDescent="0.3">
      <c r="A9" s="20" t="s">
        <v>111</v>
      </c>
      <c r="B9" s="20" t="s">
        <v>112</v>
      </c>
      <c r="C9" s="26">
        <v>92201597</v>
      </c>
      <c r="D9" s="8">
        <f t="shared" si="0"/>
        <v>645411179</v>
      </c>
      <c r="F9">
        <f>A14</f>
        <v>0</v>
      </c>
      <c r="G9">
        <f t="shared" ref="G9:H9" si="9">B14</f>
        <v>0</v>
      </c>
      <c r="H9" s="8">
        <f t="shared" si="9"/>
        <v>0</v>
      </c>
      <c r="J9">
        <f>A15</f>
        <v>0</v>
      </c>
      <c r="K9">
        <f t="shared" ref="K9:L10" si="10">B15</f>
        <v>0</v>
      </c>
      <c r="L9" s="8">
        <f t="shared" si="10"/>
        <v>0</v>
      </c>
    </row>
    <row r="10" spans="1:12" x14ac:dyDescent="0.3">
      <c r="A10" s="20" t="s">
        <v>113</v>
      </c>
      <c r="B10" s="20" t="s">
        <v>114</v>
      </c>
      <c r="C10" s="26">
        <v>36774900</v>
      </c>
      <c r="D10" s="8">
        <f t="shared" si="0"/>
        <v>257424300</v>
      </c>
      <c r="F10">
        <f>A17</f>
        <v>0</v>
      </c>
      <c r="G10">
        <f t="shared" ref="G10:H11" si="11">B17</f>
        <v>0</v>
      </c>
      <c r="H10" s="8">
        <f t="shared" si="11"/>
        <v>0</v>
      </c>
      <c r="J10">
        <f>A16</f>
        <v>0</v>
      </c>
      <c r="K10">
        <f t="shared" si="10"/>
        <v>0</v>
      </c>
      <c r="L10" s="8">
        <f t="shared" si="10"/>
        <v>0</v>
      </c>
    </row>
    <row r="11" spans="1:12" x14ac:dyDescent="0.3">
      <c r="A11" s="20"/>
      <c r="B11" s="20"/>
      <c r="C11" s="26"/>
      <c r="D11" s="8">
        <f t="shared" si="0"/>
        <v>0</v>
      </c>
      <c r="F11">
        <f>A18</f>
        <v>0</v>
      </c>
      <c r="G11">
        <f t="shared" si="11"/>
        <v>0</v>
      </c>
      <c r="H11" s="8">
        <f t="shared" si="11"/>
        <v>0</v>
      </c>
      <c r="J11">
        <f>A19</f>
        <v>0</v>
      </c>
      <c r="K11">
        <f t="shared" ref="K11:L11" si="12">B19</f>
        <v>0</v>
      </c>
      <c r="L11" s="8">
        <f t="shared" si="12"/>
        <v>0</v>
      </c>
    </row>
    <row r="12" spans="1:12" x14ac:dyDescent="0.3">
      <c r="A12" s="20"/>
      <c r="B12" s="20"/>
      <c r="C12" s="26"/>
      <c r="D12" s="8">
        <f t="shared" si="0"/>
        <v>0</v>
      </c>
      <c r="F12">
        <f>A20</f>
        <v>0</v>
      </c>
      <c r="G12">
        <f t="shared" ref="G12:H12" si="13">B20</f>
        <v>0</v>
      </c>
      <c r="H12" s="8">
        <f t="shared" si="13"/>
        <v>0</v>
      </c>
      <c r="L12" s="8"/>
    </row>
    <row r="13" spans="1:12" x14ac:dyDescent="0.3">
      <c r="A13" s="20"/>
      <c r="B13" s="20"/>
      <c r="C13" s="26"/>
      <c r="D13" s="8">
        <f t="shared" si="0"/>
        <v>0</v>
      </c>
      <c r="H13" s="8"/>
      <c r="L13" s="8"/>
    </row>
    <row r="14" spans="1:12" x14ac:dyDescent="0.3">
      <c r="A14" s="20"/>
      <c r="B14" s="20"/>
      <c r="C14" s="26"/>
      <c r="D14" s="8">
        <f t="shared" si="0"/>
        <v>0</v>
      </c>
      <c r="F14" s="93" t="s">
        <v>83</v>
      </c>
      <c r="G14" s="93"/>
      <c r="H14" s="95">
        <f>SUM(H3:H12)</f>
        <v>95166622</v>
      </c>
      <c r="J14" s="93"/>
      <c r="K14" s="93"/>
      <c r="L14" s="95">
        <f>SUM(L3:L12)</f>
        <v>288374761</v>
      </c>
    </row>
    <row r="15" spans="1:12" x14ac:dyDescent="0.3">
      <c r="A15" s="20"/>
      <c r="B15" s="20"/>
      <c r="C15" s="26"/>
      <c r="D15" s="8">
        <f t="shared" si="0"/>
        <v>0</v>
      </c>
      <c r="F15" s="93" t="s">
        <v>86</v>
      </c>
      <c r="G15" s="93"/>
      <c r="H15" s="95">
        <f>H14*7</f>
        <v>666166354</v>
      </c>
      <c r="J15" s="93" t="s">
        <v>86</v>
      </c>
      <c r="K15" s="93"/>
      <c r="L15" s="95">
        <f>L14*7</f>
        <v>2018623327</v>
      </c>
    </row>
    <row r="16" spans="1:12" x14ac:dyDescent="0.3">
      <c r="A16" s="20"/>
      <c r="B16" s="20"/>
      <c r="C16" s="26"/>
      <c r="D16" s="8">
        <f t="shared" si="0"/>
        <v>0</v>
      </c>
      <c r="H16" s="8"/>
      <c r="L16" s="8"/>
    </row>
    <row r="17" spans="1:12" x14ac:dyDescent="0.3">
      <c r="A17" s="20"/>
      <c r="B17" s="20"/>
      <c r="C17" s="26"/>
      <c r="D17" s="8">
        <f t="shared" si="0"/>
        <v>0</v>
      </c>
      <c r="H17" s="8"/>
      <c r="L17" s="8"/>
    </row>
    <row r="18" spans="1:12" x14ac:dyDescent="0.3">
      <c r="A18" s="20"/>
      <c r="B18" s="20"/>
      <c r="C18" s="26"/>
      <c r="D18" s="8">
        <f t="shared" si="0"/>
        <v>0</v>
      </c>
      <c r="H18" s="8"/>
      <c r="L18" s="8"/>
    </row>
    <row r="19" spans="1:12" x14ac:dyDescent="0.3">
      <c r="A19" s="20"/>
      <c r="B19" s="20"/>
      <c r="C19" s="26"/>
      <c r="D19" s="8">
        <f t="shared" si="0"/>
        <v>0</v>
      </c>
      <c r="H19" s="8"/>
      <c r="L19" s="8"/>
    </row>
    <row r="20" spans="1:12" x14ac:dyDescent="0.3">
      <c r="A20" s="20"/>
      <c r="B20" s="20"/>
      <c r="C20" s="26"/>
      <c r="D20" s="8">
        <f t="shared" si="0"/>
        <v>0</v>
      </c>
      <c r="H20" s="8"/>
      <c r="L20" s="8"/>
    </row>
    <row r="21" spans="1:12" x14ac:dyDescent="0.3">
      <c r="A21" s="92" t="s">
        <v>97</v>
      </c>
      <c r="C21" s="86">
        <f>SUM(C2:C20)</f>
        <v>383541383</v>
      </c>
      <c r="D21" s="86">
        <f>SUM(D2:D20)</f>
        <v>2684789681</v>
      </c>
      <c r="E21" s="86">
        <f>D21*4.23</f>
        <v>11356660350.630001</v>
      </c>
    </row>
  </sheetData>
  <autoFilter ref="A1:D21" xr:uid="{00000000-0009-0000-0000-000007000000}">
    <sortState xmlns:xlrd2="http://schemas.microsoft.com/office/spreadsheetml/2017/richdata2" ref="A2:D21">
      <sortCondition descending="1" ref="C1:C21"/>
    </sortState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3"/>
  <dimension ref="A1:P105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10" sqref="F10"/>
    </sheetView>
  </sheetViews>
  <sheetFormatPr baseColWidth="10" defaultColWidth="11.44140625" defaultRowHeight="14.4" x14ac:dyDescent="0.3"/>
  <cols>
    <col min="1" max="1" width="15.33203125" bestFit="1" customWidth="1"/>
    <col min="2" max="2" width="12.33203125" bestFit="1" customWidth="1"/>
    <col min="3" max="3" width="5.33203125" bestFit="1" customWidth="1"/>
    <col min="4" max="4" width="11.5546875" bestFit="1" customWidth="1"/>
    <col min="5" max="5" width="17.88671875" bestFit="1" customWidth="1"/>
    <col min="6" max="6" width="17.88671875" style="204" customWidth="1"/>
    <col min="7" max="7" width="14.6640625" bestFit="1" customWidth="1"/>
    <col min="8" max="8" width="14.5546875" style="66" bestFit="1" customWidth="1"/>
    <col min="9" max="9" width="12.88671875" bestFit="1" customWidth="1"/>
    <col min="10" max="10" width="15.33203125" bestFit="1" customWidth="1"/>
    <col min="11" max="11" width="8.5546875" bestFit="1" customWidth="1"/>
    <col min="12" max="12" width="8.33203125" bestFit="1" customWidth="1"/>
    <col min="13" max="13" width="15.5546875" bestFit="1" customWidth="1"/>
    <col min="14" max="14" width="13.6640625" bestFit="1" customWidth="1"/>
    <col min="15" max="15" width="23.109375" bestFit="1" customWidth="1"/>
    <col min="16" max="16" width="14.33203125" bestFit="1" customWidth="1"/>
  </cols>
  <sheetData>
    <row r="1" spans="1:16" x14ac:dyDescent="0.3">
      <c r="A1" t="s">
        <v>115</v>
      </c>
      <c r="G1" t="s">
        <v>116</v>
      </c>
      <c r="H1" s="66">
        <v>1.2</v>
      </c>
      <c r="I1" t="s">
        <v>117</v>
      </c>
      <c r="J1">
        <v>1300</v>
      </c>
      <c r="K1" t="s">
        <v>118</v>
      </c>
      <c r="L1">
        <v>1000</v>
      </c>
    </row>
    <row r="2" spans="1:16" x14ac:dyDescent="0.3">
      <c r="O2" s="96">
        <v>0.7</v>
      </c>
    </row>
    <row r="3" spans="1:16" x14ac:dyDescent="0.3">
      <c r="A3" s="43" t="s">
        <v>119</v>
      </c>
      <c r="B3" s="43" t="s">
        <v>120</v>
      </c>
      <c r="C3" s="43" t="s">
        <v>121</v>
      </c>
      <c r="D3" s="43" t="s">
        <v>122</v>
      </c>
      <c r="E3" s="43" t="s">
        <v>123</v>
      </c>
      <c r="F3" s="43" t="s">
        <v>292</v>
      </c>
      <c r="G3" s="43" t="s">
        <v>124</v>
      </c>
      <c r="H3" s="97" t="s">
        <v>125</v>
      </c>
      <c r="I3" s="43" t="s">
        <v>126</v>
      </c>
      <c r="J3" s="43" t="s">
        <v>127</v>
      </c>
      <c r="K3" s="43" t="s">
        <v>128</v>
      </c>
      <c r="L3" s="43" t="s">
        <v>129</v>
      </c>
      <c r="M3" s="43" t="s">
        <v>130</v>
      </c>
      <c r="N3" s="43" t="s">
        <v>131</v>
      </c>
      <c r="O3" s="43" t="s">
        <v>132</v>
      </c>
    </row>
    <row r="4" spans="1:16" x14ac:dyDescent="0.3">
      <c r="A4" t="s">
        <v>133</v>
      </c>
      <c r="B4" t="s">
        <v>138</v>
      </c>
      <c r="C4" t="s">
        <v>135</v>
      </c>
      <c r="D4" t="s">
        <v>35</v>
      </c>
      <c r="E4" t="s">
        <v>139</v>
      </c>
      <c r="G4" s="8">
        <v>1555</v>
      </c>
      <c r="H4" s="67">
        <v>8.09</v>
      </c>
      <c r="I4">
        <v>540</v>
      </c>
      <c r="J4">
        <v>0</v>
      </c>
      <c r="K4">
        <v>5.8</v>
      </c>
      <c r="N4" s="8">
        <v>15655000</v>
      </c>
      <c r="O4" s="21">
        <f>N4*$O$2</f>
        <v>10958500</v>
      </c>
      <c r="P4" s="38" t="e">
        <f t="shared" ref="P4:P13" si="0">N4/J4</f>
        <v>#DIV/0!</v>
      </c>
    </row>
    <row r="5" spans="1:16" x14ac:dyDescent="0.3">
      <c r="A5" t="s">
        <v>133</v>
      </c>
      <c r="B5" t="s">
        <v>138</v>
      </c>
      <c r="C5" t="s">
        <v>135</v>
      </c>
      <c r="D5" t="s">
        <v>35</v>
      </c>
      <c r="E5" t="s">
        <v>146</v>
      </c>
      <c r="G5" s="8">
        <v>1648</v>
      </c>
      <c r="H5" s="67">
        <v>7.59</v>
      </c>
      <c r="I5">
        <v>500</v>
      </c>
      <c r="J5">
        <v>0</v>
      </c>
      <c r="K5">
        <v>8.6</v>
      </c>
      <c r="N5" s="8">
        <v>21620000</v>
      </c>
      <c r="O5" s="21">
        <f t="shared" ref="O5:O57" si="1">N5*$O$2</f>
        <v>15133999.999999998</v>
      </c>
      <c r="P5" s="38" t="e">
        <f t="shared" si="0"/>
        <v>#DIV/0!</v>
      </c>
    </row>
    <row r="6" spans="1:16" x14ac:dyDescent="0.3">
      <c r="A6" t="s">
        <v>133</v>
      </c>
      <c r="B6" t="s">
        <v>144</v>
      </c>
      <c r="C6" t="s">
        <v>135</v>
      </c>
      <c r="D6" t="s">
        <v>35</v>
      </c>
      <c r="E6" t="s">
        <v>149</v>
      </c>
      <c r="G6" s="8">
        <v>1731</v>
      </c>
      <c r="H6" s="67">
        <v>9.92</v>
      </c>
      <c r="I6">
        <v>467</v>
      </c>
      <c r="J6">
        <v>0</v>
      </c>
      <c r="K6">
        <v>3.4</v>
      </c>
      <c r="N6" s="8">
        <v>12800000</v>
      </c>
      <c r="O6" s="21">
        <f t="shared" si="1"/>
        <v>8960000</v>
      </c>
      <c r="P6" s="38" t="e">
        <f t="shared" si="0"/>
        <v>#DIV/0!</v>
      </c>
    </row>
    <row r="7" spans="1:16" x14ac:dyDescent="0.3">
      <c r="A7" t="s">
        <v>133</v>
      </c>
      <c r="B7" t="s">
        <v>147</v>
      </c>
      <c r="C7" t="s">
        <v>135</v>
      </c>
      <c r="D7" t="s">
        <v>35</v>
      </c>
      <c r="E7" t="s">
        <v>153</v>
      </c>
      <c r="G7" s="8">
        <v>2075</v>
      </c>
      <c r="H7" s="67">
        <v>7.17</v>
      </c>
      <c r="I7">
        <v>667</v>
      </c>
      <c r="J7">
        <v>0</v>
      </c>
      <c r="K7">
        <v>9.1999999999999993</v>
      </c>
      <c r="N7" s="8">
        <v>33000000</v>
      </c>
      <c r="O7" s="21">
        <f t="shared" si="1"/>
        <v>23100000</v>
      </c>
      <c r="P7" s="38" t="e">
        <f t="shared" si="0"/>
        <v>#DIV/0!</v>
      </c>
    </row>
    <row r="8" spans="1:16" x14ac:dyDescent="0.3">
      <c r="A8" t="s">
        <v>133</v>
      </c>
      <c r="B8" t="s">
        <v>140</v>
      </c>
      <c r="C8" t="s">
        <v>135</v>
      </c>
      <c r="D8" t="s">
        <v>35</v>
      </c>
      <c r="E8" t="s">
        <v>154</v>
      </c>
      <c r="G8" s="8">
        <v>2130</v>
      </c>
      <c r="H8" s="67">
        <v>8.6300000000000008</v>
      </c>
      <c r="I8">
        <v>765</v>
      </c>
      <c r="J8">
        <v>0</v>
      </c>
      <c r="K8">
        <v>11.7</v>
      </c>
      <c r="N8" s="8">
        <v>57000000</v>
      </c>
      <c r="O8" s="21">
        <f t="shared" si="1"/>
        <v>39900000</v>
      </c>
      <c r="P8" s="38" t="e">
        <f t="shared" si="0"/>
        <v>#DIV/0!</v>
      </c>
    </row>
    <row r="9" spans="1:16" x14ac:dyDescent="0.3">
      <c r="A9" t="s">
        <v>133</v>
      </c>
      <c r="B9" t="s">
        <v>142</v>
      </c>
      <c r="C9" t="s">
        <v>135</v>
      </c>
      <c r="D9" t="s">
        <v>35</v>
      </c>
      <c r="E9" t="s">
        <v>160</v>
      </c>
      <c r="G9" s="8">
        <v>2555</v>
      </c>
      <c r="H9" s="67">
        <v>8.06</v>
      </c>
      <c r="I9">
        <v>552</v>
      </c>
      <c r="J9">
        <v>0</v>
      </c>
      <c r="K9">
        <v>3.7</v>
      </c>
      <c r="N9" s="8">
        <v>11000000</v>
      </c>
      <c r="O9" s="21">
        <f t="shared" si="1"/>
        <v>7699999.9999999991</v>
      </c>
      <c r="P9" s="38" t="e">
        <f t="shared" si="0"/>
        <v>#DIV/0!</v>
      </c>
    </row>
    <row r="10" spans="1:16" x14ac:dyDescent="0.3">
      <c r="A10" t="s">
        <v>133</v>
      </c>
      <c r="B10" t="s">
        <v>134</v>
      </c>
      <c r="C10" t="s">
        <v>135</v>
      </c>
      <c r="D10" t="s">
        <v>35</v>
      </c>
      <c r="E10" t="s">
        <v>164</v>
      </c>
      <c r="G10" s="8">
        <v>3028</v>
      </c>
      <c r="H10" s="67">
        <v>7.89</v>
      </c>
      <c r="I10">
        <v>786</v>
      </c>
      <c r="J10">
        <v>0</v>
      </c>
      <c r="K10">
        <v>19.7</v>
      </c>
      <c r="N10" s="8">
        <v>68500000</v>
      </c>
      <c r="O10" s="21">
        <f t="shared" si="1"/>
        <v>47950000</v>
      </c>
      <c r="P10" s="38" t="e">
        <f t="shared" si="0"/>
        <v>#DIV/0!</v>
      </c>
    </row>
    <row r="11" spans="1:16" x14ac:dyDescent="0.3">
      <c r="A11" t="s">
        <v>133</v>
      </c>
      <c r="B11" t="s">
        <v>147</v>
      </c>
      <c r="C11" t="s">
        <v>135</v>
      </c>
      <c r="D11" t="s">
        <v>35</v>
      </c>
      <c r="E11" t="s">
        <v>168</v>
      </c>
      <c r="G11" s="8">
        <v>3213</v>
      </c>
      <c r="H11" s="67">
        <v>8.06</v>
      </c>
      <c r="I11">
        <v>828</v>
      </c>
      <c r="J11">
        <v>0</v>
      </c>
      <c r="K11">
        <v>6.1</v>
      </c>
      <c r="N11" s="8">
        <v>22000000</v>
      </c>
      <c r="O11" s="21">
        <f t="shared" si="1"/>
        <v>15399999.999999998</v>
      </c>
      <c r="P11" s="38" t="e">
        <f t="shared" si="0"/>
        <v>#DIV/0!</v>
      </c>
    </row>
    <row r="12" spans="1:16" x14ac:dyDescent="0.3">
      <c r="A12" t="s">
        <v>133</v>
      </c>
      <c r="B12" t="s">
        <v>186</v>
      </c>
      <c r="C12" t="s">
        <v>162</v>
      </c>
      <c r="D12" t="s">
        <v>35</v>
      </c>
      <c r="E12" t="s">
        <v>190</v>
      </c>
      <c r="G12" s="8">
        <v>4852</v>
      </c>
      <c r="H12" s="67">
        <v>4.71</v>
      </c>
      <c r="I12">
        <v>828</v>
      </c>
      <c r="J12">
        <v>0</v>
      </c>
      <c r="K12">
        <v>48.1</v>
      </c>
      <c r="N12" s="8">
        <v>174500000</v>
      </c>
      <c r="O12" s="21">
        <f t="shared" si="1"/>
        <v>122149999.99999999</v>
      </c>
      <c r="P12" s="38" t="e">
        <f t="shared" si="0"/>
        <v>#DIV/0!</v>
      </c>
    </row>
    <row r="13" spans="1:16" x14ac:dyDescent="0.3">
      <c r="A13" t="s">
        <v>133</v>
      </c>
      <c r="B13" t="s">
        <v>134</v>
      </c>
      <c r="C13" t="s">
        <v>162</v>
      </c>
      <c r="D13" t="s">
        <v>35</v>
      </c>
      <c r="E13" t="s">
        <v>191</v>
      </c>
      <c r="G13" s="8">
        <v>5333</v>
      </c>
      <c r="H13" s="67">
        <v>5.9</v>
      </c>
      <c r="I13">
        <v>834</v>
      </c>
      <c r="J13">
        <v>0</v>
      </c>
      <c r="K13">
        <v>18.8</v>
      </c>
      <c r="N13" s="8">
        <v>73500000</v>
      </c>
      <c r="O13" s="21">
        <f t="shared" si="1"/>
        <v>51450000</v>
      </c>
      <c r="P13" s="38" t="e">
        <f t="shared" si="0"/>
        <v>#DIV/0!</v>
      </c>
    </row>
    <row r="14" spans="1:16" x14ac:dyDescent="0.3">
      <c r="A14" t="s">
        <v>133</v>
      </c>
      <c r="B14" t="s">
        <v>134</v>
      </c>
      <c r="C14" t="s">
        <v>162</v>
      </c>
      <c r="D14" t="s">
        <v>35</v>
      </c>
      <c r="E14" t="s">
        <v>192</v>
      </c>
      <c r="G14" s="8">
        <v>5435</v>
      </c>
      <c r="H14" s="67">
        <v>5.82</v>
      </c>
      <c r="I14">
        <v>850</v>
      </c>
      <c r="J14">
        <v>0</v>
      </c>
      <c r="K14">
        <v>32.799999999999997</v>
      </c>
      <c r="N14" s="8">
        <v>109000000</v>
      </c>
      <c r="O14" s="21">
        <f t="shared" si="1"/>
        <v>76300000</v>
      </c>
      <c r="P14" s="38" t="e">
        <f t="shared" ref="P14:P73" si="2">N14/J14</f>
        <v>#DIV/0!</v>
      </c>
    </row>
    <row r="15" spans="1:16" x14ac:dyDescent="0.3">
      <c r="A15" t="s">
        <v>133</v>
      </c>
      <c r="B15" t="s">
        <v>193</v>
      </c>
      <c r="C15" t="s">
        <v>162</v>
      </c>
      <c r="D15" t="s">
        <v>35</v>
      </c>
      <c r="E15" t="s">
        <v>194</v>
      </c>
      <c r="G15" s="8">
        <v>5650</v>
      </c>
      <c r="H15" s="67">
        <v>6.89</v>
      </c>
      <c r="I15">
        <v>834</v>
      </c>
      <c r="J15">
        <v>0</v>
      </c>
      <c r="K15">
        <v>25.2</v>
      </c>
      <c r="N15" s="8">
        <v>85000000</v>
      </c>
      <c r="O15" s="21">
        <f t="shared" si="1"/>
        <v>59499999.999999993</v>
      </c>
      <c r="P15" s="38" t="e">
        <f t="shared" si="2"/>
        <v>#DIV/0!</v>
      </c>
    </row>
    <row r="16" spans="1:16" x14ac:dyDescent="0.3">
      <c r="A16" t="s">
        <v>133</v>
      </c>
      <c r="B16" t="s">
        <v>134</v>
      </c>
      <c r="C16" t="s">
        <v>162</v>
      </c>
      <c r="D16" t="s">
        <v>35</v>
      </c>
      <c r="E16" t="s">
        <v>200</v>
      </c>
      <c r="G16" s="8">
        <v>6028</v>
      </c>
      <c r="H16" s="67">
        <v>6.29</v>
      </c>
      <c r="I16">
        <v>850</v>
      </c>
      <c r="J16">
        <v>0</v>
      </c>
      <c r="K16">
        <v>53.7</v>
      </c>
      <c r="N16" s="8">
        <v>185000000</v>
      </c>
      <c r="O16" s="21">
        <f t="shared" si="1"/>
        <v>129499999.99999999</v>
      </c>
      <c r="P16" s="38" t="e">
        <f t="shared" si="2"/>
        <v>#DIV/0!</v>
      </c>
    </row>
    <row r="17" spans="1:16" x14ac:dyDescent="0.3">
      <c r="A17" t="s">
        <v>133</v>
      </c>
      <c r="B17" t="s">
        <v>134</v>
      </c>
      <c r="C17" t="s">
        <v>162</v>
      </c>
      <c r="D17" t="s">
        <v>35</v>
      </c>
      <c r="E17" t="s">
        <v>205</v>
      </c>
      <c r="G17" s="8">
        <v>6389</v>
      </c>
      <c r="H17" s="67">
        <v>7.15</v>
      </c>
      <c r="I17">
        <v>850</v>
      </c>
      <c r="J17">
        <v>0</v>
      </c>
      <c r="K17">
        <v>43.1</v>
      </c>
      <c r="N17" s="8">
        <v>163000000</v>
      </c>
      <c r="O17" s="21">
        <f t="shared" si="1"/>
        <v>114100000</v>
      </c>
      <c r="P17" s="38" t="e">
        <f t="shared" si="2"/>
        <v>#DIV/0!</v>
      </c>
    </row>
    <row r="18" spans="1:16" x14ac:dyDescent="0.3">
      <c r="A18" t="s">
        <v>133</v>
      </c>
      <c r="B18" t="s">
        <v>186</v>
      </c>
      <c r="C18" t="s">
        <v>162</v>
      </c>
      <c r="D18" t="s">
        <v>35</v>
      </c>
      <c r="E18" t="s">
        <v>207</v>
      </c>
      <c r="G18" s="8">
        <v>7408</v>
      </c>
      <c r="H18" s="67">
        <v>5.72</v>
      </c>
      <c r="I18">
        <v>871</v>
      </c>
      <c r="J18">
        <v>0</v>
      </c>
      <c r="K18">
        <v>65</v>
      </c>
      <c r="N18" s="8">
        <v>203600000</v>
      </c>
      <c r="O18" s="21">
        <f t="shared" si="1"/>
        <v>142520000</v>
      </c>
      <c r="P18" s="38" t="e">
        <f t="shared" si="2"/>
        <v>#DIV/0!</v>
      </c>
    </row>
    <row r="19" spans="1:16" x14ac:dyDescent="0.3">
      <c r="A19" t="s">
        <v>133</v>
      </c>
      <c r="B19" t="s">
        <v>186</v>
      </c>
      <c r="C19" t="s">
        <v>196</v>
      </c>
      <c r="D19" t="s">
        <v>35</v>
      </c>
      <c r="E19" t="s">
        <v>209</v>
      </c>
      <c r="G19" s="8">
        <v>7551</v>
      </c>
      <c r="H19" s="67">
        <v>6.57</v>
      </c>
      <c r="I19">
        <v>850</v>
      </c>
      <c r="J19">
        <v>0</v>
      </c>
      <c r="K19">
        <v>37.299999999999997</v>
      </c>
      <c r="N19" s="8">
        <v>141500000</v>
      </c>
      <c r="O19" s="21">
        <f t="shared" si="1"/>
        <v>99050000</v>
      </c>
      <c r="P19" s="38" t="e">
        <f t="shared" si="2"/>
        <v>#DIV/0!</v>
      </c>
    </row>
    <row r="20" spans="1:16" x14ac:dyDescent="0.3">
      <c r="A20" t="s">
        <v>133</v>
      </c>
      <c r="B20" t="s">
        <v>134</v>
      </c>
      <c r="C20" t="s">
        <v>196</v>
      </c>
      <c r="D20" t="s">
        <v>35</v>
      </c>
      <c r="E20" t="s">
        <v>211</v>
      </c>
      <c r="G20" s="8">
        <v>8130</v>
      </c>
      <c r="H20" s="67">
        <v>5.93</v>
      </c>
      <c r="I20">
        <v>908</v>
      </c>
      <c r="J20">
        <v>0</v>
      </c>
      <c r="K20">
        <v>134</v>
      </c>
      <c r="N20" s="8">
        <v>352000000</v>
      </c>
      <c r="O20" s="21">
        <f t="shared" si="1"/>
        <v>246399999.99999997</v>
      </c>
      <c r="P20" s="38" t="e">
        <f t="shared" si="2"/>
        <v>#DIV/0!</v>
      </c>
    </row>
    <row r="21" spans="1:16" x14ac:dyDescent="0.3">
      <c r="A21" t="s">
        <v>133</v>
      </c>
      <c r="B21" t="s">
        <v>134</v>
      </c>
      <c r="C21" t="s">
        <v>196</v>
      </c>
      <c r="D21" t="s">
        <v>35</v>
      </c>
      <c r="E21" t="s">
        <v>212</v>
      </c>
      <c r="G21" s="8">
        <v>8415</v>
      </c>
      <c r="H21" s="67">
        <v>7.3</v>
      </c>
      <c r="I21">
        <v>876</v>
      </c>
      <c r="J21">
        <v>0</v>
      </c>
      <c r="K21">
        <v>89.6</v>
      </c>
      <c r="N21" s="8">
        <v>270000000</v>
      </c>
      <c r="O21" s="21">
        <f t="shared" si="1"/>
        <v>189000000</v>
      </c>
      <c r="P21" s="38" t="e">
        <f t="shared" si="2"/>
        <v>#DIV/0!</v>
      </c>
    </row>
    <row r="22" spans="1:16" x14ac:dyDescent="0.3">
      <c r="A22" t="s">
        <v>133</v>
      </c>
      <c r="B22" t="s">
        <v>134</v>
      </c>
      <c r="C22" t="s">
        <v>196</v>
      </c>
      <c r="D22" t="s">
        <v>35</v>
      </c>
      <c r="E22" t="s">
        <v>213</v>
      </c>
      <c r="G22" s="8">
        <v>9047</v>
      </c>
      <c r="H22" s="67">
        <v>5.81</v>
      </c>
      <c r="I22">
        <v>892</v>
      </c>
      <c r="J22">
        <v>0</v>
      </c>
      <c r="K22">
        <v>102.9</v>
      </c>
      <c r="N22" s="8">
        <v>295700000</v>
      </c>
      <c r="O22" s="21">
        <f t="shared" si="1"/>
        <v>206990000</v>
      </c>
      <c r="P22" s="38" t="e">
        <f t="shared" si="2"/>
        <v>#DIV/0!</v>
      </c>
    </row>
    <row r="23" spans="1:16" x14ac:dyDescent="0.3">
      <c r="A23" t="s">
        <v>133</v>
      </c>
      <c r="B23" t="s">
        <v>140</v>
      </c>
      <c r="C23" t="s">
        <v>135</v>
      </c>
      <c r="D23" t="s">
        <v>136</v>
      </c>
      <c r="E23" t="s">
        <v>141</v>
      </c>
      <c r="G23" s="8">
        <v>1433</v>
      </c>
      <c r="H23" s="67">
        <v>9.9499999999999993</v>
      </c>
      <c r="I23">
        <v>547</v>
      </c>
      <c r="J23">
        <v>30</v>
      </c>
      <c r="K23">
        <v>3.5</v>
      </c>
      <c r="N23" s="8">
        <v>10500000</v>
      </c>
      <c r="O23" s="21">
        <f t="shared" si="1"/>
        <v>7349999.9999999991</v>
      </c>
      <c r="P23" s="38">
        <f t="shared" si="2"/>
        <v>350000</v>
      </c>
    </row>
    <row r="24" spans="1:16" x14ac:dyDescent="0.3">
      <c r="A24" t="s">
        <v>133</v>
      </c>
      <c r="B24" t="s">
        <v>142</v>
      </c>
      <c r="C24" t="s">
        <v>135</v>
      </c>
      <c r="D24" t="s">
        <v>136</v>
      </c>
      <c r="E24" t="s">
        <v>143</v>
      </c>
      <c r="G24" s="8">
        <v>2555</v>
      </c>
      <c r="H24" s="67">
        <v>8.06</v>
      </c>
      <c r="I24">
        <v>552</v>
      </c>
      <c r="J24">
        <v>30</v>
      </c>
      <c r="K24">
        <v>3.3</v>
      </c>
      <c r="N24" s="8">
        <v>10700000</v>
      </c>
      <c r="O24" s="21">
        <f t="shared" si="1"/>
        <v>7489999.9999999991</v>
      </c>
      <c r="P24" s="38">
        <f t="shared" si="2"/>
        <v>356666.66666666669</v>
      </c>
    </row>
    <row r="25" spans="1:16" x14ac:dyDescent="0.3">
      <c r="A25" t="s">
        <v>133</v>
      </c>
      <c r="B25" t="s">
        <v>134</v>
      </c>
      <c r="C25" t="s">
        <v>135</v>
      </c>
      <c r="D25" t="s">
        <v>136</v>
      </c>
      <c r="E25" t="s">
        <v>137</v>
      </c>
      <c r="G25" s="8">
        <v>2420</v>
      </c>
      <c r="H25" s="67">
        <v>8.3699999999999992</v>
      </c>
      <c r="I25">
        <v>312</v>
      </c>
      <c r="J25">
        <v>32</v>
      </c>
      <c r="K25">
        <v>3.2</v>
      </c>
      <c r="N25" s="8">
        <v>7500000</v>
      </c>
      <c r="O25" s="21">
        <f t="shared" si="1"/>
        <v>5250000</v>
      </c>
      <c r="P25" s="38">
        <f t="shared" si="2"/>
        <v>234375</v>
      </c>
    </row>
    <row r="26" spans="1:16" x14ac:dyDescent="0.3">
      <c r="A26" t="s">
        <v>133</v>
      </c>
      <c r="B26" t="s">
        <v>144</v>
      </c>
      <c r="C26" t="s">
        <v>135</v>
      </c>
      <c r="D26" t="s">
        <v>136</v>
      </c>
      <c r="E26" t="s">
        <v>145</v>
      </c>
      <c r="G26" s="8">
        <v>1735</v>
      </c>
      <c r="H26" s="67">
        <v>9.92</v>
      </c>
      <c r="I26">
        <v>467</v>
      </c>
      <c r="J26">
        <v>37</v>
      </c>
      <c r="K26">
        <v>3.7</v>
      </c>
      <c r="N26" s="8">
        <v>12928000</v>
      </c>
      <c r="O26" s="21">
        <f t="shared" si="1"/>
        <v>9049600</v>
      </c>
      <c r="P26" s="38">
        <f t="shared" si="2"/>
        <v>349405.40540540538</v>
      </c>
    </row>
    <row r="27" spans="1:16" x14ac:dyDescent="0.3">
      <c r="A27" t="s">
        <v>133</v>
      </c>
      <c r="B27" t="s">
        <v>142</v>
      </c>
      <c r="C27" t="s">
        <v>135</v>
      </c>
      <c r="D27" t="s">
        <v>136</v>
      </c>
      <c r="E27" t="s">
        <v>156</v>
      </c>
      <c r="G27" s="8">
        <v>3243</v>
      </c>
      <c r="H27" s="67">
        <v>9.8699999999999992</v>
      </c>
      <c r="I27">
        <v>828</v>
      </c>
      <c r="J27">
        <v>37</v>
      </c>
      <c r="K27">
        <v>4.5</v>
      </c>
      <c r="N27" s="8">
        <v>18500000</v>
      </c>
      <c r="O27" s="21">
        <f t="shared" si="1"/>
        <v>12950000</v>
      </c>
      <c r="P27" s="38">
        <f t="shared" si="2"/>
        <v>500000</v>
      </c>
    </row>
    <row r="28" spans="1:16" x14ac:dyDescent="0.3">
      <c r="A28" t="s">
        <v>133</v>
      </c>
      <c r="B28" t="s">
        <v>147</v>
      </c>
      <c r="C28" t="s">
        <v>135</v>
      </c>
      <c r="D28" t="s">
        <v>136</v>
      </c>
      <c r="E28" t="s">
        <v>148</v>
      </c>
      <c r="G28" s="8">
        <v>1796</v>
      </c>
      <c r="H28" s="67">
        <v>8.14</v>
      </c>
      <c r="I28">
        <v>537</v>
      </c>
      <c r="J28">
        <v>40</v>
      </c>
      <c r="K28">
        <v>4.5999999999999996</v>
      </c>
      <c r="N28" s="8">
        <v>13130000</v>
      </c>
      <c r="O28" s="21">
        <f t="shared" si="1"/>
        <v>9191000</v>
      </c>
      <c r="P28" s="38">
        <f t="shared" si="2"/>
        <v>328250</v>
      </c>
    </row>
    <row r="29" spans="1:16" x14ac:dyDescent="0.3">
      <c r="A29" t="s">
        <v>133</v>
      </c>
      <c r="B29" t="s">
        <v>142</v>
      </c>
      <c r="C29" t="s">
        <v>135</v>
      </c>
      <c r="D29" t="s">
        <v>136</v>
      </c>
      <c r="E29" t="s">
        <v>158</v>
      </c>
      <c r="G29" s="8">
        <v>3057</v>
      </c>
      <c r="H29" s="67">
        <v>8.81</v>
      </c>
      <c r="I29">
        <v>828</v>
      </c>
      <c r="J29">
        <v>44</v>
      </c>
      <c r="K29">
        <v>5.3</v>
      </c>
      <c r="N29" s="8">
        <v>21500000</v>
      </c>
      <c r="O29" s="21">
        <f t="shared" si="1"/>
        <v>15049999.999999998</v>
      </c>
      <c r="P29" s="38">
        <f t="shared" si="2"/>
        <v>488636.36363636365</v>
      </c>
    </row>
    <row r="30" spans="1:16" x14ac:dyDescent="0.3">
      <c r="A30" t="s">
        <v>133</v>
      </c>
      <c r="B30" t="s">
        <v>138</v>
      </c>
      <c r="C30" t="s">
        <v>135</v>
      </c>
      <c r="D30" t="s">
        <v>136</v>
      </c>
      <c r="E30" t="s">
        <v>151</v>
      </c>
      <c r="G30" s="8">
        <v>1555</v>
      </c>
      <c r="H30" s="67">
        <v>8.09</v>
      </c>
      <c r="I30">
        <v>540</v>
      </c>
      <c r="J30">
        <v>50</v>
      </c>
      <c r="K30">
        <v>5.4</v>
      </c>
      <c r="N30" s="8">
        <v>15040000</v>
      </c>
      <c r="O30" s="21">
        <f t="shared" si="1"/>
        <v>10528000</v>
      </c>
      <c r="P30" s="38">
        <f t="shared" si="2"/>
        <v>300800</v>
      </c>
    </row>
    <row r="31" spans="1:16" x14ac:dyDescent="0.3">
      <c r="A31" t="s">
        <v>133</v>
      </c>
      <c r="B31" t="s">
        <v>138</v>
      </c>
      <c r="C31" t="s">
        <v>135</v>
      </c>
      <c r="D31" t="s">
        <v>136</v>
      </c>
      <c r="E31" t="s">
        <v>152</v>
      </c>
      <c r="G31" s="8">
        <v>1629</v>
      </c>
      <c r="H31" s="67">
        <v>7.73</v>
      </c>
      <c r="I31">
        <v>540</v>
      </c>
      <c r="J31">
        <v>50</v>
      </c>
      <c r="K31">
        <v>5.9</v>
      </c>
      <c r="N31" s="8">
        <v>15416000</v>
      </c>
      <c r="O31" s="21">
        <f t="shared" si="1"/>
        <v>10791200</v>
      </c>
      <c r="P31" s="38">
        <f t="shared" si="2"/>
        <v>308320</v>
      </c>
    </row>
    <row r="32" spans="1:16" x14ac:dyDescent="0.3">
      <c r="A32" t="s">
        <v>133</v>
      </c>
      <c r="B32" t="s">
        <v>147</v>
      </c>
      <c r="C32" t="s">
        <v>135</v>
      </c>
      <c r="D32" t="s">
        <v>136</v>
      </c>
      <c r="E32" t="s">
        <v>159</v>
      </c>
      <c r="G32" s="8">
        <v>3650</v>
      </c>
      <c r="H32" s="67">
        <v>8.06</v>
      </c>
      <c r="I32">
        <v>828</v>
      </c>
      <c r="J32">
        <v>50</v>
      </c>
      <c r="K32">
        <v>6.1</v>
      </c>
      <c r="N32" s="8">
        <v>23000000</v>
      </c>
      <c r="O32" s="21">
        <f t="shared" si="1"/>
        <v>16099999.999999998</v>
      </c>
      <c r="P32" s="38">
        <f t="shared" si="2"/>
        <v>460000</v>
      </c>
    </row>
    <row r="33" spans="1:16" x14ac:dyDescent="0.3">
      <c r="A33" t="s">
        <v>133</v>
      </c>
      <c r="B33" t="s">
        <v>142</v>
      </c>
      <c r="C33" t="s">
        <v>135</v>
      </c>
      <c r="D33" t="s">
        <v>136</v>
      </c>
      <c r="E33" t="s">
        <v>161</v>
      </c>
      <c r="G33" s="8">
        <v>2872</v>
      </c>
      <c r="H33" s="67">
        <v>8.25</v>
      </c>
      <c r="I33">
        <v>828</v>
      </c>
      <c r="J33">
        <v>50</v>
      </c>
      <c r="K33">
        <v>5.8</v>
      </c>
      <c r="N33" s="8">
        <v>24000000</v>
      </c>
      <c r="O33" s="21">
        <f t="shared" si="1"/>
        <v>16800000</v>
      </c>
      <c r="P33" s="38">
        <f t="shared" si="2"/>
        <v>480000</v>
      </c>
    </row>
    <row r="34" spans="1:16" x14ac:dyDescent="0.3">
      <c r="A34" t="s">
        <v>133</v>
      </c>
      <c r="B34" t="s">
        <v>142</v>
      </c>
      <c r="C34" t="s">
        <v>162</v>
      </c>
      <c r="D34" t="s">
        <v>136</v>
      </c>
      <c r="E34" t="s">
        <v>163</v>
      </c>
      <c r="G34" s="8">
        <v>3706</v>
      </c>
      <c r="H34" s="67">
        <v>7.43</v>
      </c>
      <c r="I34">
        <v>850</v>
      </c>
      <c r="J34">
        <v>50</v>
      </c>
      <c r="K34">
        <v>6</v>
      </c>
      <c r="N34" s="8">
        <v>25500000</v>
      </c>
      <c r="O34" s="21">
        <f t="shared" si="1"/>
        <v>17850000</v>
      </c>
      <c r="P34" s="38">
        <f t="shared" si="2"/>
        <v>510000</v>
      </c>
    </row>
    <row r="35" spans="1:16" x14ac:dyDescent="0.3">
      <c r="A35" t="s">
        <v>133</v>
      </c>
      <c r="B35" t="s">
        <v>147</v>
      </c>
      <c r="C35" t="s">
        <v>135</v>
      </c>
      <c r="D35" t="s">
        <v>136</v>
      </c>
      <c r="E35" t="s">
        <v>155</v>
      </c>
      <c r="G35" s="8">
        <v>2274</v>
      </c>
      <c r="H35" s="67">
        <v>8.2799999999999994</v>
      </c>
      <c r="I35">
        <v>537</v>
      </c>
      <c r="J35">
        <v>56</v>
      </c>
      <c r="K35">
        <v>6.1</v>
      </c>
      <c r="N35" s="8">
        <v>17000000</v>
      </c>
      <c r="O35" s="21">
        <f t="shared" si="1"/>
        <v>11900000</v>
      </c>
      <c r="P35" s="38">
        <f t="shared" si="2"/>
        <v>303571.42857142858</v>
      </c>
    </row>
    <row r="36" spans="1:16" x14ac:dyDescent="0.3">
      <c r="A36" t="s">
        <v>133</v>
      </c>
      <c r="B36" t="s">
        <v>138</v>
      </c>
      <c r="C36" t="s">
        <v>135</v>
      </c>
      <c r="D36" t="s">
        <v>35</v>
      </c>
      <c r="E36" t="s">
        <v>150</v>
      </c>
      <c r="G36" s="8">
        <v>1731</v>
      </c>
      <c r="H36" s="67">
        <v>7.23</v>
      </c>
      <c r="I36">
        <v>500</v>
      </c>
      <c r="J36">
        <v>74</v>
      </c>
      <c r="K36">
        <v>8</v>
      </c>
      <c r="N36" s="8">
        <v>21620000</v>
      </c>
      <c r="O36" s="21">
        <f t="shared" si="1"/>
        <v>15133999.999999998</v>
      </c>
      <c r="P36" s="38">
        <f t="shared" si="2"/>
        <v>292162.16216216219</v>
      </c>
    </row>
    <row r="37" spans="1:16" x14ac:dyDescent="0.3">
      <c r="A37" t="s">
        <v>133</v>
      </c>
      <c r="B37" t="s">
        <v>138</v>
      </c>
      <c r="C37" t="s">
        <v>135</v>
      </c>
      <c r="D37" t="s">
        <v>136</v>
      </c>
      <c r="E37" t="s">
        <v>157</v>
      </c>
      <c r="G37" s="8">
        <v>1648</v>
      </c>
      <c r="H37" s="67">
        <v>7.59</v>
      </c>
      <c r="I37">
        <v>500</v>
      </c>
      <c r="J37">
        <v>74</v>
      </c>
      <c r="K37">
        <v>7.5</v>
      </c>
      <c r="N37" s="8">
        <v>21244000</v>
      </c>
      <c r="O37" s="21">
        <f t="shared" si="1"/>
        <v>14870799.999999998</v>
      </c>
      <c r="P37" s="38">
        <f t="shared" si="2"/>
        <v>287081.08108108107</v>
      </c>
    </row>
    <row r="38" spans="1:16" x14ac:dyDescent="0.3">
      <c r="A38" t="s">
        <v>133</v>
      </c>
      <c r="B38" t="s">
        <v>147</v>
      </c>
      <c r="C38" t="s">
        <v>135</v>
      </c>
      <c r="D38" t="s">
        <v>136</v>
      </c>
      <c r="E38" t="s">
        <v>166</v>
      </c>
      <c r="G38" s="8">
        <v>3699</v>
      </c>
      <c r="H38" s="67">
        <v>6.93</v>
      </c>
      <c r="I38">
        <v>834</v>
      </c>
      <c r="J38">
        <v>78</v>
      </c>
      <c r="K38">
        <v>8.5</v>
      </c>
      <c r="N38" s="8">
        <v>33200000</v>
      </c>
      <c r="O38" s="21">
        <f t="shared" si="1"/>
        <v>23240000</v>
      </c>
      <c r="P38" s="38">
        <f t="shared" si="2"/>
        <v>425641.02564102563</v>
      </c>
    </row>
    <row r="39" spans="1:16" x14ac:dyDescent="0.3">
      <c r="A39" t="s">
        <v>133</v>
      </c>
      <c r="B39" t="s">
        <v>147</v>
      </c>
      <c r="C39" t="s">
        <v>135</v>
      </c>
      <c r="D39" t="s">
        <v>136</v>
      </c>
      <c r="E39" t="s">
        <v>165</v>
      </c>
      <c r="G39" s="8">
        <v>2400</v>
      </c>
      <c r="H39" s="67">
        <v>6.29</v>
      </c>
      <c r="I39">
        <v>667</v>
      </c>
      <c r="J39">
        <v>80</v>
      </c>
      <c r="K39">
        <v>8.5</v>
      </c>
      <c r="N39" s="8">
        <v>26500000</v>
      </c>
      <c r="O39" s="21">
        <f t="shared" si="1"/>
        <v>18550000</v>
      </c>
      <c r="P39" s="38">
        <f t="shared" si="2"/>
        <v>331250</v>
      </c>
    </row>
    <row r="40" spans="1:16" x14ac:dyDescent="0.3">
      <c r="A40" t="s">
        <v>133</v>
      </c>
      <c r="B40" t="s">
        <v>142</v>
      </c>
      <c r="C40" t="s">
        <v>162</v>
      </c>
      <c r="D40" t="s">
        <v>136</v>
      </c>
      <c r="E40" t="s">
        <v>167</v>
      </c>
      <c r="G40" s="8">
        <v>3891</v>
      </c>
      <c r="H40" s="67">
        <v>6.91</v>
      </c>
      <c r="I40">
        <v>828</v>
      </c>
      <c r="J40">
        <v>80</v>
      </c>
      <c r="K40">
        <v>9.8000000000000007</v>
      </c>
      <c r="N40" s="8">
        <v>33500000</v>
      </c>
      <c r="O40" s="21">
        <f t="shared" si="1"/>
        <v>23450000</v>
      </c>
      <c r="P40" s="38">
        <f t="shared" si="2"/>
        <v>418750</v>
      </c>
    </row>
    <row r="41" spans="1:16" x14ac:dyDescent="0.3">
      <c r="A41" t="s">
        <v>133</v>
      </c>
      <c r="B41" t="s">
        <v>142</v>
      </c>
      <c r="C41" t="s">
        <v>162</v>
      </c>
      <c r="D41" t="s">
        <v>136</v>
      </c>
      <c r="E41" t="s">
        <v>169</v>
      </c>
      <c r="G41" s="8">
        <v>3706</v>
      </c>
      <c r="H41" s="67">
        <v>6.6</v>
      </c>
      <c r="I41">
        <v>828</v>
      </c>
      <c r="J41">
        <v>88</v>
      </c>
      <c r="K41">
        <v>10.4</v>
      </c>
      <c r="N41" s="8">
        <v>37000000</v>
      </c>
      <c r="O41" s="21">
        <f t="shared" si="1"/>
        <v>25900000</v>
      </c>
      <c r="P41" s="38">
        <f t="shared" si="2"/>
        <v>420454.54545454547</v>
      </c>
    </row>
    <row r="42" spans="1:16" x14ac:dyDescent="0.3">
      <c r="A42" t="s">
        <v>133</v>
      </c>
      <c r="B42" t="s">
        <v>147</v>
      </c>
      <c r="C42" t="s">
        <v>135</v>
      </c>
      <c r="D42" t="s">
        <v>136</v>
      </c>
      <c r="E42" t="s">
        <v>170</v>
      </c>
      <c r="G42" s="8">
        <v>3407</v>
      </c>
      <c r="H42" s="67">
        <v>6.63</v>
      </c>
      <c r="I42">
        <v>850</v>
      </c>
      <c r="J42">
        <v>90</v>
      </c>
      <c r="K42">
        <v>10.6</v>
      </c>
      <c r="N42" s="8">
        <v>38200000</v>
      </c>
      <c r="O42" s="21">
        <f t="shared" si="1"/>
        <v>26740000</v>
      </c>
      <c r="P42" s="38">
        <f t="shared" si="2"/>
        <v>424444.44444444444</v>
      </c>
    </row>
    <row r="43" spans="1:16" x14ac:dyDescent="0.3">
      <c r="A43" t="s">
        <v>133</v>
      </c>
      <c r="B43" t="s">
        <v>171</v>
      </c>
      <c r="C43" t="s">
        <v>162</v>
      </c>
      <c r="D43" t="s">
        <v>136</v>
      </c>
      <c r="E43" t="s">
        <v>172</v>
      </c>
      <c r="G43" s="8">
        <v>4578</v>
      </c>
      <c r="H43" s="67">
        <v>6.52</v>
      </c>
      <c r="I43">
        <v>828</v>
      </c>
      <c r="J43">
        <v>98</v>
      </c>
      <c r="K43">
        <v>12.2</v>
      </c>
      <c r="N43" s="8">
        <v>42500000</v>
      </c>
      <c r="O43" s="21">
        <f t="shared" si="1"/>
        <v>29749999.999999996</v>
      </c>
      <c r="P43" s="38">
        <f t="shared" si="2"/>
        <v>433673.46938775509</v>
      </c>
    </row>
    <row r="44" spans="1:16" x14ac:dyDescent="0.3">
      <c r="A44" t="s">
        <v>133</v>
      </c>
      <c r="B44" t="s">
        <v>147</v>
      </c>
      <c r="C44" t="s">
        <v>135</v>
      </c>
      <c r="D44" t="s">
        <v>136</v>
      </c>
      <c r="E44" t="s">
        <v>175</v>
      </c>
      <c r="G44" s="8">
        <v>3129</v>
      </c>
      <c r="H44" s="67">
        <v>5.95</v>
      </c>
      <c r="I44">
        <v>850</v>
      </c>
      <c r="J44">
        <v>104</v>
      </c>
      <c r="K44">
        <v>12</v>
      </c>
      <c r="N44" s="8">
        <v>43200000</v>
      </c>
      <c r="O44" s="21">
        <f t="shared" si="1"/>
        <v>30239999.999999996</v>
      </c>
      <c r="P44" s="38">
        <f t="shared" si="2"/>
        <v>415384.61538461538</v>
      </c>
    </row>
    <row r="45" spans="1:16" x14ac:dyDescent="0.3">
      <c r="A45" t="s">
        <v>133</v>
      </c>
      <c r="B45" t="s">
        <v>142</v>
      </c>
      <c r="C45" t="s">
        <v>162</v>
      </c>
      <c r="D45" t="s">
        <v>136</v>
      </c>
      <c r="E45" t="s">
        <v>176</v>
      </c>
      <c r="G45" s="8">
        <v>4447</v>
      </c>
      <c r="H45" s="67">
        <v>5.85</v>
      </c>
      <c r="I45">
        <v>828</v>
      </c>
      <c r="J45">
        <v>114</v>
      </c>
      <c r="K45">
        <v>13.1</v>
      </c>
      <c r="N45" s="8">
        <v>46500000</v>
      </c>
      <c r="O45" s="21">
        <f t="shared" si="1"/>
        <v>32549999.999999996</v>
      </c>
      <c r="P45" s="38">
        <f t="shared" si="2"/>
        <v>407894.73684210528</v>
      </c>
    </row>
    <row r="46" spans="1:16" x14ac:dyDescent="0.3">
      <c r="A46" t="s">
        <v>133</v>
      </c>
      <c r="B46" t="s">
        <v>179</v>
      </c>
      <c r="C46" t="s">
        <v>135</v>
      </c>
      <c r="D46" t="s">
        <v>136</v>
      </c>
      <c r="E46" t="s">
        <v>180</v>
      </c>
      <c r="G46" s="8">
        <v>2461</v>
      </c>
      <c r="H46" s="67">
        <v>7.48</v>
      </c>
      <c r="I46">
        <v>765</v>
      </c>
      <c r="J46">
        <v>118</v>
      </c>
      <c r="K46">
        <v>11.8</v>
      </c>
      <c r="N46" s="8">
        <v>56700000</v>
      </c>
      <c r="O46" s="21">
        <f t="shared" si="1"/>
        <v>39690000</v>
      </c>
      <c r="P46" s="38">
        <f t="shared" si="2"/>
        <v>480508.4745762712</v>
      </c>
    </row>
    <row r="47" spans="1:16" x14ac:dyDescent="0.3">
      <c r="A47" t="s">
        <v>133</v>
      </c>
      <c r="B47" t="s">
        <v>173</v>
      </c>
      <c r="C47" t="s">
        <v>135</v>
      </c>
      <c r="D47" t="s">
        <v>136</v>
      </c>
      <c r="E47" t="s">
        <v>174</v>
      </c>
      <c r="G47" s="8">
        <v>3167</v>
      </c>
      <c r="H47" s="67">
        <v>6.41</v>
      </c>
      <c r="I47">
        <v>755</v>
      </c>
      <c r="J47">
        <v>122</v>
      </c>
      <c r="K47">
        <v>12.2</v>
      </c>
      <c r="N47" s="8">
        <v>43000000</v>
      </c>
      <c r="O47" s="21">
        <f t="shared" si="1"/>
        <v>30099999.999999996</v>
      </c>
      <c r="P47" s="38">
        <f t="shared" si="2"/>
        <v>352459.01639344264</v>
      </c>
    </row>
    <row r="48" spans="1:16" x14ac:dyDescent="0.3">
      <c r="A48" t="s">
        <v>133</v>
      </c>
      <c r="B48" t="s">
        <v>142</v>
      </c>
      <c r="C48" t="s">
        <v>162</v>
      </c>
      <c r="D48" t="s">
        <v>136</v>
      </c>
      <c r="E48" t="s">
        <v>177</v>
      </c>
      <c r="G48" s="8">
        <v>4077</v>
      </c>
      <c r="H48" s="67">
        <v>5.87</v>
      </c>
      <c r="I48">
        <v>828</v>
      </c>
      <c r="J48">
        <v>124</v>
      </c>
      <c r="K48">
        <v>13.6</v>
      </c>
      <c r="N48" s="8">
        <v>49000000</v>
      </c>
      <c r="O48" s="21">
        <f t="shared" si="1"/>
        <v>34300000</v>
      </c>
      <c r="P48" s="38">
        <f t="shared" si="2"/>
        <v>395161.29032258067</v>
      </c>
    </row>
    <row r="49" spans="1:16" x14ac:dyDescent="0.3">
      <c r="A49" t="s">
        <v>133</v>
      </c>
      <c r="B49" t="s">
        <v>181</v>
      </c>
      <c r="C49" t="s">
        <v>162</v>
      </c>
      <c r="D49" t="s">
        <v>136</v>
      </c>
      <c r="E49" t="s">
        <v>225</v>
      </c>
      <c r="G49" s="8">
        <v>6222</v>
      </c>
      <c r="H49" s="67">
        <v>27.84</v>
      </c>
      <c r="I49">
        <v>2145</v>
      </c>
      <c r="J49">
        <v>128</v>
      </c>
      <c r="K49">
        <v>12.8</v>
      </c>
      <c r="N49" s="8">
        <v>250000000</v>
      </c>
      <c r="O49" s="21">
        <f t="shared" si="1"/>
        <v>175000000</v>
      </c>
      <c r="P49" s="38">
        <f t="shared" si="2"/>
        <v>1953125</v>
      </c>
    </row>
    <row r="50" spans="1:16" x14ac:dyDescent="0.3">
      <c r="A50" t="s">
        <v>133</v>
      </c>
      <c r="B50" t="s">
        <v>181</v>
      </c>
      <c r="C50" t="s">
        <v>135</v>
      </c>
      <c r="D50" t="s">
        <v>136</v>
      </c>
      <c r="E50" t="s">
        <v>182</v>
      </c>
      <c r="G50" s="8">
        <v>1727</v>
      </c>
      <c r="H50" s="67">
        <v>9.1999999999999993</v>
      </c>
      <c r="I50">
        <v>800</v>
      </c>
      <c r="J50">
        <v>130</v>
      </c>
      <c r="K50">
        <v>13</v>
      </c>
      <c r="N50" s="8">
        <v>64000000</v>
      </c>
      <c r="O50" s="21">
        <f t="shared" si="1"/>
        <v>44800000</v>
      </c>
      <c r="P50" s="38">
        <f t="shared" si="2"/>
        <v>492307.69230769231</v>
      </c>
    </row>
    <row r="51" spans="1:16" x14ac:dyDescent="0.3">
      <c r="A51" t="s">
        <v>133</v>
      </c>
      <c r="B51" t="s">
        <v>134</v>
      </c>
      <c r="C51" t="s">
        <v>135</v>
      </c>
      <c r="D51" t="s">
        <v>136</v>
      </c>
      <c r="E51" t="s">
        <v>185</v>
      </c>
      <c r="G51" s="8">
        <v>2659</v>
      </c>
      <c r="H51" s="67">
        <v>8.2200000000000006</v>
      </c>
      <c r="I51">
        <v>890</v>
      </c>
      <c r="J51">
        <v>131</v>
      </c>
      <c r="K51">
        <v>13.8</v>
      </c>
      <c r="N51" s="8">
        <v>68000000</v>
      </c>
      <c r="O51" s="21">
        <f t="shared" si="1"/>
        <v>47600000</v>
      </c>
      <c r="P51" s="38">
        <f t="shared" si="2"/>
        <v>519083.96946564887</v>
      </c>
    </row>
    <row r="52" spans="1:16" x14ac:dyDescent="0.3">
      <c r="A52" t="s">
        <v>133</v>
      </c>
      <c r="B52" t="s">
        <v>134</v>
      </c>
      <c r="C52" t="s">
        <v>162</v>
      </c>
      <c r="D52" t="s">
        <v>136</v>
      </c>
      <c r="E52" t="s">
        <v>183</v>
      </c>
      <c r="G52" s="8">
        <v>5976</v>
      </c>
      <c r="H52" s="67">
        <v>6.11</v>
      </c>
      <c r="I52">
        <v>834</v>
      </c>
      <c r="J52">
        <v>132</v>
      </c>
      <c r="K52">
        <v>15.6</v>
      </c>
      <c r="N52" s="8">
        <v>64000000</v>
      </c>
      <c r="O52" s="21">
        <f t="shared" si="1"/>
        <v>44800000</v>
      </c>
      <c r="P52" s="38">
        <f t="shared" si="2"/>
        <v>484848.48484848486</v>
      </c>
    </row>
    <row r="53" spans="1:16" x14ac:dyDescent="0.3">
      <c r="A53" t="s">
        <v>133</v>
      </c>
      <c r="B53" t="s">
        <v>134</v>
      </c>
      <c r="C53" t="s">
        <v>162</v>
      </c>
      <c r="D53" t="s">
        <v>136</v>
      </c>
      <c r="E53" t="s">
        <v>184</v>
      </c>
      <c r="G53" s="8">
        <v>4725</v>
      </c>
      <c r="H53" s="67">
        <v>5.97</v>
      </c>
      <c r="I53">
        <v>786</v>
      </c>
      <c r="J53">
        <v>132</v>
      </c>
      <c r="K53">
        <v>15.2</v>
      </c>
      <c r="N53" s="8">
        <v>64200000</v>
      </c>
      <c r="O53" s="21">
        <f t="shared" si="1"/>
        <v>44940000</v>
      </c>
      <c r="P53" s="38">
        <f t="shared" si="2"/>
        <v>486363.63636363635</v>
      </c>
    </row>
    <row r="54" spans="1:16" x14ac:dyDescent="0.3">
      <c r="A54" t="s">
        <v>133</v>
      </c>
      <c r="B54" t="s">
        <v>134</v>
      </c>
      <c r="C54" t="s">
        <v>162</v>
      </c>
      <c r="D54" t="s">
        <v>136</v>
      </c>
      <c r="E54" t="s">
        <v>178</v>
      </c>
      <c r="G54" s="8">
        <v>3815</v>
      </c>
      <c r="H54" s="67">
        <v>6.03</v>
      </c>
      <c r="I54">
        <v>828</v>
      </c>
      <c r="J54">
        <v>134</v>
      </c>
      <c r="K54">
        <v>14.5</v>
      </c>
      <c r="N54" s="8">
        <v>56300000</v>
      </c>
      <c r="O54" s="21">
        <f t="shared" si="1"/>
        <v>39410000</v>
      </c>
      <c r="P54" s="38">
        <f t="shared" si="2"/>
        <v>420149.25373134325</v>
      </c>
    </row>
    <row r="55" spans="1:16" x14ac:dyDescent="0.3">
      <c r="A55" t="s">
        <v>133</v>
      </c>
      <c r="B55" t="s">
        <v>186</v>
      </c>
      <c r="C55" t="s">
        <v>162</v>
      </c>
      <c r="D55" t="s">
        <v>136</v>
      </c>
      <c r="E55" t="s">
        <v>187</v>
      </c>
      <c r="G55" s="8">
        <v>6019</v>
      </c>
      <c r="H55" s="67">
        <v>5.39</v>
      </c>
      <c r="I55">
        <v>828</v>
      </c>
      <c r="J55">
        <v>136</v>
      </c>
      <c r="K55">
        <v>13.6</v>
      </c>
      <c r="N55" s="8">
        <v>70100000</v>
      </c>
      <c r="O55" s="21">
        <f t="shared" si="1"/>
        <v>49070000</v>
      </c>
      <c r="P55" s="38">
        <f t="shared" si="2"/>
        <v>515441.17647058825</v>
      </c>
    </row>
    <row r="56" spans="1:16" x14ac:dyDescent="0.3">
      <c r="A56" t="s">
        <v>133</v>
      </c>
      <c r="B56" t="s">
        <v>134</v>
      </c>
      <c r="C56" t="s">
        <v>162</v>
      </c>
      <c r="D56" t="s">
        <v>136</v>
      </c>
      <c r="E56" t="s">
        <v>188</v>
      </c>
      <c r="G56" s="8">
        <v>4540</v>
      </c>
      <c r="H56" s="67">
        <v>6.52</v>
      </c>
      <c r="I56">
        <v>786</v>
      </c>
      <c r="J56">
        <v>149</v>
      </c>
      <c r="K56">
        <v>16.100000000000001</v>
      </c>
      <c r="N56" s="8">
        <v>73300000</v>
      </c>
      <c r="O56" s="21">
        <f t="shared" si="1"/>
        <v>51310000</v>
      </c>
      <c r="P56" s="38">
        <f t="shared" si="2"/>
        <v>491946.3087248322</v>
      </c>
    </row>
    <row r="57" spans="1:16" x14ac:dyDescent="0.3">
      <c r="A57" t="s">
        <v>133</v>
      </c>
      <c r="B57" t="s">
        <v>134</v>
      </c>
      <c r="C57" t="s">
        <v>162</v>
      </c>
      <c r="D57" t="s">
        <v>136</v>
      </c>
      <c r="E57" t="s">
        <v>189</v>
      </c>
      <c r="G57" s="8">
        <v>6374</v>
      </c>
      <c r="H57" s="67">
        <v>5.07</v>
      </c>
      <c r="I57">
        <v>834</v>
      </c>
      <c r="J57">
        <v>149</v>
      </c>
      <c r="K57">
        <v>17.5</v>
      </c>
      <c r="N57" s="8">
        <v>74800000</v>
      </c>
      <c r="O57" s="21">
        <f t="shared" si="1"/>
        <v>52360000</v>
      </c>
      <c r="P57" s="38">
        <f t="shared" si="2"/>
        <v>502013.42281879194</v>
      </c>
    </row>
    <row r="58" spans="1:16" x14ac:dyDescent="0.3">
      <c r="A58" t="s">
        <v>133</v>
      </c>
      <c r="B58" t="s">
        <v>134</v>
      </c>
      <c r="C58" t="s">
        <v>196</v>
      </c>
      <c r="D58" t="s">
        <v>136</v>
      </c>
      <c r="E58" t="s">
        <v>197</v>
      </c>
      <c r="G58" s="8">
        <v>9080</v>
      </c>
      <c r="H58" s="67">
        <v>5.55</v>
      </c>
      <c r="I58">
        <v>834</v>
      </c>
      <c r="J58">
        <v>149</v>
      </c>
      <c r="K58">
        <v>17</v>
      </c>
      <c r="N58" s="8">
        <v>81300000</v>
      </c>
      <c r="O58" s="21">
        <f t="shared" ref="O58:O90" si="3">N58*$O$2</f>
        <v>56910000</v>
      </c>
      <c r="P58" s="38">
        <f t="shared" si="2"/>
        <v>545637.58389261749</v>
      </c>
    </row>
    <row r="59" spans="1:16" x14ac:dyDescent="0.3">
      <c r="A59" t="s">
        <v>133</v>
      </c>
      <c r="B59" t="s">
        <v>186</v>
      </c>
      <c r="C59" t="s">
        <v>162</v>
      </c>
      <c r="D59" t="s">
        <v>136</v>
      </c>
      <c r="E59" t="s">
        <v>198</v>
      </c>
      <c r="G59" s="8">
        <v>7130</v>
      </c>
      <c r="H59" s="67">
        <v>4.8099999999999996</v>
      </c>
      <c r="I59">
        <v>828</v>
      </c>
      <c r="J59">
        <v>160</v>
      </c>
      <c r="K59">
        <v>16</v>
      </c>
      <c r="N59" s="8">
        <v>83600000</v>
      </c>
      <c r="O59" s="21">
        <f t="shared" si="3"/>
        <v>58520000</v>
      </c>
      <c r="P59" s="38">
        <f t="shared" si="2"/>
        <v>522500</v>
      </c>
    </row>
    <row r="60" spans="1:16" x14ac:dyDescent="0.3">
      <c r="A60" t="s">
        <v>133</v>
      </c>
      <c r="B60" t="s">
        <v>186</v>
      </c>
      <c r="C60" t="s">
        <v>196</v>
      </c>
      <c r="D60" t="s">
        <v>136</v>
      </c>
      <c r="E60" t="s">
        <v>202</v>
      </c>
      <c r="G60" s="8">
        <v>9250</v>
      </c>
      <c r="H60" s="67">
        <v>5.13</v>
      </c>
      <c r="I60">
        <v>828</v>
      </c>
      <c r="J60">
        <v>160</v>
      </c>
      <c r="K60">
        <v>16</v>
      </c>
      <c r="N60" s="8">
        <v>85800000</v>
      </c>
      <c r="O60" s="21">
        <f t="shared" si="3"/>
        <v>60059999.999999993</v>
      </c>
      <c r="P60" s="38">
        <f t="shared" si="2"/>
        <v>536250</v>
      </c>
    </row>
    <row r="61" spans="1:16" x14ac:dyDescent="0.3">
      <c r="A61" t="s">
        <v>133</v>
      </c>
      <c r="B61" t="s">
        <v>134</v>
      </c>
      <c r="C61" t="s">
        <v>162</v>
      </c>
      <c r="D61" t="s">
        <v>136</v>
      </c>
      <c r="E61" t="s">
        <v>199</v>
      </c>
      <c r="G61" s="8">
        <v>3861</v>
      </c>
      <c r="H61" s="67">
        <v>6.34</v>
      </c>
      <c r="I61">
        <v>807</v>
      </c>
      <c r="J61">
        <v>167</v>
      </c>
      <c r="K61">
        <v>19</v>
      </c>
      <c r="N61" s="8">
        <v>84400000</v>
      </c>
      <c r="O61" s="21">
        <f t="shared" si="3"/>
        <v>59079999.999999993</v>
      </c>
      <c r="P61" s="38">
        <f t="shared" si="2"/>
        <v>505389.22155688622</v>
      </c>
    </row>
    <row r="62" spans="1:16" x14ac:dyDescent="0.3">
      <c r="A62" t="s">
        <v>133</v>
      </c>
      <c r="B62" t="s">
        <v>134</v>
      </c>
      <c r="C62" t="s">
        <v>162</v>
      </c>
      <c r="D62" t="s">
        <v>136</v>
      </c>
      <c r="E62" t="s">
        <v>201</v>
      </c>
      <c r="G62" s="8">
        <v>4637</v>
      </c>
      <c r="H62" s="67">
        <v>6.33</v>
      </c>
      <c r="I62">
        <v>607</v>
      </c>
      <c r="J62">
        <v>167</v>
      </c>
      <c r="K62">
        <v>19.2</v>
      </c>
      <c r="N62" s="8">
        <v>85500000</v>
      </c>
      <c r="O62" s="21">
        <f t="shared" si="3"/>
        <v>59849999.999999993</v>
      </c>
      <c r="P62" s="38">
        <f t="shared" si="2"/>
        <v>511976.0479041916</v>
      </c>
    </row>
    <row r="63" spans="1:16" x14ac:dyDescent="0.3">
      <c r="A63" t="s">
        <v>133</v>
      </c>
      <c r="B63" t="s">
        <v>186</v>
      </c>
      <c r="C63" t="s">
        <v>162</v>
      </c>
      <c r="D63" t="s">
        <v>136</v>
      </c>
      <c r="E63" t="s">
        <v>204</v>
      </c>
      <c r="G63" s="8">
        <v>6111</v>
      </c>
      <c r="H63" s="67">
        <v>4.43</v>
      </c>
      <c r="I63">
        <v>828</v>
      </c>
      <c r="J63">
        <v>180</v>
      </c>
      <c r="K63">
        <v>18.3</v>
      </c>
      <c r="N63" s="8">
        <v>91500000</v>
      </c>
      <c r="O63" s="21">
        <f t="shared" si="3"/>
        <v>64049999.999999993</v>
      </c>
      <c r="P63" s="38">
        <f t="shared" si="2"/>
        <v>508333.33333333331</v>
      </c>
    </row>
    <row r="64" spans="1:16" x14ac:dyDescent="0.3">
      <c r="A64" t="s">
        <v>133</v>
      </c>
      <c r="B64" t="s">
        <v>134</v>
      </c>
      <c r="C64" t="s">
        <v>162</v>
      </c>
      <c r="D64" t="s">
        <v>136</v>
      </c>
      <c r="E64" t="s">
        <v>195</v>
      </c>
      <c r="G64" s="8">
        <v>3891</v>
      </c>
      <c r="H64" s="67">
        <v>5.86</v>
      </c>
      <c r="I64">
        <v>786</v>
      </c>
      <c r="J64">
        <v>189</v>
      </c>
      <c r="K64">
        <v>19.899999999999999</v>
      </c>
      <c r="N64" s="8">
        <v>81000000</v>
      </c>
      <c r="O64" s="21">
        <f t="shared" si="3"/>
        <v>56700000</v>
      </c>
      <c r="P64" s="38">
        <f t="shared" si="2"/>
        <v>428571.42857142858</v>
      </c>
    </row>
    <row r="65" spans="1:16" x14ac:dyDescent="0.3">
      <c r="A65" t="s">
        <v>133</v>
      </c>
      <c r="B65" t="s">
        <v>134</v>
      </c>
      <c r="C65" t="s">
        <v>162</v>
      </c>
      <c r="D65" t="s">
        <v>136</v>
      </c>
      <c r="E65" t="s">
        <v>203</v>
      </c>
      <c r="G65" s="8">
        <v>5772</v>
      </c>
      <c r="H65" s="67">
        <v>4.42</v>
      </c>
      <c r="I65">
        <v>834</v>
      </c>
      <c r="J65">
        <v>189</v>
      </c>
      <c r="K65">
        <v>21.3</v>
      </c>
      <c r="N65" s="8">
        <v>89100000</v>
      </c>
      <c r="O65" s="21">
        <f t="shared" si="3"/>
        <v>62369999.999999993</v>
      </c>
      <c r="P65" s="38">
        <f t="shared" si="2"/>
        <v>471428.57142857142</v>
      </c>
    </row>
    <row r="66" spans="1:16" x14ac:dyDescent="0.3">
      <c r="A66" t="s">
        <v>133</v>
      </c>
      <c r="B66" t="s">
        <v>134</v>
      </c>
      <c r="C66" t="s">
        <v>196</v>
      </c>
      <c r="D66" t="s">
        <v>136</v>
      </c>
      <c r="E66" t="s">
        <v>210</v>
      </c>
      <c r="G66" s="8">
        <v>7593</v>
      </c>
      <c r="H66" s="67">
        <v>4.4400000000000004</v>
      </c>
      <c r="I66">
        <v>850</v>
      </c>
      <c r="J66">
        <v>239</v>
      </c>
      <c r="K66">
        <v>26.7</v>
      </c>
      <c r="N66" s="8">
        <v>111600000</v>
      </c>
      <c r="O66" s="21">
        <f t="shared" si="3"/>
        <v>78120000</v>
      </c>
      <c r="P66" s="38">
        <f t="shared" si="2"/>
        <v>466945.60669456067</v>
      </c>
    </row>
    <row r="67" spans="1:16" x14ac:dyDescent="0.3">
      <c r="A67" t="s">
        <v>133</v>
      </c>
      <c r="B67" t="s">
        <v>134</v>
      </c>
      <c r="C67" t="s">
        <v>162</v>
      </c>
      <c r="D67" t="s">
        <v>136</v>
      </c>
      <c r="E67" t="s">
        <v>206</v>
      </c>
      <c r="G67" s="8">
        <v>6050</v>
      </c>
      <c r="H67" s="67">
        <v>4.13</v>
      </c>
      <c r="I67">
        <v>834</v>
      </c>
      <c r="J67">
        <v>220</v>
      </c>
      <c r="K67">
        <v>23</v>
      </c>
      <c r="N67" s="8">
        <v>94600000</v>
      </c>
      <c r="O67" s="21">
        <f t="shared" si="3"/>
        <v>66219999.999999993</v>
      </c>
      <c r="P67" s="38">
        <f t="shared" si="2"/>
        <v>430000</v>
      </c>
    </row>
    <row r="68" spans="1:16" x14ac:dyDescent="0.3">
      <c r="A68" t="s">
        <v>133</v>
      </c>
      <c r="B68" t="s">
        <v>186</v>
      </c>
      <c r="C68" t="s">
        <v>162</v>
      </c>
      <c r="D68" t="s">
        <v>136</v>
      </c>
      <c r="E68" t="s">
        <v>208</v>
      </c>
      <c r="G68" s="8">
        <v>5950</v>
      </c>
      <c r="H68" s="67">
        <v>4.2</v>
      </c>
      <c r="I68">
        <v>828</v>
      </c>
      <c r="J68">
        <v>220</v>
      </c>
      <c r="K68">
        <v>22</v>
      </c>
      <c r="N68" s="8">
        <v>107300000</v>
      </c>
      <c r="O68" s="21">
        <f t="shared" si="3"/>
        <v>75110000</v>
      </c>
      <c r="P68" s="38">
        <f t="shared" si="2"/>
        <v>487727.27272727271</v>
      </c>
    </row>
    <row r="69" spans="1:16" x14ac:dyDescent="0.3">
      <c r="A69" t="s">
        <v>133</v>
      </c>
      <c r="B69" t="s">
        <v>134</v>
      </c>
      <c r="C69" t="s">
        <v>196</v>
      </c>
      <c r="D69" t="s">
        <v>136</v>
      </c>
      <c r="E69" t="s">
        <v>214</v>
      </c>
      <c r="G69" s="8">
        <v>9917</v>
      </c>
      <c r="H69" s="67">
        <v>7.7</v>
      </c>
      <c r="I69">
        <v>890</v>
      </c>
      <c r="J69">
        <v>219</v>
      </c>
      <c r="K69">
        <v>34</v>
      </c>
      <c r="N69" s="8">
        <v>125000000</v>
      </c>
      <c r="O69" s="21">
        <f t="shared" si="3"/>
        <v>87500000</v>
      </c>
      <c r="P69" s="38">
        <f t="shared" si="2"/>
        <v>570776.25570776255</v>
      </c>
    </row>
    <row r="70" spans="1:16" x14ac:dyDescent="0.3">
      <c r="A70" t="s">
        <v>133</v>
      </c>
      <c r="B70" t="s">
        <v>186</v>
      </c>
      <c r="C70" t="s">
        <v>196</v>
      </c>
      <c r="D70" t="s">
        <v>136</v>
      </c>
      <c r="E70" t="s">
        <v>215</v>
      </c>
      <c r="G70" s="8">
        <v>9630</v>
      </c>
      <c r="H70" s="67">
        <v>5.27</v>
      </c>
      <c r="I70">
        <v>850</v>
      </c>
      <c r="J70">
        <v>275</v>
      </c>
      <c r="K70">
        <v>27.5</v>
      </c>
      <c r="N70" s="8">
        <v>157300000</v>
      </c>
      <c r="O70" s="21">
        <f t="shared" si="3"/>
        <v>110110000</v>
      </c>
      <c r="P70" s="38">
        <f t="shared" si="2"/>
        <v>572000</v>
      </c>
    </row>
    <row r="71" spans="1:16" x14ac:dyDescent="0.3">
      <c r="A71" t="s">
        <v>133</v>
      </c>
      <c r="B71" t="s">
        <v>134</v>
      </c>
      <c r="C71" t="s">
        <v>196</v>
      </c>
      <c r="D71" t="s">
        <v>136</v>
      </c>
      <c r="E71" t="s">
        <v>216</v>
      </c>
      <c r="G71" s="8">
        <v>11832</v>
      </c>
      <c r="H71" s="67">
        <v>4.9000000000000004</v>
      </c>
      <c r="I71">
        <v>850</v>
      </c>
      <c r="J71">
        <v>290</v>
      </c>
      <c r="K71">
        <v>35.6</v>
      </c>
      <c r="N71" s="8">
        <v>160200000</v>
      </c>
      <c r="O71" s="21">
        <f t="shared" si="3"/>
        <v>112140000</v>
      </c>
      <c r="P71" s="38">
        <f t="shared" si="2"/>
        <v>552413.79310344823</v>
      </c>
    </row>
    <row r="72" spans="1:16" x14ac:dyDescent="0.3">
      <c r="A72" t="s">
        <v>133</v>
      </c>
      <c r="B72" t="s">
        <v>134</v>
      </c>
      <c r="C72" t="s">
        <v>196</v>
      </c>
      <c r="D72" t="s">
        <v>136</v>
      </c>
      <c r="E72" t="s">
        <v>217</v>
      </c>
      <c r="G72" s="8">
        <v>11100</v>
      </c>
      <c r="H72" s="67">
        <v>4.3099999999999996</v>
      </c>
      <c r="I72">
        <v>850</v>
      </c>
      <c r="J72">
        <v>351</v>
      </c>
      <c r="K72">
        <v>43.8</v>
      </c>
      <c r="N72" s="8">
        <v>182800000</v>
      </c>
      <c r="O72" s="21">
        <f t="shared" si="3"/>
        <v>127959999.99999999</v>
      </c>
      <c r="P72" s="38">
        <f t="shared" si="2"/>
        <v>520797.72079772077</v>
      </c>
    </row>
    <row r="73" spans="1:16" x14ac:dyDescent="0.3">
      <c r="A73" t="s">
        <v>133</v>
      </c>
      <c r="B73" t="s">
        <v>186</v>
      </c>
      <c r="C73" t="s">
        <v>162</v>
      </c>
      <c r="D73" t="s">
        <v>136</v>
      </c>
      <c r="E73" t="s">
        <v>218</v>
      </c>
      <c r="G73" s="8">
        <v>7540</v>
      </c>
      <c r="H73" s="67">
        <v>4.6500000000000004</v>
      </c>
      <c r="I73">
        <v>850</v>
      </c>
      <c r="J73">
        <v>360</v>
      </c>
      <c r="K73">
        <v>36</v>
      </c>
      <c r="N73" s="8">
        <v>197900000</v>
      </c>
      <c r="O73" s="21">
        <f t="shared" si="3"/>
        <v>138530000</v>
      </c>
      <c r="P73" s="38">
        <f t="shared" si="2"/>
        <v>549722.22222222225</v>
      </c>
    </row>
    <row r="74" spans="1:16" x14ac:dyDescent="0.3">
      <c r="A74" t="s">
        <v>133</v>
      </c>
      <c r="B74" t="s">
        <v>134</v>
      </c>
      <c r="C74" t="s">
        <v>196</v>
      </c>
      <c r="D74" t="s">
        <v>136</v>
      </c>
      <c r="E74" t="s">
        <v>219</v>
      </c>
      <c r="G74" s="8">
        <v>10424</v>
      </c>
      <c r="H74" s="67">
        <v>4.3</v>
      </c>
      <c r="I74">
        <v>850</v>
      </c>
      <c r="J74">
        <v>375</v>
      </c>
      <c r="K74">
        <v>46.5</v>
      </c>
      <c r="N74" s="8">
        <v>200800000</v>
      </c>
      <c r="O74" s="21">
        <f t="shared" si="3"/>
        <v>140560000</v>
      </c>
      <c r="P74" s="38">
        <f t="shared" ref="P74:P89" si="4">N74/J74</f>
        <v>535466.66666666663</v>
      </c>
    </row>
    <row r="75" spans="1:16" x14ac:dyDescent="0.3">
      <c r="A75" t="s">
        <v>133</v>
      </c>
      <c r="B75" t="s">
        <v>134</v>
      </c>
      <c r="C75" t="s">
        <v>196</v>
      </c>
      <c r="D75" t="s">
        <v>136</v>
      </c>
      <c r="E75" t="s">
        <v>220</v>
      </c>
      <c r="G75" s="8">
        <v>15196</v>
      </c>
      <c r="H75" s="67">
        <v>4.13</v>
      </c>
      <c r="I75">
        <v>903</v>
      </c>
      <c r="J75">
        <v>381</v>
      </c>
      <c r="K75">
        <v>43.3</v>
      </c>
      <c r="N75" s="8">
        <v>206800000</v>
      </c>
      <c r="O75" s="21">
        <f t="shared" si="3"/>
        <v>144760000</v>
      </c>
      <c r="P75" s="38">
        <f t="shared" si="4"/>
        <v>542782.15223097114</v>
      </c>
    </row>
    <row r="76" spans="1:16" x14ac:dyDescent="0.3">
      <c r="A76" t="s">
        <v>133</v>
      </c>
      <c r="B76" t="s">
        <v>186</v>
      </c>
      <c r="C76" t="s">
        <v>196</v>
      </c>
      <c r="D76" t="s">
        <v>136</v>
      </c>
      <c r="E76" t="s">
        <v>221</v>
      </c>
      <c r="G76" s="8">
        <v>13435</v>
      </c>
      <c r="H76" s="67">
        <v>4.72</v>
      </c>
      <c r="I76">
        <v>871</v>
      </c>
      <c r="J76">
        <v>406</v>
      </c>
      <c r="K76">
        <v>40.6</v>
      </c>
      <c r="N76" s="8">
        <v>216100000</v>
      </c>
      <c r="O76" s="21">
        <f t="shared" si="3"/>
        <v>151270000</v>
      </c>
      <c r="P76" s="38">
        <f t="shared" si="4"/>
        <v>532266.0098522167</v>
      </c>
    </row>
    <row r="77" spans="1:16" x14ac:dyDescent="0.3">
      <c r="A77" t="s">
        <v>133</v>
      </c>
      <c r="B77" t="s">
        <v>134</v>
      </c>
      <c r="C77" t="s">
        <v>196</v>
      </c>
      <c r="D77" t="s">
        <v>136</v>
      </c>
      <c r="E77" t="s">
        <v>222</v>
      </c>
      <c r="G77" s="8">
        <v>12270</v>
      </c>
      <c r="H77" s="67">
        <v>5.38</v>
      </c>
      <c r="I77">
        <v>876</v>
      </c>
      <c r="J77">
        <v>410</v>
      </c>
      <c r="K77">
        <v>52.6</v>
      </c>
      <c r="N77" s="8">
        <v>232000000</v>
      </c>
      <c r="O77" s="21">
        <f t="shared" si="3"/>
        <v>162400000</v>
      </c>
      <c r="P77" s="38">
        <f t="shared" si="4"/>
        <v>565853.6585365854</v>
      </c>
    </row>
    <row r="78" spans="1:16" x14ac:dyDescent="0.3">
      <c r="A78" t="s">
        <v>133</v>
      </c>
      <c r="B78" t="s">
        <v>134</v>
      </c>
      <c r="C78" t="s">
        <v>196</v>
      </c>
      <c r="D78" t="s">
        <v>136</v>
      </c>
      <c r="E78" t="s">
        <v>223</v>
      </c>
      <c r="G78" s="8">
        <v>9710</v>
      </c>
      <c r="H78" s="67">
        <v>5.08</v>
      </c>
      <c r="I78">
        <v>892</v>
      </c>
      <c r="J78">
        <v>440</v>
      </c>
      <c r="K78">
        <v>57.4</v>
      </c>
      <c r="N78" s="8">
        <v>238600000</v>
      </c>
      <c r="O78" s="21">
        <f t="shared" si="3"/>
        <v>167020000</v>
      </c>
      <c r="P78" s="38">
        <f t="shared" si="4"/>
        <v>542272.72727272729</v>
      </c>
    </row>
    <row r="79" spans="1:16" x14ac:dyDescent="0.3">
      <c r="A79" t="s">
        <v>133</v>
      </c>
      <c r="B79" t="s">
        <v>186</v>
      </c>
      <c r="C79" t="s">
        <v>196</v>
      </c>
      <c r="D79" t="s">
        <v>136</v>
      </c>
      <c r="E79" t="s">
        <v>224</v>
      </c>
      <c r="F79" s="204">
        <v>7</v>
      </c>
      <c r="G79" s="8">
        <v>10804</v>
      </c>
      <c r="H79" s="67">
        <v>3.8</v>
      </c>
      <c r="I79">
        <v>871</v>
      </c>
      <c r="J79">
        <v>440</v>
      </c>
      <c r="K79">
        <v>45.9</v>
      </c>
      <c r="N79" s="8">
        <v>239400000</v>
      </c>
      <c r="O79" s="21">
        <f t="shared" si="3"/>
        <v>167580000</v>
      </c>
      <c r="P79" s="38">
        <f t="shared" si="4"/>
        <v>544090.90909090906</v>
      </c>
    </row>
    <row r="80" spans="1:16" x14ac:dyDescent="0.3">
      <c r="A80" t="s">
        <v>133</v>
      </c>
      <c r="B80" t="s">
        <v>186</v>
      </c>
      <c r="C80" t="s">
        <v>196</v>
      </c>
      <c r="D80" t="s">
        <v>136</v>
      </c>
      <c r="E80" t="s">
        <v>226</v>
      </c>
      <c r="G80" s="8">
        <v>13704</v>
      </c>
      <c r="H80" s="67">
        <v>4.54</v>
      </c>
      <c r="I80">
        <v>871</v>
      </c>
      <c r="J80">
        <v>440</v>
      </c>
      <c r="K80">
        <v>44</v>
      </c>
      <c r="N80" s="8">
        <v>254600000</v>
      </c>
      <c r="O80" s="21">
        <f t="shared" si="3"/>
        <v>178220000</v>
      </c>
      <c r="P80" s="38">
        <f t="shared" si="4"/>
        <v>578636.36363636365</v>
      </c>
    </row>
    <row r="81" spans="1:16" x14ac:dyDescent="0.3">
      <c r="A81" t="s">
        <v>133</v>
      </c>
      <c r="B81" t="s">
        <v>134</v>
      </c>
      <c r="C81" t="s">
        <v>196</v>
      </c>
      <c r="D81" t="s">
        <v>136</v>
      </c>
      <c r="E81" t="s">
        <v>227</v>
      </c>
      <c r="G81" s="8">
        <v>14315</v>
      </c>
      <c r="H81" s="67">
        <v>5.03</v>
      </c>
      <c r="I81">
        <v>892</v>
      </c>
      <c r="J81">
        <v>440</v>
      </c>
      <c r="K81">
        <v>59.4</v>
      </c>
      <c r="N81" s="8">
        <v>258800000</v>
      </c>
      <c r="O81" s="21">
        <f t="shared" si="3"/>
        <v>181160000</v>
      </c>
      <c r="P81" s="38">
        <f t="shared" si="4"/>
        <v>588181.81818181823</v>
      </c>
    </row>
    <row r="82" spans="1:16" x14ac:dyDescent="0.3">
      <c r="A82" t="s">
        <v>133</v>
      </c>
      <c r="B82" t="s">
        <v>186</v>
      </c>
      <c r="C82" t="s">
        <v>196</v>
      </c>
      <c r="D82" t="s">
        <v>136</v>
      </c>
      <c r="E82" t="s">
        <v>228</v>
      </c>
      <c r="G82" s="8">
        <v>16678</v>
      </c>
      <c r="H82" s="67">
        <v>5.21</v>
      </c>
      <c r="I82">
        <v>881</v>
      </c>
      <c r="J82">
        <v>475</v>
      </c>
      <c r="K82">
        <v>47.5</v>
      </c>
      <c r="N82" s="8">
        <v>280100000</v>
      </c>
      <c r="O82" s="21">
        <f t="shared" si="3"/>
        <v>196070000</v>
      </c>
      <c r="P82" s="38">
        <f t="shared" si="4"/>
        <v>589684.21052631584</v>
      </c>
    </row>
    <row r="83" spans="1:16" x14ac:dyDescent="0.3">
      <c r="A83" t="s">
        <v>133</v>
      </c>
      <c r="B83" t="s">
        <v>134</v>
      </c>
      <c r="C83" t="s">
        <v>196</v>
      </c>
      <c r="D83" t="s">
        <v>136</v>
      </c>
      <c r="E83" t="s">
        <v>229</v>
      </c>
      <c r="G83" s="8">
        <v>11119</v>
      </c>
      <c r="H83" s="67">
        <v>5.18</v>
      </c>
      <c r="I83">
        <v>892</v>
      </c>
      <c r="J83">
        <v>550</v>
      </c>
      <c r="K83">
        <v>66.900000000000006</v>
      </c>
      <c r="N83" s="8">
        <v>284700000</v>
      </c>
      <c r="O83" s="21">
        <f t="shared" si="3"/>
        <v>199290000</v>
      </c>
      <c r="P83" s="38">
        <f t="shared" si="4"/>
        <v>517636.36363636365</v>
      </c>
    </row>
    <row r="84" spans="1:16" x14ac:dyDescent="0.3">
      <c r="A84" t="s">
        <v>133</v>
      </c>
      <c r="B84" t="s">
        <v>134</v>
      </c>
      <c r="C84" t="s">
        <v>196</v>
      </c>
      <c r="D84" t="s">
        <v>136</v>
      </c>
      <c r="E84" t="s">
        <v>230</v>
      </c>
      <c r="G84" s="8">
        <v>17512</v>
      </c>
      <c r="H84" s="67">
        <v>4.9000000000000004</v>
      </c>
      <c r="I84">
        <v>892</v>
      </c>
      <c r="J84">
        <v>440</v>
      </c>
      <c r="K84">
        <v>64</v>
      </c>
      <c r="N84" s="8">
        <v>291200000</v>
      </c>
      <c r="O84" s="21">
        <f t="shared" si="3"/>
        <v>203840000</v>
      </c>
      <c r="P84" s="38">
        <f t="shared" si="4"/>
        <v>661818.18181818177</v>
      </c>
    </row>
    <row r="85" spans="1:16" x14ac:dyDescent="0.3">
      <c r="A85" t="s">
        <v>133</v>
      </c>
      <c r="B85" t="s">
        <v>186</v>
      </c>
      <c r="C85" t="s">
        <v>196</v>
      </c>
      <c r="D85" t="s">
        <v>136</v>
      </c>
      <c r="E85" t="s">
        <v>231</v>
      </c>
      <c r="G85" s="8">
        <v>14640</v>
      </c>
      <c r="H85" s="67">
        <v>4.88</v>
      </c>
      <c r="I85">
        <v>881</v>
      </c>
      <c r="J85">
        <v>530</v>
      </c>
      <c r="K85">
        <v>55.6</v>
      </c>
      <c r="N85" s="8">
        <v>294600000</v>
      </c>
      <c r="O85" s="21">
        <f t="shared" si="3"/>
        <v>206220000</v>
      </c>
      <c r="P85" s="38">
        <f t="shared" si="4"/>
        <v>555849.05660377361</v>
      </c>
    </row>
    <row r="86" spans="1:16" x14ac:dyDescent="0.3">
      <c r="A86" t="s">
        <v>133</v>
      </c>
      <c r="B86" t="s">
        <v>186</v>
      </c>
      <c r="C86" t="s">
        <v>196</v>
      </c>
      <c r="D86" t="s">
        <v>136</v>
      </c>
      <c r="E86" t="s">
        <v>236</v>
      </c>
      <c r="F86" s="204">
        <v>7</v>
      </c>
      <c r="G86" s="8">
        <v>15186</v>
      </c>
      <c r="H86" s="67">
        <v>3.91</v>
      </c>
      <c r="I86">
        <v>911</v>
      </c>
      <c r="J86">
        <v>475</v>
      </c>
      <c r="K86">
        <v>47.5</v>
      </c>
      <c r="N86" s="8">
        <v>295200000</v>
      </c>
      <c r="O86" s="21">
        <f t="shared" si="3"/>
        <v>206640000</v>
      </c>
      <c r="P86" s="38">
        <f t="shared" si="4"/>
        <v>621473.68421052629</v>
      </c>
    </row>
    <row r="87" spans="1:16" x14ac:dyDescent="0.3">
      <c r="A87" t="s">
        <v>133</v>
      </c>
      <c r="B87" t="s">
        <v>134</v>
      </c>
      <c r="C87" t="s">
        <v>196</v>
      </c>
      <c r="D87" t="s">
        <v>136</v>
      </c>
      <c r="E87" t="s">
        <v>232</v>
      </c>
      <c r="F87" s="204">
        <v>8</v>
      </c>
      <c r="G87" s="8">
        <v>13454</v>
      </c>
      <c r="H87" s="67">
        <v>4.76</v>
      </c>
      <c r="I87">
        <v>903</v>
      </c>
      <c r="J87">
        <v>660</v>
      </c>
      <c r="K87">
        <v>67.5</v>
      </c>
      <c r="N87" s="8">
        <v>296300000</v>
      </c>
      <c r="O87" s="21">
        <f t="shared" si="3"/>
        <v>207410000</v>
      </c>
      <c r="P87" s="38">
        <f t="shared" si="4"/>
        <v>448939.39393939392</v>
      </c>
    </row>
    <row r="88" spans="1:16" x14ac:dyDescent="0.3">
      <c r="A88" t="s">
        <v>133</v>
      </c>
      <c r="B88" t="s">
        <v>134</v>
      </c>
      <c r="C88" t="s">
        <v>196</v>
      </c>
      <c r="D88" t="s">
        <v>136</v>
      </c>
      <c r="E88" t="s">
        <v>233</v>
      </c>
      <c r="G88" s="8">
        <v>14695</v>
      </c>
      <c r="H88" s="67">
        <v>4.21</v>
      </c>
      <c r="I88">
        <v>892</v>
      </c>
      <c r="J88">
        <v>550</v>
      </c>
      <c r="K88">
        <v>69.900000000000006</v>
      </c>
      <c r="N88" s="8">
        <v>315000000</v>
      </c>
      <c r="O88" s="21">
        <f t="shared" si="3"/>
        <v>220500000</v>
      </c>
      <c r="P88" s="38">
        <f t="shared" si="4"/>
        <v>572727.27272727271</v>
      </c>
    </row>
    <row r="89" spans="1:16" x14ac:dyDescent="0.3">
      <c r="A89" t="s">
        <v>133</v>
      </c>
      <c r="B89" t="s">
        <v>134</v>
      </c>
      <c r="C89" t="s">
        <v>196</v>
      </c>
      <c r="D89" t="s">
        <v>136</v>
      </c>
      <c r="E89" t="s">
        <v>234</v>
      </c>
      <c r="F89" s="204">
        <v>9</v>
      </c>
      <c r="G89" s="8">
        <v>14825</v>
      </c>
      <c r="H89" s="67">
        <v>4.1500000000000004</v>
      </c>
      <c r="I89">
        <v>908</v>
      </c>
      <c r="J89">
        <v>730</v>
      </c>
      <c r="K89">
        <v>76</v>
      </c>
      <c r="N89" s="8">
        <v>352800000</v>
      </c>
      <c r="O89" s="21">
        <f t="shared" si="3"/>
        <v>246959999.99999997</v>
      </c>
      <c r="P89" s="38">
        <f t="shared" si="4"/>
        <v>483287.67123287672</v>
      </c>
    </row>
    <row r="90" spans="1:16" x14ac:dyDescent="0.3">
      <c r="A90" t="s">
        <v>133</v>
      </c>
      <c r="B90" t="s">
        <v>186</v>
      </c>
      <c r="C90" t="s">
        <v>196</v>
      </c>
      <c r="D90" t="s">
        <v>136</v>
      </c>
      <c r="E90" t="s">
        <v>235</v>
      </c>
      <c r="F90" s="204">
        <v>8</v>
      </c>
      <c r="G90" s="8">
        <v>15556</v>
      </c>
      <c r="H90" s="67">
        <v>4.51</v>
      </c>
      <c r="I90">
        <v>903</v>
      </c>
      <c r="J90">
        <v>853</v>
      </c>
      <c r="K90">
        <v>89.2</v>
      </c>
      <c r="N90" s="8">
        <v>403000000</v>
      </c>
      <c r="O90" s="21">
        <f t="shared" si="3"/>
        <v>282100000</v>
      </c>
      <c r="P90" s="38">
        <f>N90/J90</f>
        <v>472450.17584994138</v>
      </c>
    </row>
    <row r="91" spans="1:16" x14ac:dyDescent="0.3">
      <c r="G91" s="8"/>
      <c r="H91" s="67"/>
      <c r="N91" s="8"/>
      <c r="O91" s="21"/>
    </row>
    <row r="92" spans="1:16" x14ac:dyDescent="0.3">
      <c r="E92" s="205"/>
      <c r="F92" s="205"/>
      <c r="G92" s="8"/>
      <c r="H92" s="67"/>
      <c r="N92" s="8"/>
      <c r="O92" s="21"/>
    </row>
    <row r="93" spans="1:16" x14ac:dyDescent="0.3">
      <c r="G93" s="8"/>
      <c r="H93" s="67"/>
      <c r="N93" s="8"/>
      <c r="O93" s="21"/>
    </row>
    <row r="94" spans="1:16" x14ac:dyDescent="0.3">
      <c r="A94" s="54"/>
      <c r="B94" s="54"/>
      <c r="C94" s="54"/>
      <c r="D94" s="54"/>
      <c r="E94" s="54"/>
      <c r="F94" s="54"/>
      <c r="G94" s="54"/>
      <c r="H94" s="70">
        <f>AVERAGE(H4:H89)</f>
        <v>6.6013953488372081</v>
      </c>
      <c r="I94" s="54"/>
      <c r="J94" s="54"/>
      <c r="K94" s="54"/>
      <c r="L94" s="54"/>
      <c r="M94" s="54"/>
      <c r="N94" s="54"/>
    </row>
    <row r="97" spans="8:10" x14ac:dyDescent="0.3">
      <c r="I97" s="66"/>
      <c r="J97" s="66"/>
    </row>
    <row r="100" spans="8:10" x14ac:dyDescent="0.3">
      <c r="H100" s="67"/>
      <c r="I100" s="73"/>
      <c r="J100" s="73"/>
    </row>
    <row r="101" spans="8:10" x14ac:dyDescent="0.3">
      <c r="H101" s="67"/>
      <c r="I101" s="73"/>
      <c r="J101" s="73"/>
    </row>
    <row r="102" spans="8:10" x14ac:dyDescent="0.3">
      <c r="H102" s="67"/>
      <c r="I102" s="67"/>
      <c r="J102" s="67"/>
    </row>
    <row r="105" spans="8:10" x14ac:dyDescent="0.3">
      <c r="J105" s="38"/>
    </row>
  </sheetData>
  <autoFilter ref="A3:O90" xr:uid="{00000000-0009-0000-0000-000008000000}"/>
  <conditionalFormatting sqref="H4:H87">
    <cfRule type="cellIs" dxfId="270" priority="18" operator="greaterThan">
      <formula>6.6</formula>
    </cfRule>
  </conditionalFormatting>
  <conditionalFormatting sqref="O4:O90">
    <cfRule type="cellIs" dxfId="269" priority="17" operator="lessThan">
      <formula>0</formula>
    </cfRule>
  </conditionalFormatting>
  <conditionalFormatting sqref="H92">
    <cfRule type="cellIs" dxfId="268" priority="5" operator="greaterThan">
      <formula>6.6</formula>
    </cfRule>
  </conditionalFormatting>
  <conditionalFormatting sqref="H88">
    <cfRule type="cellIs" dxfId="267" priority="15" operator="greaterThan">
      <formula>6.6</formula>
    </cfRule>
  </conditionalFormatting>
  <conditionalFormatting sqref="O88">
    <cfRule type="cellIs" dxfId="266" priority="14" operator="lessThan">
      <formula>0</formula>
    </cfRule>
  </conditionalFormatting>
  <conditionalFormatting sqref="H89">
    <cfRule type="cellIs" dxfId="265" priority="13" operator="greaterThan">
      <formula>6.6</formula>
    </cfRule>
  </conditionalFormatting>
  <conditionalFormatting sqref="O89">
    <cfRule type="cellIs" dxfId="264" priority="12" operator="lessThan">
      <formula>0</formula>
    </cfRule>
  </conditionalFormatting>
  <conditionalFormatting sqref="H90">
    <cfRule type="cellIs" dxfId="263" priority="11" operator="greaterThan">
      <formula>6.6</formula>
    </cfRule>
  </conditionalFormatting>
  <conditionalFormatting sqref="O90">
    <cfRule type="cellIs" dxfId="262" priority="10" operator="lessThan">
      <formula>0</formula>
    </cfRule>
  </conditionalFormatting>
  <conditionalFormatting sqref="H91">
    <cfRule type="cellIs" dxfId="261" priority="7" operator="greaterThan">
      <formula>6.6</formula>
    </cfRule>
  </conditionalFormatting>
  <conditionalFormatting sqref="O91">
    <cfRule type="cellIs" dxfId="260" priority="6" operator="lessThan">
      <formula>0</formula>
    </cfRule>
  </conditionalFormatting>
  <conditionalFormatting sqref="O92">
    <cfRule type="cellIs" dxfId="259" priority="4" operator="lessThan">
      <formula>0</formula>
    </cfRule>
  </conditionalFormatting>
  <conditionalFormatting sqref="H93">
    <cfRule type="cellIs" dxfId="258" priority="3" operator="greaterThan">
      <formula>6.6</formula>
    </cfRule>
  </conditionalFormatting>
  <conditionalFormatting sqref="O93">
    <cfRule type="cellIs" dxfId="257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/>
  <dimension ref="A1:AB17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E4" sqref="E4"/>
    </sheetView>
  </sheetViews>
  <sheetFormatPr baseColWidth="10" defaultColWidth="11.44140625" defaultRowHeight="14.4" x14ac:dyDescent="0.3"/>
  <cols>
    <col min="1" max="1" width="15.33203125" bestFit="1" customWidth="1"/>
    <col min="2" max="2" width="12.33203125" bestFit="1" customWidth="1"/>
    <col min="3" max="3" width="5.33203125" bestFit="1" customWidth="1"/>
    <col min="4" max="4" width="11.5546875" bestFit="1" customWidth="1"/>
    <col min="5" max="5" width="12.44140625" bestFit="1" customWidth="1"/>
    <col min="6" max="6" width="12.44140625" style="204" customWidth="1"/>
    <col min="7" max="7" width="14.6640625" bestFit="1" customWidth="1"/>
    <col min="8" max="8" width="14.5546875" style="66" bestFit="1" customWidth="1"/>
    <col min="9" max="9" width="12.88671875" bestFit="1" customWidth="1"/>
    <col min="10" max="10" width="15.33203125" bestFit="1" customWidth="1"/>
    <col min="11" max="13" width="15.33203125" customWidth="1"/>
    <col min="14" max="14" width="8.5546875" bestFit="1" customWidth="1"/>
    <col min="15" max="15" width="8.33203125" bestFit="1" customWidth="1"/>
    <col min="16" max="16" width="15.5546875" bestFit="1" customWidth="1"/>
    <col min="17" max="17" width="13.6640625" bestFit="1" customWidth="1"/>
    <col min="18" max="19" width="13.6640625" customWidth="1"/>
    <col min="20" max="20" width="15.6640625" bestFit="1" customWidth="1"/>
    <col min="21" max="21" width="14.33203125" bestFit="1" customWidth="1"/>
    <col min="22" max="22" width="13" bestFit="1" customWidth="1"/>
    <col min="23" max="25" width="12.6640625" bestFit="1" customWidth="1"/>
    <col min="27" max="27" width="12.88671875" bestFit="1" customWidth="1"/>
    <col min="28" max="28" width="15.33203125" bestFit="1" customWidth="1"/>
  </cols>
  <sheetData>
    <row r="1" spans="1:28" x14ac:dyDescent="0.3">
      <c r="A1" t="s">
        <v>115</v>
      </c>
      <c r="G1" t="s">
        <v>116</v>
      </c>
      <c r="H1" s="66">
        <v>1.2</v>
      </c>
      <c r="I1" t="s">
        <v>117</v>
      </c>
      <c r="J1">
        <v>1300</v>
      </c>
      <c r="N1" t="s">
        <v>118</v>
      </c>
      <c r="O1">
        <v>1000</v>
      </c>
      <c r="T1" t="s">
        <v>712</v>
      </c>
      <c r="U1" t="s">
        <v>713</v>
      </c>
      <c r="V1" t="s">
        <v>714</v>
      </c>
      <c r="W1" t="s">
        <v>742</v>
      </c>
      <c r="X1" s="73">
        <f>328/(92/6)</f>
        <v>21.391304347826086</v>
      </c>
    </row>
    <row r="2" spans="1:28" x14ac:dyDescent="0.3">
      <c r="T2" s="8">
        <f>Lignes_!L3</f>
        <v>79.277777777777771</v>
      </c>
      <c r="U2" s="8">
        <f>Lignes_!M3</f>
        <v>99.416666666666671</v>
      </c>
      <c r="V2" s="8">
        <f>Lignes_!N3</f>
        <v>221.33333333333334</v>
      </c>
    </row>
    <row r="3" spans="1:28" x14ac:dyDescent="0.3">
      <c r="A3" s="43" t="s">
        <v>119</v>
      </c>
      <c r="B3" s="43" t="s">
        <v>120</v>
      </c>
      <c r="C3" s="43" t="s">
        <v>121</v>
      </c>
      <c r="D3" s="43" t="s">
        <v>122</v>
      </c>
      <c r="E3" s="43" t="s">
        <v>123</v>
      </c>
      <c r="F3" s="43"/>
      <c r="G3" s="43" t="s">
        <v>124</v>
      </c>
      <c r="H3" s="97" t="s">
        <v>125</v>
      </c>
      <c r="I3" s="43" t="s">
        <v>126</v>
      </c>
      <c r="J3" s="43" t="s">
        <v>127</v>
      </c>
      <c r="K3" s="43" t="s">
        <v>32</v>
      </c>
      <c r="L3" s="43" t="s">
        <v>710</v>
      </c>
      <c r="M3" s="43" t="s">
        <v>711</v>
      </c>
      <c r="N3" s="43" t="s">
        <v>128</v>
      </c>
      <c r="O3" s="43" t="s">
        <v>129</v>
      </c>
      <c r="P3" s="43" t="s">
        <v>130</v>
      </c>
      <c r="Q3" s="43" t="s">
        <v>708</v>
      </c>
      <c r="R3" s="43" t="s">
        <v>709</v>
      </c>
      <c r="S3" s="43" t="s">
        <v>722</v>
      </c>
      <c r="T3" s="43" t="s">
        <v>723</v>
      </c>
      <c r="U3" s="43" t="s">
        <v>715</v>
      </c>
      <c r="V3" s="43" t="s">
        <v>716</v>
      </c>
      <c r="W3" s="43" t="s">
        <v>717</v>
      </c>
      <c r="X3" s="43" t="s">
        <v>718</v>
      </c>
      <c r="Y3" s="43" t="s">
        <v>721</v>
      </c>
      <c r="Z3" s="43" t="s">
        <v>719</v>
      </c>
      <c r="AA3" s="43" t="s">
        <v>720</v>
      </c>
    </row>
    <row r="4" spans="1:28" x14ac:dyDescent="0.3">
      <c r="A4" t="s">
        <v>237</v>
      </c>
      <c r="B4" t="s">
        <v>186</v>
      </c>
      <c r="C4" t="s">
        <v>196</v>
      </c>
      <c r="D4" t="s">
        <v>136</v>
      </c>
      <c r="E4" t="s">
        <v>1070</v>
      </c>
      <c r="G4" s="8">
        <v>15556</v>
      </c>
      <c r="H4" s="67">
        <v>2.44</v>
      </c>
      <c r="I4">
        <v>903</v>
      </c>
      <c r="J4">
        <f>SUM(K4:M4)</f>
        <v>512</v>
      </c>
      <c r="K4">
        <v>288</v>
      </c>
      <c r="L4">
        <v>157</v>
      </c>
      <c r="M4">
        <v>67</v>
      </c>
      <c r="N4">
        <v>0</v>
      </c>
      <c r="Q4" s="8">
        <v>10075000</v>
      </c>
      <c r="R4" s="8">
        <v>132990000</v>
      </c>
      <c r="S4" s="8">
        <v>500000000</v>
      </c>
      <c r="T4" s="8">
        <v>1000000000</v>
      </c>
      <c r="U4" s="8">
        <f>(($T$2*K4+$U$2*L4+$V$2*M4)*2)*7</f>
        <v>745776.50000000012</v>
      </c>
      <c r="V4" s="21">
        <f>U4*0.82</f>
        <v>611536.7300000001</v>
      </c>
      <c r="W4" s="21">
        <f>V4*0.12</f>
        <v>73384.407600000006</v>
      </c>
      <c r="X4" s="21">
        <f>(V4-Q4-W4)*0.31</f>
        <v>-2956422.7800560002</v>
      </c>
      <c r="Y4" s="21">
        <f>X4-W4</f>
        <v>-3029807.1876560003</v>
      </c>
      <c r="Z4" s="7">
        <f>Y4/(R4+(S4+T4)/$X$1)</f>
        <v>-1.4916932112879719E-2</v>
      </c>
      <c r="AA4" s="73">
        <f>(R4+(S4+T4)/$X$1)/Y4</f>
        <v>-67.037913187026618</v>
      </c>
      <c r="AB4" s="38"/>
    </row>
    <row r="5" spans="1:28" x14ac:dyDescent="0.3">
      <c r="A5" t="s">
        <v>237</v>
      </c>
      <c r="B5" t="s">
        <v>134</v>
      </c>
      <c r="C5" t="s">
        <v>196</v>
      </c>
      <c r="D5" t="s">
        <v>136</v>
      </c>
      <c r="E5" t="s">
        <v>1071</v>
      </c>
      <c r="G5" s="8">
        <v>13454</v>
      </c>
      <c r="H5" s="67">
        <v>2.57</v>
      </c>
      <c r="I5">
        <v>903</v>
      </c>
      <c r="J5">
        <f>SUM(K5:M5)</f>
        <v>396</v>
      </c>
      <c r="K5">
        <v>222</v>
      </c>
      <c r="L5">
        <v>122</v>
      </c>
      <c r="M5">
        <v>52</v>
      </c>
      <c r="N5">
        <v>0</v>
      </c>
      <c r="Q5" s="8">
        <v>7407500</v>
      </c>
      <c r="R5" s="8">
        <v>97779000</v>
      </c>
      <c r="S5" s="8">
        <v>500000000</v>
      </c>
      <c r="T5" s="8">
        <v>1000000000</v>
      </c>
      <c r="U5" s="8">
        <f>(($T$2*K5+$U$2*L5+$V$2*M5)*2)*7</f>
        <v>577329.66666666674</v>
      </c>
      <c r="V5" s="21">
        <f>U5*0.8</f>
        <v>461863.7333333334</v>
      </c>
      <c r="W5" s="21">
        <f>V5*0.13</f>
        <v>60042.285333333341</v>
      </c>
      <c r="X5" s="21">
        <f>(V5-Q5-W5)*0.31</f>
        <v>-2171760.3511200002</v>
      </c>
      <c r="Y5" s="21">
        <f>X5-W5</f>
        <v>-2231802.6364533338</v>
      </c>
      <c r="Z5" s="7">
        <f t="shared" ref="Z5:Z8" si="0">Y5/(R5+(S5+T5)/$X$1)</f>
        <v>-1.3292376369777054E-2</v>
      </c>
      <c r="AA5" s="73">
        <f t="shared" ref="AA5:AA8" si="1">(R5+(S5+T5)/$X$1)/Y5</f>
        <v>-75.231092784410265</v>
      </c>
      <c r="AB5" s="38"/>
    </row>
    <row r="6" spans="1:28" x14ac:dyDescent="0.3">
      <c r="A6" t="s">
        <v>237</v>
      </c>
      <c r="B6" t="s">
        <v>134</v>
      </c>
      <c r="C6" t="s">
        <v>196</v>
      </c>
      <c r="D6" t="s">
        <v>136</v>
      </c>
      <c r="E6" t="s">
        <v>1072</v>
      </c>
      <c r="G6" s="8">
        <v>15196</v>
      </c>
      <c r="H6" s="67">
        <v>2.23</v>
      </c>
      <c r="I6">
        <v>911</v>
      </c>
      <c r="J6">
        <f t="shared" ref="J6:J8" si="2">SUM(K6:M6)</f>
        <v>229</v>
      </c>
      <c r="K6">
        <v>129</v>
      </c>
      <c r="L6">
        <v>70</v>
      </c>
      <c r="M6">
        <v>30</v>
      </c>
      <c r="N6">
        <v>0</v>
      </c>
      <c r="Q6" s="8">
        <v>5170000</v>
      </c>
      <c r="R6" s="8">
        <v>68244000</v>
      </c>
      <c r="S6" s="8">
        <v>500000000</v>
      </c>
      <c r="T6" s="8">
        <v>1000000000</v>
      </c>
      <c r="U6" s="8">
        <f>(($T$2*K6+$U$2*L6+$V$2*M6)*2)*7</f>
        <v>333564</v>
      </c>
      <c r="V6" s="21">
        <f>U6*0.8</f>
        <v>266851.20000000001</v>
      </c>
      <c r="W6" s="21">
        <f>V6*0.13</f>
        <v>34690.656000000003</v>
      </c>
      <c r="X6" s="21">
        <f>(V6-Q6-W6)*0.31</f>
        <v>-1530730.2313600001</v>
      </c>
      <c r="Y6" s="21">
        <f>X6-W6</f>
        <v>-1565420.8873600001</v>
      </c>
      <c r="Z6" s="7">
        <f t="shared" si="0"/>
        <v>-1.1313627908910341E-2</v>
      </c>
      <c r="AA6" s="73">
        <f t="shared" si="1"/>
        <v>-88.388977262759724</v>
      </c>
    </row>
    <row r="7" spans="1:28" x14ac:dyDescent="0.3">
      <c r="A7" t="s">
        <v>237</v>
      </c>
      <c r="B7" t="s">
        <v>186</v>
      </c>
      <c r="C7" t="s">
        <v>196</v>
      </c>
      <c r="D7" t="s">
        <v>136</v>
      </c>
      <c r="E7" t="s">
        <v>1073</v>
      </c>
      <c r="G7" s="8">
        <v>10804</v>
      </c>
      <c r="H7" s="67">
        <v>2.0499999999999998</v>
      </c>
      <c r="I7">
        <v>871</v>
      </c>
      <c r="J7">
        <f t="shared" si="2"/>
        <v>266</v>
      </c>
      <c r="K7">
        <v>151</v>
      </c>
      <c r="L7">
        <v>81</v>
      </c>
      <c r="M7">
        <v>34</v>
      </c>
      <c r="N7">
        <v>0</v>
      </c>
      <c r="Q7" s="8">
        <v>5985000</v>
      </c>
      <c r="R7" s="8">
        <v>79002000</v>
      </c>
      <c r="S7" s="8">
        <v>500000000</v>
      </c>
      <c r="T7" s="8">
        <v>1000000000</v>
      </c>
      <c r="U7" s="8">
        <f>(($T$2*K7+$U$2*L7+$V$2*M7)*2)*7</f>
        <v>385686.38888888893</v>
      </c>
      <c r="V7" s="21">
        <f>U7*0.8</f>
        <v>308549.11111111118</v>
      </c>
      <c r="W7" s="21">
        <f>V7*0.13</f>
        <v>40111.384444444455</v>
      </c>
      <c r="X7" s="21">
        <f>(V7-Q7-W7)*0.31</f>
        <v>-1772134.3047333334</v>
      </c>
      <c r="Y7" s="21">
        <f>X7-W7</f>
        <v>-1812245.6891777779</v>
      </c>
      <c r="Z7" s="7">
        <f t="shared" si="0"/>
        <v>-1.2152613140662636E-2</v>
      </c>
      <c r="AA7" s="73">
        <f t="shared" si="1"/>
        <v>-82.286829048643099</v>
      </c>
    </row>
    <row r="8" spans="1:28" x14ac:dyDescent="0.3">
      <c r="A8" t="s">
        <v>237</v>
      </c>
      <c r="B8" t="s">
        <v>134</v>
      </c>
      <c r="C8" t="s">
        <v>196</v>
      </c>
      <c r="D8" t="s">
        <v>136</v>
      </c>
      <c r="E8" t="s">
        <v>1074</v>
      </c>
      <c r="G8" s="8">
        <v>14825</v>
      </c>
      <c r="H8" s="67">
        <v>2.2400000000000002</v>
      </c>
      <c r="I8">
        <v>911</v>
      </c>
      <c r="J8">
        <f t="shared" si="2"/>
        <v>439</v>
      </c>
      <c r="K8">
        <v>247</v>
      </c>
      <c r="L8">
        <v>135</v>
      </c>
      <c r="M8">
        <v>57</v>
      </c>
      <c r="N8">
        <v>0</v>
      </c>
      <c r="Q8" s="8">
        <v>8322500</v>
      </c>
      <c r="R8" s="8">
        <v>109857000</v>
      </c>
      <c r="S8" s="8">
        <v>500000000</v>
      </c>
      <c r="T8" s="8">
        <v>1000000001</v>
      </c>
      <c r="U8" s="8">
        <f>(($T$2*K8+$U$2*L8+$V$2*M8)*2)*7</f>
        <v>638664.0555555555</v>
      </c>
      <c r="V8" s="21">
        <f>U8*0.8</f>
        <v>510931.24444444443</v>
      </c>
      <c r="W8" s="21">
        <f>V8*0.13</f>
        <v>66421.061777777781</v>
      </c>
      <c r="X8" s="21">
        <f>(V8-Q8-W8)*0.31</f>
        <v>-2442176.8433733331</v>
      </c>
      <c r="Y8" s="21">
        <f>X8-W8</f>
        <v>-2508597.9051511111</v>
      </c>
      <c r="Z8" s="7">
        <f t="shared" si="0"/>
        <v>-1.3938284935552832E-2</v>
      </c>
      <c r="AA8" s="73">
        <f t="shared" si="1"/>
        <v>-71.744838380313766</v>
      </c>
    </row>
    <row r="9" spans="1:28" x14ac:dyDescent="0.3">
      <c r="A9" t="s">
        <v>1083</v>
      </c>
      <c r="B9" t="s">
        <v>134</v>
      </c>
      <c r="C9" s="189" t="s">
        <v>196</v>
      </c>
      <c r="D9" t="s">
        <v>136</v>
      </c>
      <c r="E9" t="s">
        <v>1075</v>
      </c>
      <c r="K9" s="73"/>
      <c r="L9" s="73"/>
      <c r="M9" s="73"/>
      <c r="R9" s="8">
        <v>81300000</v>
      </c>
    </row>
    <row r="10" spans="1:28" x14ac:dyDescent="0.3">
      <c r="A10" s="189" t="s">
        <v>1083</v>
      </c>
      <c r="B10" t="s">
        <v>134</v>
      </c>
      <c r="C10" s="189" t="s">
        <v>196</v>
      </c>
      <c r="D10" t="s">
        <v>136</v>
      </c>
      <c r="E10" t="s">
        <v>1076</v>
      </c>
      <c r="J10" s="137"/>
      <c r="K10" s="73"/>
      <c r="L10" s="32"/>
      <c r="M10" s="186"/>
      <c r="N10" s="38"/>
      <c r="R10" s="8">
        <v>206800000</v>
      </c>
    </row>
    <row r="11" spans="1:28" x14ac:dyDescent="0.3">
      <c r="A11" s="189" t="s">
        <v>1083</v>
      </c>
      <c r="B11" t="s">
        <v>186</v>
      </c>
      <c r="C11" s="189" t="s">
        <v>196</v>
      </c>
      <c r="D11" t="s">
        <v>136</v>
      </c>
      <c r="E11" t="s">
        <v>1077</v>
      </c>
      <c r="J11" s="137"/>
      <c r="K11" s="73"/>
      <c r="L11" s="32"/>
      <c r="M11" s="186"/>
      <c r="N11" s="38"/>
      <c r="R11" s="8">
        <v>216100000</v>
      </c>
    </row>
    <row r="12" spans="1:28" x14ac:dyDescent="0.3">
      <c r="A12" s="189" t="s">
        <v>1083</v>
      </c>
      <c r="B12" t="s">
        <v>134</v>
      </c>
      <c r="C12" s="189" t="s">
        <v>196</v>
      </c>
      <c r="D12" t="s">
        <v>136</v>
      </c>
      <c r="E12" t="s">
        <v>1078</v>
      </c>
      <c r="J12" s="137"/>
      <c r="K12" s="73"/>
      <c r="L12" s="32"/>
      <c r="M12" s="186"/>
      <c r="N12" s="38"/>
      <c r="R12" s="8">
        <v>232000000</v>
      </c>
    </row>
    <row r="13" spans="1:28" x14ac:dyDescent="0.3">
      <c r="A13" s="189" t="s">
        <v>1083</v>
      </c>
      <c r="B13" t="s">
        <v>186</v>
      </c>
      <c r="C13" s="189" t="s">
        <v>196</v>
      </c>
      <c r="D13" t="s">
        <v>136</v>
      </c>
      <c r="E13" t="s">
        <v>1079</v>
      </c>
      <c r="F13" s="204" t="str">
        <f>Avions!E79</f>
        <v>A330-300</v>
      </c>
      <c r="L13" s="73"/>
      <c r="R13" s="8">
        <v>239400000</v>
      </c>
    </row>
    <row r="14" spans="1:28" x14ac:dyDescent="0.3">
      <c r="A14" s="189" t="s">
        <v>1083</v>
      </c>
      <c r="B14" t="s">
        <v>186</v>
      </c>
      <c r="C14" s="189" t="s">
        <v>196</v>
      </c>
      <c r="D14" t="s">
        <v>136</v>
      </c>
      <c r="E14" t="s">
        <v>1080</v>
      </c>
      <c r="F14" s="204" t="str">
        <f>Avions!E86</f>
        <v>A350-900</v>
      </c>
      <c r="R14" s="8">
        <v>295200000</v>
      </c>
    </row>
    <row r="15" spans="1:28" x14ac:dyDescent="0.3">
      <c r="A15" s="189" t="s">
        <v>1083</v>
      </c>
      <c r="B15" t="s">
        <v>134</v>
      </c>
      <c r="C15" s="189" t="s">
        <v>196</v>
      </c>
      <c r="D15" t="s">
        <v>136</v>
      </c>
      <c r="E15" t="s">
        <v>1081</v>
      </c>
      <c r="F15" s="204" t="str">
        <f>Avions!E87</f>
        <v>747-400</v>
      </c>
      <c r="R15" s="8">
        <v>296300000</v>
      </c>
    </row>
    <row r="16" spans="1:28" x14ac:dyDescent="0.3">
      <c r="A16" s="189" t="s">
        <v>1083</v>
      </c>
      <c r="B16" t="s">
        <v>134</v>
      </c>
      <c r="C16" s="189" t="s">
        <v>196</v>
      </c>
      <c r="D16" t="s">
        <v>136</v>
      </c>
      <c r="E16" t="s">
        <v>1082</v>
      </c>
      <c r="F16" s="204" t="str">
        <f>Avions!E89</f>
        <v>747-8I</v>
      </c>
      <c r="R16" s="8">
        <v>352800000</v>
      </c>
    </row>
    <row r="17" spans="1:18" x14ac:dyDescent="0.3">
      <c r="A17" s="189" t="s">
        <v>1083</v>
      </c>
      <c r="B17" t="s">
        <v>186</v>
      </c>
      <c r="C17" s="189" t="s">
        <v>196</v>
      </c>
      <c r="D17" t="s">
        <v>136</v>
      </c>
      <c r="E17" t="s">
        <v>1084</v>
      </c>
      <c r="F17" s="204" t="str">
        <f>Avions!E90</f>
        <v>A380-800</v>
      </c>
      <c r="R17" s="8">
        <v>403000000</v>
      </c>
    </row>
  </sheetData>
  <autoFilter ref="A3:U4" xr:uid="{00000000-0009-0000-0000-000009000000}"/>
  <conditionalFormatting sqref="H6">
    <cfRule type="cellIs" dxfId="256" priority="6" operator="greaterThan">
      <formula>6.6</formula>
    </cfRule>
  </conditionalFormatting>
  <conditionalFormatting sqref="H7:H8">
    <cfRule type="cellIs" dxfId="255" priority="4" operator="greaterThan">
      <formula>6.6</formula>
    </cfRule>
  </conditionalFormatting>
  <conditionalFormatting sqref="H4">
    <cfRule type="cellIs" dxfId="254" priority="2" operator="greaterThan">
      <formula>6.6</formula>
    </cfRule>
  </conditionalFormatting>
  <conditionalFormatting sqref="H5">
    <cfRule type="cellIs" dxfId="253" priority="1" operator="greaterThan">
      <formula>6.6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/>
  <dimension ref="A1:D381"/>
  <sheetViews>
    <sheetView workbookViewId="0">
      <pane xSplit="1" ySplit="3" topLeftCell="B229" activePane="bottomRight" state="frozen"/>
      <selection activeCell="B232" sqref="B232:B239"/>
      <selection pane="topRight" activeCell="B232" sqref="B232:B239"/>
      <selection pane="bottomLeft" activeCell="B232" sqref="B232:B239"/>
      <selection pane="bottomRight" activeCell="B232" sqref="B232:B239"/>
    </sheetView>
  </sheetViews>
  <sheetFormatPr baseColWidth="10" defaultColWidth="11.44140625" defaultRowHeight="14.4" x14ac:dyDescent="0.3"/>
  <sheetData>
    <row r="1" spans="1:4" x14ac:dyDescent="0.3">
      <c r="A1" t="s">
        <v>2</v>
      </c>
    </row>
    <row r="3" spans="1:4" s="2" customFormat="1" ht="43.2" x14ac:dyDescent="0.3">
      <c r="A3" s="18" t="s">
        <v>1</v>
      </c>
      <c r="B3" s="2" t="s">
        <v>2</v>
      </c>
      <c r="C3" s="3" t="s">
        <v>238</v>
      </c>
      <c r="D3" s="3" t="s">
        <v>239</v>
      </c>
    </row>
    <row r="4" spans="1:4" x14ac:dyDescent="0.3">
      <c r="A4" s="1">
        <v>42370</v>
      </c>
      <c r="B4">
        <v>94</v>
      </c>
      <c r="C4">
        <f>B4-B4</f>
        <v>0</v>
      </c>
      <c r="D4" s="7">
        <f>IFERROR(B4/B4-1,)</f>
        <v>0</v>
      </c>
    </row>
    <row r="5" spans="1:4" x14ac:dyDescent="0.3">
      <c r="A5" s="1">
        <v>42371</v>
      </c>
      <c r="B5" s="204">
        <v>94</v>
      </c>
      <c r="C5">
        <f>B4-B5</f>
        <v>0</v>
      </c>
      <c r="D5" s="7">
        <f>IFERROR(B4/B5-1,0)</f>
        <v>0</v>
      </c>
    </row>
    <row r="6" spans="1:4" x14ac:dyDescent="0.3">
      <c r="A6" s="1">
        <v>42372</v>
      </c>
      <c r="B6">
        <v>95</v>
      </c>
      <c r="C6">
        <f t="shared" ref="C6:C34" si="0">B5-B6</f>
        <v>-1</v>
      </c>
      <c r="D6" s="7">
        <f t="shared" ref="D6:D34" si="1">IFERROR(B5/B6-1,0)</f>
        <v>-1.0526315789473717E-2</v>
      </c>
    </row>
    <row r="7" spans="1:4" x14ac:dyDescent="0.3">
      <c r="A7" s="1">
        <v>42373</v>
      </c>
      <c r="B7" s="204">
        <v>95</v>
      </c>
      <c r="C7">
        <f t="shared" si="0"/>
        <v>0</v>
      </c>
      <c r="D7" s="7">
        <f t="shared" si="1"/>
        <v>0</v>
      </c>
    </row>
    <row r="8" spans="1:4" x14ac:dyDescent="0.3">
      <c r="A8" s="1">
        <v>42374</v>
      </c>
      <c r="B8">
        <v>88</v>
      </c>
      <c r="C8">
        <f t="shared" si="0"/>
        <v>7</v>
      </c>
      <c r="D8" s="7">
        <f t="shared" si="1"/>
        <v>7.9545454545454586E-2</v>
      </c>
    </row>
    <row r="9" spans="1:4" x14ac:dyDescent="0.3">
      <c r="A9" s="1">
        <v>42375</v>
      </c>
      <c r="B9" s="204">
        <v>88</v>
      </c>
      <c r="C9">
        <f t="shared" si="0"/>
        <v>0</v>
      </c>
      <c r="D9" s="7">
        <f t="shared" si="1"/>
        <v>0</v>
      </c>
    </row>
    <row r="10" spans="1:4" x14ac:dyDescent="0.3">
      <c r="A10" s="1">
        <v>42376</v>
      </c>
      <c r="B10" s="204">
        <v>88</v>
      </c>
      <c r="C10">
        <f t="shared" si="0"/>
        <v>0</v>
      </c>
      <c r="D10" s="7">
        <f t="shared" si="1"/>
        <v>0</v>
      </c>
    </row>
    <row r="11" spans="1:4" x14ac:dyDescent="0.3">
      <c r="A11" s="1">
        <v>42377</v>
      </c>
      <c r="B11">
        <v>264</v>
      </c>
      <c r="C11">
        <f t="shared" si="0"/>
        <v>-176</v>
      </c>
      <c r="D11" s="7">
        <f t="shared" si="1"/>
        <v>-0.66666666666666674</v>
      </c>
    </row>
    <row r="12" spans="1:4" x14ac:dyDescent="0.3">
      <c r="A12" s="1">
        <v>42378</v>
      </c>
      <c r="B12" s="204">
        <v>264</v>
      </c>
      <c r="C12">
        <f t="shared" si="0"/>
        <v>0</v>
      </c>
      <c r="D12" s="7">
        <f t="shared" si="1"/>
        <v>0</v>
      </c>
    </row>
    <row r="13" spans="1:4" x14ac:dyDescent="0.3">
      <c r="A13" s="1">
        <v>42379</v>
      </c>
      <c r="B13" s="204">
        <v>264</v>
      </c>
      <c r="C13">
        <f t="shared" si="0"/>
        <v>0</v>
      </c>
      <c r="D13" s="7">
        <f t="shared" si="1"/>
        <v>0</v>
      </c>
    </row>
    <row r="14" spans="1:4" x14ac:dyDescent="0.3">
      <c r="A14" s="1">
        <v>42380</v>
      </c>
      <c r="B14" s="204">
        <v>264</v>
      </c>
      <c r="C14">
        <f t="shared" si="0"/>
        <v>0</v>
      </c>
      <c r="D14" s="7">
        <f t="shared" si="1"/>
        <v>0</v>
      </c>
    </row>
    <row r="15" spans="1:4" x14ac:dyDescent="0.3">
      <c r="A15" s="1">
        <v>42381</v>
      </c>
      <c r="B15" s="204">
        <v>264</v>
      </c>
      <c r="C15">
        <f t="shared" si="0"/>
        <v>0</v>
      </c>
      <c r="D15" s="7">
        <f t="shared" si="1"/>
        <v>0</v>
      </c>
    </row>
    <row r="16" spans="1:4" x14ac:dyDescent="0.3">
      <c r="A16" s="1">
        <v>42382</v>
      </c>
      <c r="B16" s="204">
        <v>264</v>
      </c>
      <c r="C16">
        <f t="shared" si="0"/>
        <v>0</v>
      </c>
      <c r="D16" s="7">
        <f t="shared" si="1"/>
        <v>0</v>
      </c>
    </row>
    <row r="17" spans="1:4" x14ac:dyDescent="0.3">
      <c r="A17" s="1">
        <v>42383</v>
      </c>
      <c r="B17" s="204">
        <v>264</v>
      </c>
      <c r="C17">
        <f t="shared" si="0"/>
        <v>0</v>
      </c>
      <c r="D17" s="7">
        <f t="shared" si="1"/>
        <v>0</v>
      </c>
    </row>
    <row r="18" spans="1:4" x14ac:dyDescent="0.3">
      <c r="A18" s="1">
        <v>42384</v>
      </c>
      <c r="B18" s="204">
        <v>264</v>
      </c>
      <c r="C18">
        <f t="shared" si="0"/>
        <v>0</v>
      </c>
      <c r="D18" s="7">
        <f t="shared" si="1"/>
        <v>0</v>
      </c>
    </row>
    <row r="19" spans="1:4" x14ac:dyDescent="0.3">
      <c r="A19" s="1">
        <v>42385</v>
      </c>
      <c r="B19" s="204">
        <v>264</v>
      </c>
      <c r="C19">
        <f t="shared" si="0"/>
        <v>0</v>
      </c>
      <c r="D19" s="7">
        <f t="shared" si="1"/>
        <v>0</v>
      </c>
    </row>
    <row r="20" spans="1:4" x14ac:dyDescent="0.3">
      <c r="A20" s="1">
        <v>42386</v>
      </c>
      <c r="B20" s="204">
        <v>264</v>
      </c>
      <c r="C20">
        <f t="shared" si="0"/>
        <v>0</v>
      </c>
      <c r="D20" s="7">
        <f t="shared" si="1"/>
        <v>0</v>
      </c>
    </row>
    <row r="21" spans="1:4" x14ac:dyDescent="0.3">
      <c r="A21" s="1">
        <v>42387</v>
      </c>
      <c r="B21" s="204">
        <v>264</v>
      </c>
      <c r="C21">
        <f t="shared" si="0"/>
        <v>0</v>
      </c>
      <c r="D21" s="7">
        <f t="shared" si="1"/>
        <v>0</v>
      </c>
    </row>
    <row r="22" spans="1:4" x14ac:dyDescent="0.3">
      <c r="A22" s="1">
        <v>42388</v>
      </c>
      <c r="B22" s="204">
        <v>264</v>
      </c>
      <c r="C22">
        <f t="shared" si="0"/>
        <v>0</v>
      </c>
      <c r="D22" s="7">
        <f t="shared" si="1"/>
        <v>0</v>
      </c>
    </row>
    <row r="23" spans="1:4" x14ac:dyDescent="0.3">
      <c r="A23" s="1">
        <v>42389</v>
      </c>
      <c r="B23" s="204">
        <v>264</v>
      </c>
      <c r="C23">
        <f t="shared" si="0"/>
        <v>0</v>
      </c>
      <c r="D23" s="7">
        <f t="shared" si="1"/>
        <v>0</v>
      </c>
    </row>
    <row r="24" spans="1:4" x14ac:dyDescent="0.3">
      <c r="A24" s="1">
        <v>42390</v>
      </c>
      <c r="B24" s="204">
        <v>264</v>
      </c>
      <c r="C24">
        <f t="shared" si="0"/>
        <v>0</v>
      </c>
      <c r="D24" s="7">
        <f t="shared" si="1"/>
        <v>0</v>
      </c>
    </row>
    <row r="25" spans="1:4" x14ac:dyDescent="0.3">
      <c r="A25" s="1">
        <v>42391</v>
      </c>
      <c r="B25" s="204">
        <v>264</v>
      </c>
      <c r="C25">
        <f t="shared" si="0"/>
        <v>0</v>
      </c>
      <c r="D25" s="7">
        <f t="shared" si="1"/>
        <v>0</v>
      </c>
    </row>
    <row r="26" spans="1:4" x14ac:dyDescent="0.3">
      <c r="A26" s="1">
        <v>42392</v>
      </c>
      <c r="B26" s="204">
        <v>264</v>
      </c>
      <c r="C26">
        <f t="shared" si="0"/>
        <v>0</v>
      </c>
      <c r="D26" s="7">
        <f t="shared" si="1"/>
        <v>0</v>
      </c>
    </row>
    <row r="27" spans="1:4" x14ac:dyDescent="0.3">
      <c r="A27" s="1">
        <v>42393</v>
      </c>
      <c r="B27" s="204">
        <v>264</v>
      </c>
      <c r="C27">
        <f t="shared" si="0"/>
        <v>0</v>
      </c>
      <c r="D27" s="7">
        <f t="shared" si="1"/>
        <v>0</v>
      </c>
    </row>
    <row r="28" spans="1:4" x14ac:dyDescent="0.3">
      <c r="A28" s="1">
        <v>42394</v>
      </c>
      <c r="B28" s="204">
        <v>264</v>
      </c>
      <c r="C28">
        <f t="shared" si="0"/>
        <v>0</v>
      </c>
      <c r="D28" s="7">
        <f t="shared" si="1"/>
        <v>0</v>
      </c>
    </row>
    <row r="29" spans="1:4" x14ac:dyDescent="0.3">
      <c r="A29" s="1">
        <v>42395</v>
      </c>
      <c r="B29" s="204">
        <v>264</v>
      </c>
      <c r="C29">
        <f t="shared" si="0"/>
        <v>0</v>
      </c>
      <c r="D29" s="7">
        <f t="shared" si="1"/>
        <v>0</v>
      </c>
    </row>
    <row r="30" spans="1:4" x14ac:dyDescent="0.3">
      <c r="A30" s="1">
        <v>42396</v>
      </c>
      <c r="B30" s="204">
        <v>264</v>
      </c>
      <c r="C30">
        <f t="shared" si="0"/>
        <v>0</v>
      </c>
      <c r="D30" s="7">
        <f t="shared" si="1"/>
        <v>0</v>
      </c>
    </row>
    <row r="31" spans="1:4" x14ac:dyDescent="0.3">
      <c r="A31" s="1">
        <v>42397</v>
      </c>
      <c r="B31" s="204">
        <v>264</v>
      </c>
      <c r="C31">
        <f t="shared" si="0"/>
        <v>0</v>
      </c>
      <c r="D31" s="7">
        <f t="shared" si="1"/>
        <v>0</v>
      </c>
    </row>
    <row r="32" spans="1:4" x14ac:dyDescent="0.3">
      <c r="A32" s="1">
        <v>42398</v>
      </c>
      <c r="B32" s="204">
        <v>264</v>
      </c>
      <c r="C32">
        <f t="shared" si="0"/>
        <v>0</v>
      </c>
      <c r="D32" s="7">
        <f t="shared" si="1"/>
        <v>0</v>
      </c>
    </row>
    <row r="33" spans="1:4" x14ac:dyDescent="0.3">
      <c r="A33" s="1">
        <v>42399</v>
      </c>
      <c r="B33" s="204">
        <v>264</v>
      </c>
      <c r="C33">
        <f t="shared" si="0"/>
        <v>0</v>
      </c>
      <c r="D33" s="7">
        <f t="shared" si="1"/>
        <v>0</v>
      </c>
    </row>
    <row r="34" spans="1:4" x14ac:dyDescent="0.3">
      <c r="A34" s="1">
        <v>42400</v>
      </c>
      <c r="B34">
        <v>80</v>
      </c>
      <c r="C34">
        <f t="shared" si="0"/>
        <v>184</v>
      </c>
      <c r="D34" s="7">
        <f t="shared" si="1"/>
        <v>2.2999999999999998</v>
      </c>
    </row>
    <row r="35" spans="1:4" x14ac:dyDescent="0.3">
      <c r="A35" s="4" t="s">
        <v>8</v>
      </c>
      <c r="B35" s="5">
        <f>B34</f>
        <v>80</v>
      </c>
      <c r="C35" s="5">
        <f>SUM(C4:C34)</f>
        <v>14</v>
      </c>
      <c r="D35" s="5"/>
    </row>
    <row r="36" spans="1:4" x14ac:dyDescent="0.3">
      <c r="A36" s="1">
        <v>42401</v>
      </c>
      <c r="B36" s="204">
        <v>80</v>
      </c>
      <c r="C36">
        <f>B36-B34</f>
        <v>0</v>
      </c>
      <c r="D36" s="7">
        <f>IFERROR(B34/B36-1,0)</f>
        <v>0</v>
      </c>
    </row>
    <row r="37" spans="1:4" x14ac:dyDescent="0.3">
      <c r="A37" s="1">
        <v>42402</v>
      </c>
      <c r="B37" s="204">
        <v>80</v>
      </c>
      <c r="C37">
        <f t="shared" ref="C37:C63" si="2">B36-B37</f>
        <v>0</v>
      </c>
      <c r="D37" s="7">
        <f>IFERROR(B36/B37-1,0)</f>
        <v>0</v>
      </c>
    </row>
    <row r="38" spans="1:4" x14ac:dyDescent="0.3">
      <c r="A38" s="1">
        <v>42403</v>
      </c>
      <c r="B38" s="204">
        <v>80</v>
      </c>
      <c r="C38">
        <f t="shared" si="2"/>
        <v>0</v>
      </c>
      <c r="D38" s="7">
        <f t="shared" ref="D38:D63" si="3">IFERROR(B37/B38-1,0)</f>
        <v>0</v>
      </c>
    </row>
    <row r="39" spans="1:4" x14ac:dyDescent="0.3">
      <c r="A39" s="1">
        <v>42404</v>
      </c>
      <c r="B39" s="204">
        <v>80</v>
      </c>
      <c r="C39">
        <f t="shared" si="2"/>
        <v>0</v>
      </c>
      <c r="D39" s="7">
        <f t="shared" si="3"/>
        <v>0</v>
      </c>
    </row>
    <row r="40" spans="1:4" x14ac:dyDescent="0.3">
      <c r="A40" s="1">
        <v>42405</v>
      </c>
      <c r="B40" s="204">
        <v>80</v>
      </c>
      <c r="C40">
        <f t="shared" si="2"/>
        <v>0</v>
      </c>
      <c r="D40" s="7">
        <f t="shared" si="3"/>
        <v>0</v>
      </c>
    </row>
    <row r="41" spans="1:4" x14ac:dyDescent="0.3">
      <c r="A41" s="1">
        <v>42406</v>
      </c>
      <c r="B41" s="204">
        <v>80</v>
      </c>
      <c r="C41">
        <f t="shared" si="2"/>
        <v>0</v>
      </c>
      <c r="D41" s="7">
        <f t="shared" si="3"/>
        <v>0</v>
      </c>
    </row>
    <row r="42" spans="1:4" x14ac:dyDescent="0.3">
      <c r="A42" s="1">
        <v>42407</v>
      </c>
      <c r="B42" s="204">
        <v>80</v>
      </c>
      <c r="C42">
        <f t="shared" si="2"/>
        <v>0</v>
      </c>
      <c r="D42" s="7">
        <f t="shared" si="3"/>
        <v>0</v>
      </c>
    </row>
    <row r="43" spans="1:4" x14ac:dyDescent="0.3">
      <c r="A43" s="1">
        <v>42408</v>
      </c>
      <c r="B43" s="204">
        <v>80</v>
      </c>
      <c r="C43">
        <f t="shared" si="2"/>
        <v>0</v>
      </c>
      <c r="D43" s="7">
        <f t="shared" si="3"/>
        <v>0</v>
      </c>
    </row>
    <row r="44" spans="1:4" x14ac:dyDescent="0.3">
      <c r="A44" s="1">
        <v>42409</v>
      </c>
      <c r="B44" s="204">
        <v>80</v>
      </c>
      <c r="C44">
        <f t="shared" si="2"/>
        <v>0</v>
      </c>
      <c r="D44" s="7">
        <f t="shared" si="3"/>
        <v>0</v>
      </c>
    </row>
    <row r="45" spans="1:4" x14ac:dyDescent="0.3">
      <c r="A45" s="1">
        <v>42410</v>
      </c>
      <c r="B45" s="204">
        <v>80</v>
      </c>
      <c r="C45">
        <f t="shared" si="2"/>
        <v>0</v>
      </c>
      <c r="D45" s="7">
        <f t="shared" si="3"/>
        <v>0</v>
      </c>
    </row>
    <row r="46" spans="1:4" x14ac:dyDescent="0.3">
      <c r="A46" s="1">
        <v>42411</v>
      </c>
      <c r="B46" s="204">
        <v>80</v>
      </c>
      <c r="C46">
        <f t="shared" si="2"/>
        <v>0</v>
      </c>
      <c r="D46" s="7">
        <f t="shared" si="3"/>
        <v>0</v>
      </c>
    </row>
    <row r="47" spans="1:4" x14ac:dyDescent="0.3">
      <c r="A47" s="1">
        <v>42412</v>
      </c>
      <c r="B47" s="204">
        <v>80</v>
      </c>
      <c r="C47">
        <f t="shared" si="2"/>
        <v>0</v>
      </c>
      <c r="D47" s="7">
        <f t="shared" si="3"/>
        <v>0</v>
      </c>
    </row>
    <row r="48" spans="1:4" x14ac:dyDescent="0.3">
      <c r="A48" s="1">
        <v>42413</v>
      </c>
      <c r="B48" s="204">
        <v>80</v>
      </c>
      <c r="C48">
        <f t="shared" si="2"/>
        <v>0</v>
      </c>
      <c r="D48" s="7">
        <f t="shared" si="3"/>
        <v>0</v>
      </c>
    </row>
    <row r="49" spans="1:4" x14ac:dyDescent="0.3">
      <c r="A49" s="1">
        <v>42414</v>
      </c>
      <c r="B49" s="204">
        <v>80</v>
      </c>
      <c r="C49">
        <f t="shared" si="2"/>
        <v>0</v>
      </c>
      <c r="D49" s="7">
        <f t="shared" si="3"/>
        <v>0</v>
      </c>
    </row>
    <row r="50" spans="1:4" x14ac:dyDescent="0.3">
      <c r="A50" s="1">
        <v>42415</v>
      </c>
      <c r="B50" s="204">
        <v>80</v>
      </c>
      <c r="C50">
        <f t="shared" si="2"/>
        <v>0</v>
      </c>
      <c r="D50" s="7">
        <f t="shared" si="3"/>
        <v>0</v>
      </c>
    </row>
    <row r="51" spans="1:4" x14ac:dyDescent="0.3">
      <c r="A51" s="1">
        <v>42416</v>
      </c>
      <c r="B51" s="204">
        <v>80</v>
      </c>
      <c r="C51">
        <f t="shared" si="2"/>
        <v>0</v>
      </c>
      <c r="D51" s="7">
        <f t="shared" si="3"/>
        <v>0</v>
      </c>
    </row>
    <row r="52" spans="1:4" x14ac:dyDescent="0.3">
      <c r="A52" s="1">
        <v>42417</v>
      </c>
      <c r="B52" s="204">
        <v>80</v>
      </c>
      <c r="C52">
        <f t="shared" si="2"/>
        <v>0</v>
      </c>
      <c r="D52" s="7">
        <f t="shared" si="3"/>
        <v>0</v>
      </c>
    </row>
    <row r="53" spans="1:4" x14ac:dyDescent="0.3">
      <c r="A53" s="1">
        <v>42418</v>
      </c>
      <c r="B53" s="204">
        <v>80</v>
      </c>
      <c r="C53">
        <f t="shared" si="2"/>
        <v>0</v>
      </c>
      <c r="D53" s="7">
        <f t="shared" si="3"/>
        <v>0</v>
      </c>
    </row>
    <row r="54" spans="1:4" x14ac:dyDescent="0.3">
      <c r="A54" s="1">
        <v>42419</v>
      </c>
      <c r="B54" s="204">
        <v>80</v>
      </c>
      <c r="C54">
        <f t="shared" si="2"/>
        <v>0</v>
      </c>
      <c r="D54" s="7">
        <f t="shared" si="3"/>
        <v>0</v>
      </c>
    </row>
    <row r="55" spans="1:4" x14ac:dyDescent="0.3">
      <c r="A55" s="1">
        <v>42420</v>
      </c>
      <c r="B55" s="204">
        <v>80</v>
      </c>
      <c r="C55">
        <f t="shared" si="2"/>
        <v>0</v>
      </c>
      <c r="D55" s="7">
        <f t="shared" si="3"/>
        <v>0</v>
      </c>
    </row>
    <row r="56" spans="1:4" x14ac:dyDescent="0.3">
      <c r="A56" s="1">
        <v>42421</v>
      </c>
      <c r="B56" s="204">
        <v>80</v>
      </c>
      <c r="C56">
        <f t="shared" si="2"/>
        <v>0</v>
      </c>
      <c r="D56" s="7">
        <f t="shared" si="3"/>
        <v>0</v>
      </c>
    </row>
    <row r="57" spans="1:4" x14ac:dyDescent="0.3">
      <c r="A57" s="1">
        <v>42422</v>
      </c>
      <c r="B57" s="204">
        <v>80</v>
      </c>
      <c r="C57">
        <f t="shared" si="2"/>
        <v>0</v>
      </c>
      <c r="D57" s="7">
        <f t="shared" si="3"/>
        <v>0</v>
      </c>
    </row>
    <row r="58" spans="1:4" x14ac:dyDescent="0.3">
      <c r="A58" s="1">
        <v>42423</v>
      </c>
      <c r="B58" s="204">
        <v>80</v>
      </c>
      <c r="C58">
        <f t="shared" si="2"/>
        <v>0</v>
      </c>
      <c r="D58" s="7">
        <f t="shared" si="3"/>
        <v>0</v>
      </c>
    </row>
    <row r="59" spans="1:4" x14ac:dyDescent="0.3">
      <c r="A59" s="1">
        <v>42424</v>
      </c>
      <c r="B59" s="204">
        <v>80</v>
      </c>
      <c r="C59">
        <f t="shared" si="2"/>
        <v>0</v>
      </c>
      <c r="D59" s="7">
        <f t="shared" si="3"/>
        <v>0</v>
      </c>
    </row>
    <row r="60" spans="1:4" x14ac:dyDescent="0.3">
      <c r="A60" s="1">
        <v>42425</v>
      </c>
      <c r="B60" s="204">
        <v>80</v>
      </c>
      <c r="C60">
        <f t="shared" si="2"/>
        <v>0</v>
      </c>
      <c r="D60" s="7">
        <f t="shared" si="3"/>
        <v>0</v>
      </c>
    </row>
    <row r="61" spans="1:4" x14ac:dyDescent="0.3">
      <c r="A61" s="1">
        <v>42426</v>
      </c>
      <c r="B61" s="204">
        <v>80</v>
      </c>
      <c r="C61">
        <f t="shared" si="2"/>
        <v>0</v>
      </c>
      <c r="D61" s="7">
        <f t="shared" si="3"/>
        <v>0</v>
      </c>
    </row>
    <row r="62" spans="1:4" x14ac:dyDescent="0.3">
      <c r="A62" s="1">
        <v>42427</v>
      </c>
      <c r="B62" s="204">
        <v>80</v>
      </c>
      <c r="C62">
        <f t="shared" si="2"/>
        <v>0</v>
      </c>
      <c r="D62" s="7">
        <f t="shared" si="3"/>
        <v>0</v>
      </c>
    </row>
    <row r="63" spans="1:4" x14ac:dyDescent="0.3">
      <c r="A63" s="1">
        <v>42428</v>
      </c>
      <c r="B63" s="204">
        <v>80</v>
      </c>
      <c r="C63">
        <f t="shared" si="2"/>
        <v>0</v>
      </c>
      <c r="D63" s="7">
        <f t="shared" si="3"/>
        <v>0</v>
      </c>
    </row>
    <row r="64" spans="1:4" s="204" customFormat="1" x14ac:dyDescent="0.3">
      <c r="A64" s="1">
        <v>42429</v>
      </c>
      <c r="B64" s="204">
        <v>80</v>
      </c>
      <c r="C64" s="204">
        <f t="shared" ref="C64" si="4">B63-B64</f>
        <v>0</v>
      </c>
      <c r="D64" s="207">
        <f t="shared" ref="D64" si="5">IFERROR(B63/B64-1,0)</f>
        <v>0</v>
      </c>
    </row>
    <row r="65" spans="1:4" x14ac:dyDescent="0.3">
      <c r="A65" s="4" t="s">
        <v>9</v>
      </c>
      <c r="B65" s="5">
        <f>B64</f>
        <v>80</v>
      </c>
      <c r="C65" s="5">
        <f>SUM(C36:C64)</f>
        <v>0</v>
      </c>
      <c r="D65" s="5"/>
    </row>
    <row r="66" spans="1:4" x14ac:dyDescent="0.3">
      <c r="A66" s="1">
        <v>42430</v>
      </c>
      <c r="B66">
        <v>86</v>
      </c>
      <c r="C66">
        <f>B66-B63</f>
        <v>6</v>
      </c>
      <c r="D66" s="7">
        <f>IFERROR(B64/B66-1,0)</f>
        <v>-6.9767441860465129E-2</v>
      </c>
    </row>
    <row r="67" spans="1:4" x14ac:dyDescent="0.3">
      <c r="A67" s="1">
        <v>42431</v>
      </c>
      <c r="B67">
        <v>86</v>
      </c>
      <c r="C67">
        <f t="shared" ref="C67:C96" si="6">B66-B67</f>
        <v>0</v>
      </c>
      <c r="D67" s="7">
        <f>IFERROR(B66/B67-1,0)</f>
        <v>0</v>
      </c>
    </row>
    <row r="68" spans="1:4" x14ac:dyDescent="0.3">
      <c r="A68" s="1">
        <v>42432</v>
      </c>
      <c r="B68">
        <v>86</v>
      </c>
      <c r="C68">
        <f t="shared" si="6"/>
        <v>0</v>
      </c>
      <c r="D68" s="7">
        <f t="shared" ref="D68:D96" si="7">IFERROR(B67/B68-1,0)</f>
        <v>0</v>
      </c>
    </row>
    <row r="69" spans="1:4" x14ac:dyDescent="0.3">
      <c r="A69" s="1">
        <v>42433</v>
      </c>
      <c r="B69">
        <v>86</v>
      </c>
      <c r="C69">
        <f t="shared" si="6"/>
        <v>0</v>
      </c>
      <c r="D69" s="7">
        <f t="shared" si="7"/>
        <v>0</v>
      </c>
    </row>
    <row r="70" spans="1:4" x14ac:dyDescent="0.3">
      <c r="A70" s="1">
        <v>42434</v>
      </c>
      <c r="B70">
        <v>86</v>
      </c>
      <c r="C70">
        <f t="shared" si="6"/>
        <v>0</v>
      </c>
      <c r="D70" s="7">
        <f t="shared" si="7"/>
        <v>0</v>
      </c>
    </row>
    <row r="71" spans="1:4" x14ac:dyDescent="0.3">
      <c r="A71" s="1">
        <v>42435</v>
      </c>
      <c r="B71">
        <v>86</v>
      </c>
      <c r="C71">
        <f t="shared" si="6"/>
        <v>0</v>
      </c>
      <c r="D71" s="7">
        <f t="shared" si="7"/>
        <v>0</v>
      </c>
    </row>
    <row r="72" spans="1:4" x14ac:dyDescent="0.3">
      <c r="A72" s="1">
        <v>42436</v>
      </c>
      <c r="B72">
        <v>86</v>
      </c>
      <c r="C72">
        <f t="shared" si="6"/>
        <v>0</v>
      </c>
      <c r="D72" s="7">
        <f t="shared" si="7"/>
        <v>0</v>
      </c>
    </row>
    <row r="73" spans="1:4" x14ac:dyDescent="0.3">
      <c r="A73" s="1">
        <v>42437</v>
      </c>
      <c r="B73">
        <v>86</v>
      </c>
      <c r="C73">
        <f t="shared" si="6"/>
        <v>0</v>
      </c>
      <c r="D73" s="7">
        <f t="shared" si="7"/>
        <v>0</v>
      </c>
    </row>
    <row r="74" spans="1:4" x14ac:dyDescent="0.3">
      <c r="A74" s="1">
        <v>42438</v>
      </c>
      <c r="B74">
        <v>86</v>
      </c>
      <c r="C74">
        <f t="shared" si="6"/>
        <v>0</v>
      </c>
      <c r="D74" s="7">
        <f t="shared" si="7"/>
        <v>0</v>
      </c>
    </row>
    <row r="75" spans="1:4" x14ac:dyDescent="0.3">
      <c r="A75" s="1">
        <v>42439</v>
      </c>
      <c r="B75">
        <v>86</v>
      </c>
      <c r="C75">
        <f t="shared" si="6"/>
        <v>0</v>
      </c>
      <c r="D75" s="7">
        <f t="shared" si="7"/>
        <v>0</v>
      </c>
    </row>
    <row r="76" spans="1:4" x14ac:dyDescent="0.3">
      <c r="A76" s="1">
        <v>42440</v>
      </c>
      <c r="B76" s="204">
        <v>86</v>
      </c>
      <c r="C76">
        <f t="shared" si="6"/>
        <v>0</v>
      </c>
      <c r="D76" s="7">
        <f t="shared" si="7"/>
        <v>0</v>
      </c>
    </row>
    <row r="77" spans="1:4" x14ac:dyDescent="0.3">
      <c r="A77" s="1">
        <v>42441</v>
      </c>
      <c r="B77" s="204">
        <v>86</v>
      </c>
      <c r="C77">
        <f t="shared" si="6"/>
        <v>0</v>
      </c>
      <c r="D77" s="7">
        <f t="shared" si="7"/>
        <v>0</v>
      </c>
    </row>
    <row r="78" spans="1:4" x14ac:dyDescent="0.3">
      <c r="A78" s="1">
        <v>42442</v>
      </c>
      <c r="B78" s="204">
        <v>86</v>
      </c>
      <c r="C78">
        <f t="shared" si="6"/>
        <v>0</v>
      </c>
      <c r="D78" s="7">
        <f t="shared" si="7"/>
        <v>0</v>
      </c>
    </row>
    <row r="79" spans="1:4" x14ac:dyDescent="0.3">
      <c r="A79" s="1">
        <v>42443</v>
      </c>
      <c r="B79" s="204">
        <v>86</v>
      </c>
      <c r="C79">
        <f t="shared" si="6"/>
        <v>0</v>
      </c>
      <c r="D79" s="7">
        <f t="shared" si="7"/>
        <v>0</v>
      </c>
    </row>
    <row r="80" spans="1:4" x14ac:dyDescent="0.3">
      <c r="A80" s="1">
        <v>42444</v>
      </c>
      <c r="B80">
        <v>84</v>
      </c>
      <c r="C80">
        <f t="shared" si="6"/>
        <v>2</v>
      </c>
      <c r="D80" s="7">
        <f t="shared" si="7"/>
        <v>2.3809523809523725E-2</v>
      </c>
    </row>
    <row r="81" spans="1:4" x14ac:dyDescent="0.3">
      <c r="A81" s="1">
        <v>42445</v>
      </c>
      <c r="B81" s="204">
        <v>84</v>
      </c>
      <c r="C81">
        <f t="shared" si="6"/>
        <v>0</v>
      </c>
      <c r="D81" s="7">
        <f t="shared" si="7"/>
        <v>0</v>
      </c>
    </row>
    <row r="82" spans="1:4" x14ac:dyDescent="0.3">
      <c r="A82" s="1">
        <v>42446</v>
      </c>
      <c r="B82" s="204">
        <v>84</v>
      </c>
      <c r="C82">
        <f t="shared" si="6"/>
        <v>0</v>
      </c>
      <c r="D82" s="7">
        <f t="shared" si="7"/>
        <v>0</v>
      </c>
    </row>
    <row r="83" spans="1:4" x14ac:dyDescent="0.3">
      <c r="A83" s="1">
        <v>42447</v>
      </c>
      <c r="B83" s="204">
        <v>84</v>
      </c>
      <c r="C83">
        <f t="shared" si="6"/>
        <v>0</v>
      </c>
      <c r="D83" s="7">
        <f t="shared" si="7"/>
        <v>0</v>
      </c>
    </row>
    <row r="84" spans="1:4" x14ac:dyDescent="0.3">
      <c r="A84" s="1">
        <v>42448</v>
      </c>
      <c r="B84" s="204">
        <v>84</v>
      </c>
      <c r="C84">
        <f t="shared" si="6"/>
        <v>0</v>
      </c>
      <c r="D84" s="7">
        <f t="shared" si="7"/>
        <v>0</v>
      </c>
    </row>
    <row r="85" spans="1:4" x14ac:dyDescent="0.3">
      <c r="A85" s="1">
        <v>42449</v>
      </c>
      <c r="B85" s="204">
        <v>84</v>
      </c>
      <c r="C85">
        <f t="shared" si="6"/>
        <v>0</v>
      </c>
      <c r="D85" s="7">
        <f t="shared" si="7"/>
        <v>0</v>
      </c>
    </row>
    <row r="86" spans="1:4" x14ac:dyDescent="0.3">
      <c r="A86" s="1">
        <v>42450</v>
      </c>
      <c r="B86" s="204">
        <v>84</v>
      </c>
      <c r="C86">
        <f t="shared" si="6"/>
        <v>0</v>
      </c>
      <c r="D86" s="7">
        <f t="shared" si="7"/>
        <v>0</v>
      </c>
    </row>
    <row r="87" spans="1:4" x14ac:dyDescent="0.3">
      <c r="A87" s="1">
        <v>42451</v>
      </c>
      <c r="B87" s="204">
        <v>84</v>
      </c>
      <c r="C87">
        <f t="shared" si="6"/>
        <v>0</v>
      </c>
      <c r="D87" s="7">
        <f t="shared" si="7"/>
        <v>0</v>
      </c>
    </row>
    <row r="88" spans="1:4" x14ac:dyDescent="0.3">
      <c r="A88" s="1">
        <v>42452</v>
      </c>
      <c r="B88" s="204">
        <v>84</v>
      </c>
      <c r="C88">
        <f t="shared" si="6"/>
        <v>0</v>
      </c>
      <c r="D88" s="7">
        <f t="shared" si="7"/>
        <v>0</v>
      </c>
    </row>
    <row r="89" spans="1:4" x14ac:dyDescent="0.3">
      <c r="A89" s="1">
        <v>42453</v>
      </c>
      <c r="B89" s="204">
        <v>84</v>
      </c>
      <c r="C89">
        <f t="shared" si="6"/>
        <v>0</v>
      </c>
      <c r="D89" s="7">
        <f t="shared" si="7"/>
        <v>0</v>
      </c>
    </row>
    <row r="90" spans="1:4" x14ac:dyDescent="0.3">
      <c r="A90" s="1">
        <v>42454</v>
      </c>
      <c r="B90" s="204">
        <v>84</v>
      </c>
      <c r="C90">
        <f t="shared" si="6"/>
        <v>0</v>
      </c>
      <c r="D90" s="7">
        <f t="shared" si="7"/>
        <v>0</v>
      </c>
    </row>
    <row r="91" spans="1:4" x14ac:dyDescent="0.3">
      <c r="A91" s="1">
        <v>42455</v>
      </c>
      <c r="B91" s="204">
        <v>84</v>
      </c>
      <c r="C91">
        <f t="shared" si="6"/>
        <v>0</v>
      </c>
      <c r="D91" s="7">
        <f t="shared" si="7"/>
        <v>0</v>
      </c>
    </row>
    <row r="92" spans="1:4" x14ac:dyDescent="0.3">
      <c r="A92" s="1">
        <v>42456</v>
      </c>
      <c r="B92" s="204">
        <v>84</v>
      </c>
      <c r="C92">
        <f t="shared" si="6"/>
        <v>0</v>
      </c>
      <c r="D92" s="7">
        <f t="shared" si="7"/>
        <v>0</v>
      </c>
    </row>
    <row r="93" spans="1:4" x14ac:dyDescent="0.3">
      <c r="A93" s="1">
        <v>42457</v>
      </c>
      <c r="B93">
        <v>100</v>
      </c>
      <c r="C93">
        <f t="shared" si="6"/>
        <v>-16</v>
      </c>
      <c r="D93" s="7">
        <f t="shared" si="7"/>
        <v>-0.16000000000000003</v>
      </c>
    </row>
    <row r="94" spans="1:4" x14ac:dyDescent="0.3">
      <c r="A94" s="1">
        <v>42458</v>
      </c>
      <c r="B94" s="204">
        <v>100</v>
      </c>
      <c r="C94">
        <f t="shared" si="6"/>
        <v>0</v>
      </c>
      <c r="D94" s="7">
        <f t="shared" si="7"/>
        <v>0</v>
      </c>
    </row>
    <row r="95" spans="1:4" x14ac:dyDescent="0.3">
      <c r="A95" s="1">
        <v>42459</v>
      </c>
      <c r="B95" s="204">
        <v>100</v>
      </c>
      <c r="C95">
        <f t="shared" si="6"/>
        <v>0</v>
      </c>
      <c r="D95" s="7">
        <f t="shared" si="7"/>
        <v>0</v>
      </c>
    </row>
    <row r="96" spans="1:4" x14ac:dyDescent="0.3">
      <c r="A96" s="1">
        <v>42460</v>
      </c>
      <c r="B96" s="204">
        <v>100</v>
      </c>
      <c r="C96">
        <f t="shared" si="6"/>
        <v>0</v>
      </c>
      <c r="D96" s="7">
        <f t="shared" si="7"/>
        <v>0</v>
      </c>
    </row>
    <row r="97" spans="1:4" x14ac:dyDescent="0.3">
      <c r="A97" s="35" t="s">
        <v>10</v>
      </c>
      <c r="B97" s="5">
        <f>B96</f>
        <v>100</v>
      </c>
      <c r="C97" s="5">
        <f>SUM(C66:C96)</f>
        <v>-8</v>
      </c>
      <c r="D97" s="5"/>
    </row>
    <row r="98" spans="1:4" x14ac:dyDescent="0.3">
      <c r="A98" s="1">
        <v>42461</v>
      </c>
      <c r="B98" s="204">
        <v>100</v>
      </c>
      <c r="C98">
        <f>B98-B96</f>
        <v>0</v>
      </c>
      <c r="D98" s="7">
        <f>IFERROR(B96/B98-1,0)</f>
        <v>0</v>
      </c>
    </row>
    <row r="99" spans="1:4" x14ac:dyDescent="0.3">
      <c r="A99" s="1">
        <v>42462</v>
      </c>
      <c r="B99" s="204">
        <v>100</v>
      </c>
      <c r="C99">
        <f t="shared" ref="C99:C127" si="8">B98-B99</f>
        <v>0</v>
      </c>
      <c r="D99" s="7">
        <f>IFERROR(B98/B99-1,0)</f>
        <v>0</v>
      </c>
    </row>
    <row r="100" spans="1:4" x14ac:dyDescent="0.3">
      <c r="A100" s="1">
        <v>42463</v>
      </c>
      <c r="B100" s="204">
        <v>100</v>
      </c>
      <c r="C100">
        <f t="shared" si="8"/>
        <v>0</v>
      </c>
      <c r="D100" s="7">
        <f t="shared" ref="D100:D127" si="9">IFERROR(B99/B100-1,0)</f>
        <v>0</v>
      </c>
    </row>
    <row r="101" spans="1:4" x14ac:dyDescent="0.3">
      <c r="A101" s="1">
        <v>42464</v>
      </c>
      <c r="B101" s="204">
        <v>100</v>
      </c>
      <c r="C101">
        <f t="shared" si="8"/>
        <v>0</v>
      </c>
      <c r="D101" s="7">
        <f t="shared" si="9"/>
        <v>0</v>
      </c>
    </row>
    <row r="102" spans="1:4" x14ac:dyDescent="0.3">
      <c r="A102" s="1">
        <v>42465</v>
      </c>
      <c r="B102" s="204">
        <v>100</v>
      </c>
      <c r="C102">
        <f t="shared" si="8"/>
        <v>0</v>
      </c>
      <c r="D102" s="7">
        <f t="shared" si="9"/>
        <v>0</v>
      </c>
    </row>
    <row r="103" spans="1:4" x14ac:dyDescent="0.3">
      <c r="A103" s="1">
        <v>42466</v>
      </c>
      <c r="B103" s="204">
        <v>100</v>
      </c>
      <c r="C103">
        <f t="shared" si="8"/>
        <v>0</v>
      </c>
      <c r="D103" s="7">
        <f t="shared" si="9"/>
        <v>0</v>
      </c>
    </row>
    <row r="104" spans="1:4" x14ac:dyDescent="0.3">
      <c r="A104" s="1">
        <v>42467</v>
      </c>
      <c r="B104" s="204">
        <v>100</v>
      </c>
      <c r="C104">
        <f t="shared" si="8"/>
        <v>0</v>
      </c>
      <c r="D104" s="7">
        <f t="shared" si="9"/>
        <v>0</v>
      </c>
    </row>
    <row r="105" spans="1:4" x14ac:dyDescent="0.3">
      <c r="A105" s="1">
        <v>42468</v>
      </c>
      <c r="B105" s="204">
        <v>100</v>
      </c>
      <c r="C105">
        <f t="shared" si="8"/>
        <v>0</v>
      </c>
      <c r="D105" s="7">
        <f t="shared" si="9"/>
        <v>0</v>
      </c>
    </row>
    <row r="106" spans="1:4" x14ac:dyDescent="0.3">
      <c r="A106" s="1">
        <v>42469</v>
      </c>
      <c r="B106" s="204">
        <v>100</v>
      </c>
      <c r="C106">
        <f t="shared" si="8"/>
        <v>0</v>
      </c>
      <c r="D106" s="7">
        <f t="shared" si="9"/>
        <v>0</v>
      </c>
    </row>
    <row r="107" spans="1:4" x14ac:dyDescent="0.3">
      <c r="A107" s="1">
        <v>42470</v>
      </c>
      <c r="B107" s="204">
        <v>100</v>
      </c>
      <c r="C107">
        <f t="shared" si="8"/>
        <v>0</v>
      </c>
      <c r="D107" s="7">
        <f t="shared" si="9"/>
        <v>0</v>
      </c>
    </row>
    <row r="108" spans="1:4" x14ac:dyDescent="0.3">
      <c r="A108" s="1">
        <v>42471</v>
      </c>
      <c r="B108" s="204">
        <v>100</v>
      </c>
      <c r="C108">
        <f t="shared" si="8"/>
        <v>0</v>
      </c>
      <c r="D108" s="7">
        <f t="shared" si="9"/>
        <v>0</v>
      </c>
    </row>
    <row r="109" spans="1:4" x14ac:dyDescent="0.3">
      <c r="A109" s="1">
        <v>42472</v>
      </c>
      <c r="B109" s="204">
        <v>100</v>
      </c>
      <c r="C109">
        <f t="shared" si="8"/>
        <v>0</v>
      </c>
      <c r="D109" s="7">
        <f t="shared" si="9"/>
        <v>0</v>
      </c>
    </row>
    <row r="110" spans="1:4" x14ac:dyDescent="0.3">
      <c r="A110" s="1">
        <v>42473</v>
      </c>
      <c r="B110" s="204">
        <v>100</v>
      </c>
      <c r="C110">
        <f t="shared" si="8"/>
        <v>0</v>
      </c>
      <c r="D110" s="7">
        <f t="shared" si="9"/>
        <v>0</v>
      </c>
    </row>
    <row r="111" spans="1:4" x14ac:dyDescent="0.3">
      <c r="A111" s="1">
        <v>42474</v>
      </c>
      <c r="B111" s="204">
        <v>100</v>
      </c>
      <c r="C111">
        <f t="shared" si="8"/>
        <v>0</v>
      </c>
      <c r="D111" s="7">
        <f t="shared" si="9"/>
        <v>0</v>
      </c>
    </row>
    <row r="112" spans="1:4" x14ac:dyDescent="0.3">
      <c r="A112" s="1">
        <v>42475</v>
      </c>
      <c r="B112" s="204">
        <v>100</v>
      </c>
      <c r="C112">
        <f t="shared" si="8"/>
        <v>0</v>
      </c>
      <c r="D112" s="7">
        <f t="shared" si="9"/>
        <v>0</v>
      </c>
    </row>
    <row r="113" spans="1:4" x14ac:dyDescent="0.3">
      <c r="A113" s="1">
        <v>42476</v>
      </c>
      <c r="B113" s="204">
        <v>100</v>
      </c>
      <c r="C113">
        <f t="shared" si="8"/>
        <v>0</v>
      </c>
      <c r="D113" s="7">
        <f t="shared" si="9"/>
        <v>0</v>
      </c>
    </row>
    <row r="114" spans="1:4" x14ac:dyDescent="0.3">
      <c r="A114" s="1">
        <v>42477</v>
      </c>
      <c r="B114" s="204">
        <v>100</v>
      </c>
      <c r="C114">
        <f t="shared" si="8"/>
        <v>0</v>
      </c>
      <c r="D114" s="7">
        <f t="shared" si="9"/>
        <v>0</v>
      </c>
    </row>
    <row r="115" spans="1:4" x14ac:dyDescent="0.3">
      <c r="A115" s="1">
        <v>42478</v>
      </c>
      <c r="B115" s="204">
        <v>100</v>
      </c>
      <c r="C115">
        <f t="shared" si="8"/>
        <v>0</v>
      </c>
      <c r="D115" s="7">
        <f t="shared" si="9"/>
        <v>0</v>
      </c>
    </row>
    <row r="116" spans="1:4" x14ac:dyDescent="0.3">
      <c r="A116" s="1">
        <v>42479</v>
      </c>
      <c r="B116" s="204">
        <v>100</v>
      </c>
      <c r="C116">
        <f t="shared" si="8"/>
        <v>0</v>
      </c>
      <c r="D116" s="7">
        <f t="shared" si="9"/>
        <v>0</v>
      </c>
    </row>
    <row r="117" spans="1:4" x14ac:dyDescent="0.3">
      <c r="A117" s="1">
        <v>42480</v>
      </c>
      <c r="B117" s="204">
        <v>100</v>
      </c>
      <c r="C117">
        <f t="shared" si="8"/>
        <v>0</v>
      </c>
      <c r="D117" s="7">
        <f t="shared" si="9"/>
        <v>0</v>
      </c>
    </row>
    <row r="118" spans="1:4" x14ac:dyDescent="0.3">
      <c r="A118" s="1">
        <v>42481</v>
      </c>
      <c r="B118">
        <v>125</v>
      </c>
      <c r="C118">
        <f t="shared" si="8"/>
        <v>-25</v>
      </c>
      <c r="D118" s="7">
        <f t="shared" si="9"/>
        <v>-0.19999999999999996</v>
      </c>
    </row>
    <row r="119" spans="1:4" x14ac:dyDescent="0.3">
      <c r="A119" s="1">
        <v>42482</v>
      </c>
      <c r="B119" s="204">
        <v>125</v>
      </c>
      <c r="C119">
        <f t="shared" si="8"/>
        <v>0</v>
      </c>
      <c r="D119" s="7">
        <f t="shared" si="9"/>
        <v>0</v>
      </c>
    </row>
    <row r="120" spans="1:4" x14ac:dyDescent="0.3">
      <c r="A120" s="1">
        <v>42483</v>
      </c>
      <c r="B120" s="204">
        <v>125</v>
      </c>
      <c r="C120">
        <f t="shared" si="8"/>
        <v>0</v>
      </c>
      <c r="D120" s="7">
        <f t="shared" si="9"/>
        <v>0</v>
      </c>
    </row>
    <row r="121" spans="1:4" x14ac:dyDescent="0.3">
      <c r="A121" s="1">
        <v>42484</v>
      </c>
      <c r="B121" s="204">
        <v>125</v>
      </c>
      <c r="C121">
        <f t="shared" si="8"/>
        <v>0</v>
      </c>
      <c r="D121" s="7">
        <f t="shared" si="9"/>
        <v>0</v>
      </c>
    </row>
    <row r="122" spans="1:4" x14ac:dyDescent="0.3">
      <c r="A122" s="1">
        <v>42485</v>
      </c>
      <c r="B122" s="204">
        <v>125</v>
      </c>
      <c r="C122">
        <f t="shared" si="8"/>
        <v>0</v>
      </c>
      <c r="D122" s="7">
        <f t="shared" si="9"/>
        <v>0</v>
      </c>
    </row>
    <row r="123" spans="1:4" x14ac:dyDescent="0.3">
      <c r="A123" s="1">
        <v>42486</v>
      </c>
      <c r="B123" s="204">
        <v>125</v>
      </c>
      <c r="C123">
        <f t="shared" si="8"/>
        <v>0</v>
      </c>
      <c r="D123" s="7">
        <f t="shared" si="9"/>
        <v>0</v>
      </c>
    </row>
    <row r="124" spans="1:4" x14ac:dyDescent="0.3">
      <c r="A124" s="1">
        <v>42487</v>
      </c>
      <c r="B124" s="204">
        <v>125</v>
      </c>
      <c r="C124">
        <f t="shared" si="8"/>
        <v>0</v>
      </c>
      <c r="D124" s="7">
        <f t="shared" si="9"/>
        <v>0</v>
      </c>
    </row>
    <row r="125" spans="1:4" x14ac:dyDescent="0.3">
      <c r="A125" s="1">
        <v>42488</v>
      </c>
      <c r="B125" s="204">
        <v>125</v>
      </c>
      <c r="C125">
        <f t="shared" si="8"/>
        <v>0</v>
      </c>
      <c r="D125" s="7">
        <f t="shared" si="9"/>
        <v>0</v>
      </c>
    </row>
    <row r="126" spans="1:4" x14ac:dyDescent="0.3">
      <c r="A126" s="1">
        <v>42489</v>
      </c>
      <c r="B126" s="204">
        <v>125</v>
      </c>
      <c r="C126">
        <f t="shared" si="8"/>
        <v>0</v>
      </c>
      <c r="D126" s="7">
        <f t="shared" si="9"/>
        <v>0</v>
      </c>
    </row>
    <row r="127" spans="1:4" x14ac:dyDescent="0.3">
      <c r="A127" s="1">
        <v>42490</v>
      </c>
      <c r="B127" s="204">
        <v>125</v>
      </c>
      <c r="C127">
        <f t="shared" si="8"/>
        <v>0</v>
      </c>
      <c r="D127" s="7">
        <f t="shared" si="9"/>
        <v>0</v>
      </c>
    </row>
    <row r="128" spans="1:4" x14ac:dyDescent="0.3">
      <c r="A128" s="35" t="s">
        <v>11</v>
      </c>
      <c r="B128" s="5"/>
      <c r="C128" s="5">
        <f>SUM(C98:C127)</f>
        <v>-25</v>
      </c>
      <c r="D128" s="5"/>
    </row>
    <row r="129" spans="1:4" x14ac:dyDescent="0.3">
      <c r="A129" s="1">
        <v>42491</v>
      </c>
      <c r="B129" s="204">
        <v>125</v>
      </c>
      <c r="C129">
        <f>B127-B129</f>
        <v>0</v>
      </c>
      <c r="D129" s="7">
        <f>IFERROR(B127/B129-1,0)</f>
        <v>0</v>
      </c>
    </row>
    <row r="130" spans="1:4" x14ac:dyDescent="0.3">
      <c r="A130" s="1">
        <v>42492</v>
      </c>
      <c r="B130" s="204">
        <v>125</v>
      </c>
      <c r="C130">
        <f t="shared" ref="C130" si="10">B129-B130</f>
        <v>0</v>
      </c>
      <c r="D130" s="7">
        <f>IFERROR(B129/B130-1,0)</f>
        <v>0</v>
      </c>
    </row>
    <row r="131" spans="1:4" x14ac:dyDescent="0.3">
      <c r="A131" s="1">
        <v>42493</v>
      </c>
      <c r="B131" s="204">
        <v>125</v>
      </c>
      <c r="C131">
        <f t="shared" ref="C131:C159" si="11">B130-B131</f>
        <v>0</v>
      </c>
      <c r="D131" s="7">
        <f t="shared" ref="D131:D159" si="12">IFERROR(B130/B131-1,0)</f>
        <v>0</v>
      </c>
    </row>
    <row r="132" spans="1:4" x14ac:dyDescent="0.3">
      <c r="A132" s="1">
        <v>42494</v>
      </c>
      <c r="B132" s="204">
        <v>125</v>
      </c>
      <c r="C132">
        <f t="shared" si="11"/>
        <v>0</v>
      </c>
      <c r="D132" s="7">
        <f t="shared" si="12"/>
        <v>0</v>
      </c>
    </row>
    <row r="133" spans="1:4" x14ac:dyDescent="0.3">
      <c r="A133" s="1">
        <v>42495</v>
      </c>
      <c r="B133" s="204">
        <v>125</v>
      </c>
      <c r="C133">
        <f t="shared" si="11"/>
        <v>0</v>
      </c>
      <c r="D133" s="7">
        <f t="shared" si="12"/>
        <v>0</v>
      </c>
    </row>
    <row r="134" spans="1:4" x14ac:dyDescent="0.3">
      <c r="A134" s="1">
        <v>42496</v>
      </c>
      <c r="B134" s="204">
        <v>125</v>
      </c>
      <c r="C134">
        <f t="shared" si="11"/>
        <v>0</v>
      </c>
      <c r="D134" s="7">
        <f t="shared" si="12"/>
        <v>0</v>
      </c>
    </row>
    <row r="135" spans="1:4" x14ac:dyDescent="0.3">
      <c r="A135" s="1">
        <v>42497</v>
      </c>
      <c r="B135" s="204">
        <v>125</v>
      </c>
      <c r="C135">
        <f t="shared" si="11"/>
        <v>0</v>
      </c>
      <c r="D135" s="7">
        <f t="shared" si="12"/>
        <v>0</v>
      </c>
    </row>
    <row r="136" spans="1:4" x14ac:dyDescent="0.3">
      <c r="A136" s="1">
        <v>42498</v>
      </c>
      <c r="B136" s="204">
        <v>125</v>
      </c>
      <c r="C136">
        <f t="shared" si="11"/>
        <v>0</v>
      </c>
      <c r="D136" s="7">
        <f t="shared" si="12"/>
        <v>0</v>
      </c>
    </row>
    <row r="137" spans="1:4" x14ac:dyDescent="0.3">
      <c r="A137" s="1">
        <v>42499</v>
      </c>
      <c r="B137" s="204">
        <v>125</v>
      </c>
      <c r="C137">
        <f t="shared" si="11"/>
        <v>0</v>
      </c>
      <c r="D137" s="7">
        <f t="shared" si="12"/>
        <v>0</v>
      </c>
    </row>
    <row r="138" spans="1:4" x14ac:dyDescent="0.3">
      <c r="A138" s="1">
        <v>42500</v>
      </c>
      <c r="B138" s="204">
        <v>125</v>
      </c>
      <c r="C138">
        <f t="shared" si="11"/>
        <v>0</v>
      </c>
      <c r="D138" s="7">
        <f t="shared" si="12"/>
        <v>0</v>
      </c>
    </row>
    <row r="139" spans="1:4" x14ac:dyDescent="0.3">
      <c r="A139" s="1">
        <v>42501</v>
      </c>
      <c r="B139" s="204">
        <v>125</v>
      </c>
      <c r="C139">
        <f t="shared" si="11"/>
        <v>0</v>
      </c>
      <c r="D139" s="7">
        <f t="shared" si="12"/>
        <v>0</v>
      </c>
    </row>
    <row r="140" spans="1:4" x14ac:dyDescent="0.3">
      <c r="A140" s="1">
        <v>42502</v>
      </c>
      <c r="B140" s="204">
        <v>125</v>
      </c>
      <c r="C140">
        <f t="shared" si="11"/>
        <v>0</v>
      </c>
      <c r="D140" s="7">
        <f t="shared" si="12"/>
        <v>0</v>
      </c>
    </row>
    <row r="141" spans="1:4" x14ac:dyDescent="0.3">
      <c r="A141" s="1">
        <v>42503</v>
      </c>
      <c r="B141" s="204">
        <v>125</v>
      </c>
      <c r="C141">
        <f t="shared" si="11"/>
        <v>0</v>
      </c>
      <c r="D141" s="7">
        <f t="shared" si="12"/>
        <v>0</v>
      </c>
    </row>
    <row r="142" spans="1:4" x14ac:dyDescent="0.3">
      <c r="A142" s="1">
        <v>42504</v>
      </c>
      <c r="B142" s="204">
        <v>125</v>
      </c>
      <c r="C142">
        <f t="shared" si="11"/>
        <v>0</v>
      </c>
      <c r="D142" s="7">
        <f t="shared" si="12"/>
        <v>0</v>
      </c>
    </row>
    <row r="143" spans="1:4" x14ac:dyDescent="0.3">
      <c r="A143" s="1">
        <v>42505</v>
      </c>
      <c r="B143" s="204">
        <v>125</v>
      </c>
      <c r="C143">
        <f t="shared" si="11"/>
        <v>0</v>
      </c>
      <c r="D143" s="7">
        <f t="shared" si="12"/>
        <v>0</v>
      </c>
    </row>
    <row r="144" spans="1:4" x14ac:dyDescent="0.3">
      <c r="A144" s="1">
        <v>42506</v>
      </c>
      <c r="B144" s="204">
        <v>125</v>
      </c>
      <c r="C144">
        <f t="shared" si="11"/>
        <v>0</v>
      </c>
      <c r="D144" s="7">
        <f t="shared" si="12"/>
        <v>0</v>
      </c>
    </row>
    <row r="145" spans="1:4" x14ac:dyDescent="0.3">
      <c r="A145" s="1">
        <v>42507</v>
      </c>
      <c r="B145" s="204">
        <v>125</v>
      </c>
      <c r="C145">
        <f t="shared" si="11"/>
        <v>0</v>
      </c>
      <c r="D145" s="7">
        <f t="shared" si="12"/>
        <v>0</v>
      </c>
    </row>
    <row r="146" spans="1:4" x14ac:dyDescent="0.3">
      <c r="A146" s="1">
        <v>42508</v>
      </c>
      <c r="B146" s="204">
        <v>125</v>
      </c>
      <c r="C146">
        <f t="shared" si="11"/>
        <v>0</v>
      </c>
      <c r="D146" s="7">
        <f t="shared" si="12"/>
        <v>0</v>
      </c>
    </row>
    <row r="147" spans="1:4" x14ac:dyDescent="0.3">
      <c r="A147" s="1">
        <v>42509</v>
      </c>
      <c r="B147" s="204">
        <v>125</v>
      </c>
      <c r="C147">
        <f t="shared" si="11"/>
        <v>0</v>
      </c>
      <c r="D147" s="7">
        <f t="shared" si="12"/>
        <v>0</v>
      </c>
    </row>
    <row r="148" spans="1:4" x14ac:dyDescent="0.3">
      <c r="A148" s="1">
        <v>42510</v>
      </c>
      <c r="B148" s="204">
        <v>125</v>
      </c>
      <c r="C148">
        <f t="shared" si="11"/>
        <v>0</v>
      </c>
      <c r="D148" s="7">
        <f t="shared" si="12"/>
        <v>0</v>
      </c>
    </row>
    <row r="149" spans="1:4" x14ac:dyDescent="0.3">
      <c r="A149" s="1">
        <v>42511</v>
      </c>
      <c r="B149" s="204">
        <v>125</v>
      </c>
      <c r="C149">
        <f t="shared" si="11"/>
        <v>0</v>
      </c>
      <c r="D149" s="7">
        <f t="shared" si="12"/>
        <v>0</v>
      </c>
    </row>
    <row r="150" spans="1:4" x14ac:dyDescent="0.3">
      <c r="A150" s="1">
        <v>42512</v>
      </c>
      <c r="B150" s="204">
        <v>125</v>
      </c>
      <c r="C150">
        <f t="shared" si="11"/>
        <v>0</v>
      </c>
      <c r="D150" s="7">
        <f t="shared" si="12"/>
        <v>0</v>
      </c>
    </row>
    <row r="151" spans="1:4" x14ac:dyDescent="0.3">
      <c r="A151" s="1">
        <v>42513</v>
      </c>
      <c r="B151" s="204">
        <v>125</v>
      </c>
      <c r="C151">
        <f t="shared" si="11"/>
        <v>0</v>
      </c>
      <c r="D151" s="7">
        <f t="shared" si="12"/>
        <v>0</v>
      </c>
    </row>
    <row r="152" spans="1:4" x14ac:dyDescent="0.3">
      <c r="A152" s="1">
        <v>42514</v>
      </c>
      <c r="B152" s="204">
        <v>125</v>
      </c>
      <c r="C152">
        <f t="shared" si="11"/>
        <v>0</v>
      </c>
      <c r="D152" s="7">
        <f t="shared" si="12"/>
        <v>0</v>
      </c>
    </row>
    <row r="153" spans="1:4" x14ac:dyDescent="0.3">
      <c r="A153" s="1">
        <v>42515</v>
      </c>
      <c r="B153" s="204">
        <v>125</v>
      </c>
      <c r="C153">
        <f t="shared" si="11"/>
        <v>0</v>
      </c>
      <c r="D153" s="7">
        <f t="shared" si="12"/>
        <v>0</v>
      </c>
    </row>
    <row r="154" spans="1:4" x14ac:dyDescent="0.3">
      <c r="A154" s="1">
        <v>42516</v>
      </c>
      <c r="B154" s="204">
        <v>125</v>
      </c>
      <c r="C154">
        <f t="shared" si="11"/>
        <v>0</v>
      </c>
      <c r="D154" s="7">
        <f t="shared" si="12"/>
        <v>0</v>
      </c>
    </row>
    <row r="155" spans="1:4" x14ac:dyDescent="0.3">
      <c r="A155" s="1">
        <v>42517</v>
      </c>
      <c r="B155" s="204">
        <v>125</v>
      </c>
      <c r="C155">
        <f t="shared" si="11"/>
        <v>0</v>
      </c>
      <c r="D155" s="7">
        <f t="shared" si="12"/>
        <v>0</v>
      </c>
    </row>
    <row r="156" spans="1:4" x14ac:dyDescent="0.3">
      <c r="A156" s="1">
        <v>42518</v>
      </c>
      <c r="B156" s="204">
        <v>125</v>
      </c>
      <c r="C156">
        <f t="shared" si="11"/>
        <v>0</v>
      </c>
      <c r="D156" s="7">
        <f t="shared" si="12"/>
        <v>0</v>
      </c>
    </row>
    <row r="157" spans="1:4" x14ac:dyDescent="0.3">
      <c r="A157" s="1">
        <v>42519</v>
      </c>
      <c r="B157" s="204">
        <v>125</v>
      </c>
      <c r="C157">
        <f t="shared" si="11"/>
        <v>0</v>
      </c>
      <c r="D157" s="7">
        <f t="shared" si="12"/>
        <v>0</v>
      </c>
    </row>
    <row r="158" spans="1:4" x14ac:dyDescent="0.3">
      <c r="A158" s="1">
        <v>42520</v>
      </c>
      <c r="B158" s="204">
        <v>125</v>
      </c>
      <c r="C158">
        <f t="shared" si="11"/>
        <v>0</v>
      </c>
      <c r="D158" s="7">
        <f t="shared" si="12"/>
        <v>0</v>
      </c>
    </row>
    <row r="159" spans="1:4" x14ac:dyDescent="0.3">
      <c r="A159" s="1">
        <v>42521</v>
      </c>
      <c r="B159" s="204">
        <v>125</v>
      </c>
      <c r="C159">
        <f t="shared" si="11"/>
        <v>0</v>
      </c>
      <c r="D159" s="7">
        <f t="shared" si="12"/>
        <v>0</v>
      </c>
    </row>
    <row r="160" spans="1:4" x14ac:dyDescent="0.3">
      <c r="A160" s="35" t="s">
        <v>12</v>
      </c>
      <c r="B160" s="5"/>
      <c r="C160" s="5">
        <f>SUM(C129:C159)</f>
        <v>0</v>
      </c>
      <c r="D160" s="5"/>
    </row>
    <row r="161" spans="1:4" x14ac:dyDescent="0.3">
      <c r="A161" s="1">
        <v>42522</v>
      </c>
      <c r="B161" s="204">
        <v>125</v>
      </c>
      <c r="C161">
        <f>B159-B161</f>
        <v>0</v>
      </c>
      <c r="D161" s="7">
        <f>IFERROR(B159/B161-1,0)</f>
        <v>0</v>
      </c>
    </row>
    <row r="162" spans="1:4" x14ac:dyDescent="0.3">
      <c r="A162" s="1">
        <v>42523</v>
      </c>
      <c r="B162" s="204">
        <v>125</v>
      </c>
      <c r="C162">
        <f t="shared" ref="C162" si="13">B161-B162</f>
        <v>0</v>
      </c>
      <c r="D162" s="7">
        <f t="shared" ref="D162" si="14">IFERROR(B161/B162-1,0)</f>
        <v>0</v>
      </c>
    </row>
    <row r="163" spans="1:4" x14ac:dyDescent="0.3">
      <c r="A163" s="1">
        <v>42524</v>
      </c>
      <c r="B163" s="204">
        <v>125</v>
      </c>
      <c r="C163">
        <f t="shared" ref="C163:C190" si="15">B162-B163</f>
        <v>0</v>
      </c>
      <c r="D163" s="7">
        <f t="shared" ref="D163:D190" si="16">IFERROR(B162/B163-1,0)</f>
        <v>0</v>
      </c>
    </row>
    <row r="164" spans="1:4" x14ac:dyDescent="0.3">
      <c r="A164" s="1">
        <v>42525</v>
      </c>
      <c r="B164" s="204">
        <v>125</v>
      </c>
      <c r="C164">
        <f t="shared" si="15"/>
        <v>0</v>
      </c>
      <c r="D164" s="7">
        <f t="shared" si="16"/>
        <v>0</v>
      </c>
    </row>
    <row r="165" spans="1:4" x14ac:dyDescent="0.3">
      <c r="A165" s="1">
        <v>42526</v>
      </c>
      <c r="B165" s="204">
        <v>125</v>
      </c>
      <c r="C165">
        <f t="shared" si="15"/>
        <v>0</v>
      </c>
      <c r="D165" s="7">
        <f t="shared" si="16"/>
        <v>0</v>
      </c>
    </row>
    <row r="166" spans="1:4" x14ac:dyDescent="0.3">
      <c r="A166" s="1">
        <v>42527</v>
      </c>
      <c r="B166" s="204">
        <v>125</v>
      </c>
      <c r="C166">
        <f t="shared" si="15"/>
        <v>0</v>
      </c>
      <c r="D166" s="7">
        <f t="shared" si="16"/>
        <v>0</v>
      </c>
    </row>
    <row r="167" spans="1:4" x14ac:dyDescent="0.3">
      <c r="A167" s="1">
        <v>42528</v>
      </c>
      <c r="B167" s="204">
        <v>125</v>
      </c>
      <c r="C167">
        <f t="shared" si="15"/>
        <v>0</v>
      </c>
      <c r="D167" s="7">
        <f t="shared" si="16"/>
        <v>0</v>
      </c>
    </row>
    <row r="168" spans="1:4" x14ac:dyDescent="0.3">
      <c r="A168" s="1">
        <v>42529</v>
      </c>
      <c r="B168" s="204">
        <v>125</v>
      </c>
      <c r="C168">
        <f t="shared" si="15"/>
        <v>0</v>
      </c>
      <c r="D168" s="7">
        <f t="shared" si="16"/>
        <v>0</v>
      </c>
    </row>
    <row r="169" spans="1:4" x14ac:dyDescent="0.3">
      <c r="A169" s="1">
        <v>42530</v>
      </c>
      <c r="B169" s="204">
        <v>125</v>
      </c>
      <c r="C169">
        <f t="shared" si="15"/>
        <v>0</v>
      </c>
      <c r="D169" s="7">
        <f t="shared" si="16"/>
        <v>0</v>
      </c>
    </row>
    <row r="170" spans="1:4" x14ac:dyDescent="0.3">
      <c r="A170" s="1">
        <v>42531</v>
      </c>
      <c r="B170" s="204">
        <v>125</v>
      </c>
      <c r="C170">
        <f t="shared" si="15"/>
        <v>0</v>
      </c>
      <c r="D170" s="7">
        <f t="shared" si="16"/>
        <v>0</v>
      </c>
    </row>
    <row r="171" spans="1:4" x14ac:dyDescent="0.3">
      <c r="A171" s="1">
        <v>42532</v>
      </c>
      <c r="B171" s="204">
        <v>125</v>
      </c>
      <c r="C171">
        <f t="shared" si="15"/>
        <v>0</v>
      </c>
      <c r="D171" s="7">
        <f t="shared" si="16"/>
        <v>0</v>
      </c>
    </row>
    <row r="172" spans="1:4" x14ac:dyDescent="0.3">
      <c r="A172" s="1">
        <v>42533</v>
      </c>
      <c r="B172" s="204">
        <v>125</v>
      </c>
      <c r="C172">
        <f t="shared" si="15"/>
        <v>0</v>
      </c>
      <c r="D172" s="7">
        <f t="shared" si="16"/>
        <v>0</v>
      </c>
    </row>
    <row r="173" spans="1:4" x14ac:dyDescent="0.3">
      <c r="A173" s="1">
        <v>42534</v>
      </c>
      <c r="B173" s="204">
        <v>125</v>
      </c>
      <c r="C173">
        <f t="shared" si="15"/>
        <v>0</v>
      </c>
      <c r="D173" s="7">
        <f t="shared" si="16"/>
        <v>0</v>
      </c>
    </row>
    <row r="174" spans="1:4" x14ac:dyDescent="0.3">
      <c r="A174" s="1">
        <v>42535</v>
      </c>
      <c r="B174" s="204">
        <v>125</v>
      </c>
      <c r="C174">
        <f t="shared" si="15"/>
        <v>0</v>
      </c>
      <c r="D174" s="7">
        <f t="shared" si="16"/>
        <v>0</v>
      </c>
    </row>
    <row r="175" spans="1:4" x14ac:dyDescent="0.3">
      <c r="A175" s="1">
        <v>42536</v>
      </c>
      <c r="B175" s="204">
        <v>125</v>
      </c>
      <c r="C175">
        <f t="shared" si="15"/>
        <v>0</v>
      </c>
      <c r="D175" s="7">
        <f t="shared" si="16"/>
        <v>0</v>
      </c>
    </row>
    <row r="176" spans="1:4" x14ac:dyDescent="0.3">
      <c r="A176" s="1">
        <v>42537</v>
      </c>
      <c r="B176" s="204">
        <v>125</v>
      </c>
      <c r="C176">
        <f t="shared" si="15"/>
        <v>0</v>
      </c>
      <c r="D176" s="7">
        <f t="shared" si="16"/>
        <v>0</v>
      </c>
    </row>
    <row r="177" spans="1:4" x14ac:dyDescent="0.3">
      <c r="A177" s="1">
        <v>42538</v>
      </c>
      <c r="B177" s="204">
        <v>125</v>
      </c>
      <c r="C177">
        <f t="shared" si="15"/>
        <v>0</v>
      </c>
      <c r="D177" s="7">
        <f t="shared" si="16"/>
        <v>0</v>
      </c>
    </row>
    <row r="178" spans="1:4" x14ac:dyDescent="0.3">
      <c r="A178" s="1">
        <v>42539</v>
      </c>
      <c r="B178" s="204">
        <v>125</v>
      </c>
      <c r="C178">
        <f t="shared" si="15"/>
        <v>0</v>
      </c>
      <c r="D178" s="7">
        <f t="shared" si="16"/>
        <v>0</v>
      </c>
    </row>
    <row r="179" spans="1:4" x14ac:dyDescent="0.3">
      <c r="A179" s="1">
        <v>42540</v>
      </c>
      <c r="B179" s="204">
        <v>125</v>
      </c>
      <c r="C179">
        <f t="shared" si="15"/>
        <v>0</v>
      </c>
      <c r="D179" s="7">
        <f t="shared" si="16"/>
        <v>0</v>
      </c>
    </row>
    <row r="180" spans="1:4" x14ac:dyDescent="0.3">
      <c r="A180" s="1">
        <v>42541</v>
      </c>
      <c r="B180" s="204">
        <v>125</v>
      </c>
      <c r="C180">
        <f t="shared" si="15"/>
        <v>0</v>
      </c>
      <c r="D180" s="7">
        <f t="shared" si="16"/>
        <v>0</v>
      </c>
    </row>
    <row r="181" spans="1:4" x14ac:dyDescent="0.3">
      <c r="A181" s="1">
        <v>42542</v>
      </c>
      <c r="B181" s="204">
        <v>125</v>
      </c>
      <c r="C181">
        <f t="shared" si="15"/>
        <v>0</v>
      </c>
      <c r="D181" s="7">
        <f t="shared" si="16"/>
        <v>0</v>
      </c>
    </row>
    <row r="182" spans="1:4" x14ac:dyDescent="0.3">
      <c r="A182" s="1">
        <v>42543</v>
      </c>
      <c r="B182" s="204">
        <v>125</v>
      </c>
      <c r="C182">
        <f t="shared" si="15"/>
        <v>0</v>
      </c>
      <c r="D182" s="7">
        <f t="shared" si="16"/>
        <v>0</v>
      </c>
    </row>
    <row r="183" spans="1:4" x14ac:dyDescent="0.3">
      <c r="A183" s="1">
        <v>42544</v>
      </c>
      <c r="B183" s="204">
        <v>125</v>
      </c>
      <c r="C183">
        <f t="shared" si="15"/>
        <v>0</v>
      </c>
      <c r="D183" s="7">
        <f t="shared" si="16"/>
        <v>0</v>
      </c>
    </row>
    <row r="184" spans="1:4" x14ac:dyDescent="0.3">
      <c r="A184" s="1">
        <v>42545</v>
      </c>
      <c r="B184" s="204">
        <v>125</v>
      </c>
      <c r="C184">
        <f t="shared" si="15"/>
        <v>0</v>
      </c>
      <c r="D184" s="7">
        <f t="shared" si="16"/>
        <v>0</v>
      </c>
    </row>
    <row r="185" spans="1:4" x14ac:dyDescent="0.3">
      <c r="A185" s="1">
        <v>42546</v>
      </c>
      <c r="B185" s="204">
        <v>125</v>
      </c>
      <c r="C185">
        <f t="shared" si="15"/>
        <v>0</v>
      </c>
      <c r="D185" s="7">
        <f t="shared" si="16"/>
        <v>0</v>
      </c>
    </row>
    <row r="186" spans="1:4" x14ac:dyDescent="0.3">
      <c r="A186" s="1">
        <v>42547</v>
      </c>
      <c r="B186" s="204">
        <v>125</v>
      </c>
      <c r="C186">
        <f t="shared" si="15"/>
        <v>0</v>
      </c>
      <c r="D186" s="7">
        <f t="shared" si="16"/>
        <v>0</v>
      </c>
    </row>
    <row r="187" spans="1:4" x14ac:dyDescent="0.3">
      <c r="A187" s="1">
        <v>42548</v>
      </c>
      <c r="B187" s="204">
        <v>125</v>
      </c>
      <c r="C187">
        <f t="shared" si="15"/>
        <v>0</v>
      </c>
      <c r="D187" s="7">
        <f t="shared" si="16"/>
        <v>0</v>
      </c>
    </row>
    <row r="188" spans="1:4" x14ac:dyDescent="0.3">
      <c r="A188" s="1">
        <v>42549</v>
      </c>
      <c r="B188" s="204">
        <v>125</v>
      </c>
      <c r="C188">
        <f t="shared" si="15"/>
        <v>0</v>
      </c>
      <c r="D188" s="7">
        <f t="shared" si="16"/>
        <v>0</v>
      </c>
    </row>
    <row r="189" spans="1:4" x14ac:dyDescent="0.3">
      <c r="A189" s="1">
        <v>42550</v>
      </c>
      <c r="B189" s="204">
        <v>125</v>
      </c>
      <c r="C189">
        <f t="shared" si="15"/>
        <v>0</v>
      </c>
      <c r="D189" s="7">
        <f t="shared" si="16"/>
        <v>0</v>
      </c>
    </row>
    <row r="190" spans="1:4" x14ac:dyDescent="0.3">
      <c r="A190" s="1">
        <v>42551</v>
      </c>
      <c r="B190" s="204">
        <v>125</v>
      </c>
      <c r="C190">
        <f t="shared" si="15"/>
        <v>0</v>
      </c>
      <c r="D190" s="7">
        <f t="shared" si="16"/>
        <v>0</v>
      </c>
    </row>
    <row r="191" spans="1:4" x14ac:dyDescent="0.3">
      <c r="A191" s="35" t="s">
        <v>13</v>
      </c>
      <c r="B191" s="5"/>
      <c r="C191" s="5">
        <f>SUM(C161:C190)</f>
        <v>0</v>
      </c>
      <c r="D191" s="5"/>
    </row>
    <row r="192" spans="1:4" x14ac:dyDescent="0.3">
      <c r="A192" s="1">
        <v>42552</v>
      </c>
      <c r="B192" s="204">
        <v>125</v>
      </c>
      <c r="C192">
        <f>B190-B192</f>
        <v>0</v>
      </c>
      <c r="D192" s="7">
        <f>IFERROR(B190/B192-1,0)</f>
        <v>0</v>
      </c>
    </row>
    <row r="193" spans="1:4" x14ac:dyDescent="0.3">
      <c r="A193" s="1">
        <v>42553</v>
      </c>
      <c r="B193" s="204">
        <v>125</v>
      </c>
      <c r="C193">
        <f t="shared" ref="C193:C222" si="17">B192-B193</f>
        <v>0</v>
      </c>
      <c r="D193" s="7">
        <f t="shared" ref="D193:D222" si="18">IFERROR(B192/B193-1,0)</f>
        <v>0</v>
      </c>
    </row>
    <row r="194" spans="1:4" x14ac:dyDescent="0.3">
      <c r="A194" s="1">
        <v>42554</v>
      </c>
      <c r="B194" s="204">
        <v>125</v>
      </c>
      <c r="C194">
        <f t="shared" si="17"/>
        <v>0</v>
      </c>
      <c r="D194" s="7">
        <f t="shared" si="18"/>
        <v>0</v>
      </c>
    </row>
    <row r="195" spans="1:4" x14ac:dyDescent="0.3">
      <c r="A195" s="1">
        <v>42555</v>
      </c>
      <c r="B195" s="204">
        <v>125</v>
      </c>
      <c r="C195">
        <f t="shared" si="17"/>
        <v>0</v>
      </c>
      <c r="D195" s="7">
        <f t="shared" si="18"/>
        <v>0</v>
      </c>
    </row>
    <row r="196" spans="1:4" x14ac:dyDescent="0.3">
      <c r="A196" s="1">
        <v>42556</v>
      </c>
      <c r="B196" s="204">
        <v>125</v>
      </c>
      <c r="C196">
        <f t="shared" si="17"/>
        <v>0</v>
      </c>
      <c r="D196" s="7">
        <f t="shared" si="18"/>
        <v>0</v>
      </c>
    </row>
    <row r="197" spans="1:4" x14ac:dyDescent="0.3">
      <c r="A197" s="1">
        <v>42557</v>
      </c>
      <c r="B197" s="204">
        <v>125</v>
      </c>
      <c r="C197">
        <f t="shared" si="17"/>
        <v>0</v>
      </c>
      <c r="D197" s="7">
        <f t="shared" si="18"/>
        <v>0</v>
      </c>
    </row>
    <row r="198" spans="1:4" x14ac:dyDescent="0.3">
      <c r="A198" s="1">
        <v>42558</v>
      </c>
      <c r="B198" s="204">
        <v>125</v>
      </c>
      <c r="C198">
        <f t="shared" si="17"/>
        <v>0</v>
      </c>
      <c r="D198" s="7">
        <f t="shared" si="18"/>
        <v>0</v>
      </c>
    </row>
    <row r="199" spans="1:4" x14ac:dyDescent="0.3">
      <c r="A199" s="1">
        <v>42559</v>
      </c>
      <c r="B199" s="204">
        <v>125</v>
      </c>
      <c r="C199">
        <f t="shared" si="17"/>
        <v>0</v>
      </c>
      <c r="D199" s="7">
        <f t="shared" si="18"/>
        <v>0</v>
      </c>
    </row>
    <row r="200" spans="1:4" x14ac:dyDescent="0.3">
      <c r="A200" s="1">
        <v>42560</v>
      </c>
      <c r="B200" s="204">
        <v>125</v>
      </c>
      <c r="C200">
        <f t="shared" si="17"/>
        <v>0</v>
      </c>
      <c r="D200" s="7">
        <f t="shared" si="18"/>
        <v>0</v>
      </c>
    </row>
    <row r="201" spans="1:4" x14ac:dyDescent="0.3">
      <c r="A201" s="1">
        <v>42561</v>
      </c>
      <c r="B201" s="204">
        <v>125</v>
      </c>
      <c r="C201">
        <f t="shared" si="17"/>
        <v>0</v>
      </c>
      <c r="D201" s="7">
        <f t="shared" si="18"/>
        <v>0</v>
      </c>
    </row>
    <row r="202" spans="1:4" x14ac:dyDescent="0.3">
      <c r="A202" s="1">
        <v>42562</v>
      </c>
      <c r="B202" s="204">
        <v>125</v>
      </c>
      <c r="C202">
        <f t="shared" si="17"/>
        <v>0</v>
      </c>
      <c r="D202" s="7">
        <f t="shared" si="18"/>
        <v>0</v>
      </c>
    </row>
    <row r="203" spans="1:4" x14ac:dyDescent="0.3">
      <c r="A203" s="1">
        <v>42563</v>
      </c>
      <c r="B203" s="204">
        <v>125</v>
      </c>
      <c r="C203">
        <f t="shared" si="17"/>
        <v>0</v>
      </c>
      <c r="D203" s="7">
        <f t="shared" si="18"/>
        <v>0</v>
      </c>
    </row>
    <row r="204" spans="1:4" x14ac:dyDescent="0.3">
      <c r="A204" s="1">
        <v>42564</v>
      </c>
      <c r="B204" s="204">
        <v>125</v>
      </c>
      <c r="C204">
        <f t="shared" si="17"/>
        <v>0</v>
      </c>
      <c r="D204" s="7">
        <f t="shared" si="18"/>
        <v>0</v>
      </c>
    </row>
    <row r="205" spans="1:4" x14ac:dyDescent="0.3">
      <c r="A205" s="1">
        <v>42565</v>
      </c>
      <c r="B205" s="204">
        <v>125</v>
      </c>
      <c r="C205">
        <f t="shared" si="17"/>
        <v>0</v>
      </c>
      <c r="D205" s="7">
        <f t="shared" si="18"/>
        <v>0</v>
      </c>
    </row>
    <row r="206" spans="1:4" x14ac:dyDescent="0.3">
      <c r="A206" s="1">
        <v>42566</v>
      </c>
      <c r="B206" s="204">
        <v>125</v>
      </c>
      <c r="C206">
        <f t="shared" si="17"/>
        <v>0</v>
      </c>
      <c r="D206" s="7">
        <f t="shared" si="18"/>
        <v>0</v>
      </c>
    </row>
    <row r="207" spans="1:4" x14ac:dyDescent="0.3">
      <c r="A207" s="1">
        <v>42567</v>
      </c>
      <c r="B207" s="204">
        <v>125</v>
      </c>
      <c r="C207">
        <f t="shared" si="17"/>
        <v>0</v>
      </c>
      <c r="D207" s="7">
        <f t="shared" si="18"/>
        <v>0</v>
      </c>
    </row>
    <row r="208" spans="1:4" x14ac:dyDescent="0.3">
      <c r="A208" s="1">
        <v>42568</v>
      </c>
      <c r="B208" s="204">
        <v>125</v>
      </c>
      <c r="C208">
        <f t="shared" si="17"/>
        <v>0</v>
      </c>
      <c r="D208" s="7">
        <f t="shared" si="18"/>
        <v>0</v>
      </c>
    </row>
    <row r="209" spans="1:4" x14ac:dyDescent="0.3">
      <c r="A209" s="1">
        <v>42569</v>
      </c>
      <c r="B209" s="204">
        <v>125</v>
      </c>
      <c r="C209">
        <f t="shared" si="17"/>
        <v>0</v>
      </c>
      <c r="D209" s="7">
        <f t="shared" si="18"/>
        <v>0</v>
      </c>
    </row>
    <row r="210" spans="1:4" x14ac:dyDescent="0.3">
      <c r="A210" s="1">
        <v>42570</v>
      </c>
      <c r="B210" s="204">
        <v>125</v>
      </c>
      <c r="C210">
        <f t="shared" si="17"/>
        <v>0</v>
      </c>
      <c r="D210" s="7">
        <f t="shared" si="18"/>
        <v>0</v>
      </c>
    </row>
    <row r="211" spans="1:4" x14ac:dyDescent="0.3">
      <c r="A211" s="1">
        <v>42571</v>
      </c>
      <c r="B211" s="204">
        <v>125</v>
      </c>
      <c r="C211">
        <f t="shared" si="17"/>
        <v>0</v>
      </c>
      <c r="D211" s="7">
        <f t="shared" si="18"/>
        <v>0</v>
      </c>
    </row>
    <row r="212" spans="1:4" x14ac:dyDescent="0.3">
      <c r="A212" s="1">
        <v>42572</v>
      </c>
      <c r="B212" s="204">
        <v>125</v>
      </c>
      <c r="C212">
        <f t="shared" si="17"/>
        <v>0</v>
      </c>
      <c r="D212" s="7">
        <f t="shared" si="18"/>
        <v>0</v>
      </c>
    </row>
    <row r="213" spans="1:4" x14ac:dyDescent="0.3">
      <c r="A213" s="1">
        <v>42573</v>
      </c>
      <c r="B213" s="204">
        <v>125</v>
      </c>
      <c r="C213">
        <f t="shared" si="17"/>
        <v>0</v>
      </c>
      <c r="D213" s="7">
        <f t="shared" si="18"/>
        <v>0</v>
      </c>
    </row>
    <row r="214" spans="1:4" x14ac:dyDescent="0.3">
      <c r="A214" s="1">
        <v>42574</v>
      </c>
      <c r="B214" s="204">
        <v>125</v>
      </c>
      <c r="C214">
        <f t="shared" si="17"/>
        <v>0</v>
      </c>
      <c r="D214" s="7">
        <f t="shared" si="18"/>
        <v>0</v>
      </c>
    </row>
    <row r="215" spans="1:4" x14ac:dyDescent="0.3">
      <c r="A215" s="1">
        <v>42575</v>
      </c>
      <c r="B215" s="204">
        <v>125</v>
      </c>
      <c r="C215">
        <f t="shared" si="17"/>
        <v>0</v>
      </c>
      <c r="D215" s="7">
        <f t="shared" si="18"/>
        <v>0</v>
      </c>
    </row>
    <row r="216" spans="1:4" x14ac:dyDescent="0.3">
      <c r="A216" s="1">
        <v>42576</v>
      </c>
      <c r="B216" s="204">
        <v>125</v>
      </c>
      <c r="C216">
        <f t="shared" si="17"/>
        <v>0</v>
      </c>
      <c r="D216" s="7">
        <f t="shared" si="18"/>
        <v>0</v>
      </c>
    </row>
    <row r="217" spans="1:4" x14ac:dyDescent="0.3">
      <c r="A217" s="1">
        <v>42577</v>
      </c>
      <c r="B217" s="204">
        <v>125</v>
      </c>
      <c r="C217">
        <f t="shared" si="17"/>
        <v>0</v>
      </c>
      <c r="D217" s="7">
        <f t="shared" si="18"/>
        <v>0</v>
      </c>
    </row>
    <row r="218" spans="1:4" x14ac:dyDescent="0.3">
      <c r="A218" s="1">
        <v>42578</v>
      </c>
      <c r="B218" s="204">
        <v>125</v>
      </c>
      <c r="C218">
        <f t="shared" si="17"/>
        <v>0</v>
      </c>
      <c r="D218" s="7">
        <f t="shared" si="18"/>
        <v>0</v>
      </c>
    </row>
    <row r="219" spans="1:4" x14ac:dyDescent="0.3">
      <c r="A219" s="1">
        <v>42579</v>
      </c>
      <c r="B219" s="204">
        <v>125</v>
      </c>
      <c r="C219">
        <f t="shared" si="17"/>
        <v>0</v>
      </c>
      <c r="D219" s="7">
        <f t="shared" si="18"/>
        <v>0</v>
      </c>
    </row>
    <row r="220" spans="1:4" x14ac:dyDescent="0.3">
      <c r="A220" s="1">
        <v>42580</v>
      </c>
      <c r="B220" s="204">
        <v>125</v>
      </c>
      <c r="C220">
        <f t="shared" si="17"/>
        <v>0</v>
      </c>
      <c r="D220" s="7">
        <f t="shared" si="18"/>
        <v>0</v>
      </c>
    </row>
    <row r="221" spans="1:4" x14ac:dyDescent="0.3">
      <c r="A221" s="1">
        <v>42581</v>
      </c>
      <c r="B221" s="204">
        <v>125</v>
      </c>
      <c r="C221">
        <f t="shared" si="17"/>
        <v>0</v>
      </c>
      <c r="D221" s="7">
        <f t="shared" si="18"/>
        <v>0</v>
      </c>
    </row>
    <row r="222" spans="1:4" x14ac:dyDescent="0.3">
      <c r="A222" s="1">
        <v>42582</v>
      </c>
      <c r="B222" s="204">
        <v>125</v>
      </c>
      <c r="C222">
        <f t="shared" si="17"/>
        <v>0</v>
      </c>
      <c r="D222" s="7">
        <f t="shared" si="18"/>
        <v>0</v>
      </c>
    </row>
    <row r="223" spans="1:4" x14ac:dyDescent="0.3">
      <c r="A223" s="35" t="s">
        <v>14</v>
      </c>
      <c r="B223" s="5"/>
      <c r="C223" s="5">
        <f>SUM(C192:C222)</f>
        <v>0</v>
      </c>
      <c r="D223" s="5"/>
    </row>
    <row r="224" spans="1:4" x14ac:dyDescent="0.3">
      <c r="A224" s="1">
        <v>42583</v>
      </c>
      <c r="B224" s="204">
        <v>125</v>
      </c>
      <c r="C224">
        <f>B222-B224</f>
        <v>0</v>
      </c>
      <c r="D224" s="7">
        <f>IFERROR(B222/B224-1,0)</f>
        <v>0</v>
      </c>
    </row>
    <row r="225" spans="1:4" x14ac:dyDescent="0.3">
      <c r="A225" s="1">
        <v>42584</v>
      </c>
      <c r="B225" s="204">
        <v>125</v>
      </c>
      <c r="C225">
        <f t="shared" ref="C225:C254" si="19">B224-B225</f>
        <v>0</v>
      </c>
      <c r="D225" s="7">
        <f t="shared" ref="D225:D254" si="20">IFERROR(B224/B225-1,0)</f>
        <v>0</v>
      </c>
    </row>
    <row r="226" spans="1:4" x14ac:dyDescent="0.3">
      <c r="A226" s="1">
        <v>42585</v>
      </c>
      <c r="B226" s="204">
        <v>125</v>
      </c>
      <c r="C226">
        <f t="shared" si="19"/>
        <v>0</v>
      </c>
      <c r="D226" s="7">
        <f t="shared" si="20"/>
        <v>0</v>
      </c>
    </row>
    <row r="227" spans="1:4" x14ac:dyDescent="0.3">
      <c r="A227" s="1">
        <v>42586</v>
      </c>
      <c r="B227" s="204">
        <v>125</v>
      </c>
      <c r="C227">
        <f t="shared" si="19"/>
        <v>0</v>
      </c>
      <c r="D227" s="7">
        <f t="shared" si="20"/>
        <v>0</v>
      </c>
    </row>
    <row r="228" spans="1:4" x14ac:dyDescent="0.3">
      <c r="A228" s="1">
        <v>42587</v>
      </c>
      <c r="B228" s="204">
        <v>125</v>
      </c>
      <c r="C228">
        <f t="shared" si="19"/>
        <v>0</v>
      </c>
      <c r="D228" s="7">
        <f t="shared" si="20"/>
        <v>0</v>
      </c>
    </row>
    <row r="229" spans="1:4" x14ac:dyDescent="0.3">
      <c r="A229" s="1">
        <v>42588</v>
      </c>
      <c r="B229" s="204">
        <v>125</v>
      </c>
      <c r="C229">
        <f t="shared" si="19"/>
        <v>0</v>
      </c>
      <c r="D229" s="7">
        <f t="shared" si="20"/>
        <v>0</v>
      </c>
    </row>
    <row r="230" spans="1:4" x14ac:dyDescent="0.3">
      <c r="A230" s="1">
        <v>42589</v>
      </c>
      <c r="B230" s="204">
        <v>125</v>
      </c>
      <c r="C230">
        <f t="shared" si="19"/>
        <v>0</v>
      </c>
      <c r="D230" s="7">
        <f t="shared" si="20"/>
        <v>0</v>
      </c>
    </row>
    <row r="231" spans="1:4" x14ac:dyDescent="0.3">
      <c r="A231" s="1">
        <v>42590</v>
      </c>
      <c r="B231" s="204">
        <v>125</v>
      </c>
      <c r="C231">
        <f t="shared" si="19"/>
        <v>0</v>
      </c>
      <c r="D231" s="7">
        <f t="shared" si="20"/>
        <v>0</v>
      </c>
    </row>
    <row r="232" spans="1:4" x14ac:dyDescent="0.3">
      <c r="A232" s="1">
        <v>42591</v>
      </c>
      <c r="B232" s="204">
        <v>125</v>
      </c>
      <c r="C232">
        <f t="shared" si="19"/>
        <v>0</v>
      </c>
      <c r="D232" s="7">
        <f t="shared" si="20"/>
        <v>0</v>
      </c>
    </row>
    <row r="233" spans="1:4" x14ac:dyDescent="0.3">
      <c r="A233" s="1">
        <v>42592</v>
      </c>
      <c r="B233" s="204">
        <v>125</v>
      </c>
      <c r="C233">
        <f t="shared" si="19"/>
        <v>0</v>
      </c>
      <c r="D233" s="7">
        <f t="shared" si="20"/>
        <v>0</v>
      </c>
    </row>
    <row r="234" spans="1:4" x14ac:dyDescent="0.3">
      <c r="A234" s="1">
        <v>42593</v>
      </c>
      <c r="B234" s="204">
        <v>125</v>
      </c>
      <c r="C234">
        <f t="shared" si="19"/>
        <v>0</v>
      </c>
      <c r="D234" s="7">
        <f t="shared" si="20"/>
        <v>0</v>
      </c>
    </row>
    <row r="235" spans="1:4" x14ac:dyDescent="0.3">
      <c r="A235" s="1">
        <v>42594</v>
      </c>
      <c r="B235" s="204">
        <v>125</v>
      </c>
      <c r="C235">
        <f t="shared" si="19"/>
        <v>0</v>
      </c>
      <c r="D235" s="7">
        <f t="shared" si="20"/>
        <v>0</v>
      </c>
    </row>
    <row r="236" spans="1:4" x14ac:dyDescent="0.3">
      <c r="A236" s="1">
        <v>42595</v>
      </c>
      <c r="B236" s="204">
        <v>125</v>
      </c>
      <c r="C236">
        <f t="shared" si="19"/>
        <v>0</v>
      </c>
      <c r="D236" s="7">
        <f t="shared" si="20"/>
        <v>0</v>
      </c>
    </row>
    <row r="237" spans="1:4" x14ac:dyDescent="0.3">
      <c r="A237" s="1">
        <v>42596</v>
      </c>
      <c r="B237" s="204">
        <v>125</v>
      </c>
      <c r="C237">
        <f t="shared" si="19"/>
        <v>0</v>
      </c>
      <c r="D237" s="7">
        <f t="shared" si="20"/>
        <v>0</v>
      </c>
    </row>
    <row r="238" spans="1:4" x14ac:dyDescent="0.3">
      <c r="A238" s="1">
        <v>42597</v>
      </c>
      <c r="B238" s="204">
        <v>125</v>
      </c>
      <c r="C238">
        <f t="shared" si="19"/>
        <v>0</v>
      </c>
      <c r="D238" s="7">
        <f t="shared" si="20"/>
        <v>0</v>
      </c>
    </row>
    <row r="239" spans="1:4" x14ac:dyDescent="0.3">
      <c r="A239" s="1">
        <v>42598</v>
      </c>
      <c r="B239" s="204">
        <v>125</v>
      </c>
      <c r="C239">
        <f t="shared" si="19"/>
        <v>0</v>
      </c>
      <c r="D239" s="7">
        <f t="shared" si="20"/>
        <v>0</v>
      </c>
    </row>
    <row r="240" spans="1:4" x14ac:dyDescent="0.3">
      <c r="A240" s="1">
        <v>42599</v>
      </c>
      <c r="C240">
        <f t="shared" si="19"/>
        <v>125</v>
      </c>
      <c r="D240" s="7">
        <f t="shared" si="20"/>
        <v>0</v>
      </c>
    </row>
    <row r="241" spans="1:4" x14ac:dyDescent="0.3">
      <c r="A241" s="1">
        <v>42600</v>
      </c>
      <c r="C241">
        <f t="shared" si="19"/>
        <v>0</v>
      </c>
      <c r="D241" s="7">
        <f t="shared" si="20"/>
        <v>0</v>
      </c>
    </row>
    <row r="242" spans="1:4" x14ac:dyDescent="0.3">
      <c r="A242" s="1">
        <v>42601</v>
      </c>
      <c r="C242">
        <f t="shared" si="19"/>
        <v>0</v>
      </c>
      <c r="D242" s="7">
        <f t="shared" si="20"/>
        <v>0</v>
      </c>
    </row>
    <row r="243" spans="1:4" x14ac:dyDescent="0.3">
      <c r="A243" s="1">
        <v>42602</v>
      </c>
      <c r="C243">
        <f t="shared" si="19"/>
        <v>0</v>
      </c>
      <c r="D243" s="7">
        <f t="shared" si="20"/>
        <v>0</v>
      </c>
    </row>
    <row r="244" spans="1:4" x14ac:dyDescent="0.3">
      <c r="A244" s="1">
        <v>42603</v>
      </c>
      <c r="C244">
        <f t="shared" si="19"/>
        <v>0</v>
      </c>
      <c r="D244" s="7">
        <f t="shared" si="20"/>
        <v>0</v>
      </c>
    </row>
    <row r="245" spans="1:4" x14ac:dyDescent="0.3">
      <c r="A245" s="1">
        <v>42604</v>
      </c>
      <c r="C245">
        <f t="shared" si="19"/>
        <v>0</v>
      </c>
      <c r="D245" s="7">
        <f t="shared" si="20"/>
        <v>0</v>
      </c>
    </row>
    <row r="246" spans="1:4" x14ac:dyDescent="0.3">
      <c r="A246" s="1">
        <v>42605</v>
      </c>
      <c r="C246">
        <f t="shared" si="19"/>
        <v>0</v>
      </c>
      <c r="D246" s="7">
        <f t="shared" si="20"/>
        <v>0</v>
      </c>
    </row>
    <row r="247" spans="1:4" x14ac:dyDescent="0.3">
      <c r="A247" s="1">
        <v>42606</v>
      </c>
      <c r="C247">
        <f t="shared" si="19"/>
        <v>0</v>
      </c>
      <c r="D247" s="7">
        <f t="shared" si="20"/>
        <v>0</v>
      </c>
    </row>
    <row r="248" spans="1:4" x14ac:dyDescent="0.3">
      <c r="A248" s="1">
        <v>42607</v>
      </c>
      <c r="C248">
        <f t="shared" si="19"/>
        <v>0</v>
      </c>
      <c r="D248" s="7">
        <f t="shared" si="20"/>
        <v>0</v>
      </c>
    </row>
    <row r="249" spans="1:4" x14ac:dyDescent="0.3">
      <c r="A249" s="1">
        <v>42608</v>
      </c>
      <c r="C249">
        <f t="shared" si="19"/>
        <v>0</v>
      </c>
      <c r="D249" s="7">
        <f t="shared" si="20"/>
        <v>0</v>
      </c>
    </row>
    <row r="250" spans="1:4" x14ac:dyDescent="0.3">
      <c r="A250" s="1">
        <v>42609</v>
      </c>
      <c r="C250">
        <f t="shared" si="19"/>
        <v>0</v>
      </c>
      <c r="D250" s="7">
        <f t="shared" si="20"/>
        <v>0</v>
      </c>
    </row>
    <row r="251" spans="1:4" x14ac:dyDescent="0.3">
      <c r="A251" s="1">
        <v>42610</v>
      </c>
      <c r="C251">
        <f t="shared" si="19"/>
        <v>0</v>
      </c>
      <c r="D251" s="7">
        <f t="shared" si="20"/>
        <v>0</v>
      </c>
    </row>
    <row r="252" spans="1:4" x14ac:dyDescent="0.3">
      <c r="A252" s="1">
        <v>42611</v>
      </c>
      <c r="C252">
        <f t="shared" si="19"/>
        <v>0</v>
      </c>
      <c r="D252" s="7">
        <f t="shared" si="20"/>
        <v>0</v>
      </c>
    </row>
    <row r="253" spans="1:4" x14ac:dyDescent="0.3">
      <c r="A253" s="1">
        <v>42612</v>
      </c>
      <c r="C253">
        <f t="shared" si="19"/>
        <v>0</v>
      </c>
      <c r="D253" s="7">
        <f t="shared" si="20"/>
        <v>0</v>
      </c>
    </row>
    <row r="254" spans="1:4" x14ac:dyDescent="0.3">
      <c r="A254" s="1">
        <v>42613</v>
      </c>
      <c r="C254">
        <f t="shared" si="19"/>
        <v>0</v>
      </c>
      <c r="D254" s="7">
        <f t="shared" si="20"/>
        <v>0</v>
      </c>
    </row>
    <row r="255" spans="1:4" x14ac:dyDescent="0.3">
      <c r="A255" s="35" t="s">
        <v>15</v>
      </c>
      <c r="B255" s="5"/>
      <c r="C255" s="5">
        <f>SUM(C224:C254)</f>
        <v>125</v>
      </c>
      <c r="D255" s="5"/>
    </row>
    <row r="256" spans="1:4" x14ac:dyDescent="0.3">
      <c r="A256" s="1">
        <v>42614</v>
      </c>
      <c r="C256">
        <f>B254-B256</f>
        <v>0</v>
      </c>
      <c r="D256" s="7">
        <f>IFERROR(B254/B256-1,0)</f>
        <v>0</v>
      </c>
    </row>
    <row r="257" spans="1:4" x14ac:dyDescent="0.3">
      <c r="A257" s="1">
        <v>42615</v>
      </c>
      <c r="C257">
        <f t="shared" ref="C257:C285" si="21">B256-B257</f>
        <v>0</v>
      </c>
      <c r="D257" s="7">
        <f t="shared" ref="D257:D285" si="22">IFERROR(B256/B257-1,0)</f>
        <v>0</v>
      </c>
    </row>
    <row r="258" spans="1:4" x14ac:dyDescent="0.3">
      <c r="A258" s="1">
        <v>42616</v>
      </c>
      <c r="C258">
        <f t="shared" si="21"/>
        <v>0</v>
      </c>
      <c r="D258" s="7">
        <f t="shared" si="22"/>
        <v>0</v>
      </c>
    </row>
    <row r="259" spans="1:4" x14ac:dyDescent="0.3">
      <c r="A259" s="1">
        <v>42617</v>
      </c>
      <c r="C259">
        <f t="shared" si="21"/>
        <v>0</v>
      </c>
      <c r="D259" s="7">
        <f t="shared" si="22"/>
        <v>0</v>
      </c>
    </row>
    <row r="260" spans="1:4" x14ac:dyDescent="0.3">
      <c r="A260" s="1">
        <v>42618</v>
      </c>
      <c r="C260">
        <f t="shared" si="21"/>
        <v>0</v>
      </c>
      <c r="D260" s="7">
        <f t="shared" si="22"/>
        <v>0</v>
      </c>
    </row>
    <row r="261" spans="1:4" x14ac:dyDescent="0.3">
      <c r="A261" s="1">
        <v>42619</v>
      </c>
      <c r="C261">
        <f t="shared" si="21"/>
        <v>0</v>
      </c>
      <c r="D261" s="7">
        <f t="shared" si="22"/>
        <v>0</v>
      </c>
    </row>
    <row r="262" spans="1:4" x14ac:dyDescent="0.3">
      <c r="A262" s="1">
        <v>42620</v>
      </c>
      <c r="C262">
        <f t="shared" si="21"/>
        <v>0</v>
      </c>
      <c r="D262" s="7">
        <f t="shared" si="22"/>
        <v>0</v>
      </c>
    </row>
    <row r="263" spans="1:4" x14ac:dyDescent="0.3">
      <c r="A263" s="1">
        <v>42621</v>
      </c>
      <c r="C263">
        <f t="shared" si="21"/>
        <v>0</v>
      </c>
      <c r="D263" s="7">
        <f t="shared" si="22"/>
        <v>0</v>
      </c>
    </row>
    <row r="264" spans="1:4" x14ac:dyDescent="0.3">
      <c r="A264" s="1">
        <v>42622</v>
      </c>
      <c r="C264">
        <f t="shared" si="21"/>
        <v>0</v>
      </c>
      <c r="D264" s="7">
        <f t="shared" si="22"/>
        <v>0</v>
      </c>
    </row>
    <row r="265" spans="1:4" x14ac:dyDescent="0.3">
      <c r="A265" s="1">
        <v>42623</v>
      </c>
      <c r="C265">
        <f t="shared" si="21"/>
        <v>0</v>
      </c>
      <c r="D265" s="7">
        <f t="shared" si="22"/>
        <v>0</v>
      </c>
    </row>
    <row r="266" spans="1:4" x14ac:dyDescent="0.3">
      <c r="A266" s="1">
        <v>42624</v>
      </c>
      <c r="C266">
        <f t="shared" si="21"/>
        <v>0</v>
      </c>
      <c r="D266" s="7">
        <f t="shared" si="22"/>
        <v>0</v>
      </c>
    </row>
    <row r="267" spans="1:4" x14ac:dyDescent="0.3">
      <c r="A267" s="1">
        <v>42625</v>
      </c>
      <c r="C267">
        <f t="shared" si="21"/>
        <v>0</v>
      </c>
      <c r="D267" s="7">
        <f t="shared" si="22"/>
        <v>0</v>
      </c>
    </row>
    <row r="268" spans="1:4" x14ac:dyDescent="0.3">
      <c r="A268" s="1">
        <v>42626</v>
      </c>
      <c r="C268">
        <f t="shared" si="21"/>
        <v>0</v>
      </c>
      <c r="D268" s="7">
        <f t="shared" si="22"/>
        <v>0</v>
      </c>
    </row>
    <row r="269" spans="1:4" x14ac:dyDescent="0.3">
      <c r="A269" s="1">
        <v>42627</v>
      </c>
      <c r="C269">
        <f t="shared" si="21"/>
        <v>0</v>
      </c>
      <c r="D269" s="7">
        <f t="shared" si="22"/>
        <v>0</v>
      </c>
    </row>
    <row r="270" spans="1:4" x14ac:dyDescent="0.3">
      <c r="A270" s="1">
        <v>42628</v>
      </c>
      <c r="C270">
        <f t="shared" si="21"/>
        <v>0</v>
      </c>
      <c r="D270" s="7">
        <f t="shared" si="22"/>
        <v>0</v>
      </c>
    </row>
    <row r="271" spans="1:4" x14ac:dyDescent="0.3">
      <c r="A271" s="1">
        <v>42629</v>
      </c>
      <c r="C271">
        <f t="shared" si="21"/>
        <v>0</v>
      </c>
      <c r="D271" s="7">
        <f t="shared" si="22"/>
        <v>0</v>
      </c>
    </row>
    <row r="272" spans="1:4" x14ac:dyDescent="0.3">
      <c r="A272" s="1">
        <v>42630</v>
      </c>
      <c r="C272">
        <f t="shared" si="21"/>
        <v>0</v>
      </c>
      <c r="D272" s="7">
        <f t="shared" si="22"/>
        <v>0</v>
      </c>
    </row>
    <row r="273" spans="1:4" x14ac:dyDescent="0.3">
      <c r="A273" s="1">
        <v>42631</v>
      </c>
      <c r="C273">
        <f t="shared" si="21"/>
        <v>0</v>
      </c>
      <c r="D273" s="7">
        <f t="shared" si="22"/>
        <v>0</v>
      </c>
    </row>
    <row r="274" spans="1:4" x14ac:dyDescent="0.3">
      <c r="A274" s="1">
        <v>42632</v>
      </c>
      <c r="C274">
        <f t="shared" si="21"/>
        <v>0</v>
      </c>
      <c r="D274" s="7">
        <f t="shared" si="22"/>
        <v>0</v>
      </c>
    </row>
    <row r="275" spans="1:4" x14ac:dyDescent="0.3">
      <c r="A275" s="1">
        <v>42633</v>
      </c>
      <c r="C275">
        <f t="shared" si="21"/>
        <v>0</v>
      </c>
      <c r="D275" s="7">
        <f t="shared" si="22"/>
        <v>0</v>
      </c>
    </row>
    <row r="276" spans="1:4" x14ac:dyDescent="0.3">
      <c r="A276" s="1">
        <v>42634</v>
      </c>
      <c r="C276">
        <f t="shared" si="21"/>
        <v>0</v>
      </c>
      <c r="D276" s="7">
        <f t="shared" si="22"/>
        <v>0</v>
      </c>
    </row>
    <row r="277" spans="1:4" x14ac:dyDescent="0.3">
      <c r="A277" s="1">
        <v>42635</v>
      </c>
      <c r="C277">
        <f t="shared" si="21"/>
        <v>0</v>
      </c>
      <c r="D277" s="7">
        <f t="shared" si="22"/>
        <v>0</v>
      </c>
    </row>
    <row r="278" spans="1:4" x14ac:dyDescent="0.3">
      <c r="A278" s="1">
        <v>42636</v>
      </c>
      <c r="C278">
        <f t="shared" si="21"/>
        <v>0</v>
      </c>
      <c r="D278" s="7">
        <f t="shared" si="22"/>
        <v>0</v>
      </c>
    </row>
    <row r="279" spans="1:4" x14ac:dyDescent="0.3">
      <c r="A279" s="1">
        <v>42637</v>
      </c>
      <c r="C279">
        <f t="shared" si="21"/>
        <v>0</v>
      </c>
      <c r="D279" s="7">
        <f t="shared" si="22"/>
        <v>0</v>
      </c>
    </row>
    <row r="280" spans="1:4" x14ac:dyDescent="0.3">
      <c r="A280" s="1">
        <v>42638</v>
      </c>
      <c r="C280">
        <f t="shared" si="21"/>
        <v>0</v>
      </c>
      <c r="D280" s="7">
        <f t="shared" si="22"/>
        <v>0</v>
      </c>
    </row>
    <row r="281" spans="1:4" x14ac:dyDescent="0.3">
      <c r="A281" s="1">
        <v>42639</v>
      </c>
      <c r="C281">
        <f t="shared" si="21"/>
        <v>0</v>
      </c>
      <c r="D281" s="7">
        <f t="shared" si="22"/>
        <v>0</v>
      </c>
    </row>
    <row r="282" spans="1:4" x14ac:dyDescent="0.3">
      <c r="A282" s="1">
        <v>42640</v>
      </c>
      <c r="C282">
        <f t="shared" si="21"/>
        <v>0</v>
      </c>
      <c r="D282" s="7">
        <f t="shared" si="22"/>
        <v>0</v>
      </c>
    </row>
    <row r="283" spans="1:4" x14ac:dyDescent="0.3">
      <c r="A283" s="1">
        <v>42641</v>
      </c>
      <c r="C283">
        <f t="shared" si="21"/>
        <v>0</v>
      </c>
      <c r="D283" s="7">
        <f t="shared" si="22"/>
        <v>0</v>
      </c>
    </row>
    <row r="284" spans="1:4" x14ac:dyDescent="0.3">
      <c r="A284" s="1">
        <v>42642</v>
      </c>
      <c r="C284">
        <f t="shared" si="21"/>
        <v>0</v>
      </c>
      <c r="D284" s="7">
        <f t="shared" si="22"/>
        <v>0</v>
      </c>
    </row>
    <row r="285" spans="1:4" x14ac:dyDescent="0.3">
      <c r="A285" s="1">
        <v>42643</v>
      </c>
      <c r="C285">
        <f t="shared" si="21"/>
        <v>0</v>
      </c>
      <c r="D285" s="7">
        <f t="shared" si="22"/>
        <v>0</v>
      </c>
    </row>
    <row r="286" spans="1:4" x14ac:dyDescent="0.3">
      <c r="A286" s="35" t="s">
        <v>16</v>
      </c>
      <c r="B286" s="5"/>
      <c r="C286" s="5">
        <f>SUM(C256:C285)</f>
        <v>0</v>
      </c>
      <c r="D286" s="5"/>
    </row>
    <row r="287" spans="1:4" x14ac:dyDescent="0.3">
      <c r="A287" s="1">
        <v>42644</v>
      </c>
      <c r="C287">
        <f>B285-B287</f>
        <v>0</v>
      </c>
      <c r="D287" s="7">
        <f>IFERROR(B285/B287-1,0)</f>
        <v>0</v>
      </c>
    </row>
    <row r="288" spans="1:4" x14ac:dyDescent="0.3">
      <c r="A288" s="1">
        <v>42645</v>
      </c>
      <c r="C288">
        <f t="shared" ref="C288:C317" si="23">B287-B288</f>
        <v>0</v>
      </c>
      <c r="D288" s="7">
        <f t="shared" ref="D288:D317" si="24">IFERROR(B287/B288-1,0)</f>
        <v>0</v>
      </c>
    </row>
    <row r="289" spans="1:4" x14ac:dyDescent="0.3">
      <c r="A289" s="1">
        <v>42646</v>
      </c>
      <c r="C289">
        <f t="shared" si="23"/>
        <v>0</v>
      </c>
      <c r="D289" s="7">
        <f t="shared" si="24"/>
        <v>0</v>
      </c>
    </row>
    <row r="290" spans="1:4" x14ac:dyDescent="0.3">
      <c r="A290" s="1">
        <v>42647</v>
      </c>
      <c r="C290">
        <f t="shared" si="23"/>
        <v>0</v>
      </c>
      <c r="D290" s="7">
        <f t="shared" si="24"/>
        <v>0</v>
      </c>
    </row>
    <row r="291" spans="1:4" x14ac:dyDescent="0.3">
      <c r="A291" s="1">
        <v>42648</v>
      </c>
      <c r="C291">
        <f t="shared" si="23"/>
        <v>0</v>
      </c>
      <c r="D291" s="7">
        <f t="shared" si="24"/>
        <v>0</v>
      </c>
    </row>
    <row r="292" spans="1:4" x14ac:dyDescent="0.3">
      <c r="A292" s="1">
        <v>42649</v>
      </c>
      <c r="C292">
        <f t="shared" si="23"/>
        <v>0</v>
      </c>
      <c r="D292" s="7">
        <f t="shared" si="24"/>
        <v>0</v>
      </c>
    </row>
    <row r="293" spans="1:4" x14ac:dyDescent="0.3">
      <c r="A293" s="1">
        <v>42650</v>
      </c>
      <c r="C293">
        <f t="shared" si="23"/>
        <v>0</v>
      </c>
      <c r="D293" s="7">
        <f t="shared" si="24"/>
        <v>0</v>
      </c>
    </row>
    <row r="294" spans="1:4" x14ac:dyDescent="0.3">
      <c r="A294" s="1">
        <v>42651</v>
      </c>
      <c r="C294">
        <f t="shared" si="23"/>
        <v>0</v>
      </c>
      <c r="D294" s="7">
        <f t="shared" si="24"/>
        <v>0</v>
      </c>
    </row>
    <row r="295" spans="1:4" x14ac:dyDescent="0.3">
      <c r="A295" s="1">
        <v>42652</v>
      </c>
      <c r="C295">
        <f t="shared" si="23"/>
        <v>0</v>
      </c>
      <c r="D295" s="7">
        <f t="shared" si="24"/>
        <v>0</v>
      </c>
    </row>
    <row r="296" spans="1:4" x14ac:dyDescent="0.3">
      <c r="A296" s="1">
        <v>42653</v>
      </c>
      <c r="C296">
        <f t="shared" si="23"/>
        <v>0</v>
      </c>
      <c r="D296" s="7">
        <f t="shared" si="24"/>
        <v>0</v>
      </c>
    </row>
    <row r="297" spans="1:4" x14ac:dyDescent="0.3">
      <c r="A297" s="1">
        <v>42654</v>
      </c>
      <c r="C297">
        <f t="shared" si="23"/>
        <v>0</v>
      </c>
      <c r="D297" s="7">
        <f t="shared" si="24"/>
        <v>0</v>
      </c>
    </row>
    <row r="298" spans="1:4" x14ac:dyDescent="0.3">
      <c r="A298" s="1">
        <v>42655</v>
      </c>
      <c r="C298">
        <f t="shared" si="23"/>
        <v>0</v>
      </c>
      <c r="D298" s="7">
        <f t="shared" si="24"/>
        <v>0</v>
      </c>
    </row>
    <row r="299" spans="1:4" x14ac:dyDescent="0.3">
      <c r="A299" s="1">
        <v>42656</v>
      </c>
      <c r="B299" s="185"/>
      <c r="C299">
        <f t="shared" si="23"/>
        <v>0</v>
      </c>
      <c r="D299" s="7">
        <f t="shared" si="24"/>
        <v>0</v>
      </c>
    </row>
    <row r="300" spans="1:4" x14ac:dyDescent="0.3">
      <c r="A300" s="1">
        <v>42657</v>
      </c>
      <c r="B300" s="185"/>
      <c r="C300">
        <f t="shared" si="23"/>
        <v>0</v>
      </c>
      <c r="D300" s="7">
        <f t="shared" si="24"/>
        <v>0</v>
      </c>
    </row>
    <row r="301" spans="1:4" x14ac:dyDescent="0.3">
      <c r="A301" s="1">
        <v>42658</v>
      </c>
      <c r="B301" s="185"/>
      <c r="C301">
        <f t="shared" si="23"/>
        <v>0</v>
      </c>
      <c r="D301" s="7">
        <f t="shared" si="24"/>
        <v>0</v>
      </c>
    </row>
    <row r="302" spans="1:4" x14ac:dyDescent="0.3">
      <c r="A302" s="1">
        <v>42659</v>
      </c>
      <c r="B302" s="185"/>
      <c r="C302">
        <f t="shared" si="23"/>
        <v>0</v>
      </c>
      <c r="D302" s="7">
        <f t="shared" si="24"/>
        <v>0</v>
      </c>
    </row>
    <row r="303" spans="1:4" x14ac:dyDescent="0.3">
      <c r="A303" s="1">
        <v>42660</v>
      </c>
      <c r="B303" s="185"/>
      <c r="C303">
        <f t="shared" si="23"/>
        <v>0</v>
      </c>
      <c r="D303" s="7">
        <f t="shared" si="24"/>
        <v>0</v>
      </c>
    </row>
    <row r="304" spans="1:4" x14ac:dyDescent="0.3">
      <c r="A304" s="1">
        <v>42661</v>
      </c>
      <c r="B304" s="185"/>
      <c r="C304">
        <f t="shared" si="23"/>
        <v>0</v>
      </c>
      <c r="D304" s="7">
        <f t="shared" si="24"/>
        <v>0</v>
      </c>
    </row>
    <row r="305" spans="1:4" x14ac:dyDescent="0.3">
      <c r="A305" s="1">
        <v>42662</v>
      </c>
      <c r="C305">
        <f t="shared" si="23"/>
        <v>0</v>
      </c>
      <c r="D305" s="7">
        <f t="shared" si="24"/>
        <v>0</v>
      </c>
    </row>
    <row r="306" spans="1:4" x14ac:dyDescent="0.3">
      <c r="A306" s="1">
        <v>42663</v>
      </c>
      <c r="C306">
        <f t="shared" si="23"/>
        <v>0</v>
      </c>
      <c r="D306" s="7">
        <f t="shared" si="24"/>
        <v>0</v>
      </c>
    </row>
    <row r="307" spans="1:4" x14ac:dyDescent="0.3">
      <c r="A307" s="1">
        <v>42664</v>
      </c>
      <c r="C307">
        <f t="shared" si="23"/>
        <v>0</v>
      </c>
      <c r="D307" s="7">
        <f t="shared" si="24"/>
        <v>0</v>
      </c>
    </row>
    <row r="308" spans="1:4" x14ac:dyDescent="0.3">
      <c r="A308" s="1">
        <v>42665</v>
      </c>
      <c r="C308">
        <f t="shared" si="23"/>
        <v>0</v>
      </c>
      <c r="D308" s="7">
        <f t="shared" si="24"/>
        <v>0</v>
      </c>
    </row>
    <row r="309" spans="1:4" x14ac:dyDescent="0.3">
      <c r="A309" s="1">
        <v>42666</v>
      </c>
      <c r="C309">
        <f t="shared" si="23"/>
        <v>0</v>
      </c>
      <c r="D309" s="7">
        <f t="shared" si="24"/>
        <v>0</v>
      </c>
    </row>
    <row r="310" spans="1:4" x14ac:dyDescent="0.3">
      <c r="A310" s="1">
        <v>42667</v>
      </c>
      <c r="C310">
        <f t="shared" si="23"/>
        <v>0</v>
      </c>
      <c r="D310" s="7">
        <f t="shared" si="24"/>
        <v>0</v>
      </c>
    </row>
    <row r="311" spans="1:4" x14ac:dyDescent="0.3">
      <c r="A311" s="1">
        <v>42668</v>
      </c>
      <c r="C311">
        <f t="shared" si="23"/>
        <v>0</v>
      </c>
      <c r="D311" s="7">
        <f t="shared" si="24"/>
        <v>0</v>
      </c>
    </row>
    <row r="312" spans="1:4" x14ac:dyDescent="0.3">
      <c r="A312" s="1">
        <v>42669</v>
      </c>
      <c r="C312">
        <f t="shared" si="23"/>
        <v>0</v>
      </c>
      <c r="D312" s="7">
        <f t="shared" si="24"/>
        <v>0</v>
      </c>
    </row>
    <row r="313" spans="1:4" x14ac:dyDescent="0.3">
      <c r="A313" s="1">
        <v>42670</v>
      </c>
      <c r="C313">
        <f t="shared" si="23"/>
        <v>0</v>
      </c>
      <c r="D313" s="7">
        <f t="shared" si="24"/>
        <v>0</v>
      </c>
    </row>
    <row r="314" spans="1:4" x14ac:dyDescent="0.3">
      <c r="A314" s="1">
        <v>42671</v>
      </c>
      <c r="B314" s="185"/>
      <c r="C314">
        <f t="shared" si="23"/>
        <v>0</v>
      </c>
      <c r="D314" s="7">
        <f t="shared" si="24"/>
        <v>0</v>
      </c>
    </row>
    <row r="315" spans="1:4" x14ac:dyDescent="0.3">
      <c r="A315" s="1">
        <v>42672</v>
      </c>
      <c r="B315" s="185"/>
      <c r="C315">
        <f t="shared" si="23"/>
        <v>0</v>
      </c>
      <c r="D315" s="7">
        <f t="shared" si="24"/>
        <v>0</v>
      </c>
    </row>
    <row r="316" spans="1:4" x14ac:dyDescent="0.3">
      <c r="A316" s="1">
        <v>42673</v>
      </c>
      <c r="B316" s="185"/>
      <c r="C316">
        <f t="shared" si="23"/>
        <v>0</v>
      </c>
      <c r="D316" s="7">
        <f t="shared" si="24"/>
        <v>0</v>
      </c>
    </row>
    <row r="317" spans="1:4" x14ac:dyDescent="0.3">
      <c r="A317" s="1">
        <v>42674</v>
      </c>
      <c r="C317">
        <f t="shared" si="23"/>
        <v>0</v>
      </c>
      <c r="D317" s="7">
        <f t="shared" si="24"/>
        <v>0</v>
      </c>
    </row>
    <row r="318" spans="1:4" x14ac:dyDescent="0.3">
      <c r="A318" s="35" t="s">
        <v>17</v>
      </c>
      <c r="B318" s="5"/>
      <c r="C318" s="5">
        <f>SUM(C287:C317)</f>
        <v>0</v>
      </c>
      <c r="D318" s="5"/>
    </row>
    <row r="319" spans="1:4" x14ac:dyDescent="0.3">
      <c r="A319" s="1">
        <v>42675</v>
      </c>
      <c r="C319">
        <f>B317-B319</f>
        <v>0</v>
      </c>
      <c r="D319" s="7">
        <f>IFERROR(B317/B319-1,0)</f>
        <v>0</v>
      </c>
    </row>
    <row r="320" spans="1:4" x14ac:dyDescent="0.3">
      <c r="A320" s="1">
        <v>42676</v>
      </c>
      <c r="C320">
        <f t="shared" ref="C320:C348" si="25">B319-B320</f>
        <v>0</v>
      </c>
      <c r="D320" s="7">
        <f t="shared" ref="D320:D348" si="26">IFERROR(B319/B320-1,0)</f>
        <v>0</v>
      </c>
    </row>
    <row r="321" spans="1:4" x14ac:dyDescent="0.3">
      <c r="A321" s="1">
        <v>42677</v>
      </c>
      <c r="C321">
        <f t="shared" si="25"/>
        <v>0</v>
      </c>
      <c r="D321" s="7">
        <f t="shared" si="26"/>
        <v>0</v>
      </c>
    </row>
    <row r="322" spans="1:4" x14ac:dyDescent="0.3">
      <c r="A322" s="1">
        <v>42678</v>
      </c>
      <c r="C322">
        <f t="shared" si="25"/>
        <v>0</v>
      </c>
      <c r="D322" s="7">
        <f t="shared" si="26"/>
        <v>0</v>
      </c>
    </row>
    <row r="323" spans="1:4" x14ac:dyDescent="0.3">
      <c r="A323" s="1">
        <v>42679</v>
      </c>
      <c r="C323">
        <f t="shared" si="25"/>
        <v>0</v>
      </c>
      <c r="D323" s="7">
        <f t="shared" si="26"/>
        <v>0</v>
      </c>
    </row>
    <row r="324" spans="1:4" x14ac:dyDescent="0.3">
      <c r="A324" s="1">
        <v>42680</v>
      </c>
      <c r="C324">
        <f t="shared" si="25"/>
        <v>0</v>
      </c>
      <c r="D324" s="7">
        <f t="shared" si="26"/>
        <v>0</v>
      </c>
    </row>
    <row r="325" spans="1:4" x14ac:dyDescent="0.3">
      <c r="A325" s="1">
        <v>42681</v>
      </c>
      <c r="C325">
        <f t="shared" si="25"/>
        <v>0</v>
      </c>
      <c r="D325" s="7">
        <f t="shared" si="26"/>
        <v>0</v>
      </c>
    </row>
    <row r="326" spans="1:4" x14ac:dyDescent="0.3">
      <c r="A326" s="1">
        <v>42682</v>
      </c>
      <c r="C326">
        <f t="shared" si="25"/>
        <v>0</v>
      </c>
      <c r="D326" s="7">
        <f t="shared" si="26"/>
        <v>0</v>
      </c>
    </row>
    <row r="327" spans="1:4" x14ac:dyDescent="0.3">
      <c r="A327" s="1">
        <v>42683</v>
      </c>
      <c r="C327">
        <f t="shared" si="25"/>
        <v>0</v>
      </c>
      <c r="D327" s="7">
        <f t="shared" si="26"/>
        <v>0</v>
      </c>
    </row>
    <row r="328" spans="1:4" x14ac:dyDescent="0.3">
      <c r="A328" s="1">
        <v>42684</v>
      </c>
      <c r="C328">
        <f t="shared" si="25"/>
        <v>0</v>
      </c>
      <c r="D328" s="7">
        <f t="shared" si="26"/>
        <v>0</v>
      </c>
    </row>
    <row r="329" spans="1:4" x14ac:dyDescent="0.3">
      <c r="A329" s="1">
        <v>42685</v>
      </c>
      <c r="B329" s="189"/>
      <c r="C329">
        <f t="shared" si="25"/>
        <v>0</v>
      </c>
      <c r="D329" s="7">
        <f t="shared" si="26"/>
        <v>0</v>
      </c>
    </row>
    <row r="330" spans="1:4" x14ac:dyDescent="0.3">
      <c r="A330" s="1">
        <v>42686</v>
      </c>
      <c r="B330" s="189"/>
      <c r="C330">
        <f t="shared" si="25"/>
        <v>0</v>
      </c>
      <c r="D330" s="7">
        <f t="shared" si="26"/>
        <v>0</v>
      </c>
    </row>
    <row r="331" spans="1:4" x14ac:dyDescent="0.3">
      <c r="A331" s="1">
        <v>42687</v>
      </c>
      <c r="B331" s="189"/>
      <c r="C331">
        <f t="shared" si="25"/>
        <v>0</v>
      </c>
      <c r="D331" s="7">
        <f t="shared" si="26"/>
        <v>0</v>
      </c>
    </row>
    <row r="332" spans="1:4" x14ac:dyDescent="0.3">
      <c r="A332" s="1">
        <v>42688</v>
      </c>
      <c r="B332" s="189"/>
      <c r="C332">
        <f t="shared" si="25"/>
        <v>0</v>
      </c>
      <c r="D332" s="7">
        <f t="shared" si="26"/>
        <v>0</v>
      </c>
    </row>
    <row r="333" spans="1:4" x14ac:dyDescent="0.3">
      <c r="A333" s="1">
        <v>42689</v>
      </c>
      <c r="B333" s="189"/>
      <c r="C333">
        <f t="shared" si="25"/>
        <v>0</v>
      </c>
      <c r="D333" s="7">
        <f t="shared" si="26"/>
        <v>0</v>
      </c>
    </row>
    <row r="334" spans="1:4" x14ac:dyDescent="0.3">
      <c r="A334" s="1">
        <v>42690</v>
      </c>
      <c r="B334" s="189"/>
      <c r="C334">
        <f t="shared" si="25"/>
        <v>0</v>
      </c>
      <c r="D334" s="7">
        <f t="shared" si="26"/>
        <v>0</v>
      </c>
    </row>
    <row r="335" spans="1:4" x14ac:dyDescent="0.3">
      <c r="A335" s="1">
        <v>42691</v>
      </c>
      <c r="B335" s="189"/>
      <c r="C335">
        <f t="shared" si="25"/>
        <v>0</v>
      </c>
      <c r="D335" s="7">
        <f t="shared" si="26"/>
        <v>0</v>
      </c>
    </row>
    <row r="336" spans="1:4" x14ac:dyDescent="0.3">
      <c r="A336" s="1">
        <v>42692</v>
      </c>
      <c r="B336" s="189"/>
      <c r="C336">
        <f t="shared" si="25"/>
        <v>0</v>
      </c>
      <c r="D336" s="7">
        <f t="shared" si="26"/>
        <v>0</v>
      </c>
    </row>
    <row r="337" spans="1:4" x14ac:dyDescent="0.3">
      <c r="A337" s="1">
        <v>42693</v>
      </c>
      <c r="B337" s="189"/>
      <c r="C337">
        <f t="shared" si="25"/>
        <v>0</v>
      </c>
      <c r="D337" s="7">
        <f t="shared" si="26"/>
        <v>0</v>
      </c>
    </row>
    <row r="338" spans="1:4" x14ac:dyDescent="0.3">
      <c r="A338" s="1">
        <v>42694</v>
      </c>
      <c r="B338" s="189"/>
      <c r="C338">
        <f t="shared" si="25"/>
        <v>0</v>
      </c>
      <c r="D338" s="7">
        <f t="shared" si="26"/>
        <v>0</v>
      </c>
    </row>
    <row r="339" spans="1:4" x14ac:dyDescent="0.3">
      <c r="A339" s="1">
        <v>42695</v>
      </c>
      <c r="B339" s="189"/>
      <c r="C339">
        <f t="shared" si="25"/>
        <v>0</v>
      </c>
      <c r="D339" s="7">
        <f t="shared" si="26"/>
        <v>0</v>
      </c>
    </row>
    <row r="340" spans="1:4" x14ac:dyDescent="0.3">
      <c r="A340" s="1">
        <v>42696</v>
      </c>
      <c r="B340" s="189"/>
      <c r="C340">
        <f t="shared" si="25"/>
        <v>0</v>
      </c>
      <c r="D340" s="7">
        <f t="shared" si="26"/>
        <v>0</v>
      </c>
    </row>
    <row r="341" spans="1:4" x14ac:dyDescent="0.3">
      <c r="A341" s="1">
        <v>42697</v>
      </c>
      <c r="B341" s="189"/>
      <c r="C341">
        <f t="shared" si="25"/>
        <v>0</v>
      </c>
      <c r="D341" s="7">
        <f t="shared" si="26"/>
        <v>0</v>
      </c>
    </row>
    <row r="342" spans="1:4" x14ac:dyDescent="0.3">
      <c r="A342" s="1">
        <v>42698</v>
      </c>
      <c r="B342" s="189"/>
      <c r="C342">
        <f t="shared" si="25"/>
        <v>0</v>
      </c>
      <c r="D342" s="7">
        <f t="shared" si="26"/>
        <v>0</v>
      </c>
    </row>
    <row r="343" spans="1:4" x14ac:dyDescent="0.3">
      <c r="A343" s="1">
        <v>42699</v>
      </c>
      <c r="B343" s="189"/>
      <c r="C343">
        <f t="shared" si="25"/>
        <v>0</v>
      </c>
      <c r="D343" s="7">
        <f t="shared" si="26"/>
        <v>0</v>
      </c>
    </row>
    <row r="344" spans="1:4" x14ac:dyDescent="0.3">
      <c r="A344" s="1">
        <v>42700</v>
      </c>
      <c r="C344">
        <f t="shared" si="25"/>
        <v>0</v>
      </c>
      <c r="D344" s="7">
        <f t="shared" si="26"/>
        <v>0</v>
      </c>
    </row>
    <row r="345" spans="1:4" x14ac:dyDescent="0.3">
      <c r="A345" s="1">
        <v>42701</v>
      </c>
      <c r="B345" s="189"/>
      <c r="C345">
        <f t="shared" si="25"/>
        <v>0</v>
      </c>
      <c r="D345" s="7">
        <f t="shared" si="26"/>
        <v>0</v>
      </c>
    </row>
    <row r="346" spans="1:4" x14ac:dyDescent="0.3">
      <c r="A346" s="1">
        <v>42702</v>
      </c>
      <c r="B346" s="189"/>
      <c r="C346">
        <f t="shared" si="25"/>
        <v>0</v>
      </c>
      <c r="D346" s="7">
        <f t="shared" si="26"/>
        <v>0</v>
      </c>
    </row>
    <row r="347" spans="1:4" x14ac:dyDescent="0.3">
      <c r="A347" s="1">
        <v>42703</v>
      </c>
      <c r="C347">
        <f t="shared" si="25"/>
        <v>0</v>
      </c>
      <c r="D347" s="7">
        <f t="shared" si="26"/>
        <v>0</v>
      </c>
    </row>
    <row r="348" spans="1:4" x14ac:dyDescent="0.3">
      <c r="A348" s="1">
        <v>42704</v>
      </c>
      <c r="C348">
        <f t="shared" si="25"/>
        <v>0</v>
      </c>
      <c r="D348" s="7">
        <f t="shared" si="26"/>
        <v>0</v>
      </c>
    </row>
    <row r="349" spans="1:4" x14ac:dyDescent="0.3">
      <c r="A349" s="35" t="s">
        <v>18</v>
      </c>
      <c r="B349" s="5"/>
      <c r="C349" s="5">
        <f>SUM(C319:C348)</f>
        <v>0</v>
      </c>
      <c r="D349" s="5"/>
    </row>
    <row r="350" spans="1:4" x14ac:dyDescent="0.3">
      <c r="A350" s="1">
        <v>42705</v>
      </c>
      <c r="C350">
        <f>B348-B350</f>
        <v>0</v>
      </c>
      <c r="D350" s="7">
        <f>IFERROR(B348/B350-1,0)</f>
        <v>0</v>
      </c>
    </row>
    <row r="351" spans="1:4" x14ac:dyDescent="0.3">
      <c r="A351" s="1">
        <v>42706</v>
      </c>
      <c r="B351" s="189"/>
      <c r="C351">
        <f t="shared" ref="C351:C380" si="27">B350-B351</f>
        <v>0</v>
      </c>
      <c r="D351" s="7">
        <f t="shared" ref="D351:D380" si="28">IFERROR(B350/B351-1,0)</f>
        <v>0</v>
      </c>
    </row>
    <row r="352" spans="1:4" x14ac:dyDescent="0.3">
      <c r="A352" s="1">
        <v>42707</v>
      </c>
      <c r="C352">
        <f t="shared" si="27"/>
        <v>0</v>
      </c>
      <c r="D352" s="7">
        <f t="shared" si="28"/>
        <v>0</v>
      </c>
    </row>
    <row r="353" spans="1:4" x14ac:dyDescent="0.3">
      <c r="A353" s="1">
        <v>42708</v>
      </c>
      <c r="C353">
        <f t="shared" si="27"/>
        <v>0</v>
      </c>
      <c r="D353" s="7">
        <f t="shared" si="28"/>
        <v>0</v>
      </c>
    </row>
    <row r="354" spans="1:4" x14ac:dyDescent="0.3">
      <c r="A354" s="1">
        <v>42709</v>
      </c>
      <c r="C354">
        <f t="shared" si="27"/>
        <v>0</v>
      </c>
      <c r="D354" s="7">
        <f t="shared" si="28"/>
        <v>0</v>
      </c>
    </row>
    <row r="355" spans="1:4" x14ac:dyDescent="0.3">
      <c r="A355" s="1">
        <v>42710</v>
      </c>
      <c r="C355">
        <f t="shared" si="27"/>
        <v>0</v>
      </c>
      <c r="D355" s="7">
        <f t="shared" si="28"/>
        <v>0</v>
      </c>
    </row>
    <row r="356" spans="1:4" x14ac:dyDescent="0.3">
      <c r="A356" s="1">
        <v>42711</v>
      </c>
      <c r="C356">
        <f t="shared" si="27"/>
        <v>0</v>
      </c>
      <c r="D356" s="7">
        <f t="shared" si="28"/>
        <v>0</v>
      </c>
    </row>
    <row r="357" spans="1:4" x14ac:dyDescent="0.3">
      <c r="A357" s="1">
        <v>42712</v>
      </c>
      <c r="C357">
        <f t="shared" si="27"/>
        <v>0</v>
      </c>
      <c r="D357" s="7">
        <f t="shared" si="28"/>
        <v>0</v>
      </c>
    </row>
    <row r="358" spans="1:4" x14ac:dyDescent="0.3">
      <c r="A358" s="1">
        <v>42713</v>
      </c>
      <c r="B358" s="189"/>
      <c r="C358">
        <f t="shared" si="27"/>
        <v>0</v>
      </c>
      <c r="D358" s="7">
        <f t="shared" si="28"/>
        <v>0</v>
      </c>
    </row>
    <row r="359" spans="1:4" x14ac:dyDescent="0.3">
      <c r="A359" s="1">
        <v>42714</v>
      </c>
      <c r="B359" s="189"/>
      <c r="C359">
        <f t="shared" si="27"/>
        <v>0</v>
      </c>
      <c r="D359" s="7">
        <f t="shared" si="28"/>
        <v>0</v>
      </c>
    </row>
    <row r="360" spans="1:4" x14ac:dyDescent="0.3">
      <c r="A360" s="1">
        <v>42715</v>
      </c>
      <c r="C360">
        <f t="shared" si="27"/>
        <v>0</v>
      </c>
      <c r="D360" s="7">
        <f t="shared" si="28"/>
        <v>0</v>
      </c>
    </row>
    <row r="361" spans="1:4" x14ac:dyDescent="0.3">
      <c r="A361" s="1">
        <v>42716</v>
      </c>
      <c r="B361" s="204"/>
      <c r="C361">
        <f t="shared" si="27"/>
        <v>0</v>
      </c>
      <c r="D361" s="7">
        <f t="shared" si="28"/>
        <v>0</v>
      </c>
    </row>
    <row r="362" spans="1:4" x14ac:dyDescent="0.3">
      <c r="A362" s="1">
        <v>42717</v>
      </c>
      <c r="B362" s="204"/>
      <c r="C362">
        <f t="shared" si="27"/>
        <v>0</v>
      </c>
      <c r="D362" s="7">
        <f t="shared" si="28"/>
        <v>0</v>
      </c>
    </row>
    <row r="363" spans="1:4" x14ac:dyDescent="0.3">
      <c r="A363" s="1">
        <v>42718</v>
      </c>
      <c r="B363" s="204"/>
      <c r="C363">
        <f t="shared" si="27"/>
        <v>0</v>
      </c>
      <c r="D363" s="7">
        <f t="shared" si="28"/>
        <v>0</v>
      </c>
    </row>
    <row r="364" spans="1:4" x14ac:dyDescent="0.3">
      <c r="A364" s="1">
        <v>42719</v>
      </c>
      <c r="B364" s="204"/>
      <c r="C364">
        <f t="shared" si="27"/>
        <v>0</v>
      </c>
      <c r="D364" s="7">
        <f t="shared" si="28"/>
        <v>0</v>
      </c>
    </row>
    <row r="365" spans="1:4" x14ac:dyDescent="0.3">
      <c r="A365" s="1">
        <v>42720</v>
      </c>
      <c r="B365" s="204"/>
      <c r="C365">
        <f t="shared" si="27"/>
        <v>0</v>
      </c>
      <c r="D365" s="7">
        <f t="shared" si="28"/>
        <v>0</v>
      </c>
    </row>
    <row r="366" spans="1:4" x14ac:dyDescent="0.3">
      <c r="A366" s="1">
        <v>42721</v>
      </c>
      <c r="B366" s="204"/>
      <c r="C366">
        <f t="shared" si="27"/>
        <v>0</v>
      </c>
      <c r="D366" s="7">
        <f t="shared" si="28"/>
        <v>0</v>
      </c>
    </row>
    <row r="367" spans="1:4" x14ac:dyDescent="0.3">
      <c r="A367" s="1">
        <v>42722</v>
      </c>
      <c r="B367" s="204"/>
      <c r="C367">
        <f t="shared" si="27"/>
        <v>0</v>
      </c>
      <c r="D367" s="7">
        <f t="shared" si="28"/>
        <v>0</v>
      </c>
    </row>
    <row r="368" spans="1:4" x14ac:dyDescent="0.3">
      <c r="A368" s="1">
        <v>42723</v>
      </c>
      <c r="B368" s="204"/>
      <c r="C368">
        <f t="shared" si="27"/>
        <v>0</v>
      </c>
      <c r="D368" s="7">
        <f t="shared" si="28"/>
        <v>0</v>
      </c>
    </row>
    <row r="369" spans="1:4" x14ac:dyDescent="0.3">
      <c r="A369" s="1">
        <v>42724</v>
      </c>
      <c r="B369" s="204"/>
      <c r="C369">
        <f t="shared" si="27"/>
        <v>0</v>
      </c>
      <c r="D369" s="7">
        <f t="shared" si="28"/>
        <v>0</v>
      </c>
    </row>
    <row r="370" spans="1:4" x14ac:dyDescent="0.3">
      <c r="A370" s="1">
        <v>42725</v>
      </c>
      <c r="B370" s="204"/>
      <c r="C370">
        <f t="shared" si="27"/>
        <v>0</v>
      </c>
      <c r="D370" s="7">
        <f t="shared" si="28"/>
        <v>0</v>
      </c>
    </row>
    <row r="371" spans="1:4" x14ac:dyDescent="0.3">
      <c r="A371" s="1">
        <v>42726</v>
      </c>
      <c r="B371" s="204"/>
      <c r="C371">
        <f t="shared" si="27"/>
        <v>0</v>
      </c>
      <c r="D371" s="7">
        <f t="shared" si="28"/>
        <v>0</v>
      </c>
    </row>
    <row r="372" spans="1:4" x14ac:dyDescent="0.3">
      <c r="A372" s="1">
        <v>42727</v>
      </c>
      <c r="C372">
        <f t="shared" si="27"/>
        <v>0</v>
      </c>
      <c r="D372" s="7">
        <f t="shared" si="28"/>
        <v>0</v>
      </c>
    </row>
    <row r="373" spans="1:4" x14ac:dyDescent="0.3">
      <c r="A373" s="1">
        <v>42728</v>
      </c>
      <c r="B373" s="204"/>
      <c r="C373">
        <f t="shared" si="27"/>
        <v>0</v>
      </c>
      <c r="D373" s="7">
        <f t="shared" si="28"/>
        <v>0</v>
      </c>
    </row>
    <row r="374" spans="1:4" x14ac:dyDescent="0.3">
      <c r="A374" s="1">
        <v>42729</v>
      </c>
      <c r="B374" s="204"/>
      <c r="C374">
        <f t="shared" si="27"/>
        <v>0</v>
      </c>
      <c r="D374" s="7">
        <f t="shared" si="28"/>
        <v>0</v>
      </c>
    </row>
    <row r="375" spans="1:4" x14ac:dyDescent="0.3">
      <c r="A375" s="1">
        <v>42730</v>
      </c>
      <c r="B375" s="204"/>
      <c r="C375">
        <f t="shared" si="27"/>
        <v>0</v>
      </c>
      <c r="D375" s="7">
        <f t="shared" si="28"/>
        <v>0</v>
      </c>
    </row>
    <row r="376" spans="1:4" x14ac:dyDescent="0.3">
      <c r="A376" s="1">
        <v>42731</v>
      </c>
      <c r="B376" s="204"/>
      <c r="C376">
        <f t="shared" si="27"/>
        <v>0</v>
      </c>
      <c r="D376" s="7">
        <f t="shared" si="28"/>
        <v>0</v>
      </c>
    </row>
    <row r="377" spans="1:4" x14ac:dyDescent="0.3">
      <c r="A377" s="1">
        <v>42732</v>
      </c>
      <c r="B377" s="204"/>
      <c r="C377">
        <f t="shared" si="27"/>
        <v>0</v>
      </c>
      <c r="D377" s="7">
        <f t="shared" si="28"/>
        <v>0</v>
      </c>
    </row>
    <row r="378" spans="1:4" x14ac:dyDescent="0.3">
      <c r="A378" s="1">
        <v>42733</v>
      </c>
      <c r="B378" s="204"/>
      <c r="C378">
        <f t="shared" si="27"/>
        <v>0</v>
      </c>
      <c r="D378" s="7">
        <f t="shared" si="28"/>
        <v>0</v>
      </c>
    </row>
    <row r="379" spans="1:4" x14ac:dyDescent="0.3">
      <c r="A379" s="1">
        <v>42734</v>
      </c>
      <c r="B379" s="204"/>
      <c r="C379">
        <f t="shared" si="27"/>
        <v>0</v>
      </c>
      <c r="D379" s="7">
        <f t="shared" si="28"/>
        <v>0</v>
      </c>
    </row>
    <row r="380" spans="1:4" x14ac:dyDescent="0.3">
      <c r="A380" s="1">
        <v>42735</v>
      </c>
      <c r="B380" s="204"/>
      <c r="C380">
        <f t="shared" si="27"/>
        <v>0</v>
      </c>
      <c r="D380" s="7">
        <f t="shared" si="28"/>
        <v>0</v>
      </c>
    </row>
    <row r="381" spans="1:4" x14ac:dyDescent="0.3">
      <c r="A381" s="35" t="s">
        <v>19</v>
      </c>
      <c r="B381" s="5"/>
      <c r="C381" s="5">
        <f>SUM(C350:C380)</f>
        <v>0</v>
      </c>
      <c r="D381" s="5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5"/>
  <dimension ref="A1:D381"/>
  <sheetViews>
    <sheetView topLeftCell="A234" workbookViewId="0">
      <selection activeCell="B232" sqref="B232:B239"/>
    </sheetView>
  </sheetViews>
  <sheetFormatPr baseColWidth="10" defaultColWidth="11.44140625" defaultRowHeight="14.4" x14ac:dyDescent="0.3"/>
  <cols>
    <col min="1" max="1" width="11.44140625" style="1"/>
    <col min="2" max="3" width="16.44140625" style="8" bestFit="1" customWidth="1"/>
  </cols>
  <sheetData>
    <row r="1" spans="1:4" x14ac:dyDescent="0.3">
      <c r="A1" s="1" t="s">
        <v>3</v>
      </c>
    </row>
    <row r="3" spans="1:4" ht="43.2" x14ac:dyDescent="0.3">
      <c r="A3" s="18" t="s">
        <v>1</v>
      </c>
      <c r="B3" s="58" t="s">
        <v>240</v>
      </c>
      <c r="C3" s="58" t="s">
        <v>238</v>
      </c>
      <c r="D3" s="3" t="s">
        <v>239</v>
      </c>
    </row>
    <row r="4" spans="1:4" x14ac:dyDescent="0.3">
      <c r="A4" s="1">
        <v>42370</v>
      </c>
      <c r="B4" s="206">
        <v>2359606007</v>
      </c>
      <c r="C4" s="8">
        <f>B4-B4</f>
        <v>0</v>
      </c>
      <c r="D4" s="6">
        <f>IFERROR(B4/B4-1,)</f>
        <v>0</v>
      </c>
    </row>
    <row r="5" spans="1:4" x14ac:dyDescent="0.3">
      <c r="A5" s="1">
        <v>42371</v>
      </c>
      <c r="B5" s="206">
        <v>2359606007</v>
      </c>
      <c r="C5" s="8">
        <f>B5-B4</f>
        <v>0</v>
      </c>
      <c r="D5" s="7">
        <f>IFERROR(B4/B5-1,0)</f>
        <v>0</v>
      </c>
    </row>
    <row r="6" spans="1:4" x14ac:dyDescent="0.3">
      <c r="A6" s="1">
        <v>42372</v>
      </c>
      <c r="B6" s="206">
        <v>2359606007</v>
      </c>
      <c r="C6" s="8">
        <f t="shared" ref="C6:C34" si="0">B6-B5</f>
        <v>0</v>
      </c>
      <c r="D6" s="7">
        <f t="shared" ref="D6:D34" si="1">IFERROR(B5/B6-1,0)</f>
        <v>0</v>
      </c>
    </row>
    <row r="7" spans="1:4" x14ac:dyDescent="0.3">
      <c r="A7" s="1">
        <v>42373</v>
      </c>
      <c r="B7" s="206">
        <v>2359606007</v>
      </c>
      <c r="C7" s="8">
        <f t="shared" si="0"/>
        <v>0</v>
      </c>
      <c r="D7" s="7">
        <f t="shared" si="1"/>
        <v>0</v>
      </c>
    </row>
    <row r="8" spans="1:4" x14ac:dyDescent="0.3">
      <c r="A8" s="1">
        <v>42374</v>
      </c>
      <c r="B8" s="8">
        <v>2507305405</v>
      </c>
      <c r="C8" s="8">
        <f t="shared" si="0"/>
        <v>147699398</v>
      </c>
      <c r="D8" s="7">
        <f t="shared" si="1"/>
        <v>-5.8907621586689052E-2</v>
      </c>
    </row>
    <row r="9" spans="1:4" x14ac:dyDescent="0.3">
      <c r="A9" s="1">
        <v>42375</v>
      </c>
      <c r="B9" s="206">
        <v>2507305405</v>
      </c>
      <c r="C9" s="8">
        <f t="shared" si="0"/>
        <v>0</v>
      </c>
      <c r="D9" s="7">
        <f t="shared" si="1"/>
        <v>0</v>
      </c>
    </row>
    <row r="10" spans="1:4" x14ac:dyDescent="0.3">
      <c r="A10" s="1">
        <v>42376</v>
      </c>
      <c r="B10" s="206">
        <v>2507305405</v>
      </c>
      <c r="C10" s="8">
        <f t="shared" si="0"/>
        <v>0</v>
      </c>
      <c r="D10" s="7">
        <f t="shared" si="1"/>
        <v>0</v>
      </c>
    </row>
    <row r="11" spans="1:4" x14ac:dyDescent="0.3">
      <c r="A11" s="1">
        <v>42377</v>
      </c>
      <c r="B11" s="206">
        <v>2507305405</v>
      </c>
      <c r="C11" s="8">
        <f t="shared" si="0"/>
        <v>0</v>
      </c>
      <c r="D11" s="7">
        <f t="shared" si="1"/>
        <v>0</v>
      </c>
    </row>
    <row r="12" spans="1:4" x14ac:dyDescent="0.3">
      <c r="A12" s="1">
        <v>42378</v>
      </c>
      <c r="B12" s="206">
        <v>2507305405</v>
      </c>
      <c r="C12" s="8">
        <f t="shared" si="0"/>
        <v>0</v>
      </c>
      <c r="D12" s="7">
        <f t="shared" si="1"/>
        <v>0</v>
      </c>
    </row>
    <row r="13" spans="1:4" x14ac:dyDescent="0.3">
      <c r="A13" s="1">
        <v>42379</v>
      </c>
      <c r="B13" s="206">
        <v>2507305405</v>
      </c>
      <c r="C13" s="8">
        <f t="shared" si="0"/>
        <v>0</v>
      </c>
      <c r="D13" s="7">
        <f t="shared" si="1"/>
        <v>0</v>
      </c>
    </row>
    <row r="14" spans="1:4" x14ac:dyDescent="0.3">
      <c r="A14" s="1">
        <v>42380</v>
      </c>
      <c r="B14" s="206">
        <v>2507305405</v>
      </c>
      <c r="C14" s="8">
        <f t="shared" si="0"/>
        <v>0</v>
      </c>
      <c r="D14" s="7">
        <f t="shared" si="1"/>
        <v>0</v>
      </c>
    </row>
    <row r="15" spans="1:4" x14ac:dyDescent="0.3">
      <c r="A15" s="1">
        <v>42381</v>
      </c>
      <c r="B15" s="206">
        <v>2507305405</v>
      </c>
      <c r="C15" s="8">
        <f t="shared" si="0"/>
        <v>0</v>
      </c>
      <c r="D15" s="7">
        <f t="shared" si="1"/>
        <v>0</v>
      </c>
    </row>
    <row r="16" spans="1:4" x14ac:dyDescent="0.3">
      <c r="A16" s="1">
        <v>42382</v>
      </c>
      <c r="B16" s="206">
        <v>2507305405</v>
      </c>
      <c r="C16" s="8">
        <f t="shared" si="0"/>
        <v>0</v>
      </c>
      <c r="D16" s="7">
        <f t="shared" si="1"/>
        <v>0</v>
      </c>
    </row>
    <row r="17" spans="1:4" x14ac:dyDescent="0.3">
      <c r="A17" s="1">
        <v>42383</v>
      </c>
      <c r="B17" s="206">
        <v>2507305405</v>
      </c>
      <c r="C17" s="8">
        <f t="shared" si="0"/>
        <v>0</v>
      </c>
      <c r="D17" s="7">
        <f t="shared" si="1"/>
        <v>0</v>
      </c>
    </row>
    <row r="18" spans="1:4" x14ac:dyDescent="0.3">
      <c r="A18" s="1">
        <v>42384</v>
      </c>
      <c r="B18" s="206">
        <v>2507305405</v>
      </c>
      <c r="C18" s="8">
        <f t="shared" si="0"/>
        <v>0</v>
      </c>
      <c r="D18" s="7">
        <f t="shared" si="1"/>
        <v>0</v>
      </c>
    </row>
    <row r="19" spans="1:4" x14ac:dyDescent="0.3">
      <c r="A19" s="1">
        <v>42385</v>
      </c>
      <c r="B19" s="206">
        <v>2507305405</v>
      </c>
      <c r="C19" s="8">
        <f t="shared" si="0"/>
        <v>0</v>
      </c>
      <c r="D19" s="7">
        <f t="shared" si="1"/>
        <v>0</v>
      </c>
    </row>
    <row r="20" spans="1:4" x14ac:dyDescent="0.3">
      <c r="A20" s="1">
        <v>42386</v>
      </c>
      <c r="B20" s="206">
        <v>2507305405</v>
      </c>
      <c r="C20" s="8">
        <f t="shared" si="0"/>
        <v>0</v>
      </c>
      <c r="D20" s="7">
        <f t="shared" si="1"/>
        <v>0</v>
      </c>
    </row>
    <row r="21" spans="1:4" x14ac:dyDescent="0.3">
      <c r="A21" s="1">
        <v>42387</v>
      </c>
      <c r="B21" s="206">
        <v>2507305405</v>
      </c>
      <c r="C21" s="8">
        <f t="shared" si="0"/>
        <v>0</v>
      </c>
      <c r="D21" s="7">
        <f t="shared" si="1"/>
        <v>0</v>
      </c>
    </row>
    <row r="22" spans="1:4" x14ac:dyDescent="0.3">
      <c r="A22" s="1">
        <v>42388</v>
      </c>
      <c r="B22" s="206">
        <v>2507305405</v>
      </c>
      <c r="C22" s="8">
        <f t="shared" si="0"/>
        <v>0</v>
      </c>
      <c r="D22" s="7">
        <f t="shared" si="1"/>
        <v>0</v>
      </c>
    </row>
    <row r="23" spans="1:4" x14ac:dyDescent="0.3">
      <c r="A23" s="1">
        <v>42389</v>
      </c>
      <c r="B23" s="206">
        <v>2507305405</v>
      </c>
      <c r="C23" s="8">
        <f t="shared" si="0"/>
        <v>0</v>
      </c>
      <c r="D23" s="7">
        <f t="shared" si="1"/>
        <v>0</v>
      </c>
    </row>
    <row r="24" spans="1:4" x14ac:dyDescent="0.3">
      <c r="A24" s="1">
        <v>42390</v>
      </c>
      <c r="B24" s="206">
        <v>2507305405</v>
      </c>
      <c r="C24" s="8">
        <f t="shared" si="0"/>
        <v>0</v>
      </c>
      <c r="D24" s="7">
        <f t="shared" si="1"/>
        <v>0</v>
      </c>
    </row>
    <row r="25" spans="1:4" x14ac:dyDescent="0.3">
      <c r="A25" s="1">
        <v>42391</v>
      </c>
      <c r="B25" s="206">
        <v>2507305405</v>
      </c>
      <c r="C25" s="8">
        <f t="shared" si="0"/>
        <v>0</v>
      </c>
      <c r="D25" s="7">
        <f t="shared" si="1"/>
        <v>0</v>
      </c>
    </row>
    <row r="26" spans="1:4" x14ac:dyDescent="0.3">
      <c r="A26" s="1">
        <v>42392</v>
      </c>
      <c r="B26" s="206">
        <v>2507305405</v>
      </c>
      <c r="C26" s="8">
        <f t="shared" si="0"/>
        <v>0</v>
      </c>
      <c r="D26" s="7">
        <f t="shared" si="1"/>
        <v>0</v>
      </c>
    </row>
    <row r="27" spans="1:4" x14ac:dyDescent="0.3">
      <c r="A27" s="1">
        <v>42393</v>
      </c>
      <c r="B27" s="206">
        <v>2507305405</v>
      </c>
      <c r="C27" s="8">
        <f t="shared" si="0"/>
        <v>0</v>
      </c>
      <c r="D27" s="7">
        <f t="shared" si="1"/>
        <v>0</v>
      </c>
    </row>
    <row r="28" spans="1:4" x14ac:dyDescent="0.3">
      <c r="A28" s="1">
        <v>42394</v>
      </c>
      <c r="B28" s="206">
        <v>2507305405</v>
      </c>
      <c r="C28" s="8">
        <f t="shared" si="0"/>
        <v>0</v>
      </c>
      <c r="D28" s="7">
        <f t="shared" si="1"/>
        <v>0</v>
      </c>
    </row>
    <row r="29" spans="1:4" x14ac:dyDescent="0.3">
      <c r="A29" s="1">
        <v>42395</v>
      </c>
      <c r="B29" s="206">
        <v>2507305405</v>
      </c>
      <c r="C29" s="8">
        <f t="shared" si="0"/>
        <v>0</v>
      </c>
      <c r="D29" s="7">
        <f t="shared" si="1"/>
        <v>0</v>
      </c>
    </row>
    <row r="30" spans="1:4" x14ac:dyDescent="0.3">
      <c r="A30" s="1">
        <v>42396</v>
      </c>
      <c r="B30" s="206">
        <v>2507305405</v>
      </c>
      <c r="C30" s="8">
        <f t="shared" si="0"/>
        <v>0</v>
      </c>
      <c r="D30" s="7">
        <f t="shared" si="1"/>
        <v>0</v>
      </c>
    </row>
    <row r="31" spans="1:4" x14ac:dyDescent="0.3">
      <c r="A31" s="1">
        <v>42397</v>
      </c>
      <c r="B31" s="206">
        <v>2507305405</v>
      </c>
      <c r="C31" s="8">
        <f t="shared" si="0"/>
        <v>0</v>
      </c>
      <c r="D31" s="7">
        <f t="shared" si="1"/>
        <v>0</v>
      </c>
    </row>
    <row r="32" spans="1:4" x14ac:dyDescent="0.3">
      <c r="A32" s="1">
        <v>42398</v>
      </c>
      <c r="B32" s="206">
        <v>2507305405</v>
      </c>
      <c r="C32" s="8">
        <f t="shared" si="0"/>
        <v>0</v>
      </c>
      <c r="D32" s="7">
        <f t="shared" si="1"/>
        <v>0</v>
      </c>
    </row>
    <row r="33" spans="1:4" x14ac:dyDescent="0.3">
      <c r="A33" s="1">
        <v>42399</v>
      </c>
      <c r="B33" s="206">
        <v>2507305405</v>
      </c>
      <c r="C33" s="8">
        <f t="shared" si="0"/>
        <v>0</v>
      </c>
      <c r="D33" s="7">
        <f t="shared" si="1"/>
        <v>0</v>
      </c>
    </row>
    <row r="34" spans="1:4" x14ac:dyDescent="0.3">
      <c r="A34" s="1">
        <v>42400</v>
      </c>
      <c r="B34" s="206">
        <v>2569469200</v>
      </c>
      <c r="C34" s="8">
        <f t="shared" si="0"/>
        <v>62163795</v>
      </c>
      <c r="D34" s="7">
        <f t="shared" si="1"/>
        <v>-2.4193243880876292E-2</v>
      </c>
    </row>
    <row r="35" spans="1:4" x14ac:dyDescent="0.3">
      <c r="A35" s="4" t="s">
        <v>8</v>
      </c>
      <c r="B35" s="17"/>
      <c r="C35" s="17">
        <f>SUM(C4:C34)</f>
        <v>209863193</v>
      </c>
      <c r="D35" s="5"/>
    </row>
    <row r="36" spans="1:4" x14ac:dyDescent="0.3">
      <c r="A36" s="1">
        <v>42401</v>
      </c>
      <c r="B36" s="8">
        <v>2569469200</v>
      </c>
      <c r="C36" s="8">
        <f>B36-B34</f>
        <v>0</v>
      </c>
      <c r="D36" s="7">
        <f>IFERROR(B34/B36-1,0)</f>
        <v>0</v>
      </c>
    </row>
    <row r="37" spans="1:4" x14ac:dyDescent="0.3">
      <c r="A37" s="1">
        <v>42402</v>
      </c>
      <c r="B37" s="206">
        <v>2569469200</v>
      </c>
      <c r="C37" s="8">
        <f>B37-B36</f>
        <v>0</v>
      </c>
      <c r="D37" s="7">
        <f>IFERROR(B36/B37-1,0)</f>
        <v>0</v>
      </c>
    </row>
    <row r="38" spans="1:4" x14ac:dyDescent="0.3">
      <c r="A38" s="1">
        <v>42403</v>
      </c>
      <c r="B38" s="206">
        <v>2569469200</v>
      </c>
      <c r="C38" s="8">
        <f t="shared" ref="C38:C63" si="2">B38-B37</f>
        <v>0</v>
      </c>
      <c r="D38" s="7">
        <f t="shared" ref="D38:D63" si="3">IFERROR(B37/B38-1,0)</f>
        <v>0</v>
      </c>
    </row>
    <row r="39" spans="1:4" x14ac:dyDescent="0.3">
      <c r="A39" s="1">
        <v>42404</v>
      </c>
      <c r="B39" s="206">
        <v>2569469200</v>
      </c>
      <c r="C39" s="8">
        <f t="shared" si="2"/>
        <v>0</v>
      </c>
      <c r="D39" s="7">
        <f t="shared" si="3"/>
        <v>0</v>
      </c>
    </row>
    <row r="40" spans="1:4" x14ac:dyDescent="0.3">
      <c r="A40" s="1">
        <v>42405</v>
      </c>
      <c r="B40" s="206">
        <v>2569469200</v>
      </c>
      <c r="C40" s="8">
        <f t="shared" si="2"/>
        <v>0</v>
      </c>
      <c r="D40" s="7">
        <f t="shared" si="3"/>
        <v>0</v>
      </c>
    </row>
    <row r="41" spans="1:4" x14ac:dyDescent="0.3">
      <c r="A41" s="1">
        <v>42406</v>
      </c>
      <c r="B41" s="206">
        <v>2569469200</v>
      </c>
      <c r="C41" s="8">
        <f t="shared" si="2"/>
        <v>0</v>
      </c>
      <c r="D41" s="7">
        <f t="shared" si="3"/>
        <v>0</v>
      </c>
    </row>
    <row r="42" spans="1:4" x14ac:dyDescent="0.3">
      <c r="A42" s="1">
        <v>42407</v>
      </c>
      <c r="B42" s="206">
        <v>2569469200</v>
      </c>
      <c r="C42" s="8">
        <f t="shared" si="2"/>
        <v>0</v>
      </c>
      <c r="D42" s="7">
        <f t="shared" si="3"/>
        <v>0</v>
      </c>
    </row>
    <row r="43" spans="1:4" x14ac:dyDescent="0.3">
      <c r="A43" s="1">
        <v>42408</v>
      </c>
      <c r="B43" s="206">
        <v>2569469200</v>
      </c>
      <c r="C43" s="8">
        <f t="shared" si="2"/>
        <v>0</v>
      </c>
      <c r="D43" s="7">
        <f t="shared" si="3"/>
        <v>0</v>
      </c>
    </row>
    <row r="44" spans="1:4" x14ac:dyDescent="0.3">
      <c r="A44" s="1">
        <v>42409</v>
      </c>
      <c r="B44" s="206">
        <v>2569469200</v>
      </c>
      <c r="C44" s="8">
        <f t="shared" si="2"/>
        <v>0</v>
      </c>
      <c r="D44" s="7">
        <f t="shared" si="3"/>
        <v>0</v>
      </c>
    </row>
    <row r="45" spans="1:4" x14ac:dyDescent="0.3">
      <c r="A45" s="1">
        <v>42410</v>
      </c>
      <c r="B45" s="206">
        <v>2569469200</v>
      </c>
      <c r="C45" s="8">
        <f t="shared" si="2"/>
        <v>0</v>
      </c>
      <c r="D45" s="7">
        <f t="shared" si="3"/>
        <v>0</v>
      </c>
    </row>
    <row r="46" spans="1:4" x14ac:dyDescent="0.3">
      <c r="A46" s="1">
        <v>42411</v>
      </c>
      <c r="B46" s="206">
        <v>2569469200</v>
      </c>
      <c r="C46" s="8">
        <f t="shared" si="2"/>
        <v>0</v>
      </c>
      <c r="D46" s="7">
        <f t="shared" si="3"/>
        <v>0</v>
      </c>
    </row>
    <row r="47" spans="1:4" x14ac:dyDescent="0.3">
      <c r="A47" s="1">
        <v>42412</v>
      </c>
      <c r="B47" s="206">
        <v>2569469200</v>
      </c>
      <c r="C47" s="8">
        <f t="shared" si="2"/>
        <v>0</v>
      </c>
      <c r="D47" s="7">
        <f t="shared" si="3"/>
        <v>0</v>
      </c>
    </row>
    <row r="48" spans="1:4" x14ac:dyDescent="0.3">
      <c r="A48" s="1">
        <v>42413</v>
      </c>
      <c r="B48" s="206">
        <v>2569469200</v>
      </c>
      <c r="C48" s="8">
        <f t="shared" si="2"/>
        <v>0</v>
      </c>
      <c r="D48" s="7">
        <f t="shared" si="3"/>
        <v>0</v>
      </c>
    </row>
    <row r="49" spans="1:4" x14ac:dyDescent="0.3">
      <c r="A49" s="1">
        <v>42414</v>
      </c>
      <c r="B49" s="206">
        <v>2649022045</v>
      </c>
      <c r="C49" s="8">
        <f t="shared" si="2"/>
        <v>79552845</v>
      </c>
      <c r="D49" s="7">
        <f t="shared" si="3"/>
        <v>-3.0031024147252783E-2</v>
      </c>
    </row>
    <row r="50" spans="1:4" x14ac:dyDescent="0.3">
      <c r="A50" s="1">
        <v>42415</v>
      </c>
      <c r="B50" s="206">
        <v>2649022045</v>
      </c>
      <c r="C50" s="8">
        <f t="shared" si="2"/>
        <v>0</v>
      </c>
      <c r="D50" s="7">
        <f t="shared" si="3"/>
        <v>0</v>
      </c>
    </row>
    <row r="51" spans="1:4" x14ac:dyDescent="0.3">
      <c r="A51" s="1">
        <v>42416</v>
      </c>
      <c r="B51" s="206">
        <v>2649022045</v>
      </c>
      <c r="C51" s="8">
        <f t="shared" si="2"/>
        <v>0</v>
      </c>
      <c r="D51" s="7">
        <f t="shared" si="3"/>
        <v>0</v>
      </c>
    </row>
    <row r="52" spans="1:4" x14ac:dyDescent="0.3">
      <c r="A52" s="1">
        <v>42417</v>
      </c>
      <c r="B52" s="206">
        <v>2649022045</v>
      </c>
      <c r="C52" s="8">
        <f t="shared" si="2"/>
        <v>0</v>
      </c>
      <c r="D52" s="7">
        <f t="shared" si="3"/>
        <v>0</v>
      </c>
    </row>
    <row r="53" spans="1:4" x14ac:dyDescent="0.3">
      <c r="A53" s="1">
        <v>42418</v>
      </c>
      <c r="B53" s="206">
        <v>2649022045</v>
      </c>
      <c r="C53" s="8">
        <f t="shared" si="2"/>
        <v>0</v>
      </c>
      <c r="D53" s="7">
        <f t="shared" si="3"/>
        <v>0</v>
      </c>
    </row>
    <row r="54" spans="1:4" x14ac:dyDescent="0.3">
      <c r="A54" s="1">
        <v>42419</v>
      </c>
      <c r="B54" s="206">
        <v>2649022045</v>
      </c>
      <c r="C54" s="8">
        <f t="shared" si="2"/>
        <v>0</v>
      </c>
      <c r="D54" s="7">
        <f t="shared" si="3"/>
        <v>0</v>
      </c>
    </row>
    <row r="55" spans="1:4" x14ac:dyDescent="0.3">
      <c r="A55" s="1">
        <v>42420</v>
      </c>
      <c r="B55" s="206">
        <v>2649022045</v>
      </c>
      <c r="C55" s="8">
        <f t="shared" si="2"/>
        <v>0</v>
      </c>
      <c r="D55" s="7">
        <f t="shared" si="3"/>
        <v>0</v>
      </c>
    </row>
    <row r="56" spans="1:4" x14ac:dyDescent="0.3">
      <c r="A56" s="1">
        <v>42421</v>
      </c>
      <c r="B56" s="206">
        <v>2649022045</v>
      </c>
      <c r="C56" s="8">
        <f t="shared" si="2"/>
        <v>0</v>
      </c>
      <c r="D56" s="7">
        <f t="shared" si="3"/>
        <v>0</v>
      </c>
    </row>
    <row r="57" spans="1:4" x14ac:dyDescent="0.3">
      <c r="A57" s="1">
        <v>42422</v>
      </c>
      <c r="B57" s="206">
        <v>2649022045</v>
      </c>
      <c r="C57" s="8">
        <f t="shared" si="2"/>
        <v>0</v>
      </c>
      <c r="D57" s="7">
        <f t="shared" si="3"/>
        <v>0</v>
      </c>
    </row>
    <row r="58" spans="1:4" x14ac:dyDescent="0.3">
      <c r="A58" s="1">
        <v>42423</v>
      </c>
      <c r="B58" s="206">
        <v>2649022045</v>
      </c>
      <c r="C58" s="8">
        <f t="shared" si="2"/>
        <v>0</v>
      </c>
      <c r="D58" s="7">
        <f t="shared" si="3"/>
        <v>0</v>
      </c>
    </row>
    <row r="59" spans="1:4" x14ac:dyDescent="0.3">
      <c r="A59" s="1">
        <v>42424</v>
      </c>
      <c r="B59" s="206">
        <v>2649022045</v>
      </c>
      <c r="C59" s="8">
        <f t="shared" si="2"/>
        <v>0</v>
      </c>
      <c r="D59" s="7">
        <f t="shared" si="3"/>
        <v>0</v>
      </c>
    </row>
    <row r="60" spans="1:4" x14ac:dyDescent="0.3">
      <c r="A60" s="1">
        <v>42425</v>
      </c>
      <c r="B60" s="206">
        <v>2649022045</v>
      </c>
      <c r="C60" s="8">
        <f t="shared" si="2"/>
        <v>0</v>
      </c>
      <c r="D60" s="7">
        <f t="shared" si="3"/>
        <v>0</v>
      </c>
    </row>
    <row r="61" spans="1:4" x14ac:dyDescent="0.3">
      <c r="A61" s="1">
        <v>42426</v>
      </c>
      <c r="B61" s="206">
        <v>2649022045</v>
      </c>
      <c r="C61" s="8">
        <f t="shared" si="2"/>
        <v>0</v>
      </c>
      <c r="D61" s="7">
        <f t="shared" si="3"/>
        <v>0</v>
      </c>
    </row>
    <row r="62" spans="1:4" x14ac:dyDescent="0.3">
      <c r="A62" s="1">
        <v>42427</v>
      </c>
      <c r="B62" s="206">
        <v>2649022045</v>
      </c>
      <c r="C62" s="8">
        <f t="shared" si="2"/>
        <v>0</v>
      </c>
      <c r="D62" s="7">
        <f t="shared" si="3"/>
        <v>0</v>
      </c>
    </row>
    <row r="63" spans="1:4" x14ac:dyDescent="0.3">
      <c r="A63" s="1">
        <v>42428</v>
      </c>
      <c r="B63" s="206">
        <v>2649022045</v>
      </c>
      <c r="C63" s="8">
        <f t="shared" si="2"/>
        <v>0</v>
      </c>
      <c r="D63" s="7">
        <f t="shared" si="3"/>
        <v>0</v>
      </c>
    </row>
    <row r="64" spans="1:4" x14ac:dyDescent="0.3">
      <c r="A64" s="1">
        <v>42429</v>
      </c>
      <c r="B64" s="206">
        <v>2649022045</v>
      </c>
      <c r="C64" s="206">
        <f t="shared" ref="C64" si="4">B64-B63</f>
        <v>0</v>
      </c>
      <c r="D64" s="207">
        <f t="shared" ref="D64" si="5">IFERROR(B63/B64-1,0)</f>
        <v>0</v>
      </c>
    </row>
    <row r="65" spans="1:4" x14ac:dyDescent="0.3">
      <c r="A65" s="4" t="s">
        <v>9</v>
      </c>
      <c r="B65" s="17">
        <f>B64</f>
        <v>2649022045</v>
      </c>
      <c r="C65" s="17">
        <f>SUM(C36:C64)</f>
        <v>79552845</v>
      </c>
      <c r="D65" s="5"/>
    </row>
    <row r="66" spans="1:4" x14ac:dyDescent="0.3">
      <c r="A66" s="1">
        <v>42430</v>
      </c>
      <c r="B66" s="206">
        <v>2649022045</v>
      </c>
      <c r="C66" s="8">
        <f>B66-B63</f>
        <v>0</v>
      </c>
      <c r="D66" s="7">
        <f>IFERROR(B66/B63-1,0)</f>
        <v>0</v>
      </c>
    </row>
    <row r="67" spans="1:4" x14ac:dyDescent="0.3">
      <c r="A67" s="1">
        <v>42431</v>
      </c>
      <c r="B67" s="206">
        <v>2649022045</v>
      </c>
      <c r="C67" s="8">
        <f>B67-B66</f>
        <v>0</v>
      </c>
      <c r="D67" s="7">
        <f>IFERROR(B67/B66-1,0)</f>
        <v>0</v>
      </c>
    </row>
    <row r="68" spans="1:4" x14ac:dyDescent="0.3">
      <c r="A68" s="1">
        <v>42432</v>
      </c>
      <c r="B68" s="206">
        <v>2649022045</v>
      </c>
      <c r="C68" s="8">
        <f t="shared" ref="C68:C96" si="6">B68-B67</f>
        <v>0</v>
      </c>
      <c r="D68" s="7">
        <f t="shared" ref="D68:D96" si="7">IFERROR(B68/B67-1,0)</f>
        <v>0</v>
      </c>
    </row>
    <row r="69" spans="1:4" x14ac:dyDescent="0.3">
      <c r="A69" s="1">
        <v>42433</v>
      </c>
      <c r="B69" s="206">
        <v>2649022045</v>
      </c>
      <c r="C69" s="8">
        <f t="shared" si="6"/>
        <v>0</v>
      </c>
      <c r="D69" s="7">
        <f t="shared" si="7"/>
        <v>0</v>
      </c>
    </row>
    <row r="70" spans="1:4" x14ac:dyDescent="0.3">
      <c r="A70" s="1">
        <v>42434</v>
      </c>
      <c r="B70" s="206">
        <v>2649022045</v>
      </c>
      <c r="C70" s="8">
        <f t="shared" si="6"/>
        <v>0</v>
      </c>
      <c r="D70" s="7">
        <f t="shared" si="7"/>
        <v>0</v>
      </c>
    </row>
    <row r="71" spans="1:4" x14ac:dyDescent="0.3">
      <c r="A71" s="1">
        <v>42435</v>
      </c>
      <c r="B71" s="206">
        <v>2649022045</v>
      </c>
      <c r="C71" s="8">
        <f t="shared" si="6"/>
        <v>0</v>
      </c>
      <c r="D71" s="7">
        <f t="shared" si="7"/>
        <v>0</v>
      </c>
    </row>
    <row r="72" spans="1:4" x14ac:dyDescent="0.3">
      <c r="A72" s="1">
        <v>42436</v>
      </c>
      <c r="B72" s="206">
        <v>2649022045</v>
      </c>
      <c r="C72" s="8">
        <f t="shared" si="6"/>
        <v>0</v>
      </c>
      <c r="D72" s="7">
        <f t="shared" si="7"/>
        <v>0</v>
      </c>
    </row>
    <row r="73" spans="1:4" x14ac:dyDescent="0.3">
      <c r="A73" s="1">
        <v>42437</v>
      </c>
      <c r="B73" s="206">
        <v>2649022045</v>
      </c>
      <c r="C73" s="8">
        <f t="shared" si="6"/>
        <v>0</v>
      </c>
      <c r="D73" s="7">
        <f t="shared" si="7"/>
        <v>0</v>
      </c>
    </row>
    <row r="74" spans="1:4" x14ac:dyDescent="0.3">
      <c r="A74" s="1">
        <v>42438</v>
      </c>
      <c r="B74" s="206">
        <v>2649022045</v>
      </c>
      <c r="C74" s="8">
        <f t="shared" si="6"/>
        <v>0</v>
      </c>
      <c r="D74" s="7">
        <f t="shared" si="7"/>
        <v>0</v>
      </c>
    </row>
    <row r="75" spans="1:4" x14ac:dyDescent="0.3">
      <c r="A75" s="1">
        <v>42439</v>
      </c>
      <c r="B75" s="206">
        <v>2649022045</v>
      </c>
      <c r="C75" s="8">
        <f t="shared" si="6"/>
        <v>0</v>
      </c>
      <c r="D75" s="7">
        <f t="shared" si="7"/>
        <v>0</v>
      </c>
    </row>
    <row r="76" spans="1:4" x14ac:dyDescent="0.3">
      <c r="A76" s="1">
        <v>42440</v>
      </c>
      <c r="B76" s="206">
        <v>2649022045</v>
      </c>
      <c r="C76" s="8">
        <f t="shared" si="6"/>
        <v>0</v>
      </c>
      <c r="D76" s="7">
        <f t="shared" si="7"/>
        <v>0</v>
      </c>
    </row>
    <row r="77" spans="1:4" x14ac:dyDescent="0.3">
      <c r="A77" s="1">
        <v>42441</v>
      </c>
      <c r="B77" s="206">
        <v>2649022045</v>
      </c>
      <c r="C77" s="8">
        <f t="shared" si="6"/>
        <v>0</v>
      </c>
      <c r="D77" s="7">
        <f t="shared" si="7"/>
        <v>0</v>
      </c>
    </row>
    <row r="78" spans="1:4" x14ac:dyDescent="0.3">
      <c r="A78" s="1">
        <v>42442</v>
      </c>
      <c r="B78" s="206">
        <v>2649022045</v>
      </c>
      <c r="C78" s="8">
        <f t="shared" si="6"/>
        <v>0</v>
      </c>
      <c r="D78" s="7">
        <f t="shared" si="7"/>
        <v>0</v>
      </c>
    </row>
    <row r="79" spans="1:4" x14ac:dyDescent="0.3">
      <c r="A79" s="1">
        <v>42443</v>
      </c>
      <c r="B79" s="206">
        <v>2649022045</v>
      </c>
      <c r="C79" s="8">
        <f t="shared" si="6"/>
        <v>0</v>
      </c>
      <c r="D79" s="7">
        <f t="shared" si="7"/>
        <v>0</v>
      </c>
    </row>
    <row r="80" spans="1:4" x14ac:dyDescent="0.3">
      <c r="A80" s="1">
        <v>42444</v>
      </c>
      <c r="B80" s="206">
        <v>2649022045</v>
      </c>
      <c r="C80" s="8">
        <f t="shared" si="6"/>
        <v>0</v>
      </c>
      <c r="D80" s="7">
        <f t="shared" si="7"/>
        <v>0</v>
      </c>
    </row>
    <row r="81" spans="1:4" x14ac:dyDescent="0.3">
      <c r="A81" s="1">
        <v>42445</v>
      </c>
      <c r="B81" s="206">
        <v>2649022045</v>
      </c>
      <c r="C81" s="8">
        <f t="shared" si="6"/>
        <v>0</v>
      </c>
      <c r="D81" s="7">
        <f t="shared" si="7"/>
        <v>0</v>
      </c>
    </row>
    <row r="82" spans="1:4" x14ac:dyDescent="0.3">
      <c r="A82" s="1">
        <v>42446</v>
      </c>
      <c r="B82" s="206">
        <v>2649022045</v>
      </c>
      <c r="C82" s="8">
        <f t="shared" si="6"/>
        <v>0</v>
      </c>
      <c r="D82" s="7">
        <f t="shared" si="7"/>
        <v>0</v>
      </c>
    </row>
    <row r="83" spans="1:4" x14ac:dyDescent="0.3">
      <c r="A83" s="1">
        <v>42447</v>
      </c>
      <c r="B83" s="206">
        <v>2649022045</v>
      </c>
      <c r="C83" s="8">
        <f t="shared" si="6"/>
        <v>0</v>
      </c>
      <c r="D83" s="7">
        <f t="shared" si="7"/>
        <v>0</v>
      </c>
    </row>
    <row r="84" spans="1:4" x14ac:dyDescent="0.3">
      <c r="A84" s="1">
        <v>42448</v>
      </c>
      <c r="B84" s="206">
        <v>2649022045</v>
      </c>
      <c r="C84" s="8">
        <f t="shared" si="6"/>
        <v>0</v>
      </c>
      <c r="D84" s="7">
        <f t="shared" si="7"/>
        <v>0</v>
      </c>
    </row>
    <row r="85" spans="1:4" x14ac:dyDescent="0.3">
      <c r="A85" s="1">
        <v>42449</v>
      </c>
      <c r="B85" s="206">
        <v>2649022045</v>
      </c>
      <c r="C85" s="8">
        <f t="shared" si="6"/>
        <v>0</v>
      </c>
      <c r="D85" s="7">
        <f t="shared" si="7"/>
        <v>0</v>
      </c>
    </row>
    <row r="86" spans="1:4" x14ac:dyDescent="0.3">
      <c r="A86" s="1">
        <v>42450</v>
      </c>
      <c r="B86" s="206">
        <v>2649022045</v>
      </c>
      <c r="C86" s="8">
        <f t="shared" si="6"/>
        <v>0</v>
      </c>
      <c r="D86" s="7">
        <f t="shared" si="7"/>
        <v>0</v>
      </c>
    </row>
    <row r="87" spans="1:4" x14ac:dyDescent="0.3">
      <c r="A87" s="1">
        <v>42451</v>
      </c>
      <c r="B87" s="206">
        <v>2649022045</v>
      </c>
      <c r="C87" s="8">
        <f t="shared" si="6"/>
        <v>0</v>
      </c>
      <c r="D87" s="7">
        <f t="shared" si="7"/>
        <v>0</v>
      </c>
    </row>
    <row r="88" spans="1:4" x14ac:dyDescent="0.3">
      <c r="A88" s="1">
        <v>42452</v>
      </c>
      <c r="B88" s="206">
        <v>2649022045</v>
      </c>
      <c r="C88" s="8">
        <f t="shared" si="6"/>
        <v>0</v>
      </c>
      <c r="D88" s="7">
        <f t="shared" si="7"/>
        <v>0</v>
      </c>
    </row>
    <row r="89" spans="1:4" x14ac:dyDescent="0.3">
      <c r="A89" s="1">
        <v>42453</v>
      </c>
      <c r="B89" s="206">
        <v>2649022045</v>
      </c>
      <c r="C89" s="8">
        <f t="shared" si="6"/>
        <v>0</v>
      </c>
      <c r="D89" s="7">
        <f t="shared" si="7"/>
        <v>0</v>
      </c>
    </row>
    <row r="90" spans="1:4" x14ac:dyDescent="0.3">
      <c r="A90" s="1">
        <v>42454</v>
      </c>
      <c r="B90" s="206">
        <v>2649022045</v>
      </c>
      <c r="C90" s="8">
        <f t="shared" si="6"/>
        <v>0</v>
      </c>
      <c r="D90" s="7">
        <f t="shared" si="7"/>
        <v>0</v>
      </c>
    </row>
    <row r="91" spans="1:4" x14ac:dyDescent="0.3">
      <c r="A91" s="1">
        <v>42455</v>
      </c>
      <c r="B91" s="206">
        <v>2649022045</v>
      </c>
      <c r="C91" s="8">
        <f t="shared" si="6"/>
        <v>0</v>
      </c>
      <c r="D91" s="7">
        <f t="shared" si="7"/>
        <v>0</v>
      </c>
    </row>
    <row r="92" spans="1:4" x14ac:dyDescent="0.3">
      <c r="A92" s="1">
        <v>42456</v>
      </c>
      <c r="B92" s="206">
        <v>2649022045</v>
      </c>
      <c r="C92" s="8">
        <f t="shared" si="6"/>
        <v>0</v>
      </c>
      <c r="D92" s="7">
        <f t="shared" si="7"/>
        <v>0</v>
      </c>
    </row>
    <row r="93" spans="1:4" x14ac:dyDescent="0.3">
      <c r="A93" s="1">
        <v>42457</v>
      </c>
      <c r="B93" s="206">
        <v>2649022045</v>
      </c>
      <c r="C93" s="8">
        <f t="shared" si="6"/>
        <v>0</v>
      </c>
      <c r="D93" s="7">
        <f t="shared" si="7"/>
        <v>0</v>
      </c>
    </row>
    <row r="94" spans="1:4" x14ac:dyDescent="0.3">
      <c r="A94" s="1">
        <v>42458</v>
      </c>
      <c r="B94" s="206">
        <v>2649022045</v>
      </c>
      <c r="C94" s="8">
        <f t="shared" si="6"/>
        <v>0</v>
      </c>
      <c r="D94" s="7">
        <f t="shared" si="7"/>
        <v>0</v>
      </c>
    </row>
    <row r="95" spans="1:4" x14ac:dyDescent="0.3">
      <c r="A95" s="1">
        <v>42459</v>
      </c>
      <c r="B95" s="206">
        <v>2649022045</v>
      </c>
      <c r="C95" s="8">
        <f t="shared" si="6"/>
        <v>0</v>
      </c>
      <c r="D95" s="7">
        <f t="shared" si="7"/>
        <v>0</v>
      </c>
    </row>
    <row r="96" spans="1:4" x14ac:dyDescent="0.3">
      <c r="A96" s="1">
        <v>42460</v>
      </c>
      <c r="B96" s="206">
        <v>2649022045</v>
      </c>
      <c r="C96" s="8">
        <f t="shared" si="6"/>
        <v>0</v>
      </c>
      <c r="D96" s="7">
        <f t="shared" si="7"/>
        <v>0</v>
      </c>
    </row>
    <row r="97" spans="1:4" x14ac:dyDescent="0.3">
      <c r="A97" s="35" t="s">
        <v>10</v>
      </c>
      <c r="B97" s="17">
        <f>B96</f>
        <v>2649022045</v>
      </c>
      <c r="C97" s="17">
        <f>SUM(C66:C96)</f>
        <v>0</v>
      </c>
      <c r="D97" s="5"/>
    </row>
    <row r="98" spans="1:4" x14ac:dyDescent="0.3">
      <c r="A98" s="1">
        <v>42461</v>
      </c>
      <c r="B98" s="206">
        <v>2649022045</v>
      </c>
      <c r="C98" s="8">
        <f>B98-B96</f>
        <v>0</v>
      </c>
      <c r="D98" s="7">
        <f>IFERROR(B98/B96-1,0)</f>
        <v>0</v>
      </c>
    </row>
    <row r="99" spans="1:4" x14ac:dyDescent="0.3">
      <c r="A99" s="1">
        <v>42462</v>
      </c>
      <c r="B99" s="206">
        <v>2649022045</v>
      </c>
      <c r="C99" s="8">
        <f>B99-B98</f>
        <v>0</v>
      </c>
      <c r="D99" s="7">
        <f t="shared" ref="D99:D127" si="8">IFERROR(B99/B98-1,0)</f>
        <v>0</v>
      </c>
    </row>
    <row r="100" spans="1:4" x14ac:dyDescent="0.3">
      <c r="A100" s="1">
        <v>42463</v>
      </c>
      <c r="B100" s="206">
        <v>2649022045</v>
      </c>
      <c r="C100" s="8">
        <f t="shared" ref="C100:C127" si="9">B100-B99</f>
        <v>0</v>
      </c>
      <c r="D100" s="7">
        <f t="shared" si="8"/>
        <v>0</v>
      </c>
    </row>
    <row r="101" spans="1:4" x14ac:dyDescent="0.3">
      <c r="A101" s="1">
        <v>42464</v>
      </c>
      <c r="B101" s="206">
        <v>2649022045</v>
      </c>
      <c r="C101" s="8">
        <f t="shared" si="9"/>
        <v>0</v>
      </c>
      <c r="D101" s="7">
        <f t="shared" si="8"/>
        <v>0</v>
      </c>
    </row>
    <row r="102" spans="1:4" x14ac:dyDescent="0.3">
      <c r="A102" s="1">
        <v>42465</v>
      </c>
      <c r="B102" s="206">
        <v>2649022045</v>
      </c>
      <c r="C102" s="8">
        <f t="shared" si="9"/>
        <v>0</v>
      </c>
      <c r="D102" s="7">
        <f t="shared" si="8"/>
        <v>0</v>
      </c>
    </row>
    <row r="103" spans="1:4" x14ac:dyDescent="0.3">
      <c r="A103" s="1">
        <v>42466</v>
      </c>
      <c r="B103" s="206">
        <v>2649022045</v>
      </c>
      <c r="C103" s="8">
        <f t="shared" si="9"/>
        <v>0</v>
      </c>
      <c r="D103" s="7">
        <f t="shared" si="8"/>
        <v>0</v>
      </c>
    </row>
    <row r="104" spans="1:4" x14ac:dyDescent="0.3">
      <c r="A104" s="1">
        <v>42467</v>
      </c>
      <c r="B104" s="206">
        <v>2649022045</v>
      </c>
      <c r="C104" s="8">
        <f t="shared" si="9"/>
        <v>0</v>
      </c>
      <c r="D104" s="7">
        <f t="shared" si="8"/>
        <v>0</v>
      </c>
    </row>
    <row r="105" spans="1:4" x14ac:dyDescent="0.3">
      <c r="A105" s="1">
        <v>42468</v>
      </c>
      <c r="B105" s="206">
        <v>2649022045</v>
      </c>
      <c r="C105" s="8">
        <f t="shared" si="9"/>
        <v>0</v>
      </c>
      <c r="D105" s="7">
        <f t="shared" si="8"/>
        <v>0</v>
      </c>
    </row>
    <row r="106" spans="1:4" x14ac:dyDescent="0.3">
      <c r="A106" s="1">
        <v>42469</v>
      </c>
      <c r="B106" s="206">
        <v>2649022045</v>
      </c>
      <c r="C106" s="8">
        <f t="shared" si="9"/>
        <v>0</v>
      </c>
      <c r="D106" s="7">
        <f t="shared" si="8"/>
        <v>0</v>
      </c>
    </row>
    <row r="107" spans="1:4" x14ac:dyDescent="0.3">
      <c r="A107" s="1">
        <v>42470</v>
      </c>
      <c r="B107" s="206">
        <v>2649022045</v>
      </c>
      <c r="C107" s="8">
        <f t="shared" si="9"/>
        <v>0</v>
      </c>
      <c r="D107" s="7">
        <f t="shared" si="8"/>
        <v>0</v>
      </c>
    </row>
    <row r="108" spans="1:4" x14ac:dyDescent="0.3">
      <c r="A108" s="1">
        <v>42471</v>
      </c>
      <c r="B108" s="206">
        <v>2649022045</v>
      </c>
      <c r="C108" s="8">
        <f t="shared" si="9"/>
        <v>0</v>
      </c>
      <c r="D108" s="7">
        <f t="shared" si="8"/>
        <v>0</v>
      </c>
    </row>
    <row r="109" spans="1:4" x14ac:dyDescent="0.3">
      <c r="A109" s="1">
        <v>42472</v>
      </c>
      <c r="B109" s="206">
        <v>2649022045</v>
      </c>
      <c r="C109" s="8">
        <f t="shared" si="9"/>
        <v>0</v>
      </c>
      <c r="D109" s="7">
        <f t="shared" si="8"/>
        <v>0</v>
      </c>
    </row>
    <row r="110" spans="1:4" x14ac:dyDescent="0.3">
      <c r="A110" s="1">
        <v>42473</v>
      </c>
      <c r="B110" s="206">
        <v>2649022045</v>
      </c>
      <c r="C110" s="8">
        <f t="shared" si="9"/>
        <v>0</v>
      </c>
      <c r="D110" s="7">
        <f t="shared" si="8"/>
        <v>0</v>
      </c>
    </row>
    <row r="111" spans="1:4" x14ac:dyDescent="0.3">
      <c r="A111" s="1">
        <v>42474</v>
      </c>
      <c r="B111" s="206">
        <v>2649022045</v>
      </c>
      <c r="C111" s="8">
        <f t="shared" si="9"/>
        <v>0</v>
      </c>
      <c r="D111" s="7">
        <f t="shared" si="8"/>
        <v>0</v>
      </c>
    </row>
    <row r="112" spans="1:4" x14ac:dyDescent="0.3">
      <c r="A112" s="1">
        <v>42475</v>
      </c>
      <c r="B112" s="206">
        <v>2649022045</v>
      </c>
      <c r="C112" s="8">
        <f t="shared" si="9"/>
        <v>0</v>
      </c>
      <c r="D112" s="7">
        <f t="shared" si="8"/>
        <v>0</v>
      </c>
    </row>
    <row r="113" spans="1:4" x14ac:dyDescent="0.3">
      <c r="A113" s="1">
        <v>42476</v>
      </c>
      <c r="B113" s="206">
        <v>2649022045</v>
      </c>
      <c r="C113" s="8">
        <f t="shared" si="9"/>
        <v>0</v>
      </c>
      <c r="D113" s="7">
        <f t="shared" si="8"/>
        <v>0</v>
      </c>
    </row>
    <row r="114" spans="1:4" x14ac:dyDescent="0.3">
      <c r="A114" s="1">
        <v>42477</v>
      </c>
      <c r="B114" s="206">
        <v>2649022045</v>
      </c>
      <c r="C114" s="8">
        <f t="shared" si="9"/>
        <v>0</v>
      </c>
      <c r="D114" s="7">
        <f t="shared" si="8"/>
        <v>0</v>
      </c>
    </row>
    <row r="115" spans="1:4" x14ac:dyDescent="0.3">
      <c r="A115" s="1">
        <v>42478</v>
      </c>
      <c r="B115" s="206">
        <v>2649022045</v>
      </c>
      <c r="C115" s="8">
        <f t="shared" si="9"/>
        <v>0</v>
      </c>
      <c r="D115" s="7">
        <f t="shared" si="8"/>
        <v>0</v>
      </c>
    </row>
    <row r="116" spans="1:4" x14ac:dyDescent="0.3">
      <c r="A116" s="1">
        <v>42479</v>
      </c>
      <c r="B116" s="206">
        <v>2649022045</v>
      </c>
      <c r="C116" s="8">
        <f t="shared" si="9"/>
        <v>0</v>
      </c>
      <c r="D116" s="7">
        <f t="shared" si="8"/>
        <v>0</v>
      </c>
    </row>
    <row r="117" spans="1:4" x14ac:dyDescent="0.3">
      <c r="A117" s="1">
        <v>42480</v>
      </c>
      <c r="B117" s="206">
        <v>2649022045</v>
      </c>
      <c r="C117" s="8">
        <f t="shared" si="9"/>
        <v>0</v>
      </c>
      <c r="D117" s="7">
        <f t="shared" si="8"/>
        <v>0</v>
      </c>
    </row>
    <row r="118" spans="1:4" x14ac:dyDescent="0.3">
      <c r="A118" s="1">
        <v>42481</v>
      </c>
      <c r="B118" s="206">
        <v>2649022045</v>
      </c>
      <c r="C118" s="8">
        <f t="shared" si="9"/>
        <v>0</v>
      </c>
      <c r="D118" s="7">
        <f t="shared" si="8"/>
        <v>0</v>
      </c>
    </row>
    <row r="119" spans="1:4" x14ac:dyDescent="0.3">
      <c r="A119" s="1">
        <v>42482</v>
      </c>
      <c r="B119" s="206">
        <v>2649022045</v>
      </c>
      <c r="C119" s="8">
        <f t="shared" si="9"/>
        <v>0</v>
      </c>
      <c r="D119" s="7">
        <f>IFERROR(B120/B118-1,0)</f>
        <v>0</v>
      </c>
    </row>
    <row r="120" spans="1:4" x14ac:dyDescent="0.3">
      <c r="A120" s="1">
        <v>42483</v>
      </c>
      <c r="B120" s="206">
        <v>2649022045</v>
      </c>
      <c r="C120" s="8">
        <f t="shared" si="9"/>
        <v>0</v>
      </c>
      <c r="D120" s="7">
        <f>IFERROR(#REF!/B120-1,0)</f>
        <v>0</v>
      </c>
    </row>
    <row r="121" spans="1:4" x14ac:dyDescent="0.3">
      <c r="A121" s="1">
        <v>42484</v>
      </c>
      <c r="B121" s="206">
        <v>2649022045</v>
      </c>
      <c r="C121" s="8">
        <f t="shared" si="9"/>
        <v>0</v>
      </c>
      <c r="D121" s="7">
        <f>IFERROR(B121/#REF!-1,0)</f>
        <v>0</v>
      </c>
    </row>
    <row r="122" spans="1:4" x14ac:dyDescent="0.3">
      <c r="A122" s="1">
        <v>42485</v>
      </c>
      <c r="B122" s="206">
        <v>2649022045</v>
      </c>
      <c r="C122" s="8">
        <f t="shared" si="9"/>
        <v>0</v>
      </c>
      <c r="D122" s="7">
        <f t="shared" si="8"/>
        <v>0</v>
      </c>
    </row>
    <row r="123" spans="1:4" x14ac:dyDescent="0.3">
      <c r="A123" s="1">
        <v>42486</v>
      </c>
      <c r="B123" s="206">
        <v>2649022045</v>
      </c>
      <c r="C123" s="8">
        <f t="shared" si="9"/>
        <v>0</v>
      </c>
      <c r="D123" s="7">
        <f t="shared" si="8"/>
        <v>0</v>
      </c>
    </row>
    <row r="124" spans="1:4" x14ac:dyDescent="0.3">
      <c r="A124" s="1">
        <v>42487</v>
      </c>
      <c r="B124" s="206">
        <v>2649022045</v>
      </c>
      <c r="C124" s="8">
        <f t="shared" si="9"/>
        <v>0</v>
      </c>
      <c r="D124" s="7">
        <f t="shared" si="8"/>
        <v>0</v>
      </c>
    </row>
    <row r="125" spans="1:4" x14ac:dyDescent="0.3">
      <c r="A125" s="1">
        <v>42488</v>
      </c>
      <c r="B125" s="206">
        <v>2649022045</v>
      </c>
      <c r="C125" s="8">
        <f t="shared" si="9"/>
        <v>0</v>
      </c>
      <c r="D125" s="7">
        <f t="shared" si="8"/>
        <v>0</v>
      </c>
    </row>
    <row r="126" spans="1:4" x14ac:dyDescent="0.3">
      <c r="A126" s="1">
        <v>42489</v>
      </c>
      <c r="B126" s="206">
        <v>2649022045</v>
      </c>
      <c r="C126" s="8">
        <f t="shared" si="9"/>
        <v>0</v>
      </c>
      <c r="D126" s="7">
        <f t="shared" si="8"/>
        <v>0</v>
      </c>
    </row>
    <row r="127" spans="1:4" x14ac:dyDescent="0.3">
      <c r="A127" s="1">
        <v>42490</v>
      </c>
      <c r="B127" s="206">
        <v>2649022045</v>
      </c>
      <c r="C127" s="8">
        <f t="shared" si="9"/>
        <v>0</v>
      </c>
      <c r="D127" s="7">
        <f t="shared" si="8"/>
        <v>0</v>
      </c>
    </row>
    <row r="128" spans="1:4" x14ac:dyDescent="0.3">
      <c r="A128" s="35" t="s">
        <v>11</v>
      </c>
      <c r="B128" s="17">
        <f>B127</f>
        <v>2649022045</v>
      </c>
      <c r="C128" s="17">
        <f>SUM(C98:C127)</f>
        <v>0</v>
      </c>
      <c r="D128" s="5"/>
    </row>
    <row r="129" spans="1:4" x14ac:dyDescent="0.3">
      <c r="A129" s="1">
        <v>42491</v>
      </c>
      <c r="B129" s="206">
        <v>2649022045</v>
      </c>
      <c r="C129" s="8">
        <f>B129-B127</f>
        <v>0</v>
      </c>
      <c r="D129" s="7">
        <f>IFERROR(B129/B127-1,0)</f>
        <v>0</v>
      </c>
    </row>
    <row r="130" spans="1:4" x14ac:dyDescent="0.3">
      <c r="A130" s="1">
        <v>42492</v>
      </c>
      <c r="B130" s="206">
        <v>2649022045</v>
      </c>
      <c r="C130" s="8">
        <f t="shared" ref="C130:C159" si="10">B130-B129</f>
        <v>0</v>
      </c>
      <c r="D130" s="7">
        <f t="shared" ref="D130:D159" si="11">IFERROR(B130/B129-1,0)</f>
        <v>0</v>
      </c>
    </row>
    <row r="131" spans="1:4" x14ac:dyDescent="0.3">
      <c r="A131" s="1">
        <v>42493</v>
      </c>
      <c r="B131" s="206">
        <v>2649022045</v>
      </c>
      <c r="C131" s="8">
        <f t="shared" si="10"/>
        <v>0</v>
      </c>
      <c r="D131" s="7">
        <f t="shared" si="11"/>
        <v>0</v>
      </c>
    </row>
    <row r="132" spans="1:4" x14ac:dyDescent="0.3">
      <c r="A132" s="1">
        <v>42494</v>
      </c>
      <c r="B132" s="206">
        <v>2649022045</v>
      </c>
      <c r="C132" s="8">
        <f t="shared" si="10"/>
        <v>0</v>
      </c>
      <c r="D132" s="7">
        <f t="shared" si="11"/>
        <v>0</v>
      </c>
    </row>
    <row r="133" spans="1:4" x14ac:dyDescent="0.3">
      <c r="A133" s="1">
        <v>42495</v>
      </c>
      <c r="B133" s="206">
        <v>2649022045</v>
      </c>
      <c r="C133" s="8">
        <f t="shared" si="10"/>
        <v>0</v>
      </c>
      <c r="D133" s="7">
        <f t="shared" si="11"/>
        <v>0</v>
      </c>
    </row>
    <row r="134" spans="1:4" x14ac:dyDescent="0.3">
      <c r="A134" s="1">
        <v>42496</v>
      </c>
      <c r="B134" s="206">
        <v>2649022045</v>
      </c>
      <c r="C134" s="8">
        <f t="shared" si="10"/>
        <v>0</v>
      </c>
      <c r="D134" s="7">
        <f t="shared" si="11"/>
        <v>0</v>
      </c>
    </row>
    <row r="135" spans="1:4" x14ac:dyDescent="0.3">
      <c r="A135" s="1">
        <v>42497</v>
      </c>
      <c r="B135" s="206">
        <v>2649022045</v>
      </c>
      <c r="C135" s="8">
        <f t="shared" si="10"/>
        <v>0</v>
      </c>
      <c r="D135" s="7">
        <f t="shared" si="11"/>
        <v>0</v>
      </c>
    </row>
    <row r="136" spans="1:4" x14ac:dyDescent="0.3">
      <c r="A136" s="1">
        <v>42498</v>
      </c>
      <c r="B136" s="206">
        <v>2649022045</v>
      </c>
      <c r="C136" s="8">
        <f t="shared" si="10"/>
        <v>0</v>
      </c>
      <c r="D136" s="7">
        <f t="shared" si="11"/>
        <v>0</v>
      </c>
    </row>
    <row r="137" spans="1:4" x14ac:dyDescent="0.3">
      <c r="A137" s="1">
        <v>42499</v>
      </c>
      <c r="B137" s="206">
        <v>2649022045</v>
      </c>
      <c r="C137" s="8">
        <f t="shared" si="10"/>
        <v>0</v>
      </c>
      <c r="D137" s="7">
        <f t="shared" si="11"/>
        <v>0</v>
      </c>
    </row>
    <row r="138" spans="1:4" x14ac:dyDescent="0.3">
      <c r="A138" s="1">
        <v>42500</v>
      </c>
      <c r="B138" s="206">
        <v>2649022045</v>
      </c>
      <c r="C138" s="8">
        <f t="shared" si="10"/>
        <v>0</v>
      </c>
      <c r="D138" s="7">
        <f t="shared" si="11"/>
        <v>0</v>
      </c>
    </row>
    <row r="139" spans="1:4" x14ac:dyDescent="0.3">
      <c r="A139" s="1">
        <v>42501</v>
      </c>
      <c r="B139" s="206">
        <v>2649022045</v>
      </c>
      <c r="C139" s="8">
        <f t="shared" si="10"/>
        <v>0</v>
      </c>
      <c r="D139" s="7">
        <f t="shared" si="11"/>
        <v>0</v>
      </c>
    </row>
    <row r="140" spans="1:4" x14ac:dyDescent="0.3">
      <c r="A140" s="1">
        <v>42502</v>
      </c>
      <c r="B140" s="206">
        <v>2649022045</v>
      </c>
      <c r="C140" s="8">
        <f t="shared" si="10"/>
        <v>0</v>
      </c>
      <c r="D140" s="7">
        <f t="shared" si="11"/>
        <v>0</v>
      </c>
    </row>
    <row r="141" spans="1:4" x14ac:dyDescent="0.3">
      <c r="A141" s="1">
        <v>42503</v>
      </c>
      <c r="B141" s="206">
        <v>2649022045</v>
      </c>
      <c r="C141" s="8">
        <f t="shared" si="10"/>
        <v>0</v>
      </c>
      <c r="D141" s="7">
        <f t="shared" si="11"/>
        <v>0</v>
      </c>
    </row>
    <row r="142" spans="1:4" x14ac:dyDescent="0.3">
      <c r="A142" s="1">
        <v>42504</v>
      </c>
      <c r="B142" s="206">
        <v>2649022045</v>
      </c>
      <c r="C142" s="8">
        <f t="shared" si="10"/>
        <v>0</v>
      </c>
      <c r="D142" s="7">
        <f t="shared" si="11"/>
        <v>0</v>
      </c>
    </row>
    <row r="143" spans="1:4" x14ac:dyDescent="0.3">
      <c r="A143" s="1">
        <v>42505</v>
      </c>
      <c r="B143" s="206">
        <v>2649022045</v>
      </c>
      <c r="C143" s="8">
        <f t="shared" si="10"/>
        <v>0</v>
      </c>
      <c r="D143" s="7">
        <f t="shared" si="11"/>
        <v>0</v>
      </c>
    </row>
    <row r="144" spans="1:4" x14ac:dyDescent="0.3">
      <c r="A144" s="1">
        <v>42506</v>
      </c>
      <c r="B144" s="206">
        <v>2649022045</v>
      </c>
      <c r="C144" s="8">
        <f t="shared" si="10"/>
        <v>0</v>
      </c>
      <c r="D144" s="7">
        <f t="shared" si="11"/>
        <v>0</v>
      </c>
    </row>
    <row r="145" spans="1:4" x14ac:dyDescent="0.3">
      <c r="A145" s="1">
        <v>42507</v>
      </c>
      <c r="B145" s="206">
        <v>2649022045</v>
      </c>
      <c r="C145" s="8">
        <f t="shared" si="10"/>
        <v>0</v>
      </c>
      <c r="D145" s="7">
        <f t="shared" si="11"/>
        <v>0</v>
      </c>
    </row>
    <row r="146" spans="1:4" x14ac:dyDescent="0.3">
      <c r="A146" s="1">
        <v>42508</v>
      </c>
      <c r="B146" s="206">
        <v>2649022045</v>
      </c>
      <c r="C146" s="8">
        <f t="shared" si="10"/>
        <v>0</v>
      </c>
      <c r="D146" s="7">
        <f t="shared" si="11"/>
        <v>0</v>
      </c>
    </row>
    <row r="147" spans="1:4" x14ac:dyDescent="0.3">
      <c r="A147" s="1">
        <v>42509</v>
      </c>
      <c r="B147" s="206">
        <v>2649022045</v>
      </c>
      <c r="C147" s="8">
        <f t="shared" si="10"/>
        <v>0</v>
      </c>
      <c r="D147" s="7">
        <f t="shared" si="11"/>
        <v>0</v>
      </c>
    </row>
    <row r="148" spans="1:4" x14ac:dyDescent="0.3">
      <c r="A148" s="1">
        <v>42510</v>
      </c>
      <c r="B148" s="206">
        <v>2649022045</v>
      </c>
      <c r="C148" s="8">
        <f t="shared" si="10"/>
        <v>0</v>
      </c>
      <c r="D148" s="7">
        <f t="shared" si="11"/>
        <v>0</v>
      </c>
    </row>
    <row r="149" spans="1:4" x14ac:dyDescent="0.3">
      <c r="A149" s="1">
        <v>42511</v>
      </c>
      <c r="B149" s="206">
        <v>2649022045</v>
      </c>
      <c r="C149" s="8">
        <f t="shared" si="10"/>
        <v>0</v>
      </c>
      <c r="D149" s="7">
        <f t="shared" si="11"/>
        <v>0</v>
      </c>
    </row>
    <row r="150" spans="1:4" x14ac:dyDescent="0.3">
      <c r="A150" s="1">
        <v>42512</v>
      </c>
      <c r="B150" s="206">
        <v>2649022045</v>
      </c>
      <c r="C150" s="8">
        <f t="shared" si="10"/>
        <v>0</v>
      </c>
      <c r="D150" s="7">
        <f t="shared" si="11"/>
        <v>0</v>
      </c>
    </row>
    <row r="151" spans="1:4" x14ac:dyDescent="0.3">
      <c r="A151" s="1">
        <v>42513</v>
      </c>
      <c r="B151" s="206">
        <v>2649022045</v>
      </c>
      <c r="C151" s="8">
        <f t="shared" si="10"/>
        <v>0</v>
      </c>
      <c r="D151" s="7">
        <f t="shared" si="11"/>
        <v>0</v>
      </c>
    </row>
    <row r="152" spans="1:4" x14ac:dyDescent="0.3">
      <c r="A152" s="1">
        <v>42514</v>
      </c>
      <c r="B152" s="206">
        <v>2649022045</v>
      </c>
      <c r="C152" s="8">
        <f t="shared" si="10"/>
        <v>0</v>
      </c>
      <c r="D152" s="7">
        <f t="shared" si="11"/>
        <v>0</v>
      </c>
    </row>
    <row r="153" spans="1:4" x14ac:dyDescent="0.3">
      <c r="A153" s="1">
        <v>42515</v>
      </c>
      <c r="B153" s="206">
        <v>2649022045</v>
      </c>
      <c r="C153" s="8">
        <f t="shared" si="10"/>
        <v>0</v>
      </c>
      <c r="D153" s="7">
        <f t="shared" si="11"/>
        <v>0</v>
      </c>
    </row>
    <row r="154" spans="1:4" x14ac:dyDescent="0.3">
      <c r="A154" s="1">
        <v>42516</v>
      </c>
      <c r="B154" s="206">
        <v>2649022045</v>
      </c>
      <c r="C154" s="8">
        <f t="shared" si="10"/>
        <v>0</v>
      </c>
      <c r="D154" s="7">
        <f t="shared" si="11"/>
        <v>0</v>
      </c>
    </row>
    <row r="155" spans="1:4" x14ac:dyDescent="0.3">
      <c r="A155" s="1">
        <v>42517</v>
      </c>
      <c r="B155" s="206">
        <v>2649022045</v>
      </c>
      <c r="C155" s="8">
        <f t="shared" si="10"/>
        <v>0</v>
      </c>
      <c r="D155" s="7">
        <f t="shared" si="11"/>
        <v>0</v>
      </c>
    </row>
    <row r="156" spans="1:4" x14ac:dyDescent="0.3">
      <c r="A156" s="1">
        <v>42518</v>
      </c>
      <c r="B156" s="206">
        <v>2649022045</v>
      </c>
      <c r="C156" s="8">
        <f t="shared" si="10"/>
        <v>0</v>
      </c>
      <c r="D156" s="7">
        <f t="shared" si="11"/>
        <v>0</v>
      </c>
    </row>
    <row r="157" spans="1:4" x14ac:dyDescent="0.3">
      <c r="A157" s="1">
        <v>42519</v>
      </c>
      <c r="B157" s="206">
        <v>2649022045</v>
      </c>
      <c r="C157" s="8">
        <f t="shared" si="10"/>
        <v>0</v>
      </c>
      <c r="D157" s="7">
        <f t="shared" si="11"/>
        <v>0</v>
      </c>
    </row>
    <row r="158" spans="1:4" x14ac:dyDescent="0.3">
      <c r="A158" s="1">
        <v>42520</v>
      </c>
      <c r="B158" s="206">
        <v>2649022045</v>
      </c>
      <c r="C158" s="8">
        <f t="shared" si="10"/>
        <v>0</v>
      </c>
      <c r="D158" s="7">
        <f t="shared" si="11"/>
        <v>0</v>
      </c>
    </row>
    <row r="159" spans="1:4" x14ac:dyDescent="0.3">
      <c r="A159" s="1">
        <v>42521</v>
      </c>
      <c r="B159" s="206">
        <v>2649022045</v>
      </c>
      <c r="C159" s="8">
        <f t="shared" si="10"/>
        <v>0</v>
      </c>
      <c r="D159" s="7">
        <f t="shared" si="11"/>
        <v>0</v>
      </c>
    </row>
    <row r="160" spans="1:4" x14ac:dyDescent="0.3">
      <c r="A160" s="35" t="s">
        <v>12</v>
      </c>
      <c r="B160" s="17">
        <f>B159</f>
        <v>2649022045</v>
      </c>
      <c r="C160" s="17">
        <f>SUM(C129:C159)</f>
        <v>0</v>
      </c>
      <c r="D160" s="5"/>
    </row>
    <row r="161" spans="1:4" x14ac:dyDescent="0.3">
      <c r="A161" s="1">
        <v>42522</v>
      </c>
      <c r="B161" s="206">
        <v>2649022045</v>
      </c>
      <c r="C161" s="8">
        <f>B161-B159</f>
        <v>0</v>
      </c>
      <c r="D161" s="7">
        <f>IFERROR(B161/B159-1,0)</f>
        <v>0</v>
      </c>
    </row>
    <row r="162" spans="1:4" x14ac:dyDescent="0.3">
      <c r="A162" s="1">
        <v>42523</v>
      </c>
      <c r="B162" s="206">
        <v>2649022045</v>
      </c>
      <c r="C162" s="8">
        <f t="shared" ref="C162" si="12">B162-B161</f>
        <v>0</v>
      </c>
      <c r="D162" s="7">
        <f t="shared" ref="D162" si="13">IFERROR(B162/B161-1,0)</f>
        <v>0</v>
      </c>
    </row>
    <row r="163" spans="1:4" x14ac:dyDescent="0.3">
      <c r="A163" s="1">
        <v>42524</v>
      </c>
      <c r="B163" s="206">
        <v>2649022045</v>
      </c>
      <c r="C163" s="8">
        <f t="shared" ref="C163:C190" si="14">B163-B162</f>
        <v>0</v>
      </c>
      <c r="D163" s="7">
        <f t="shared" ref="D163:D190" si="15">IFERROR(B163/B162-1,0)</f>
        <v>0</v>
      </c>
    </row>
    <row r="164" spans="1:4" x14ac:dyDescent="0.3">
      <c r="A164" s="1">
        <v>42525</v>
      </c>
      <c r="B164" s="206">
        <v>2649022045</v>
      </c>
      <c r="C164" s="8">
        <f t="shared" si="14"/>
        <v>0</v>
      </c>
      <c r="D164" s="7">
        <f t="shared" si="15"/>
        <v>0</v>
      </c>
    </row>
    <row r="165" spans="1:4" x14ac:dyDescent="0.3">
      <c r="A165" s="1">
        <v>42526</v>
      </c>
      <c r="B165" s="206">
        <v>2649022045</v>
      </c>
      <c r="C165" s="8">
        <f t="shared" si="14"/>
        <v>0</v>
      </c>
      <c r="D165" s="7">
        <f t="shared" si="15"/>
        <v>0</v>
      </c>
    </row>
    <row r="166" spans="1:4" x14ac:dyDescent="0.3">
      <c r="A166" s="1">
        <v>42527</v>
      </c>
      <c r="B166" s="206">
        <v>2649022045</v>
      </c>
      <c r="C166" s="8">
        <f t="shared" si="14"/>
        <v>0</v>
      </c>
      <c r="D166" s="7">
        <f t="shared" si="15"/>
        <v>0</v>
      </c>
    </row>
    <row r="167" spans="1:4" x14ac:dyDescent="0.3">
      <c r="A167" s="1">
        <v>42528</v>
      </c>
      <c r="B167" s="206">
        <v>2649022045</v>
      </c>
      <c r="C167" s="8">
        <f t="shared" si="14"/>
        <v>0</v>
      </c>
      <c r="D167" s="7">
        <f t="shared" si="15"/>
        <v>0</v>
      </c>
    </row>
    <row r="168" spans="1:4" x14ac:dyDescent="0.3">
      <c r="A168" s="1">
        <v>42529</v>
      </c>
      <c r="B168" s="206">
        <v>2649022045</v>
      </c>
      <c r="C168" s="8">
        <f t="shared" si="14"/>
        <v>0</v>
      </c>
      <c r="D168" s="7">
        <f t="shared" si="15"/>
        <v>0</v>
      </c>
    </row>
    <row r="169" spans="1:4" x14ac:dyDescent="0.3">
      <c r="A169" s="1">
        <v>42530</v>
      </c>
      <c r="B169" s="206">
        <v>2649022045</v>
      </c>
      <c r="C169" s="8">
        <f t="shared" si="14"/>
        <v>0</v>
      </c>
      <c r="D169" s="7">
        <f t="shared" si="15"/>
        <v>0</v>
      </c>
    </row>
    <row r="170" spans="1:4" x14ac:dyDescent="0.3">
      <c r="A170" s="1">
        <v>42531</v>
      </c>
      <c r="B170" s="206">
        <v>2649022045</v>
      </c>
      <c r="C170" s="8">
        <f t="shared" si="14"/>
        <v>0</v>
      </c>
      <c r="D170" s="7">
        <f t="shared" si="15"/>
        <v>0</v>
      </c>
    </row>
    <row r="171" spans="1:4" x14ac:dyDescent="0.3">
      <c r="A171" s="1">
        <v>42532</v>
      </c>
      <c r="B171" s="206">
        <v>2649022045</v>
      </c>
      <c r="C171" s="8">
        <f t="shared" si="14"/>
        <v>0</v>
      </c>
      <c r="D171" s="7">
        <f t="shared" si="15"/>
        <v>0</v>
      </c>
    </row>
    <row r="172" spans="1:4" x14ac:dyDescent="0.3">
      <c r="A172" s="1">
        <v>42533</v>
      </c>
      <c r="B172" s="206">
        <v>2649022045</v>
      </c>
      <c r="C172" s="8">
        <f t="shared" si="14"/>
        <v>0</v>
      </c>
      <c r="D172" s="7">
        <f t="shared" si="15"/>
        <v>0</v>
      </c>
    </row>
    <row r="173" spans="1:4" x14ac:dyDescent="0.3">
      <c r="A173" s="1">
        <v>42534</v>
      </c>
      <c r="B173" s="206">
        <v>2649022045</v>
      </c>
      <c r="C173" s="8">
        <f t="shared" si="14"/>
        <v>0</v>
      </c>
      <c r="D173" s="7">
        <f t="shared" si="15"/>
        <v>0</v>
      </c>
    </row>
    <row r="174" spans="1:4" x14ac:dyDescent="0.3">
      <c r="A174" s="1">
        <v>42535</v>
      </c>
      <c r="B174" s="206">
        <v>2649022045</v>
      </c>
      <c r="C174" s="8">
        <f t="shared" si="14"/>
        <v>0</v>
      </c>
      <c r="D174" s="7">
        <f t="shared" si="15"/>
        <v>0</v>
      </c>
    </row>
    <row r="175" spans="1:4" x14ac:dyDescent="0.3">
      <c r="A175" s="1">
        <v>42536</v>
      </c>
      <c r="B175" s="206">
        <v>2649022045</v>
      </c>
      <c r="C175" s="8">
        <f t="shared" si="14"/>
        <v>0</v>
      </c>
      <c r="D175" s="7">
        <f t="shared" si="15"/>
        <v>0</v>
      </c>
    </row>
    <row r="176" spans="1:4" x14ac:dyDescent="0.3">
      <c r="A176" s="1">
        <v>42537</v>
      </c>
      <c r="B176" s="206">
        <v>2649022045</v>
      </c>
      <c r="C176" s="8">
        <f t="shared" si="14"/>
        <v>0</v>
      </c>
      <c r="D176" s="7">
        <f t="shared" si="15"/>
        <v>0</v>
      </c>
    </row>
    <row r="177" spans="1:4" x14ac:dyDescent="0.3">
      <c r="A177" s="1">
        <v>42538</v>
      </c>
      <c r="B177" s="206">
        <v>2649022045</v>
      </c>
      <c r="C177" s="8">
        <f t="shared" si="14"/>
        <v>0</v>
      </c>
      <c r="D177" s="7">
        <f t="shared" si="15"/>
        <v>0</v>
      </c>
    </row>
    <row r="178" spans="1:4" x14ac:dyDescent="0.3">
      <c r="A178" s="1">
        <v>42539</v>
      </c>
      <c r="B178" s="206">
        <v>2649022045</v>
      </c>
      <c r="C178" s="8">
        <f t="shared" si="14"/>
        <v>0</v>
      </c>
      <c r="D178" s="7">
        <f t="shared" si="15"/>
        <v>0</v>
      </c>
    </row>
    <row r="179" spans="1:4" x14ac:dyDescent="0.3">
      <c r="A179" s="1">
        <v>42540</v>
      </c>
      <c r="B179" s="206">
        <v>2649022045</v>
      </c>
      <c r="C179" s="8">
        <f t="shared" si="14"/>
        <v>0</v>
      </c>
      <c r="D179" s="7">
        <f t="shared" si="15"/>
        <v>0</v>
      </c>
    </row>
    <row r="180" spans="1:4" x14ac:dyDescent="0.3">
      <c r="A180" s="1">
        <v>42541</v>
      </c>
      <c r="B180" s="206">
        <v>2649022045</v>
      </c>
      <c r="C180" s="8">
        <f t="shared" si="14"/>
        <v>0</v>
      </c>
      <c r="D180" s="7">
        <f t="shared" si="15"/>
        <v>0</v>
      </c>
    </row>
    <row r="181" spans="1:4" x14ac:dyDescent="0.3">
      <c r="A181" s="1">
        <v>42542</v>
      </c>
      <c r="B181" s="206">
        <v>2649022045</v>
      </c>
      <c r="C181" s="8">
        <f t="shared" si="14"/>
        <v>0</v>
      </c>
      <c r="D181" s="7">
        <f t="shared" si="15"/>
        <v>0</v>
      </c>
    </row>
    <row r="182" spans="1:4" x14ac:dyDescent="0.3">
      <c r="A182" s="1">
        <v>42543</v>
      </c>
      <c r="B182" s="206">
        <v>2649022045</v>
      </c>
      <c r="C182" s="8">
        <f t="shared" si="14"/>
        <v>0</v>
      </c>
      <c r="D182" s="7">
        <f t="shared" si="15"/>
        <v>0</v>
      </c>
    </row>
    <row r="183" spans="1:4" x14ac:dyDescent="0.3">
      <c r="A183" s="1">
        <v>42544</v>
      </c>
      <c r="B183" s="206">
        <v>2649022045</v>
      </c>
      <c r="C183" s="8">
        <f t="shared" si="14"/>
        <v>0</v>
      </c>
      <c r="D183" s="7">
        <f t="shared" si="15"/>
        <v>0</v>
      </c>
    </row>
    <row r="184" spans="1:4" x14ac:dyDescent="0.3">
      <c r="A184" s="1">
        <v>42545</v>
      </c>
      <c r="B184" s="206">
        <v>2649022045</v>
      </c>
      <c r="C184" s="8">
        <f t="shared" si="14"/>
        <v>0</v>
      </c>
      <c r="D184" s="7">
        <f t="shared" si="15"/>
        <v>0</v>
      </c>
    </row>
    <row r="185" spans="1:4" x14ac:dyDescent="0.3">
      <c r="A185" s="1">
        <v>42546</v>
      </c>
      <c r="B185" s="206">
        <v>2649022045</v>
      </c>
      <c r="C185" s="8">
        <f t="shared" si="14"/>
        <v>0</v>
      </c>
      <c r="D185" s="7">
        <f t="shared" si="15"/>
        <v>0</v>
      </c>
    </row>
    <row r="186" spans="1:4" x14ac:dyDescent="0.3">
      <c r="A186" s="1">
        <v>42547</v>
      </c>
      <c r="B186" s="206">
        <v>2649022045</v>
      </c>
      <c r="C186" s="8">
        <f t="shared" si="14"/>
        <v>0</v>
      </c>
      <c r="D186" s="7">
        <f t="shared" si="15"/>
        <v>0</v>
      </c>
    </row>
    <row r="187" spans="1:4" x14ac:dyDescent="0.3">
      <c r="A187" s="1">
        <v>42548</v>
      </c>
      <c r="B187" s="206">
        <v>2649022045</v>
      </c>
      <c r="C187" s="8">
        <f t="shared" si="14"/>
        <v>0</v>
      </c>
      <c r="D187" s="7">
        <f t="shared" si="15"/>
        <v>0</v>
      </c>
    </row>
    <row r="188" spans="1:4" x14ac:dyDescent="0.3">
      <c r="A188" s="1">
        <v>42549</v>
      </c>
      <c r="B188" s="206">
        <v>2649022045</v>
      </c>
      <c r="C188" s="8">
        <f t="shared" si="14"/>
        <v>0</v>
      </c>
      <c r="D188" s="7">
        <f t="shared" si="15"/>
        <v>0</v>
      </c>
    </row>
    <row r="189" spans="1:4" x14ac:dyDescent="0.3">
      <c r="A189" s="1">
        <v>42550</v>
      </c>
      <c r="B189" s="206">
        <v>2649022045</v>
      </c>
      <c r="C189" s="8">
        <f t="shared" si="14"/>
        <v>0</v>
      </c>
      <c r="D189" s="7">
        <f t="shared" si="15"/>
        <v>0</v>
      </c>
    </row>
    <row r="190" spans="1:4" x14ac:dyDescent="0.3">
      <c r="A190" s="1">
        <v>42551</v>
      </c>
      <c r="B190" s="206">
        <v>2649022045</v>
      </c>
      <c r="C190" s="8">
        <f t="shared" si="14"/>
        <v>0</v>
      </c>
      <c r="D190" s="7">
        <f t="shared" si="15"/>
        <v>0</v>
      </c>
    </row>
    <row r="191" spans="1:4" x14ac:dyDescent="0.3">
      <c r="A191" s="35" t="s">
        <v>13</v>
      </c>
      <c r="B191" s="17">
        <f>B190</f>
        <v>2649022045</v>
      </c>
      <c r="C191" s="17">
        <f>SUM(C161:C190)</f>
        <v>0</v>
      </c>
      <c r="D191" s="5"/>
    </row>
    <row r="192" spans="1:4" x14ac:dyDescent="0.3">
      <c r="A192" s="1">
        <v>42552</v>
      </c>
      <c r="B192" s="206">
        <v>2649022045</v>
      </c>
      <c r="C192" s="8">
        <f>B192-B190</f>
        <v>0</v>
      </c>
      <c r="D192" s="7">
        <f>IFERROR(B192/B190-1,0)</f>
        <v>0</v>
      </c>
    </row>
    <row r="193" spans="1:4" x14ac:dyDescent="0.3">
      <c r="A193" s="1">
        <v>42553</v>
      </c>
      <c r="B193" s="206">
        <v>2649022045</v>
      </c>
      <c r="C193" s="8">
        <f t="shared" ref="C193:C222" si="16">B193-B192</f>
        <v>0</v>
      </c>
      <c r="D193" s="7">
        <f t="shared" ref="D193:D222" si="17">IFERROR(B193/B192-1,0)</f>
        <v>0</v>
      </c>
    </row>
    <row r="194" spans="1:4" x14ac:dyDescent="0.3">
      <c r="A194" s="1">
        <v>42554</v>
      </c>
      <c r="B194" s="206">
        <v>2649022045</v>
      </c>
      <c r="C194" s="8">
        <f t="shared" si="16"/>
        <v>0</v>
      </c>
      <c r="D194" s="7">
        <f t="shared" si="17"/>
        <v>0</v>
      </c>
    </row>
    <row r="195" spans="1:4" x14ac:dyDescent="0.3">
      <c r="A195" s="1">
        <v>42555</v>
      </c>
      <c r="B195" s="206">
        <v>2649022045</v>
      </c>
      <c r="C195" s="8">
        <f t="shared" si="16"/>
        <v>0</v>
      </c>
      <c r="D195" s="7">
        <f t="shared" si="17"/>
        <v>0</v>
      </c>
    </row>
    <row r="196" spans="1:4" x14ac:dyDescent="0.3">
      <c r="A196" s="1">
        <v>42556</v>
      </c>
      <c r="B196" s="206">
        <v>2649022045</v>
      </c>
      <c r="C196" s="8">
        <f t="shared" si="16"/>
        <v>0</v>
      </c>
      <c r="D196" s="7">
        <f t="shared" si="17"/>
        <v>0</v>
      </c>
    </row>
    <row r="197" spans="1:4" x14ac:dyDescent="0.3">
      <c r="A197" s="1">
        <v>42557</v>
      </c>
      <c r="B197" s="206">
        <v>2649022045</v>
      </c>
      <c r="C197" s="8">
        <f t="shared" si="16"/>
        <v>0</v>
      </c>
      <c r="D197" s="7">
        <f t="shared" si="17"/>
        <v>0</v>
      </c>
    </row>
    <row r="198" spans="1:4" x14ac:dyDescent="0.3">
      <c r="A198" s="1">
        <v>42558</v>
      </c>
      <c r="B198" s="206">
        <v>2649022045</v>
      </c>
      <c r="C198" s="8">
        <f t="shared" si="16"/>
        <v>0</v>
      </c>
      <c r="D198" s="7">
        <f t="shared" si="17"/>
        <v>0</v>
      </c>
    </row>
    <row r="199" spans="1:4" x14ac:dyDescent="0.3">
      <c r="A199" s="1">
        <v>42559</v>
      </c>
      <c r="B199" s="206">
        <v>2649022045</v>
      </c>
      <c r="C199" s="8">
        <f t="shared" si="16"/>
        <v>0</v>
      </c>
      <c r="D199" s="7">
        <f t="shared" si="17"/>
        <v>0</v>
      </c>
    </row>
    <row r="200" spans="1:4" x14ac:dyDescent="0.3">
      <c r="A200" s="1">
        <v>42560</v>
      </c>
      <c r="B200" s="206">
        <v>2649022045</v>
      </c>
      <c r="C200" s="8">
        <f t="shared" si="16"/>
        <v>0</v>
      </c>
      <c r="D200" s="7">
        <f t="shared" si="17"/>
        <v>0</v>
      </c>
    </row>
    <row r="201" spans="1:4" x14ac:dyDescent="0.3">
      <c r="A201" s="1">
        <v>42561</v>
      </c>
      <c r="B201" s="206">
        <v>2649022045</v>
      </c>
      <c r="C201" s="8">
        <f t="shared" si="16"/>
        <v>0</v>
      </c>
      <c r="D201" s="7">
        <f t="shared" si="17"/>
        <v>0</v>
      </c>
    </row>
    <row r="202" spans="1:4" x14ac:dyDescent="0.3">
      <c r="A202" s="1">
        <v>42562</v>
      </c>
      <c r="B202" s="206">
        <v>2649022045</v>
      </c>
      <c r="C202" s="8">
        <f t="shared" si="16"/>
        <v>0</v>
      </c>
      <c r="D202" s="7">
        <f t="shared" si="17"/>
        <v>0</v>
      </c>
    </row>
    <row r="203" spans="1:4" x14ac:dyDescent="0.3">
      <c r="A203" s="1">
        <v>42563</v>
      </c>
      <c r="B203" s="206">
        <v>2649022045</v>
      </c>
      <c r="C203" s="8">
        <f t="shared" si="16"/>
        <v>0</v>
      </c>
      <c r="D203" s="7">
        <f t="shared" si="17"/>
        <v>0</v>
      </c>
    </row>
    <row r="204" spans="1:4" x14ac:dyDescent="0.3">
      <c r="A204" s="1">
        <v>42564</v>
      </c>
      <c r="B204" s="206">
        <v>2649022045</v>
      </c>
      <c r="C204" s="8">
        <f t="shared" si="16"/>
        <v>0</v>
      </c>
      <c r="D204" s="7">
        <f t="shared" si="17"/>
        <v>0</v>
      </c>
    </row>
    <row r="205" spans="1:4" x14ac:dyDescent="0.3">
      <c r="A205" s="1">
        <v>42565</v>
      </c>
      <c r="B205" s="206">
        <v>2649022045</v>
      </c>
      <c r="C205" s="8">
        <f t="shared" si="16"/>
        <v>0</v>
      </c>
      <c r="D205" s="7">
        <f t="shared" si="17"/>
        <v>0</v>
      </c>
    </row>
    <row r="206" spans="1:4" x14ac:dyDescent="0.3">
      <c r="A206" s="1">
        <v>42566</v>
      </c>
      <c r="B206" s="206">
        <v>2649022045</v>
      </c>
      <c r="C206" s="8">
        <f t="shared" si="16"/>
        <v>0</v>
      </c>
      <c r="D206" s="7">
        <f t="shared" si="17"/>
        <v>0</v>
      </c>
    </row>
    <row r="207" spans="1:4" x14ac:dyDescent="0.3">
      <c r="A207" s="1">
        <v>42567</v>
      </c>
      <c r="B207" s="206">
        <v>2649022045</v>
      </c>
      <c r="C207" s="8">
        <f t="shared" si="16"/>
        <v>0</v>
      </c>
      <c r="D207" s="7">
        <f t="shared" si="17"/>
        <v>0</v>
      </c>
    </row>
    <row r="208" spans="1:4" x14ac:dyDescent="0.3">
      <c r="A208" s="1">
        <v>42568</v>
      </c>
      <c r="B208" s="206">
        <v>2649022045</v>
      </c>
      <c r="C208" s="8">
        <f t="shared" si="16"/>
        <v>0</v>
      </c>
      <c r="D208" s="7">
        <f t="shared" si="17"/>
        <v>0</v>
      </c>
    </row>
    <row r="209" spans="1:4" x14ac:dyDescent="0.3">
      <c r="A209" s="1">
        <v>42569</v>
      </c>
      <c r="B209" s="206">
        <v>2649022045</v>
      </c>
      <c r="C209" s="8">
        <f t="shared" si="16"/>
        <v>0</v>
      </c>
      <c r="D209" s="7">
        <f t="shared" si="17"/>
        <v>0</v>
      </c>
    </row>
    <row r="210" spans="1:4" x14ac:dyDescent="0.3">
      <c r="A210" s="1">
        <v>42570</v>
      </c>
      <c r="B210" s="206">
        <v>2649022045</v>
      </c>
      <c r="C210" s="8">
        <f t="shared" si="16"/>
        <v>0</v>
      </c>
      <c r="D210" s="7">
        <f t="shared" si="17"/>
        <v>0</v>
      </c>
    </row>
    <row r="211" spans="1:4" x14ac:dyDescent="0.3">
      <c r="A211" s="1">
        <v>42571</v>
      </c>
      <c r="B211" s="206">
        <v>2649022045</v>
      </c>
      <c r="C211" s="8">
        <f t="shared" si="16"/>
        <v>0</v>
      </c>
      <c r="D211" s="7">
        <f t="shared" si="17"/>
        <v>0</v>
      </c>
    </row>
    <row r="212" spans="1:4" x14ac:dyDescent="0.3">
      <c r="A212" s="1">
        <v>42572</v>
      </c>
      <c r="B212" s="206">
        <v>2649022045</v>
      </c>
      <c r="C212" s="8">
        <f t="shared" si="16"/>
        <v>0</v>
      </c>
      <c r="D212" s="7">
        <f t="shared" si="17"/>
        <v>0</v>
      </c>
    </row>
    <row r="213" spans="1:4" x14ac:dyDescent="0.3">
      <c r="A213" s="1">
        <v>42573</v>
      </c>
      <c r="B213" s="206">
        <v>2649022045</v>
      </c>
      <c r="C213" s="8">
        <f t="shared" si="16"/>
        <v>0</v>
      </c>
      <c r="D213" s="7">
        <f t="shared" si="17"/>
        <v>0</v>
      </c>
    </row>
    <row r="214" spans="1:4" x14ac:dyDescent="0.3">
      <c r="A214" s="1">
        <v>42574</v>
      </c>
      <c r="B214" s="206">
        <v>2649022045</v>
      </c>
      <c r="C214" s="8">
        <f t="shared" si="16"/>
        <v>0</v>
      </c>
      <c r="D214" s="7">
        <f t="shared" si="17"/>
        <v>0</v>
      </c>
    </row>
    <row r="215" spans="1:4" x14ac:dyDescent="0.3">
      <c r="A215" s="1">
        <v>42575</v>
      </c>
      <c r="B215" s="206">
        <v>2649022045</v>
      </c>
      <c r="C215" s="8">
        <f t="shared" si="16"/>
        <v>0</v>
      </c>
      <c r="D215" s="7">
        <f t="shared" si="17"/>
        <v>0</v>
      </c>
    </row>
    <row r="216" spans="1:4" x14ac:dyDescent="0.3">
      <c r="A216" s="1">
        <v>42576</v>
      </c>
      <c r="B216" s="206">
        <v>2649022045</v>
      </c>
      <c r="C216" s="8">
        <f t="shared" si="16"/>
        <v>0</v>
      </c>
      <c r="D216" s="7">
        <f t="shared" si="17"/>
        <v>0</v>
      </c>
    </row>
    <row r="217" spans="1:4" x14ac:dyDescent="0.3">
      <c r="A217" s="1">
        <v>42577</v>
      </c>
      <c r="B217" s="206">
        <v>2649022045</v>
      </c>
      <c r="C217" s="8">
        <f t="shared" si="16"/>
        <v>0</v>
      </c>
      <c r="D217" s="7">
        <f t="shared" si="17"/>
        <v>0</v>
      </c>
    </row>
    <row r="218" spans="1:4" x14ac:dyDescent="0.3">
      <c r="A218" s="1">
        <v>42578</v>
      </c>
      <c r="B218" s="206">
        <v>2649022045</v>
      </c>
      <c r="C218" s="8">
        <f t="shared" si="16"/>
        <v>0</v>
      </c>
      <c r="D218" s="7">
        <f t="shared" si="17"/>
        <v>0</v>
      </c>
    </row>
    <row r="219" spans="1:4" x14ac:dyDescent="0.3">
      <c r="A219" s="1">
        <v>42579</v>
      </c>
      <c r="B219" s="206">
        <v>2649022045</v>
      </c>
      <c r="C219" s="8">
        <f t="shared" si="16"/>
        <v>0</v>
      </c>
      <c r="D219" s="7">
        <f t="shared" si="17"/>
        <v>0</v>
      </c>
    </row>
    <row r="220" spans="1:4" x14ac:dyDescent="0.3">
      <c r="A220" s="1">
        <v>42580</v>
      </c>
      <c r="B220" s="206">
        <v>2649022045</v>
      </c>
      <c r="C220" s="8">
        <f t="shared" si="16"/>
        <v>0</v>
      </c>
      <c r="D220" s="7">
        <f t="shared" si="17"/>
        <v>0</v>
      </c>
    </row>
    <row r="221" spans="1:4" x14ac:dyDescent="0.3">
      <c r="A221" s="1">
        <v>42581</v>
      </c>
      <c r="B221" s="206">
        <v>2649022045</v>
      </c>
      <c r="C221" s="8">
        <f t="shared" si="16"/>
        <v>0</v>
      </c>
      <c r="D221" s="7">
        <f t="shared" si="17"/>
        <v>0</v>
      </c>
    </row>
    <row r="222" spans="1:4" x14ac:dyDescent="0.3">
      <c r="A222" s="1">
        <v>42582</v>
      </c>
      <c r="B222" s="206">
        <v>2649022045</v>
      </c>
      <c r="C222" s="8">
        <f t="shared" si="16"/>
        <v>0</v>
      </c>
      <c r="D222" s="7">
        <f t="shared" si="17"/>
        <v>0</v>
      </c>
    </row>
    <row r="223" spans="1:4" x14ac:dyDescent="0.3">
      <c r="A223" s="35" t="s">
        <v>14</v>
      </c>
      <c r="B223" s="17"/>
      <c r="C223" s="17">
        <f>SUM(C192:C222)</f>
        <v>0</v>
      </c>
      <c r="D223" s="5"/>
    </row>
    <row r="224" spans="1:4" x14ac:dyDescent="0.3">
      <c r="A224" s="1">
        <v>42583</v>
      </c>
      <c r="B224" s="206">
        <v>2649022045</v>
      </c>
      <c r="C224" s="8">
        <f>B224-B222</f>
        <v>0</v>
      </c>
      <c r="D224" s="7">
        <f>IFERROR(B224/B222-1,0)</f>
        <v>0</v>
      </c>
    </row>
    <row r="225" spans="1:4" x14ac:dyDescent="0.3">
      <c r="A225" s="1">
        <v>42584</v>
      </c>
      <c r="B225" s="206">
        <v>2649022045</v>
      </c>
      <c r="C225" s="8">
        <f t="shared" ref="C225" si="18">B225-B224</f>
        <v>0</v>
      </c>
      <c r="D225" s="7">
        <f t="shared" ref="D225" si="19">IFERROR(B225/B224-1,0)</f>
        <v>0</v>
      </c>
    </row>
    <row r="226" spans="1:4" x14ac:dyDescent="0.3">
      <c r="A226" s="1">
        <v>42585</v>
      </c>
      <c r="B226" s="206">
        <v>2649022045</v>
      </c>
      <c r="C226" s="8">
        <f t="shared" ref="C226:C254" si="20">B226-B225</f>
        <v>0</v>
      </c>
      <c r="D226" s="7">
        <f t="shared" ref="D226:D254" si="21">IFERROR(B226/B225-1,0)</f>
        <v>0</v>
      </c>
    </row>
    <row r="227" spans="1:4" x14ac:dyDescent="0.3">
      <c r="A227" s="1">
        <v>42586</v>
      </c>
      <c r="B227" s="206">
        <v>2649022045</v>
      </c>
      <c r="C227" s="8">
        <f t="shared" si="20"/>
        <v>0</v>
      </c>
      <c r="D227" s="7">
        <f t="shared" si="21"/>
        <v>0</v>
      </c>
    </row>
    <row r="228" spans="1:4" x14ac:dyDescent="0.3">
      <c r="A228" s="1">
        <v>42587</v>
      </c>
      <c r="B228" s="206">
        <v>2649022045</v>
      </c>
      <c r="C228" s="8">
        <f t="shared" si="20"/>
        <v>0</v>
      </c>
      <c r="D228" s="7">
        <f t="shared" si="21"/>
        <v>0</v>
      </c>
    </row>
    <row r="229" spans="1:4" x14ac:dyDescent="0.3">
      <c r="A229" s="1">
        <v>42588</v>
      </c>
      <c r="B229" s="206">
        <v>2649022045</v>
      </c>
      <c r="C229" s="8">
        <f t="shared" si="20"/>
        <v>0</v>
      </c>
      <c r="D229" s="7">
        <f t="shared" si="21"/>
        <v>0</v>
      </c>
    </row>
    <row r="230" spans="1:4" x14ac:dyDescent="0.3">
      <c r="A230" s="1">
        <v>42589</v>
      </c>
      <c r="B230" s="206">
        <v>2649022045</v>
      </c>
      <c r="C230" s="8">
        <f t="shared" si="20"/>
        <v>0</v>
      </c>
      <c r="D230" s="7">
        <f t="shared" si="21"/>
        <v>0</v>
      </c>
    </row>
    <row r="231" spans="1:4" x14ac:dyDescent="0.3">
      <c r="A231" s="1">
        <v>42590</v>
      </c>
      <c r="B231" s="206">
        <v>2649022045</v>
      </c>
      <c r="C231" s="8">
        <f t="shared" si="20"/>
        <v>0</v>
      </c>
      <c r="D231" s="7">
        <f t="shared" si="21"/>
        <v>0</v>
      </c>
    </row>
    <row r="232" spans="1:4" x14ac:dyDescent="0.3">
      <c r="A232" s="1">
        <v>42591</v>
      </c>
      <c r="B232" s="206">
        <v>2649022045</v>
      </c>
      <c r="C232" s="8">
        <f t="shared" si="20"/>
        <v>0</v>
      </c>
      <c r="D232" s="7">
        <f t="shared" si="21"/>
        <v>0</v>
      </c>
    </row>
    <row r="233" spans="1:4" x14ac:dyDescent="0.3">
      <c r="A233" s="1">
        <v>42592</v>
      </c>
      <c r="B233" s="206">
        <v>2649022045</v>
      </c>
      <c r="C233" s="8">
        <f t="shared" si="20"/>
        <v>0</v>
      </c>
      <c r="D233" s="7">
        <f t="shared" si="21"/>
        <v>0</v>
      </c>
    </row>
    <row r="234" spans="1:4" x14ac:dyDescent="0.3">
      <c r="A234" s="1">
        <v>42593</v>
      </c>
      <c r="B234" s="206">
        <v>2649022045</v>
      </c>
      <c r="C234" s="8">
        <f t="shared" si="20"/>
        <v>0</v>
      </c>
      <c r="D234" s="7">
        <f t="shared" si="21"/>
        <v>0</v>
      </c>
    </row>
    <row r="235" spans="1:4" x14ac:dyDescent="0.3">
      <c r="A235" s="1">
        <v>42594</v>
      </c>
      <c r="B235" s="206">
        <v>2649022045</v>
      </c>
      <c r="C235" s="8">
        <f t="shared" si="20"/>
        <v>0</v>
      </c>
      <c r="D235" s="7">
        <f t="shared" si="21"/>
        <v>0</v>
      </c>
    </row>
    <row r="236" spans="1:4" x14ac:dyDescent="0.3">
      <c r="A236" s="1">
        <v>42595</v>
      </c>
      <c r="B236" s="206">
        <v>2649022045</v>
      </c>
      <c r="C236" s="8">
        <f t="shared" si="20"/>
        <v>0</v>
      </c>
      <c r="D236" s="7">
        <f t="shared" si="21"/>
        <v>0</v>
      </c>
    </row>
    <row r="237" spans="1:4" x14ac:dyDescent="0.3">
      <c r="A237" s="1">
        <v>42596</v>
      </c>
      <c r="B237" s="206">
        <v>2649022045</v>
      </c>
      <c r="C237" s="8">
        <f t="shared" si="20"/>
        <v>0</v>
      </c>
      <c r="D237" s="7">
        <f t="shared" si="21"/>
        <v>0</v>
      </c>
    </row>
    <row r="238" spans="1:4" x14ac:dyDescent="0.3">
      <c r="A238" s="1">
        <v>42597</v>
      </c>
      <c r="B238" s="206">
        <v>2649022045</v>
      </c>
      <c r="C238" s="8">
        <f t="shared" si="20"/>
        <v>0</v>
      </c>
      <c r="D238" s="7">
        <f t="shared" si="21"/>
        <v>0</v>
      </c>
    </row>
    <row r="239" spans="1:4" x14ac:dyDescent="0.3">
      <c r="A239" s="1">
        <v>42598</v>
      </c>
      <c r="B239" s="206">
        <v>2649022045</v>
      </c>
      <c r="C239" s="8">
        <f t="shared" si="20"/>
        <v>0</v>
      </c>
      <c r="D239" s="7">
        <f t="shared" si="21"/>
        <v>0</v>
      </c>
    </row>
    <row r="240" spans="1:4" x14ac:dyDescent="0.3">
      <c r="A240" s="1">
        <v>42599</v>
      </c>
      <c r="C240" s="8">
        <f t="shared" si="20"/>
        <v>-2649022045</v>
      </c>
      <c r="D240" s="7">
        <f t="shared" si="21"/>
        <v>-1</v>
      </c>
    </row>
    <row r="241" spans="1:4" x14ac:dyDescent="0.3">
      <c r="A241" s="1">
        <v>42600</v>
      </c>
      <c r="C241" s="8">
        <f t="shared" si="20"/>
        <v>0</v>
      </c>
      <c r="D241" s="7">
        <f t="shared" si="21"/>
        <v>0</v>
      </c>
    </row>
    <row r="242" spans="1:4" x14ac:dyDescent="0.3">
      <c r="A242" s="1">
        <v>42601</v>
      </c>
      <c r="C242" s="8">
        <f t="shared" si="20"/>
        <v>0</v>
      </c>
      <c r="D242" s="7">
        <f t="shared" si="21"/>
        <v>0</v>
      </c>
    </row>
    <row r="243" spans="1:4" x14ac:dyDescent="0.3">
      <c r="A243" s="1">
        <v>42602</v>
      </c>
      <c r="C243" s="8">
        <f t="shared" si="20"/>
        <v>0</v>
      </c>
      <c r="D243" s="7">
        <f t="shared" si="21"/>
        <v>0</v>
      </c>
    </row>
    <row r="244" spans="1:4" x14ac:dyDescent="0.3">
      <c r="A244" s="1">
        <v>42603</v>
      </c>
      <c r="C244" s="8">
        <f t="shared" si="20"/>
        <v>0</v>
      </c>
      <c r="D244" s="7">
        <f t="shared" si="21"/>
        <v>0</v>
      </c>
    </row>
    <row r="245" spans="1:4" x14ac:dyDescent="0.3">
      <c r="A245" s="1">
        <v>42604</v>
      </c>
      <c r="C245" s="8">
        <f t="shared" si="20"/>
        <v>0</v>
      </c>
      <c r="D245" s="7">
        <f t="shared" si="21"/>
        <v>0</v>
      </c>
    </row>
    <row r="246" spans="1:4" x14ac:dyDescent="0.3">
      <c r="A246" s="1">
        <v>42605</v>
      </c>
      <c r="C246" s="8">
        <f t="shared" si="20"/>
        <v>0</v>
      </c>
      <c r="D246" s="7">
        <f t="shared" si="21"/>
        <v>0</v>
      </c>
    </row>
    <row r="247" spans="1:4" x14ac:dyDescent="0.3">
      <c r="A247" s="1">
        <v>42606</v>
      </c>
      <c r="C247" s="8">
        <f t="shared" si="20"/>
        <v>0</v>
      </c>
      <c r="D247" s="7">
        <f t="shared" si="21"/>
        <v>0</v>
      </c>
    </row>
    <row r="248" spans="1:4" x14ac:dyDescent="0.3">
      <c r="A248" s="1">
        <v>42607</v>
      </c>
      <c r="C248" s="8">
        <f t="shared" si="20"/>
        <v>0</v>
      </c>
      <c r="D248" s="7">
        <f t="shared" si="21"/>
        <v>0</v>
      </c>
    </row>
    <row r="249" spans="1:4" x14ac:dyDescent="0.3">
      <c r="A249" s="1">
        <v>42608</v>
      </c>
      <c r="C249" s="8">
        <f t="shared" si="20"/>
        <v>0</v>
      </c>
      <c r="D249" s="7">
        <f t="shared" si="21"/>
        <v>0</v>
      </c>
    </row>
    <row r="250" spans="1:4" x14ac:dyDescent="0.3">
      <c r="A250" s="1">
        <v>42609</v>
      </c>
      <c r="C250" s="8">
        <f t="shared" si="20"/>
        <v>0</v>
      </c>
      <c r="D250" s="7">
        <f t="shared" si="21"/>
        <v>0</v>
      </c>
    </row>
    <row r="251" spans="1:4" x14ac:dyDescent="0.3">
      <c r="A251" s="1">
        <v>42610</v>
      </c>
      <c r="C251" s="8">
        <f t="shared" si="20"/>
        <v>0</v>
      </c>
      <c r="D251" s="7">
        <f t="shared" si="21"/>
        <v>0</v>
      </c>
    </row>
    <row r="252" spans="1:4" x14ac:dyDescent="0.3">
      <c r="A252" s="1">
        <v>42611</v>
      </c>
      <c r="C252" s="8">
        <f t="shared" si="20"/>
        <v>0</v>
      </c>
      <c r="D252" s="7">
        <f t="shared" si="21"/>
        <v>0</v>
      </c>
    </row>
    <row r="253" spans="1:4" x14ac:dyDescent="0.3">
      <c r="A253" s="1">
        <v>42612</v>
      </c>
      <c r="C253" s="8">
        <f t="shared" si="20"/>
        <v>0</v>
      </c>
      <c r="D253" s="7">
        <f t="shared" si="21"/>
        <v>0</v>
      </c>
    </row>
    <row r="254" spans="1:4" x14ac:dyDescent="0.3">
      <c r="A254" s="1">
        <v>42613</v>
      </c>
      <c r="C254" s="8">
        <f t="shared" si="20"/>
        <v>0</v>
      </c>
      <c r="D254" s="7">
        <f t="shared" si="21"/>
        <v>0</v>
      </c>
    </row>
    <row r="255" spans="1:4" x14ac:dyDescent="0.3">
      <c r="A255" s="35" t="s">
        <v>15</v>
      </c>
      <c r="B255" s="5"/>
      <c r="C255" s="17">
        <f>SUM(C224:C254)</f>
        <v>-2649022045</v>
      </c>
      <c r="D255" s="5"/>
    </row>
    <row r="256" spans="1:4" x14ac:dyDescent="0.3">
      <c r="A256" s="1">
        <v>42614</v>
      </c>
      <c r="C256" s="8">
        <f>B256-B254</f>
        <v>0</v>
      </c>
      <c r="D256" s="7">
        <f>IFERROR(B256/B254-1,0)</f>
        <v>0</v>
      </c>
    </row>
    <row r="257" spans="1:4" x14ac:dyDescent="0.3">
      <c r="A257" s="1">
        <v>42615</v>
      </c>
      <c r="C257" s="8">
        <f t="shared" ref="C257:C320" si="22">B257-B256</f>
        <v>0</v>
      </c>
      <c r="D257" s="7">
        <f t="shared" ref="D257:D320" si="23">IFERROR(B257/B256-1,0)</f>
        <v>0</v>
      </c>
    </row>
    <row r="258" spans="1:4" x14ac:dyDescent="0.3">
      <c r="A258" s="1">
        <v>42616</v>
      </c>
      <c r="C258" s="8">
        <f t="shared" si="22"/>
        <v>0</v>
      </c>
      <c r="D258" s="7">
        <f t="shared" si="23"/>
        <v>0</v>
      </c>
    </row>
    <row r="259" spans="1:4" x14ac:dyDescent="0.3">
      <c r="A259" s="1">
        <v>42617</v>
      </c>
      <c r="C259" s="8">
        <f t="shared" si="22"/>
        <v>0</v>
      </c>
      <c r="D259" s="7">
        <f t="shared" si="23"/>
        <v>0</v>
      </c>
    </row>
    <row r="260" spans="1:4" x14ac:dyDescent="0.3">
      <c r="A260" s="1">
        <v>42618</v>
      </c>
      <c r="C260" s="8">
        <f t="shared" si="22"/>
        <v>0</v>
      </c>
      <c r="D260" s="7">
        <f t="shared" si="23"/>
        <v>0</v>
      </c>
    </row>
    <row r="261" spans="1:4" x14ac:dyDescent="0.3">
      <c r="A261" s="1">
        <v>42619</v>
      </c>
      <c r="C261" s="8">
        <f t="shared" si="22"/>
        <v>0</v>
      </c>
      <c r="D261" s="7">
        <f t="shared" si="23"/>
        <v>0</v>
      </c>
    </row>
    <row r="262" spans="1:4" x14ac:dyDescent="0.3">
      <c r="A262" s="1">
        <v>42620</v>
      </c>
      <c r="C262" s="8">
        <f t="shared" si="22"/>
        <v>0</v>
      </c>
      <c r="D262" s="7">
        <f t="shared" si="23"/>
        <v>0</v>
      </c>
    </row>
    <row r="263" spans="1:4" x14ac:dyDescent="0.3">
      <c r="A263" s="1">
        <v>42621</v>
      </c>
      <c r="C263" s="8">
        <f t="shared" si="22"/>
        <v>0</v>
      </c>
      <c r="D263" s="7">
        <f t="shared" si="23"/>
        <v>0</v>
      </c>
    </row>
    <row r="264" spans="1:4" x14ac:dyDescent="0.3">
      <c r="A264" s="1">
        <v>42622</v>
      </c>
      <c r="C264" s="8">
        <f t="shared" si="22"/>
        <v>0</v>
      </c>
      <c r="D264" s="7">
        <f t="shared" si="23"/>
        <v>0</v>
      </c>
    </row>
    <row r="265" spans="1:4" x14ac:dyDescent="0.3">
      <c r="A265" s="1">
        <v>42623</v>
      </c>
      <c r="C265" s="8">
        <f t="shared" si="22"/>
        <v>0</v>
      </c>
      <c r="D265" s="7">
        <f t="shared" si="23"/>
        <v>0</v>
      </c>
    </row>
    <row r="266" spans="1:4" x14ac:dyDescent="0.3">
      <c r="A266" s="1">
        <v>42624</v>
      </c>
      <c r="C266" s="8">
        <f t="shared" si="22"/>
        <v>0</v>
      </c>
      <c r="D266" s="7">
        <f t="shared" si="23"/>
        <v>0</v>
      </c>
    </row>
    <row r="267" spans="1:4" x14ac:dyDescent="0.3">
      <c r="A267" s="1">
        <v>42625</v>
      </c>
      <c r="C267" s="8">
        <f t="shared" si="22"/>
        <v>0</v>
      </c>
      <c r="D267" s="7">
        <f t="shared" si="23"/>
        <v>0</v>
      </c>
    </row>
    <row r="268" spans="1:4" x14ac:dyDescent="0.3">
      <c r="A268" s="1">
        <v>42626</v>
      </c>
      <c r="C268" s="8">
        <f t="shared" si="22"/>
        <v>0</v>
      </c>
      <c r="D268" s="7">
        <f t="shared" si="23"/>
        <v>0</v>
      </c>
    </row>
    <row r="269" spans="1:4" x14ac:dyDescent="0.3">
      <c r="A269" s="1">
        <v>42627</v>
      </c>
      <c r="C269" s="8">
        <f t="shared" si="22"/>
        <v>0</v>
      </c>
      <c r="D269" s="7">
        <f t="shared" si="23"/>
        <v>0</v>
      </c>
    </row>
    <row r="270" spans="1:4" x14ac:dyDescent="0.3">
      <c r="A270" s="1">
        <v>42628</v>
      </c>
      <c r="C270" s="8">
        <f t="shared" si="22"/>
        <v>0</v>
      </c>
      <c r="D270" s="7">
        <f t="shared" si="23"/>
        <v>0</v>
      </c>
    </row>
    <row r="271" spans="1:4" x14ac:dyDescent="0.3">
      <c r="A271" s="1">
        <v>42629</v>
      </c>
      <c r="C271" s="8">
        <f t="shared" si="22"/>
        <v>0</v>
      </c>
      <c r="D271" s="7">
        <f t="shared" si="23"/>
        <v>0</v>
      </c>
    </row>
    <row r="272" spans="1:4" x14ac:dyDescent="0.3">
      <c r="A272" s="1">
        <v>42630</v>
      </c>
      <c r="C272" s="8">
        <f t="shared" si="22"/>
        <v>0</v>
      </c>
      <c r="D272" s="7">
        <f t="shared" si="23"/>
        <v>0</v>
      </c>
    </row>
    <row r="273" spans="1:4" x14ac:dyDescent="0.3">
      <c r="A273" s="1">
        <v>42631</v>
      </c>
      <c r="C273" s="8">
        <f t="shared" si="22"/>
        <v>0</v>
      </c>
      <c r="D273" s="7">
        <f t="shared" si="23"/>
        <v>0</v>
      </c>
    </row>
    <row r="274" spans="1:4" x14ac:dyDescent="0.3">
      <c r="A274" s="1">
        <v>42632</v>
      </c>
      <c r="C274" s="8">
        <f t="shared" si="22"/>
        <v>0</v>
      </c>
      <c r="D274" s="7">
        <f t="shared" si="23"/>
        <v>0</v>
      </c>
    </row>
    <row r="275" spans="1:4" x14ac:dyDescent="0.3">
      <c r="A275" s="1">
        <v>42633</v>
      </c>
      <c r="C275" s="8">
        <f t="shared" si="22"/>
        <v>0</v>
      </c>
      <c r="D275" s="7">
        <f t="shared" si="23"/>
        <v>0</v>
      </c>
    </row>
    <row r="276" spans="1:4" x14ac:dyDescent="0.3">
      <c r="A276" s="1">
        <v>42634</v>
      </c>
      <c r="C276" s="8">
        <f t="shared" si="22"/>
        <v>0</v>
      </c>
      <c r="D276" s="7">
        <f t="shared" si="23"/>
        <v>0</v>
      </c>
    </row>
    <row r="277" spans="1:4" x14ac:dyDescent="0.3">
      <c r="A277" s="1">
        <v>42635</v>
      </c>
      <c r="C277" s="8">
        <f t="shared" si="22"/>
        <v>0</v>
      </c>
      <c r="D277" s="7">
        <f t="shared" si="23"/>
        <v>0</v>
      </c>
    </row>
    <row r="278" spans="1:4" x14ac:dyDescent="0.3">
      <c r="A278" s="1">
        <v>42636</v>
      </c>
      <c r="C278" s="8">
        <f t="shared" si="22"/>
        <v>0</v>
      </c>
      <c r="D278" s="7">
        <f t="shared" si="23"/>
        <v>0</v>
      </c>
    </row>
    <row r="279" spans="1:4" x14ac:dyDescent="0.3">
      <c r="A279" s="1">
        <v>42637</v>
      </c>
      <c r="C279" s="8">
        <f t="shared" si="22"/>
        <v>0</v>
      </c>
      <c r="D279" s="7">
        <f t="shared" si="23"/>
        <v>0</v>
      </c>
    </row>
    <row r="280" spans="1:4" x14ac:dyDescent="0.3">
      <c r="A280" s="1">
        <v>42638</v>
      </c>
      <c r="C280" s="8">
        <f t="shared" si="22"/>
        <v>0</v>
      </c>
      <c r="D280" s="7">
        <f t="shared" si="23"/>
        <v>0</v>
      </c>
    </row>
    <row r="281" spans="1:4" x14ac:dyDescent="0.3">
      <c r="A281" s="1">
        <v>42639</v>
      </c>
      <c r="C281" s="8">
        <f t="shared" si="22"/>
        <v>0</v>
      </c>
      <c r="D281" s="7">
        <f t="shared" si="23"/>
        <v>0</v>
      </c>
    </row>
    <row r="282" spans="1:4" x14ac:dyDescent="0.3">
      <c r="A282" s="1">
        <v>42640</v>
      </c>
      <c r="C282" s="8">
        <f t="shared" si="22"/>
        <v>0</v>
      </c>
      <c r="D282" s="7">
        <f t="shared" si="23"/>
        <v>0</v>
      </c>
    </row>
    <row r="283" spans="1:4" x14ac:dyDescent="0.3">
      <c r="A283" s="1">
        <v>42641</v>
      </c>
      <c r="C283" s="8">
        <f t="shared" si="22"/>
        <v>0</v>
      </c>
      <c r="D283" s="7">
        <f t="shared" si="23"/>
        <v>0</v>
      </c>
    </row>
    <row r="284" spans="1:4" x14ac:dyDescent="0.3">
      <c r="A284" s="1">
        <v>42642</v>
      </c>
      <c r="C284" s="8">
        <f t="shared" si="22"/>
        <v>0</v>
      </c>
      <c r="D284" s="7">
        <f t="shared" si="23"/>
        <v>0</v>
      </c>
    </row>
    <row r="285" spans="1:4" x14ac:dyDescent="0.3">
      <c r="A285" s="1">
        <v>42643</v>
      </c>
      <c r="C285" s="8">
        <f t="shared" si="22"/>
        <v>0</v>
      </c>
      <c r="D285" s="7">
        <f t="shared" si="23"/>
        <v>0</v>
      </c>
    </row>
    <row r="286" spans="1:4" x14ac:dyDescent="0.3">
      <c r="A286" s="35" t="s">
        <v>16</v>
      </c>
      <c r="B286" s="5"/>
      <c r="C286" s="17">
        <f>SUM(C256:C285)</f>
        <v>0</v>
      </c>
      <c r="D286" s="5"/>
    </row>
    <row r="287" spans="1:4" x14ac:dyDescent="0.3">
      <c r="A287" s="1">
        <v>42644</v>
      </c>
      <c r="C287" s="8">
        <f>B287-B285</f>
        <v>0</v>
      </c>
      <c r="D287" s="7">
        <f>IFERROR(B287/B285-1,0)</f>
        <v>0</v>
      </c>
    </row>
    <row r="288" spans="1:4" x14ac:dyDescent="0.3">
      <c r="A288" s="1">
        <v>42645</v>
      </c>
      <c r="C288" s="8">
        <f t="shared" si="22"/>
        <v>0</v>
      </c>
      <c r="D288" s="7">
        <f t="shared" si="23"/>
        <v>0</v>
      </c>
    </row>
    <row r="289" spans="1:4" x14ac:dyDescent="0.3">
      <c r="A289" s="1">
        <v>42646</v>
      </c>
      <c r="C289" s="8">
        <f t="shared" si="22"/>
        <v>0</v>
      </c>
      <c r="D289" s="7">
        <f t="shared" si="23"/>
        <v>0</v>
      </c>
    </row>
    <row r="290" spans="1:4" x14ac:dyDescent="0.3">
      <c r="A290" s="1">
        <v>42647</v>
      </c>
      <c r="C290" s="8">
        <f t="shared" si="22"/>
        <v>0</v>
      </c>
      <c r="D290" s="7">
        <f t="shared" si="23"/>
        <v>0</v>
      </c>
    </row>
    <row r="291" spans="1:4" x14ac:dyDescent="0.3">
      <c r="A291" s="1">
        <v>42648</v>
      </c>
      <c r="C291" s="8">
        <f t="shared" si="22"/>
        <v>0</v>
      </c>
      <c r="D291" s="7">
        <f t="shared" si="23"/>
        <v>0</v>
      </c>
    </row>
    <row r="292" spans="1:4" x14ac:dyDescent="0.3">
      <c r="A292" s="1">
        <v>42649</v>
      </c>
      <c r="C292" s="8">
        <f t="shared" si="22"/>
        <v>0</v>
      </c>
      <c r="D292" s="7">
        <f t="shared" si="23"/>
        <v>0</v>
      </c>
    </row>
    <row r="293" spans="1:4" x14ac:dyDescent="0.3">
      <c r="A293" s="1">
        <v>42650</v>
      </c>
      <c r="C293" s="8">
        <f t="shared" si="22"/>
        <v>0</v>
      </c>
      <c r="D293" s="7">
        <f t="shared" si="23"/>
        <v>0</v>
      </c>
    </row>
    <row r="294" spans="1:4" x14ac:dyDescent="0.3">
      <c r="A294" s="1">
        <v>42651</v>
      </c>
      <c r="C294" s="8">
        <f t="shared" si="22"/>
        <v>0</v>
      </c>
      <c r="D294" s="7">
        <f t="shared" si="23"/>
        <v>0</v>
      </c>
    </row>
    <row r="295" spans="1:4" x14ac:dyDescent="0.3">
      <c r="A295" s="1">
        <v>42652</v>
      </c>
      <c r="C295" s="8">
        <f t="shared" si="22"/>
        <v>0</v>
      </c>
      <c r="D295" s="7">
        <f t="shared" si="23"/>
        <v>0</v>
      </c>
    </row>
    <row r="296" spans="1:4" x14ac:dyDescent="0.3">
      <c r="A296" s="1">
        <v>42653</v>
      </c>
      <c r="C296" s="8">
        <f t="shared" si="22"/>
        <v>0</v>
      </c>
      <c r="D296" s="7">
        <f t="shared" si="23"/>
        <v>0</v>
      </c>
    </row>
    <row r="297" spans="1:4" x14ac:dyDescent="0.3">
      <c r="A297" s="1">
        <v>42654</v>
      </c>
      <c r="C297" s="8">
        <f t="shared" si="22"/>
        <v>0</v>
      </c>
      <c r="D297" s="7">
        <f t="shared" si="23"/>
        <v>0</v>
      </c>
    </row>
    <row r="298" spans="1:4" x14ac:dyDescent="0.3">
      <c r="A298" s="1">
        <v>42655</v>
      </c>
      <c r="C298" s="8">
        <f t="shared" si="22"/>
        <v>0</v>
      </c>
      <c r="D298" s="7">
        <f t="shared" si="23"/>
        <v>0</v>
      </c>
    </row>
    <row r="299" spans="1:4" x14ac:dyDescent="0.3">
      <c r="A299" s="1">
        <v>42656</v>
      </c>
      <c r="C299" s="8">
        <f t="shared" si="22"/>
        <v>0</v>
      </c>
      <c r="D299" s="7">
        <f t="shared" si="23"/>
        <v>0</v>
      </c>
    </row>
    <row r="300" spans="1:4" x14ac:dyDescent="0.3">
      <c r="A300" s="1">
        <v>42657</v>
      </c>
      <c r="C300" s="8">
        <f t="shared" si="22"/>
        <v>0</v>
      </c>
      <c r="D300" s="7">
        <f t="shared" si="23"/>
        <v>0</v>
      </c>
    </row>
    <row r="301" spans="1:4" x14ac:dyDescent="0.3">
      <c r="A301" s="1">
        <v>42658</v>
      </c>
      <c r="C301" s="8">
        <f t="shared" si="22"/>
        <v>0</v>
      </c>
      <c r="D301" s="7">
        <f t="shared" si="23"/>
        <v>0</v>
      </c>
    </row>
    <row r="302" spans="1:4" x14ac:dyDescent="0.3">
      <c r="A302" s="1">
        <v>42659</v>
      </c>
      <c r="C302" s="8">
        <f t="shared" si="22"/>
        <v>0</v>
      </c>
      <c r="D302" s="7">
        <f t="shared" si="23"/>
        <v>0</v>
      </c>
    </row>
    <row r="303" spans="1:4" x14ac:dyDescent="0.3">
      <c r="A303" s="1">
        <v>42660</v>
      </c>
      <c r="C303" s="8">
        <f t="shared" si="22"/>
        <v>0</v>
      </c>
      <c r="D303" s="7">
        <f t="shared" si="23"/>
        <v>0</v>
      </c>
    </row>
    <row r="304" spans="1:4" x14ac:dyDescent="0.3">
      <c r="A304" s="1">
        <v>42661</v>
      </c>
      <c r="C304" s="8">
        <f t="shared" si="22"/>
        <v>0</v>
      </c>
      <c r="D304" s="7">
        <f t="shared" si="23"/>
        <v>0</v>
      </c>
    </row>
    <row r="305" spans="1:4" x14ac:dyDescent="0.3">
      <c r="A305" s="1">
        <v>42662</v>
      </c>
      <c r="C305" s="8">
        <f t="shared" si="22"/>
        <v>0</v>
      </c>
      <c r="D305" s="7">
        <f t="shared" si="23"/>
        <v>0</v>
      </c>
    </row>
    <row r="306" spans="1:4" x14ac:dyDescent="0.3">
      <c r="A306" s="1">
        <v>42663</v>
      </c>
      <c r="C306" s="8">
        <f t="shared" si="22"/>
        <v>0</v>
      </c>
      <c r="D306" s="7">
        <f t="shared" si="23"/>
        <v>0</v>
      </c>
    </row>
    <row r="307" spans="1:4" x14ac:dyDescent="0.3">
      <c r="A307" s="1">
        <v>42664</v>
      </c>
      <c r="C307" s="8">
        <f t="shared" si="22"/>
        <v>0</v>
      </c>
      <c r="D307" s="7">
        <f t="shared" si="23"/>
        <v>0</v>
      </c>
    </row>
    <row r="308" spans="1:4" x14ac:dyDescent="0.3">
      <c r="A308" s="1">
        <v>42665</v>
      </c>
      <c r="C308" s="8">
        <f t="shared" si="22"/>
        <v>0</v>
      </c>
      <c r="D308" s="7">
        <f t="shared" si="23"/>
        <v>0</v>
      </c>
    </row>
    <row r="309" spans="1:4" x14ac:dyDescent="0.3">
      <c r="A309" s="1">
        <v>42666</v>
      </c>
      <c r="C309" s="8">
        <f t="shared" si="22"/>
        <v>0</v>
      </c>
      <c r="D309" s="7">
        <f t="shared" si="23"/>
        <v>0</v>
      </c>
    </row>
    <row r="310" spans="1:4" x14ac:dyDescent="0.3">
      <c r="A310" s="1">
        <v>42667</v>
      </c>
      <c r="C310" s="8">
        <f t="shared" si="22"/>
        <v>0</v>
      </c>
      <c r="D310" s="7">
        <f t="shared" si="23"/>
        <v>0</v>
      </c>
    </row>
    <row r="311" spans="1:4" x14ac:dyDescent="0.3">
      <c r="A311" s="1">
        <v>42668</v>
      </c>
      <c r="C311" s="8">
        <f t="shared" si="22"/>
        <v>0</v>
      </c>
      <c r="D311" s="7">
        <f t="shared" si="23"/>
        <v>0</v>
      </c>
    </row>
    <row r="312" spans="1:4" x14ac:dyDescent="0.3">
      <c r="A312" s="1">
        <v>42669</v>
      </c>
      <c r="C312" s="8">
        <f t="shared" si="22"/>
        <v>0</v>
      </c>
      <c r="D312" s="7">
        <f t="shared" si="23"/>
        <v>0</v>
      </c>
    </row>
    <row r="313" spans="1:4" x14ac:dyDescent="0.3">
      <c r="A313" s="1">
        <v>42670</v>
      </c>
      <c r="C313" s="8">
        <f t="shared" si="22"/>
        <v>0</v>
      </c>
      <c r="D313" s="7">
        <f t="shared" si="23"/>
        <v>0</v>
      </c>
    </row>
    <row r="314" spans="1:4" x14ac:dyDescent="0.3">
      <c r="A314" s="1">
        <v>42671</v>
      </c>
      <c r="C314" s="8">
        <f t="shared" si="22"/>
        <v>0</v>
      </c>
      <c r="D314" s="7">
        <f t="shared" si="23"/>
        <v>0</v>
      </c>
    </row>
    <row r="315" spans="1:4" x14ac:dyDescent="0.3">
      <c r="A315" s="1">
        <v>42672</v>
      </c>
      <c r="C315" s="8">
        <f t="shared" si="22"/>
        <v>0</v>
      </c>
      <c r="D315" s="7">
        <f t="shared" si="23"/>
        <v>0</v>
      </c>
    </row>
    <row r="316" spans="1:4" x14ac:dyDescent="0.3">
      <c r="A316" s="1">
        <v>42673</v>
      </c>
      <c r="C316" s="8">
        <f t="shared" si="22"/>
        <v>0</v>
      </c>
      <c r="D316" s="7">
        <f t="shared" si="23"/>
        <v>0</v>
      </c>
    </row>
    <row r="317" spans="1:4" x14ac:dyDescent="0.3">
      <c r="A317" s="1">
        <v>42674</v>
      </c>
      <c r="C317" s="8">
        <f t="shared" si="22"/>
        <v>0</v>
      </c>
      <c r="D317" s="7">
        <f t="shared" si="23"/>
        <v>0</v>
      </c>
    </row>
    <row r="318" spans="1:4" x14ac:dyDescent="0.3">
      <c r="A318" s="35" t="s">
        <v>17</v>
      </c>
      <c r="B318" s="5"/>
      <c r="C318" s="17">
        <f>SUM(C287:C317)</f>
        <v>0</v>
      </c>
      <c r="D318" s="5"/>
    </row>
    <row r="319" spans="1:4" x14ac:dyDescent="0.3">
      <c r="A319" s="1">
        <v>42675</v>
      </c>
      <c r="C319" s="8">
        <f>B319-B317</f>
        <v>0</v>
      </c>
      <c r="D319" s="7">
        <f>IFERROR(B319/B317-1,0)</f>
        <v>0</v>
      </c>
    </row>
    <row r="320" spans="1:4" x14ac:dyDescent="0.3">
      <c r="A320" s="1">
        <v>42676</v>
      </c>
      <c r="C320" s="8">
        <f t="shared" si="22"/>
        <v>0</v>
      </c>
      <c r="D320" s="7">
        <f t="shared" si="23"/>
        <v>0</v>
      </c>
    </row>
    <row r="321" spans="1:4" x14ac:dyDescent="0.3">
      <c r="A321" s="1">
        <v>42677</v>
      </c>
      <c r="C321" s="8">
        <f t="shared" ref="C321:C380" si="24">B321-B320</f>
        <v>0</v>
      </c>
      <c r="D321" s="7">
        <f t="shared" ref="D321:D380" si="25">IFERROR(B321/B320-1,0)</f>
        <v>0</v>
      </c>
    </row>
    <row r="322" spans="1:4" x14ac:dyDescent="0.3">
      <c r="A322" s="1">
        <v>42678</v>
      </c>
      <c r="C322" s="8">
        <f t="shared" si="24"/>
        <v>0</v>
      </c>
      <c r="D322" s="7">
        <f t="shared" si="25"/>
        <v>0</v>
      </c>
    </row>
    <row r="323" spans="1:4" x14ac:dyDescent="0.3">
      <c r="A323" s="1">
        <v>42679</v>
      </c>
      <c r="C323" s="8">
        <f t="shared" si="24"/>
        <v>0</v>
      </c>
      <c r="D323" s="7">
        <f t="shared" si="25"/>
        <v>0</v>
      </c>
    </row>
    <row r="324" spans="1:4" x14ac:dyDescent="0.3">
      <c r="A324" s="1">
        <v>42680</v>
      </c>
      <c r="C324" s="8">
        <f t="shared" si="24"/>
        <v>0</v>
      </c>
      <c r="D324" s="7">
        <f t="shared" si="25"/>
        <v>0</v>
      </c>
    </row>
    <row r="325" spans="1:4" x14ac:dyDescent="0.3">
      <c r="A325" s="1">
        <v>42681</v>
      </c>
      <c r="C325" s="8">
        <f t="shared" si="24"/>
        <v>0</v>
      </c>
      <c r="D325" s="7">
        <f t="shared" si="25"/>
        <v>0</v>
      </c>
    </row>
    <row r="326" spans="1:4" x14ac:dyDescent="0.3">
      <c r="A326" s="1">
        <v>42682</v>
      </c>
      <c r="C326" s="8">
        <f t="shared" si="24"/>
        <v>0</v>
      </c>
      <c r="D326" s="7">
        <f t="shared" si="25"/>
        <v>0</v>
      </c>
    </row>
    <row r="327" spans="1:4" x14ac:dyDescent="0.3">
      <c r="A327" s="1">
        <v>42683</v>
      </c>
      <c r="C327" s="8">
        <f t="shared" si="24"/>
        <v>0</v>
      </c>
      <c r="D327" s="7">
        <f t="shared" si="25"/>
        <v>0</v>
      </c>
    </row>
    <row r="328" spans="1:4" x14ac:dyDescent="0.3">
      <c r="A328" s="1">
        <v>42684</v>
      </c>
      <c r="C328" s="8">
        <f t="shared" si="24"/>
        <v>0</v>
      </c>
      <c r="D328" s="7">
        <f t="shared" si="25"/>
        <v>0</v>
      </c>
    </row>
    <row r="329" spans="1:4" x14ac:dyDescent="0.3">
      <c r="A329" s="1">
        <v>42685</v>
      </c>
      <c r="C329" s="8">
        <f t="shared" si="24"/>
        <v>0</v>
      </c>
      <c r="D329" s="7">
        <f t="shared" si="25"/>
        <v>0</v>
      </c>
    </row>
    <row r="330" spans="1:4" x14ac:dyDescent="0.3">
      <c r="A330" s="1">
        <v>42686</v>
      </c>
      <c r="C330" s="8">
        <f t="shared" si="24"/>
        <v>0</v>
      </c>
      <c r="D330" s="7">
        <f t="shared" si="25"/>
        <v>0</v>
      </c>
    </row>
    <row r="331" spans="1:4" x14ac:dyDescent="0.3">
      <c r="A331" s="1">
        <v>42687</v>
      </c>
      <c r="C331" s="8">
        <f t="shared" si="24"/>
        <v>0</v>
      </c>
      <c r="D331" s="7">
        <f t="shared" si="25"/>
        <v>0</v>
      </c>
    </row>
    <row r="332" spans="1:4" x14ac:dyDescent="0.3">
      <c r="A332" s="1">
        <v>42688</v>
      </c>
      <c r="C332" s="8">
        <f t="shared" si="24"/>
        <v>0</v>
      </c>
      <c r="D332" s="7">
        <f t="shared" si="25"/>
        <v>0</v>
      </c>
    </row>
    <row r="333" spans="1:4" x14ac:dyDescent="0.3">
      <c r="A333" s="1">
        <v>42689</v>
      </c>
      <c r="C333" s="8">
        <f t="shared" si="24"/>
        <v>0</v>
      </c>
      <c r="D333" s="7">
        <f t="shared" si="25"/>
        <v>0</v>
      </c>
    </row>
    <row r="334" spans="1:4" x14ac:dyDescent="0.3">
      <c r="A334" s="1">
        <v>42690</v>
      </c>
      <c r="C334" s="8">
        <f t="shared" si="24"/>
        <v>0</v>
      </c>
      <c r="D334" s="7">
        <f t="shared" si="25"/>
        <v>0</v>
      </c>
    </row>
    <row r="335" spans="1:4" x14ac:dyDescent="0.3">
      <c r="A335" s="1">
        <v>42691</v>
      </c>
      <c r="C335" s="8">
        <f t="shared" si="24"/>
        <v>0</v>
      </c>
      <c r="D335" s="7">
        <f t="shared" si="25"/>
        <v>0</v>
      </c>
    </row>
    <row r="336" spans="1:4" x14ac:dyDescent="0.3">
      <c r="A336" s="1">
        <v>42692</v>
      </c>
      <c r="C336" s="8">
        <f t="shared" si="24"/>
        <v>0</v>
      </c>
      <c r="D336" s="7">
        <f t="shared" si="25"/>
        <v>0</v>
      </c>
    </row>
    <row r="337" spans="1:4" x14ac:dyDescent="0.3">
      <c r="A337" s="1">
        <v>42693</v>
      </c>
      <c r="C337" s="8">
        <f t="shared" si="24"/>
        <v>0</v>
      </c>
      <c r="D337" s="7">
        <f t="shared" si="25"/>
        <v>0</v>
      </c>
    </row>
    <row r="338" spans="1:4" x14ac:dyDescent="0.3">
      <c r="A338" s="1">
        <v>42694</v>
      </c>
      <c r="C338" s="8">
        <f t="shared" si="24"/>
        <v>0</v>
      </c>
      <c r="D338" s="7">
        <f t="shared" si="25"/>
        <v>0</v>
      </c>
    </row>
    <row r="339" spans="1:4" x14ac:dyDescent="0.3">
      <c r="A339" s="1">
        <v>42695</v>
      </c>
      <c r="C339" s="8">
        <f t="shared" si="24"/>
        <v>0</v>
      </c>
      <c r="D339" s="7">
        <f t="shared" si="25"/>
        <v>0</v>
      </c>
    </row>
    <row r="340" spans="1:4" x14ac:dyDescent="0.3">
      <c r="A340" s="1">
        <v>42696</v>
      </c>
      <c r="C340" s="8">
        <f t="shared" si="24"/>
        <v>0</v>
      </c>
      <c r="D340" s="7">
        <f t="shared" si="25"/>
        <v>0</v>
      </c>
    </row>
    <row r="341" spans="1:4" x14ac:dyDescent="0.3">
      <c r="A341" s="1">
        <v>42697</v>
      </c>
      <c r="C341" s="8">
        <f t="shared" si="24"/>
        <v>0</v>
      </c>
      <c r="D341" s="7">
        <f t="shared" si="25"/>
        <v>0</v>
      </c>
    </row>
    <row r="342" spans="1:4" x14ac:dyDescent="0.3">
      <c r="A342" s="1">
        <v>42698</v>
      </c>
      <c r="C342" s="8">
        <f t="shared" si="24"/>
        <v>0</v>
      </c>
      <c r="D342" s="7">
        <f t="shared" si="25"/>
        <v>0</v>
      </c>
    </row>
    <row r="343" spans="1:4" x14ac:dyDescent="0.3">
      <c r="A343" s="1">
        <v>42699</v>
      </c>
      <c r="C343" s="8">
        <f t="shared" si="24"/>
        <v>0</v>
      </c>
      <c r="D343" s="7">
        <f t="shared" si="25"/>
        <v>0</v>
      </c>
    </row>
    <row r="344" spans="1:4" x14ac:dyDescent="0.3">
      <c r="A344" s="1">
        <v>42700</v>
      </c>
      <c r="C344" s="8">
        <f t="shared" si="24"/>
        <v>0</v>
      </c>
      <c r="D344" s="7">
        <f t="shared" si="25"/>
        <v>0</v>
      </c>
    </row>
    <row r="345" spans="1:4" x14ac:dyDescent="0.3">
      <c r="A345" s="1">
        <v>42701</v>
      </c>
      <c r="C345" s="8">
        <f t="shared" si="24"/>
        <v>0</v>
      </c>
      <c r="D345" s="7">
        <f t="shared" si="25"/>
        <v>0</v>
      </c>
    </row>
    <row r="346" spans="1:4" x14ac:dyDescent="0.3">
      <c r="A346" s="1">
        <v>42702</v>
      </c>
      <c r="C346" s="8">
        <f t="shared" si="24"/>
        <v>0</v>
      </c>
      <c r="D346" s="7">
        <f t="shared" si="25"/>
        <v>0</v>
      </c>
    </row>
    <row r="347" spans="1:4" x14ac:dyDescent="0.3">
      <c r="A347" s="1">
        <v>42703</v>
      </c>
      <c r="C347" s="8">
        <f t="shared" si="24"/>
        <v>0</v>
      </c>
      <c r="D347" s="7">
        <f t="shared" si="25"/>
        <v>0</v>
      </c>
    </row>
    <row r="348" spans="1:4" x14ac:dyDescent="0.3">
      <c r="A348" s="1">
        <v>42704</v>
      </c>
      <c r="C348" s="8">
        <f t="shared" si="24"/>
        <v>0</v>
      </c>
      <c r="D348" s="7">
        <f t="shared" si="25"/>
        <v>0</v>
      </c>
    </row>
    <row r="349" spans="1:4" x14ac:dyDescent="0.3">
      <c r="A349" s="35" t="s">
        <v>18</v>
      </c>
      <c r="B349" s="5"/>
      <c r="C349" s="17">
        <f>SUM(C319:C348)</f>
        <v>0</v>
      </c>
      <c r="D349" s="5"/>
    </row>
    <row r="350" spans="1:4" x14ac:dyDescent="0.3">
      <c r="A350" s="1">
        <v>42705</v>
      </c>
      <c r="C350" s="8">
        <f>B350-B348</f>
        <v>0</v>
      </c>
      <c r="D350" s="7">
        <f>IFERROR(B350/B348-1,0)</f>
        <v>0</v>
      </c>
    </row>
    <row r="351" spans="1:4" x14ac:dyDescent="0.3">
      <c r="A351" s="1">
        <v>42706</v>
      </c>
      <c r="C351" s="8">
        <f t="shared" si="24"/>
        <v>0</v>
      </c>
      <c r="D351" s="7">
        <f t="shared" si="25"/>
        <v>0</v>
      </c>
    </row>
    <row r="352" spans="1:4" x14ac:dyDescent="0.3">
      <c r="A352" s="1">
        <v>42707</v>
      </c>
      <c r="C352" s="8">
        <f t="shared" si="24"/>
        <v>0</v>
      </c>
      <c r="D352" s="7">
        <f t="shared" si="25"/>
        <v>0</v>
      </c>
    </row>
    <row r="353" spans="1:4" x14ac:dyDescent="0.3">
      <c r="A353" s="1">
        <v>42708</v>
      </c>
      <c r="C353" s="8">
        <f t="shared" si="24"/>
        <v>0</v>
      </c>
      <c r="D353" s="7">
        <f t="shared" si="25"/>
        <v>0</v>
      </c>
    </row>
    <row r="354" spans="1:4" x14ac:dyDescent="0.3">
      <c r="A354" s="1">
        <v>42709</v>
      </c>
      <c r="C354" s="8">
        <f t="shared" si="24"/>
        <v>0</v>
      </c>
      <c r="D354" s="7">
        <f t="shared" si="25"/>
        <v>0</v>
      </c>
    </row>
    <row r="355" spans="1:4" x14ac:dyDescent="0.3">
      <c r="A355" s="1">
        <v>42710</v>
      </c>
      <c r="C355" s="8">
        <f t="shared" si="24"/>
        <v>0</v>
      </c>
      <c r="D355" s="7">
        <f t="shared" si="25"/>
        <v>0</v>
      </c>
    </row>
    <row r="356" spans="1:4" x14ac:dyDescent="0.3">
      <c r="A356" s="1">
        <v>42711</v>
      </c>
      <c r="C356" s="8">
        <f t="shared" si="24"/>
        <v>0</v>
      </c>
      <c r="D356" s="7">
        <f t="shared" si="25"/>
        <v>0</v>
      </c>
    </row>
    <row r="357" spans="1:4" x14ac:dyDescent="0.3">
      <c r="A357" s="1">
        <v>42712</v>
      </c>
      <c r="C357" s="8">
        <f t="shared" si="24"/>
        <v>0</v>
      </c>
      <c r="D357" s="7">
        <f t="shared" si="25"/>
        <v>0</v>
      </c>
    </row>
    <row r="358" spans="1:4" x14ac:dyDescent="0.3">
      <c r="A358" s="1">
        <v>42713</v>
      </c>
      <c r="C358" s="8">
        <f t="shared" si="24"/>
        <v>0</v>
      </c>
      <c r="D358" s="7">
        <f t="shared" si="25"/>
        <v>0</v>
      </c>
    </row>
    <row r="359" spans="1:4" x14ac:dyDescent="0.3">
      <c r="A359" s="1">
        <v>42714</v>
      </c>
      <c r="C359" s="8">
        <f t="shared" si="24"/>
        <v>0</v>
      </c>
      <c r="D359" s="7">
        <f t="shared" si="25"/>
        <v>0</v>
      </c>
    </row>
    <row r="360" spans="1:4" x14ac:dyDescent="0.3">
      <c r="A360" s="1">
        <v>42715</v>
      </c>
      <c r="B360" s="206"/>
      <c r="C360" s="8">
        <f t="shared" si="24"/>
        <v>0</v>
      </c>
      <c r="D360" s="7">
        <f t="shared" si="25"/>
        <v>0</v>
      </c>
    </row>
    <row r="361" spans="1:4" x14ac:dyDescent="0.3">
      <c r="A361" s="1">
        <v>42716</v>
      </c>
      <c r="B361" s="206"/>
      <c r="C361" s="8">
        <f t="shared" si="24"/>
        <v>0</v>
      </c>
      <c r="D361" s="7">
        <f t="shared" si="25"/>
        <v>0</v>
      </c>
    </row>
    <row r="362" spans="1:4" x14ac:dyDescent="0.3">
      <c r="A362" s="1">
        <v>42717</v>
      </c>
      <c r="B362" s="206"/>
      <c r="C362" s="8">
        <f t="shared" si="24"/>
        <v>0</v>
      </c>
      <c r="D362" s="7">
        <f t="shared" si="25"/>
        <v>0</v>
      </c>
    </row>
    <row r="363" spans="1:4" x14ac:dyDescent="0.3">
      <c r="A363" s="1">
        <v>42718</v>
      </c>
      <c r="C363" s="8">
        <f t="shared" si="24"/>
        <v>0</v>
      </c>
      <c r="D363" s="7">
        <f t="shared" si="25"/>
        <v>0</v>
      </c>
    </row>
    <row r="364" spans="1:4" x14ac:dyDescent="0.3">
      <c r="A364" s="1">
        <v>42719</v>
      </c>
      <c r="B364" s="206"/>
      <c r="C364" s="8">
        <f t="shared" si="24"/>
        <v>0</v>
      </c>
      <c r="D364" s="7">
        <f t="shared" si="25"/>
        <v>0</v>
      </c>
    </row>
    <row r="365" spans="1:4" x14ac:dyDescent="0.3">
      <c r="A365" s="1">
        <v>42720</v>
      </c>
      <c r="B365" s="206"/>
      <c r="C365" s="8">
        <f t="shared" si="24"/>
        <v>0</v>
      </c>
      <c r="D365" s="7">
        <f t="shared" si="25"/>
        <v>0</v>
      </c>
    </row>
    <row r="366" spans="1:4" x14ac:dyDescent="0.3">
      <c r="A366" s="1">
        <v>42721</v>
      </c>
      <c r="B366" s="206"/>
      <c r="C366" s="8">
        <f t="shared" si="24"/>
        <v>0</v>
      </c>
      <c r="D366" s="7">
        <f t="shared" si="25"/>
        <v>0</v>
      </c>
    </row>
    <row r="367" spans="1:4" x14ac:dyDescent="0.3">
      <c r="A367" s="1">
        <v>42722</v>
      </c>
      <c r="B367" s="206"/>
      <c r="C367" s="8">
        <f t="shared" si="24"/>
        <v>0</v>
      </c>
      <c r="D367" s="7">
        <f t="shared" si="25"/>
        <v>0</v>
      </c>
    </row>
    <row r="368" spans="1:4" x14ac:dyDescent="0.3">
      <c r="A368" s="1">
        <v>42723</v>
      </c>
      <c r="B368" s="206"/>
      <c r="C368" s="8">
        <f t="shared" si="24"/>
        <v>0</v>
      </c>
      <c r="D368" s="7">
        <f t="shared" si="25"/>
        <v>0</v>
      </c>
    </row>
    <row r="369" spans="1:4" x14ac:dyDescent="0.3">
      <c r="A369" s="1">
        <v>42724</v>
      </c>
      <c r="B369" s="206"/>
      <c r="C369" s="8">
        <f t="shared" si="24"/>
        <v>0</v>
      </c>
      <c r="D369" s="7">
        <f t="shared" si="25"/>
        <v>0</v>
      </c>
    </row>
    <row r="370" spans="1:4" x14ac:dyDescent="0.3">
      <c r="A370" s="1">
        <v>42725</v>
      </c>
      <c r="B370" s="206"/>
      <c r="C370" s="8">
        <f t="shared" si="24"/>
        <v>0</v>
      </c>
      <c r="D370" s="7">
        <f t="shared" si="25"/>
        <v>0</v>
      </c>
    </row>
    <row r="371" spans="1:4" x14ac:dyDescent="0.3">
      <c r="A371" s="1">
        <v>42726</v>
      </c>
      <c r="B371" s="206"/>
      <c r="C371" s="8">
        <f t="shared" si="24"/>
        <v>0</v>
      </c>
      <c r="D371" s="7">
        <f t="shared" si="25"/>
        <v>0</v>
      </c>
    </row>
    <row r="372" spans="1:4" x14ac:dyDescent="0.3">
      <c r="A372" s="1">
        <v>42727</v>
      </c>
      <c r="B372" s="206"/>
      <c r="C372" s="8">
        <f t="shared" si="24"/>
        <v>0</v>
      </c>
      <c r="D372" s="7">
        <f t="shared" si="25"/>
        <v>0</v>
      </c>
    </row>
    <row r="373" spans="1:4" x14ac:dyDescent="0.3">
      <c r="A373" s="1">
        <v>42728</v>
      </c>
      <c r="C373" s="8">
        <f t="shared" si="24"/>
        <v>0</v>
      </c>
      <c r="D373" s="7">
        <f t="shared" si="25"/>
        <v>0</v>
      </c>
    </row>
    <row r="374" spans="1:4" x14ac:dyDescent="0.3">
      <c r="A374" s="1">
        <v>42729</v>
      </c>
      <c r="B374" s="206"/>
      <c r="C374" s="8">
        <f t="shared" si="24"/>
        <v>0</v>
      </c>
      <c r="D374" s="7">
        <f t="shared" si="25"/>
        <v>0</v>
      </c>
    </row>
    <row r="375" spans="1:4" x14ac:dyDescent="0.3">
      <c r="A375" s="1">
        <v>42730</v>
      </c>
      <c r="B375" s="206"/>
      <c r="C375" s="8">
        <f t="shared" si="24"/>
        <v>0</v>
      </c>
      <c r="D375" s="7">
        <f t="shared" si="25"/>
        <v>0</v>
      </c>
    </row>
    <row r="376" spans="1:4" x14ac:dyDescent="0.3">
      <c r="A376" s="1">
        <v>42731</v>
      </c>
      <c r="B376" s="206"/>
      <c r="C376" s="8">
        <f t="shared" si="24"/>
        <v>0</v>
      </c>
      <c r="D376" s="7">
        <f t="shared" si="25"/>
        <v>0</v>
      </c>
    </row>
    <row r="377" spans="1:4" x14ac:dyDescent="0.3">
      <c r="A377" s="1">
        <v>42732</v>
      </c>
      <c r="B377" s="206"/>
      <c r="C377" s="8">
        <f t="shared" si="24"/>
        <v>0</v>
      </c>
      <c r="D377" s="7">
        <f t="shared" si="25"/>
        <v>0</v>
      </c>
    </row>
    <row r="378" spans="1:4" x14ac:dyDescent="0.3">
      <c r="A378" s="1">
        <v>42733</v>
      </c>
      <c r="B378" s="206"/>
      <c r="C378" s="8">
        <f t="shared" si="24"/>
        <v>0</v>
      </c>
      <c r="D378" s="7">
        <f t="shared" si="25"/>
        <v>0</v>
      </c>
    </row>
    <row r="379" spans="1:4" x14ac:dyDescent="0.3">
      <c r="A379" s="1">
        <v>42734</v>
      </c>
      <c r="B379" s="206"/>
      <c r="C379" s="8">
        <f t="shared" si="24"/>
        <v>0</v>
      </c>
      <c r="D379" s="7">
        <f t="shared" si="25"/>
        <v>0</v>
      </c>
    </row>
    <row r="380" spans="1:4" x14ac:dyDescent="0.3">
      <c r="A380" s="1">
        <v>42735</v>
      </c>
      <c r="B380" s="206"/>
      <c r="C380" s="8">
        <f t="shared" si="24"/>
        <v>0</v>
      </c>
      <c r="D380" s="7">
        <f t="shared" si="25"/>
        <v>0</v>
      </c>
    </row>
    <row r="381" spans="1:4" x14ac:dyDescent="0.3">
      <c r="A381" s="35" t="s">
        <v>19</v>
      </c>
      <c r="B381" s="5"/>
      <c r="C381" s="17">
        <f>SUM(C350:C380)</f>
        <v>0</v>
      </c>
      <c r="D381" s="5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6"/>
  <dimension ref="A1:D381"/>
  <sheetViews>
    <sheetView topLeftCell="A221" workbookViewId="0">
      <selection activeCell="B232" sqref="B232:B239"/>
    </sheetView>
  </sheetViews>
  <sheetFormatPr baseColWidth="10" defaultColWidth="11.44140625" defaultRowHeight="14.4" x14ac:dyDescent="0.3"/>
  <cols>
    <col min="2" max="3" width="15.33203125" style="8" bestFit="1" customWidth="1"/>
  </cols>
  <sheetData>
    <row r="1" spans="1:4" x14ac:dyDescent="0.3">
      <c r="A1" t="s">
        <v>2</v>
      </c>
    </row>
    <row r="3" spans="1:4" ht="43.2" x14ac:dyDescent="0.3">
      <c r="A3" s="18" t="s">
        <v>1</v>
      </c>
      <c r="B3" s="59" t="s">
        <v>4</v>
      </c>
      <c r="C3" s="58" t="s">
        <v>238</v>
      </c>
      <c r="D3" s="3" t="s">
        <v>239</v>
      </c>
    </row>
    <row r="4" spans="1:4" x14ac:dyDescent="0.3">
      <c r="A4" s="1">
        <v>42370</v>
      </c>
      <c r="B4" s="206">
        <v>377806077</v>
      </c>
      <c r="C4" s="8">
        <f>B4-B4</f>
        <v>0</v>
      </c>
      <c r="D4" s="7">
        <f>IFERROR(B4/B4-1,)</f>
        <v>0</v>
      </c>
    </row>
    <row r="5" spans="1:4" x14ac:dyDescent="0.3">
      <c r="A5" s="1">
        <v>42371</v>
      </c>
      <c r="B5" s="206">
        <v>377806077</v>
      </c>
      <c r="C5" s="8">
        <f>B5-B4</f>
        <v>0</v>
      </c>
      <c r="D5" s="7">
        <f>IFERROR(B4/B5-1,0)</f>
        <v>0</v>
      </c>
    </row>
    <row r="6" spans="1:4" x14ac:dyDescent="0.3">
      <c r="A6" s="1">
        <v>42372</v>
      </c>
      <c r="B6" s="206">
        <v>377806077</v>
      </c>
      <c r="C6" s="8">
        <f t="shared" ref="C6:C34" si="0">B6-B5</f>
        <v>0</v>
      </c>
      <c r="D6" s="7">
        <f t="shared" ref="D6:D34" si="1">IFERROR(B5/B6-1,0)</f>
        <v>0</v>
      </c>
    </row>
    <row r="7" spans="1:4" x14ac:dyDescent="0.3">
      <c r="A7" s="1">
        <v>42373</v>
      </c>
      <c r="B7" s="206">
        <v>377806077</v>
      </c>
      <c r="C7" s="8">
        <f t="shared" si="0"/>
        <v>0</v>
      </c>
      <c r="D7" s="7">
        <f t="shared" si="1"/>
        <v>0</v>
      </c>
    </row>
    <row r="8" spans="1:4" x14ac:dyDescent="0.3">
      <c r="A8" s="1">
        <v>42374</v>
      </c>
      <c r="B8" s="8">
        <v>401317277</v>
      </c>
      <c r="C8" s="8">
        <f t="shared" si="0"/>
        <v>23511200</v>
      </c>
      <c r="D8" s="7">
        <f t="shared" si="1"/>
        <v>-5.8585068093143677E-2</v>
      </c>
    </row>
    <row r="9" spans="1:4" x14ac:dyDescent="0.3">
      <c r="A9" s="1">
        <v>42375</v>
      </c>
      <c r="B9" s="206">
        <v>401317277</v>
      </c>
      <c r="C9" s="8">
        <f t="shared" si="0"/>
        <v>0</v>
      </c>
      <c r="D9" s="7">
        <f t="shared" si="1"/>
        <v>0</v>
      </c>
    </row>
    <row r="10" spans="1:4" x14ac:dyDescent="0.3">
      <c r="A10" s="1">
        <v>42376</v>
      </c>
      <c r="B10" s="206">
        <v>401317277</v>
      </c>
      <c r="C10" s="8">
        <f t="shared" si="0"/>
        <v>0</v>
      </c>
      <c r="D10" s="7">
        <f t="shared" si="1"/>
        <v>0</v>
      </c>
    </row>
    <row r="11" spans="1:4" x14ac:dyDescent="0.3">
      <c r="A11" s="1">
        <v>42377</v>
      </c>
      <c r="B11" s="206">
        <v>401317277</v>
      </c>
      <c r="C11" s="8">
        <f t="shared" si="0"/>
        <v>0</v>
      </c>
      <c r="D11" s="7">
        <f t="shared" si="1"/>
        <v>0</v>
      </c>
    </row>
    <row r="12" spans="1:4" x14ac:dyDescent="0.3">
      <c r="A12" s="1">
        <v>42378</v>
      </c>
      <c r="B12" s="206">
        <v>401317277</v>
      </c>
      <c r="C12" s="8">
        <f t="shared" si="0"/>
        <v>0</v>
      </c>
      <c r="D12" s="7">
        <f t="shared" si="1"/>
        <v>0</v>
      </c>
    </row>
    <row r="13" spans="1:4" x14ac:dyDescent="0.3">
      <c r="A13" s="1">
        <v>42379</v>
      </c>
      <c r="B13" s="206">
        <v>401317277</v>
      </c>
      <c r="C13" s="8">
        <f t="shared" si="0"/>
        <v>0</v>
      </c>
      <c r="D13" s="7">
        <f t="shared" si="1"/>
        <v>0</v>
      </c>
    </row>
    <row r="14" spans="1:4" x14ac:dyDescent="0.3">
      <c r="A14" s="1">
        <v>42380</v>
      </c>
      <c r="B14" s="206">
        <v>401317277</v>
      </c>
      <c r="C14" s="8">
        <f t="shared" si="0"/>
        <v>0</v>
      </c>
      <c r="D14" s="7">
        <f t="shared" si="1"/>
        <v>0</v>
      </c>
    </row>
    <row r="15" spans="1:4" x14ac:dyDescent="0.3">
      <c r="A15" s="1">
        <v>42381</v>
      </c>
      <c r="B15" s="206">
        <v>401317277</v>
      </c>
      <c r="C15" s="8">
        <f t="shared" si="0"/>
        <v>0</v>
      </c>
      <c r="D15" s="7">
        <f t="shared" si="1"/>
        <v>0</v>
      </c>
    </row>
    <row r="16" spans="1:4" x14ac:dyDescent="0.3">
      <c r="A16" s="1">
        <v>42382</v>
      </c>
      <c r="B16" s="206">
        <v>401317277</v>
      </c>
      <c r="C16" s="8">
        <f t="shared" si="0"/>
        <v>0</v>
      </c>
      <c r="D16" s="7">
        <f t="shared" si="1"/>
        <v>0</v>
      </c>
    </row>
    <row r="17" spans="1:4" x14ac:dyDescent="0.3">
      <c r="A17" s="1">
        <v>42383</v>
      </c>
      <c r="B17" s="206">
        <v>401317277</v>
      </c>
      <c r="C17" s="8">
        <f t="shared" si="0"/>
        <v>0</v>
      </c>
      <c r="D17" s="7">
        <f t="shared" si="1"/>
        <v>0</v>
      </c>
    </row>
    <row r="18" spans="1:4" x14ac:dyDescent="0.3">
      <c r="A18" s="1">
        <v>42384</v>
      </c>
      <c r="B18" s="206">
        <v>401317277</v>
      </c>
      <c r="C18" s="8">
        <f t="shared" si="0"/>
        <v>0</v>
      </c>
      <c r="D18" s="7">
        <f t="shared" si="1"/>
        <v>0</v>
      </c>
    </row>
    <row r="19" spans="1:4" x14ac:dyDescent="0.3">
      <c r="A19" s="1">
        <v>42385</v>
      </c>
      <c r="B19" s="206">
        <v>401317277</v>
      </c>
      <c r="C19" s="8">
        <f t="shared" si="0"/>
        <v>0</v>
      </c>
      <c r="D19" s="7">
        <f t="shared" si="1"/>
        <v>0</v>
      </c>
    </row>
    <row r="20" spans="1:4" x14ac:dyDescent="0.3">
      <c r="A20" s="1">
        <v>42386</v>
      </c>
      <c r="B20" s="206">
        <v>401317277</v>
      </c>
      <c r="C20" s="8">
        <f t="shared" si="0"/>
        <v>0</v>
      </c>
      <c r="D20" s="7">
        <f t="shared" si="1"/>
        <v>0</v>
      </c>
    </row>
    <row r="21" spans="1:4" x14ac:dyDescent="0.3">
      <c r="A21" s="1">
        <v>42387</v>
      </c>
      <c r="B21" s="206">
        <v>401317277</v>
      </c>
      <c r="C21" s="8">
        <f t="shared" si="0"/>
        <v>0</v>
      </c>
      <c r="D21" s="7">
        <f t="shared" si="1"/>
        <v>0</v>
      </c>
    </row>
    <row r="22" spans="1:4" x14ac:dyDescent="0.3">
      <c r="A22" s="1">
        <v>42388</v>
      </c>
      <c r="B22" s="206">
        <v>401317277</v>
      </c>
      <c r="C22" s="8">
        <f t="shared" si="0"/>
        <v>0</v>
      </c>
      <c r="D22" s="7">
        <f t="shared" si="1"/>
        <v>0</v>
      </c>
    </row>
    <row r="23" spans="1:4" x14ac:dyDescent="0.3">
      <c r="A23" s="1">
        <v>42389</v>
      </c>
      <c r="B23" s="206">
        <v>401317277</v>
      </c>
      <c r="C23" s="8">
        <f t="shared" si="0"/>
        <v>0</v>
      </c>
      <c r="D23" s="7">
        <f t="shared" si="1"/>
        <v>0</v>
      </c>
    </row>
    <row r="24" spans="1:4" x14ac:dyDescent="0.3">
      <c r="A24" s="1">
        <v>42390</v>
      </c>
      <c r="B24" s="206">
        <v>401317277</v>
      </c>
      <c r="C24" s="8">
        <f t="shared" si="0"/>
        <v>0</v>
      </c>
      <c r="D24" s="7">
        <f t="shared" si="1"/>
        <v>0</v>
      </c>
    </row>
    <row r="25" spans="1:4" x14ac:dyDescent="0.3">
      <c r="A25" s="1">
        <v>42391</v>
      </c>
      <c r="B25" s="206">
        <v>401317277</v>
      </c>
      <c r="C25" s="8">
        <f t="shared" si="0"/>
        <v>0</v>
      </c>
      <c r="D25" s="7">
        <f t="shared" si="1"/>
        <v>0</v>
      </c>
    </row>
    <row r="26" spans="1:4" x14ac:dyDescent="0.3">
      <c r="A26" s="1">
        <v>42392</v>
      </c>
      <c r="B26" s="206">
        <v>401317277</v>
      </c>
      <c r="C26" s="8">
        <f t="shared" si="0"/>
        <v>0</v>
      </c>
      <c r="D26" s="7">
        <f t="shared" si="1"/>
        <v>0</v>
      </c>
    </row>
    <row r="27" spans="1:4" x14ac:dyDescent="0.3">
      <c r="A27" s="1">
        <v>42393</v>
      </c>
      <c r="B27" s="206">
        <v>401317277</v>
      </c>
      <c r="C27" s="8">
        <f t="shared" si="0"/>
        <v>0</v>
      </c>
      <c r="D27" s="7">
        <f t="shared" si="1"/>
        <v>0</v>
      </c>
    </row>
    <row r="28" spans="1:4" x14ac:dyDescent="0.3">
      <c r="A28" s="1">
        <v>42394</v>
      </c>
      <c r="B28" s="206">
        <v>401317277</v>
      </c>
      <c r="C28" s="8">
        <f t="shared" si="0"/>
        <v>0</v>
      </c>
      <c r="D28" s="7">
        <f t="shared" si="1"/>
        <v>0</v>
      </c>
    </row>
    <row r="29" spans="1:4" x14ac:dyDescent="0.3">
      <c r="A29" s="1">
        <v>42395</v>
      </c>
      <c r="B29" s="206">
        <v>401317277</v>
      </c>
      <c r="C29" s="8">
        <f t="shared" si="0"/>
        <v>0</v>
      </c>
      <c r="D29" s="7">
        <f t="shared" si="1"/>
        <v>0</v>
      </c>
    </row>
    <row r="30" spans="1:4" x14ac:dyDescent="0.3">
      <c r="A30" s="1">
        <v>42396</v>
      </c>
      <c r="B30" s="206">
        <v>401317277</v>
      </c>
      <c r="C30" s="8">
        <f t="shared" si="0"/>
        <v>0</v>
      </c>
      <c r="D30" s="7">
        <f t="shared" si="1"/>
        <v>0</v>
      </c>
    </row>
    <row r="31" spans="1:4" x14ac:dyDescent="0.3">
      <c r="A31" s="1">
        <v>42397</v>
      </c>
      <c r="B31" s="206">
        <v>401317277</v>
      </c>
      <c r="C31" s="8">
        <f t="shared" si="0"/>
        <v>0</v>
      </c>
      <c r="D31" s="7">
        <f t="shared" si="1"/>
        <v>0</v>
      </c>
    </row>
    <row r="32" spans="1:4" x14ac:dyDescent="0.3">
      <c r="A32" s="1">
        <v>42398</v>
      </c>
      <c r="B32" s="206">
        <v>401317277</v>
      </c>
      <c r="C32" s="8">
        <f t="shared" si="0"/>
        <v>0</v>
      </c>
      <c r="D32" s="7">
        <f t="shared" si="1"/>
        <v>0</v>
      </c>
    </row>
    <row r="33" spans="1:4" x14ac:dyDescent="0.3">
      <c r="A33" s="1">
        <v>42399</v>
      </c>
      <c r="B33" s="206">
        <v>401317277</v>
      </c>
      <c r="C33" s="8">
        <f t="shared" si="0"/>
        <v>0</v>
      </c>
      <c r="D33" s="7">
        <f t="shared" si="1"/>
        <v>0</v>
      </c>
    </row>
    <row r="34" spans="1:4" x14ac:dyDescent="0.3">
      <c r="A34" s="1">
        <v>42400</v>
      </c>
      <c r="B34" s="8">
        <v>409873275</v>
      </c>
      <c r="C34" s="8">
        <f t="shared" si="0"/>
        <v>8555998</v>
      </c>
      <c r="D34" s="7">
        <f t="shared" si="1"/>
        <v>-2.0874739881491466E-2</v>
      </c>
    </row>
    <row r="35" spans="1:4" x14ac:dyDescent="0.3">
      <c r="A35" s="4" t="s">
        <v>8</v>
      </c>
      <c r="B35" s="17"/>
      <c r="C35" s="17">
        <f>SUM(C4:C34)</f>
        <v>32067198</v>
      </c>
      <c r="D35" s="5"/>
    </row>
    <row r="36" spans="1:4" x14ac:dyDescent="0.3">
      <c r="A36" s="1">
        <v>42401</v>
      </c>
      <c r="B36" s="8">
        <v>409873275</v>
      </c>
      <c r="C36" s="8">
        <f>B36-B34</f>
        <v>0</v>
      </c>
      <c r="D36" s="7">
        <f>IFERROR(B34/B36-1,0)</f>
        <v>0</v>
      </c>
    </row>
    <row r="37" spans="1:4" x14ac:dyDescent="0.3">
      <c r="A37" s="1">
        <v>42402</v>
      </c>
      <c r="B37" s="8">
        <v>409873275</v>
      </c>
      <c r="C37" s="8">
        <f>B37-B36</f>
        <v>0</v>
      </c>
      <c r="D37" s="7">
        <f>IFERROR(B36/B37-1,0)</f>
        <v>0</v>
      </c>
    </row>
    <row r="38" spans="1:4" x14ac:dyDescent="0.3">
      <c r="A38" s="1">
        <v>42403</v>
      </c>
      <c r="B38" s="8">
        <v>409873275</v>
      </c>
      <c r="C38" s="8">
        <f t="shared" ref="C38:C63" si="2">B38-B37</f>
        <v>0</v>
      </c>
      <c r="D38" s="7">
        <f t="shared" ref="D38:D63" si="3">IFERROR(B37/B38-1,0)</f>
        <v>0</v>
      </c>
    </row>
    <row r="39" spans="1:4" x14ac:dyDescent="0.3">
      <c r="A39" s="1">
        <v>42404</v>
      </c>
      <c r="B39" s="8">
        <v>409873275</v>
      </c>
      <c r="C39" s="8">
        <f t="shared" si="2"/>
        <v>0</v>
      </c>
      <c r="D39" s="7">
        <f t="shared" si="3"/>
        <v>0</v>
      </c>
    </row>
    <row r="40" spans="1:4" x14ac:dyDescent="0.3">
      <c r="A40" s="1">
        <v>42405</v>
      </c>
      <c r="B40" s="8">
        <v>409873275</v>
      </c>
      <c r="C40" s="8">
        <f t="shared" si="2"/>
        <v>0</v>
      </c>
      <c r="D40" s="7">
        <f t="shared" si="3"/>
        <v>0</v>
      </c>
    </row>
    <row r="41" spans="1:4" x14ac:dyDescent="0.3">
      <c r="A41" s="1">
        <v>42406</v>
      </c>
      <c r="B41" s="8">
        <v>409873275</v>
      </c>
      <c r="C41" s="8">
        <f t="shared" si="2"/>
        <v>0</v>
      </c>
      <c r="D41" s="7">
        <f t="shared" si="3"/>
        <v>0</v>
      </c>
    </row>
    <row r="42" spans="1:4" x14ac:dyDescent="0.3">
      <c r="A42" s="1">
        <v>42407</v>
      </c>
      <c r="B42" s="8">
        <v>409873275</v>
      </c>
      <c r="C42" s="8">
        <f t="shared" si="2"/>
        <v>0</v>
      </c>
      <c r="D42" s="7">
        <f t="shared" si="3"/>
        <v>0</v>
      </c>
    </row>
    <row r="43" spans="1:4" x14ac:dyDescent="0.3">
      <c r="A43" s="1">
        <v>42408</v>
      </c>
      <c r="B43" s="8">
        <v>409873275</v>
      </c>
      <c r="C43" s="8">
        <f t="shared" si="2"/>
        <v>0</v>
      </c>
      <c r="D43" s="7">
        <f t="shared" si="3"/>
        <v>0</v>
      </c>
    </row>
    <row r="44" spans="1:4" x14ac:dyDescent="0.3">
      <c r="A44" s="1">
        <v>42409</v>
      </c>
      <c r="B44" s="8">
        <v>409873275</v>
      </c>
      <c r="C44" s="8">
        <f t="shared" si="2"/>
        <v>0</v>
      </c>
      <c r="D44" s="7">
        <f t="shared" si="3"/>
        <v>0</v>
      </c>
    </row>
    <row r="45" spans="1:4" x14ac:dyDescent="0.3">
      <c r="A45" s="1">
        <v>42410</v>
      </c>
      <c r="B45" s="8">
        <v>409873275</v>
      </c>
      <c r="C45" s="8">
        <f t="shared" si="2"/>
        <v>0</v>
      </c>
      <c r="D45" s="7">
        <f t="shared" si="3"/>
        <v>0</v>
      </c>
    </row>
    <row r="46" spans="1:4" x14ac:dyDescent="0.3">
      <c r="A46" s="1">
        <v>42411</v>
      </c>
      <c r="B46" s="8">
        <v>409873275</v>
      </c>
      <c r="C46" s="8">
        <f t="shared" si="2"/>
        <v>0</v>
      </c>
      <c r="D46" s="7">
        <f t="shared" si="3"/>
        <v>0</v>
      </c>
    </row>
    <row r="47" spans="1:4" x14ac:dyDescent="0.3">
      <c r="A47" s="1">
        <v>42412</v>
      </c>
      <c r="B47" s="8">
        <v>423243219</v>
      </c>
      <c r="C47" s="8">
        <f t="shared" si="2"/>
        <v>13369944</v>
      </c>
      <c r="D47" s="7">
        <f t="shared" si="3"/>
        <v>-3.1589269242373819E-2</v>
      </c>
    </row>
    <row r="48" spans="1:4" x14ac:dyDescent="0.3">
      <c r="A48" s="1">
        <v>42413</v>
      </c>
      <c r="B48" s="8">
        <v>423243219</v>
      </c>
      <c r="C48" s="8">
        <f t="shared" si="2"/>
        <v>0</v>
      </c>
      <c r="D48" s="7">
        <f t="shared" si="3"/>
        <v>0</v>
      </c>
    </row>
    <row r="49" spans="1:4" x14ac:dyDescent="0.3">
      <c r="A49" s="1">
        <v>42414</v>
      </c>
      <c r="B49" s="8">
        <v>423243219</v>
      </c>
      <c r="C49" s="8">
        <f t="shared" si="2"/>
        <v>0</v>
      </c>
      <c r="D49" s="7">
        <f t="shared" si="3"/>
        <v>0</v>
      </c>
    </row>
    <row r="50" spans="1:4" x14ac:dyDescent="0.3">
      <c r="A50" s="1">
        <v>42415</v>
      </c>
      <c r="B50" s="8">
        <v>423243219</v>
      </c>
      <c r="C50" s="8">
        <f t="shared" si="2"/>
        <v>0</v>
      </c>
      <c r="D50" s="7">
        <f t="shared" si="3"/>
        <v>0</v>
      </c>
    </row>
    <row r="51" spans="1:4" x14ac:dyDescent="0.3">
      <c r="A51" s="1">
        <v>42416</v>
      </c>
      <c r="B51" s="8">
        <v>423243219</v>
      </c>
      <c r="C51" s="8">
        <f t="shared" si="2"/>
        <v>0</v>
      </c>
      <c r="D51" s="7">
        <f t="shared" si="3"/>
        <v>0</v>
      </c>
    </row>
    <row r="52" spans="1:4" x14ac:dyDescent="0.3">
      <c r="A52" s="1">
        <v>42417</v>
      </c>
      <c r="B52" s="8">
        <v>423243219</v>
      </c>
      <c r="C52" s="8">
        <f t="shared" si="2"/>
        <v>0</v>
      </c>
      <c r="D52" s="7">
        <f t="shared" si="3"/>
        <v>0</v>
      </c>
    </row>
    <row r="53" spans="1:4" x14ac:dyDescent="0.3">
      <c r="A53" s="1">
        <v>42418</v>
      </c>
      <c r="B53" s="8">
        <v>423243219</v>
      </c>
      <c r="C53" s="8">
        <f t="shared" si="2"/>
        <v>0</v>
      </c>
      <c r="D53" s="7">
        <f t="shared" si="3"/>
        <v>0</v>
      </c>
    </row>
    <row r="54" spans="1:4" x14ac:dyDescent="0.3">
      <c r="A54" s="1">
        <v>42419</v>
      </c>
      <c r="B54" s="8">
        <v>423243219</v>
      </c>
      <c r="C54" s="8">
        <f t="shared" si="2"/>
        <v>0</v>
      </c>
      <c r="D54" s="7">
        <f t="shared" si="3"/>
        <v>0</v>
      </c>
    </row>
    <row r="55" spans="1:4" x14ac:dyDescent="0.3">
      <c r="A55" s="1">
        <v>42420</v>
      </c>
      <c r="B55" s="8">
        <v>423243219</v>
      </c>
      <c r="C55" s="8">
        <f t="shared" si="2"/>
        <v>0</v>
      </c>
      <c r="D55" s="7">
        <f t="shared" si="3"/>
        <v>0</v>
      </c>
    </row>
    <row r="56" spans="1:4" x14ac:dyDescent="0.3">
      <c r="A56" s="1">
        <v>42421</v>
      </c>
      <c r="B56" s="8">
        <v>423243219</v>
      </c>
      <c r="C56" s="8">
        <f t="shared" si="2"/>
        <v>0</v>
      </c>
      <c r="D56" s="7">
        <f t="shared" si="3"/>
        <v>0</v>
      </c>
    </row>
    <row r="57" spans="1:4" x14ac:dyDescent="0.3">
      <c r="A57" s="1">
        <v>42422</v>
      </c>
      <c r="B57" s="8">
        <v>423243219</v>
      </c>
      <c r="C57" s="8">
        <f t="shared" si="2"/>
        <v>0</v>
      </c>
      <c r="D57" s="7">
        <f t="shared" si="3"/>
        <v>0</v>
      </c>
    </row>
    <row r="58" spans="1:4" x14ac:dyDescent="0.3">
      <c r="A58" s="1">
        <v>42423</v>
      </c>
      <c r="B58" s="8">
        <v>423243219</v>
      </c>
      <c r="C58" s="8">
        <f t="shared" si="2"/>
        <v>0</v>
      </c>
      <c r="D58" s="7">
        <f t="shared" si="3"/>
        <v>0</v>
      </c>
    </row>
    <row r="59" spans="1:4" x14ac:dyDescent="0.3">
      <c r="A59" s="1">
        <v>42424</v>
      </c>
      <c r="B59" s="8">
        <v>423243219</v>
      </c>
      <c r="C59" s="8">
        <f t="shared" si="2"/>
        <v>0</v>
      </c>
      <c r="D59" s="7">
        <f t="shared" si="3"/>
        <v>0</v>
      </c>
    </row>
    <row r="60" spans="1:4" x14ac:dyDescent="0.3">
      <c r="A60" s="1">
        <v>42425</v>
      </c>
      <c r="B60" s="8">
        <v>423243219</v>
      </c>
      <c r="C60" s="8">
        <f t="shared" si="2"/>
        <v>0</v>
      </c>
      <c r="D60" s="7">
        <f t="shared" si="3"/>
        <v>0</v>
      </c>
    </row>
    <row r="61" spans="1:4" x14ac:dyDescent="0.3">
      <c r="A61" s="1">
        <v>42426</v>
      </c>
      <c r="B61" s="8">
        <v>423243219</v>
      </c>
      <c r="C61" s="8">
        <f t="shared" si="2"/>
        <v>0</v>
      </c>
      <c r="D61" s="7">
        <f t="shared" si="3"/>
        <v>0</v>
      </c>
    </row>
    <row r="62" spans="1:4" x14ac:dyDescent="0.3">
      <c r="A62" s="1">
        <v>42427</v>
      </c>
      <c r="B62" s="8">
        <v>423243219</v>
      </c>
      <c r="C62" s="8">
        <f t="shared" si="2"/>
        <v>0</v>
      </c>
      <c r="D62" s="7">
        <f t="shared" si="3"/>
        <v>0</v>
      </c>
    </row>
    <row r="63" spans="1:4" x14ac:dyDescent="0.3">
      <c r="A63" s="1">
        <v>42428</v>
      </c>
      <c r="B63" s="8">
        <v>423243219</v>
      </c>
      <c r="C63" s="8">
        <f t="shared" si="2"/>
        <v>0</v>
      </c>
      <c r="D63" s="7">
        <f t="shared" si="3"/>
        <v>0</v>
      </c>
    </row>
    <row r="64" spans="1:4" x14ac:dyDescent="0.3">
      <c r="A64" s="1">
        <v>42429</v>
      </c>
      <c r="B64" s="206">
        <v>423243219</v>
      </c>
      <c r="C64" s="206">
        <f t="shared" ref="C64" si="4">B64-B63</f>
        <v>0</v>
      </c>
      <c r="D64" s="207">
        <f t="shared" ref="D64" si="5">IFERROR(B63/B64-1,0)</f>
        <v>0</v>
      </c>
    </row>
    <row r="65" spans="1:4" x14ac:dyDescent="0.3">
      <c r="A65" s="4" t="s">
        <v>9</v>
      </c>
      <c r="B65" s="17">
        <f>B64</f>
        <v>423243219</v>
      </c>
      <c r="C65" s="17">
        <f>SUM(C36:C64)</f>
        <v>13369944</v>
      </c>
      <c r="D65" s="5"/>
    </row>
    <row r="66" spans="1:4" x14ac:dyDescent="0.3">
      <c r="A66" s="1">
        <v>42430</v>
      </c>
      <c r="B66" s="8">
        <v>423243219</v>
      </c>
      <c r="C66" s="8">
        <f>B66-B63</f>
        <v>0</v>
      </c>
      <c r="D66" s="7">
        <f>IFERROR(B63/B66-1,0)</f>
        <v>0</v>
      </c>
    </row>
    <row r="67" spans="1:4" x14ac:dyDescent="0.3">
      <c r="A67" s="1">
        <v>42431</v>
      </c>
      <c r="B67" s="8">
        <v>423243219</v>
      </c>
      <c r="C67" s="8">
        <f>B67-B66</f>
        <v>0</v>
      </c>
      <c r="D67" s="7">
        <f>IFERROR(B66/B67-1,0)</f>
        <v>0</v>
      </c>
    </row>
    <row r="68" spans="1:4" x14ac:dyDescent="0.3">
      <c r="A68" s="1">
        <v>42432</v>
      </c>
      <c r="B68" s="8">
        <v>423243219</v>
      </c>
      <c r="C68" s="8">
        <f t="shared" ref="C68:C96" si="6">B68-B67</f>
        <v>0</v>
      </c>
      <c r="D68" s="7">
        <f t="shared" ref="D68:D96" si="7">IFERROR(B67/B68-1,0)</f>
        <v>0</v>
      </c>
    </row>
    <row r="69" spans="1:4" x14ac:dyDescent="0.3">
      <c r="A69" s="1">
        <v>42433</v>
      </c>
      <c r="B69" s="8">
        <v>423243219</v>
      </c>
      <c r="C69" s="8">
        <f t="shared" si="6"/>
        <v>0</v>
      </c>
      <c r="D69" s="7">
        <f t="shared" si="7"/>
        <v>0</v>
      </c>
    </row>
    <row r="70" spans="1:4" x14ac:dyDescent="0.3">
      <c r="A70" s="1">
        <v>42434</v>
      </c>
      <c r="B70" s="8">
        <v>423243219</v>
      </c>
      <c r="C70" s="8">
        <f t="shared" si="6"/>
        <v>0</v>
      </c>
      <c r="D70" s="7">
        <f t="shared" si="7"/>
        <v>0</v>
      </c>
    </row>
    <row r="71" spans="1:4" x14ac:dyDescent="0.3">
      <c r="A71" s="1">
        <v>42435</v>
      </c>
      <c r="B71" s="8">
        <v>423243219</v>
      </c>
      <c r="C71" s="8">
        <f t="shared" si="6"/>
        <v>0</v>
      </c>
      <c r="D71" s="7">
        <f t="shared" si="7"/>
        <v>0</v>
      </c>
    </row>
    <row r="72" spans="1:4" x14ac:dyDescent="0.3">
      <c r="A72" s="1">
        <v>42436</v>
      </c>
      <c r="B72" s="8">
        <v>423243219</v>
      </c>
      <c r="C72" s="8">
        <f t="shared" si="6"/>
        <v>0</v>
      </c>
      <c r="D72" s="7">
        <f t="shared" si="7"/>
        <v>0</v>
      </c>
    </row>
    <row r="73" spans="1:4" x14ac:dyDescent="0.3">
      <c r="A73" s="1">
        <v>42437</v>
      </c>
      <c r="B73" s="8">
        <v>423243219</v>
      </c>
      <c r="C73" s="8">
        <f t="shared" si="6"/>
        <v>0</v>
      </c>
      <c r="D73" s="7">
        <f t="shared" si="7"/>
        <v>0</v>
      </c>
    </row>
    <row r="74" spans="1:4" x14ac:dyDescent="0.3">
      <c r="A74" s="1">
        <v>42438</v>
      </c>
      <c r="B74" s="8">
        <v>423243219</v>
      </c>
      <c r="C74" s="8">
        <f t="shared" si="6"/>
        <v>0</v>
      </c>
      <c r="D74" s="7">
        <f t="shared" si="7"/>
        <v>0</v>
      </c>
    </row>
    <row r="75" spans="1:4" x14ac:dyDescent="0.3">
      <c r="A75" s="1">
        <v>42439</v>
      </c>
      <c r="B75" s="8">
        <v>423243219</v>
      </c>
      <c r="C75" s="8">
        <f t="shared" si="6"/>
        <v>0</v>
      </c>
      <c r="D75" s="7">
        <f t="shared" si="7"/>
        <v>0</v>
      </c>
    </row>
    <row r="76" spans="1:4" x14ac:dyDescent="0.3">
      <c r="A76" s="1">
        <v>42440</v>
      </c>
      <c r="B76" s="206">
        <v>423243219</v>
      </c>
      <c r="C76" s="8">
        <f t="shared" si="6"/>
        <v>0</v>
      </c>
      <c r="D76" s="7">
        <f t="shared" si="7"/>
        <v>0</v>
      </c>
    </row>
    <row r="77" spans="1:4" x14ac:dyDescent="0.3">
      <c r="A77" s="1">
        <v>42441</v>
      </c>
      <c r="B77" s="206">
        <v>423243219</v>
      </c>
      <c r="C77" s="8">
        <f t="shared" si="6"/>
        <v>0</v>
      </c>
      <c r="D77" s="7">
        <f t="shared" si="7"/>
        <v>0</v>
      </c>
    </row>
    <row r="78" spans="1:4" x14ac:dyDescent="0.3">
      <c r="A78" s="1">
        <v>42442</v>
      </c>
      <c r="B78" s="206">
        <v>423243219</v>
      </c>
      <c r="C78" s="8">
        <f t="shared" si="6"/>
        <v>0</v>
      </c>
      <c r="D78" s="7">
        <f t="shared" si="7"/>
        <v>0</v>
      </c>
    </row>
    <row r="79" spans="1:4" x14ac:dyDescent="0.3">
      <c r="A79" s="1">
        <v>42443</v>
      </c>
      <c r="B79" s="206">
        <v>423243219</v>
      </c>
      <c r="C79" s="8">
        <f t="shared" si="6"/>
        <v>0</v>
      </c>
      <c r="D79" s="7">
        <f t="shared" si="7"/>
        <v>0</v>
      </c>
    </row>
    <row r="80" spans="1:4" x14ac:dyDescent="0.3">
      <c r="A80" s="1">
        <v>42444</v>
      </c>
      <c r="B80" s="206">
        <v>423243219</v>
      </c>
      <c r="C80" s="8">
        <f t="shared" si="6"/>
        <v>0</v>
      </c>
      <c r="D80" s="7">
        <f t="shared" si="7"/>
        <v>0</v>
      </c>
    </row>
    <row r="81" spans="1:4" x14ac:dyDescent="0.3">
      <c r="A81" s="1">
        <v>42445</v>
      </c>
      <c r="B81" s="206">
        <v>423243219</v>
      </c>
      <c r="C81" s="8">
        <f t="shared" si="6"/>
        <v>0</v>
      </c>
      <c r="D81" s="7">
        <f t="shared" si="7"/>
        <v>0</v>
      </c>
    </row>
    <row r="82" spans="1:4" x14ac:dyDescent="0.3">
      <c r="A82" s="1">
        <v>42446</v>
      </c>
      <c r="B82" s="206">
        <v>423243219</v>
      </c>
      <c r="C82" s="8">
        <f t="shared" si="6"/>
        <v>0</v>
      </c>
      <c r="D82" s="7">
        <f t="shared" si="7"/>
        <v>0</v>
      </c>
    </row>
    <row r="83" spans="1:4" x14ac:dyDescent="0.3">
      <c r="A83" s="1">
        <v>42447</v>
      </c>
      <c r="B83" s="206">
        <v>423243219</v>
      </c>
      <c r="C83" s="8">
        <f t="shared" si="6"/>
        <v>0</v>
      </c>
      <c r="D83" s="7">
        <f t="shared" si="7"/>
        <v>0</v>
      </c>
    </row>
    <row r="84" spans="1:4" x14ac:dyDescent="0.3">
      <c r="A84" s="1">
        <v>42448</v>
      </c>
      <c r="B84" s="206">
        <v>423243219</v>
      </c>
      <c r="C84" s="8">
        <f t="shared" si="6"/>
        <v>0</v>
      </c>
      <c r="D84" s="7">
        <f t="shared" si="7"/>
        <v>0</v>
      </c>
    </row>
    <row r="85" spans="1:4" x14ac:dyDescent="0.3">
      <c r="A85" s="1">
        <v>42449</v>
      </c>
      <c r="B85" s="206">
        <v>423243219</v>
      </c>
      <c r="C85" s="8">
        <f t="shared" si="6"/>
        <v>0</v>
      </c>
      <c r="D85" s="7">
        <f t="shared" si="7"/>
        <v>0</v>
      </c>
    </row>
    <row r="86" spans="1:4" x14ac:dyDescent="0.3">
      <c r="A86" s="1">
        <v>42450</v>
      </c>
      <c r="B86" s="206">
        <v>423243219</v>
      </c>
      <c r="C86" s="8">
        <f t="shared" si="6"/>
        <v>0</v>
      </c>
      <c r="D86" s="7">
        <f t="shared" si="7"/>
        <v>0</v>
      </c>
    </row>
    <row r="87" spans="1:4" x14ac:dyDescent="0.3">
      <c r="A87" s="1">
        <v>42451</v>
      </c>
      <c r="B87" s="206">
        <v>423243219</v>
      </c>
      <c r="C87" s="8">
        <f t="shared" si="6"/>
        <v>0</v>
      </c>
      <c r="D87" s="7">
        <f t="shared" si="7"/>
        <v>0</v>
      </c>
    </row>
    <row r="88" spans="1:4" x14ac:dyDescent="0.3">
      <c r="A88" s="1">
        <v>42452</v>
      </c>
      <c r="B88" s="206">
        <v>423243219</v>
      </c>
      <c r="C88" s="8">
        <f t="shared" si="6"/>
        <v>0</v>
      </c>
      <c r="D88" s="7">
        <f t="shared" si="7"/>
        <v>0</v>
      </c>
    </row>
    <row r="89" spans="1:4" x14ac:dyDescent="0.3">
      <c r="A89" s="1">
        <v>42453</v>
      </c>
      <c r="B89" s="206">
        <v>423243219</v>
      </c>
      <c r="C89" s="8">
        <f t="shared" si="6"/>
        <v>0</v>
      </c>
      <c r="D89" s="7">
        <f t="shared" si="7"/>
        <v>0</v>
      </c>
    </row>
    <row r="90" spans="1:4" x14ac:dyDescent="0.3">
      <c r="A90" s="1">
        <v>42454</v>
      </c>
      <c r="B90" s="206">
        <v>423243219</v>
      </c>
      <c r="C90" s="8">
        <f t="shared" si="6"/>
        <v>0</v>
      </c>
      <c r="D90" s="7">
        <f t="shared" si="7"/>
        <v>0</v>
      </c>
    </row>
    <row r="91" spans="1:4" x14ac:dyDescent="0.3">
      <c r="A91" s="1">
        <v>42455</v>
      </c>
      <c r="B91" s="206">
        <v>423243219</v>
      </c>
      <c r="C91" s="8">
        <f t="shared" si="6"/>
        <v>0</v>
      </c>
      <c r="D91" s="7">
        <f t="shared" si="7"/>
        <v>0</v>
      </c>
    </row>
    <row r="92" spans="1:4" x14ac:dyDescent="0.3">
      <c r="A92" s="1">
        <v>42456</v>
      </c>
      <c r="B92" s="206">
        <v>423243219</v>
      </c>
      <c r="C92" s="8">
        <f t="shared" si="6"/>
        <v>0</v>
      </c>
      <c r="D92" s="7">
        <f>IFERROR(B91/B93-1,0)</f>
        <v>0</v>
      </c>
    </row>
    <row r="93" spans="1:4" x14ac:dyDescent="0.3">
      <c r="A93" s="1">
        <v>42457</v>
      </c>
      <c r="B93" s="206">
        <v>423243219</v>
      </c>
      <c r="C93" s="8">
        <f t="shared" si="6"/>
        <v>0</v>
      </c>
      <c r="D93" s="7">
        <f>IFERROR(B93/#REF!-1,0)</f>
        <v>0</v>
      </c>
    </row>
    <row r="94" spans="1:4" x14ac:dyDescent="0.3">
      <c r="A94" s="1">
        <v>42458</v>
      </c>
      <c r="B94" s="206">
        <v>423243219</v>
      </c>
      <c r="C94" s="8">
        <f t="shared" si="6"/>
        <v>0</v>
      </c>
      <c r="D94" s="7">
        <f>IFERROR(#REF!/B94-1,0)</f>
        <v>0</v>
      </c>
    </row>
    <row r="95" spans="1:4" x14ac:dyDescent="0.3">
      <c r="A95" s="1">
        <v>42459</v>
      </c>
      <c r="B95" s="206">
        <v>423243219</v>
      </c>
      <c r="C95" s="8">
        <f t="shared" si="6"/>
        <v>0</v>
      </c>
      <c r="D95" s="7">
        <f t="shared" si="7"/>
        <v>0</v>
      </c>
    </row>
    <row r="96" spans="1:4" x14ac:dyDescent="0.3">
      <c r="A96" s="1">
        <v>42460</v>
      </c>
      <c r="B96" s="206">
        <v>423243219</v>
      </c>
      <c r="C96" s="8">
        <f t="shared" si="6"/>
        <v>0</v>
      </c>
      <c r="D96" s="7">
        <f t="shared" si="7"/>
        <v>0</v>
      </c>
    </row>
    <row r="97" spans="1:4" x14ac:dyDescent="0.3">
      <c r="A97" s="35" t="s">
        <v>10</v>
      </c>
      <c r="B97" s="17">
        <f>B96</f>
        <v>423243219</v>
      </c>
      <c r="C97" s="17">
        <f>SUM(C66:C96)</f>
        <v>0</v>
      </c>
      <c r="D97" s="5"/>
    </row>
    <row r="98" spans="1:4" x14ac:dyDescent="0.3">
      <c r="A98" s="1">
        <v>42461</v>
      </c>
      <c r="B98" s="206">
        <v>423243219</v>
      </c>
      <c r="C98" s="8">
        <f>B98-B96</f>
        <v>0</v>
      </c>
      <c r="D98" s="7">
        <f>IFERROR(B96/B98-1,0)</f>
        <v>0</v>
      </c>
    </row>
    <row r="99" spans="1:4" x14ac:dyDescent="0.3">
      <c r="A99" s="1">
        <v>42462</v>
      </c>
      <c r="B99" s="206">
        <v>423243219</v>
      </c>
      <c r="C99" s="8">
        <f>B99-B98</f>
        <v>0</v>
      </c>
      <c r="D99" s="7">
        <f>IFERROR(B98/B99-1,0)</f>
        <v>0</v>
      </c>
    </row>
    <row r="100" spans="1:4" x14ac:dyDescent="0.3">
      <c r="A100" s="1">
        <v>42463</v>
      </c>
      <c r="B100" s="206">
        <v>423243219</v>
      </c>
      <c r="C100" s="8">
        <f t="shared" ref="C100:C107" si="8">B100-B99</f>
        <v>0</v>
      </c>
      <c r="D100" s="7">
        <f t="shared" ref="D100:D107" si="9">IFERROR(B99/B100-1,0)</f>
        <v>0</v>
      </c>
    </row>
    <row r="101" spans="1:4" x14ac:dyDescent="0.3">
      <c r="A101" s="1">
        <v>42464</v>
      </c>
      <c r="B101" s="206">
        <v>423243219</v>
      </c>
      <c r="C101" s="8">
        <f t="shared" si="8"/>
        <v>0</v>
      </c>
      <c r="D101" s="7">
        <f t="shared" si="9"/>
        <v>0</v>
      </c>
    </row>
    <row r="102" spans="1:4" x14ac:dyDescent="0.3">
      <c r="A102" s="1">
        <v>42465</v>
      </c>
      <c r="B102" s="206">
        <v>423243219</v>
      </c>
      <c r="C102" s="8">
        <f t="shared" si="8"/>
        <v>0</v>
      </c>
      <c r="D102" s="7">
        <f t="shared" si="9"/>
        <v>0</v>
      </c>
    </row>
    <row r="103" spans="1:4" x14ac:dyDescent="0.3">
      <c r="A103" s="1">
        <v>42466</v>
      </c>
      <c r="B103" s="206">
        <v>423243219</v>
      </c>
      <c r="C103" s="8">
        <f t="shared" si="8"/>
        <v>0</v>
      </c>
      <c r="D103" s="7">
        <f t="shared" si="9"/>
        <v>0</v>
      </c>
    </row>
    <row r="104" spans="1:4" x14ac:dyDescent="0.3">
      <c r="A104" s="1">
        <v>42467</v>
      </c>
      <c r="B104" s="206">
        <v>423243219</v>
      </c>
      <c r="C104" s="8">
        <f t="shared" si="8"/>
        <v>0</v>
      </c>
      <c r="D104" s="7">
        <f t="shared" si="9"/>
        <v>0</v>
      </c>
    </row>
    <row r="105" spans="1:4" x14ac:dyDescent="0.3">
      <c r="A105" s="1">
        <v>42468</v>
      </c>
      <c r="B105" s="206">
        <v>423243219</v>
      </c>
      <c r="C105" s="8">
        <f t="shared" si="8"/>
        <v>0</v>
      </c>
      <c r="D105" s="7">
        <f t="shared" si="9"/>
        <v>0</v>
      </c>
    </row>
    <row r="106" spans="1:4" x14ac:dyDescent="0.3">
      <c r="A106" s="1">
        <v>42469</v>
      </c>
      <c r="B106" s="206">
        <v>423243219</v>
      </c>
      <c r="C106" s="8">
        <f t="shared" si="8"/>
        <v>0</v>
      </c>
      <c r="D106" s="7">
        <f t="shared" si="9"/>
        <v>0</v>
      </c>
    </row>
    <row r="107" spans="1:4" x14ac:dyDescent="0.3">
      <c r="A107" s="1">
        <v>42470</v>
      </c>
      <c r="B107" s="206">
        <v>423243219</v>
      </c>
      <c r="C107" s="8">
        <f t="shared" si="8"/>
        <v>0</v>
      </c>
      <c r="D107" s="7">
        <f t="shared" si="9"/>
        <v>0</v>
      </c>
    </row>
    <row r="108" spans="1:4" x14ac:dyDescent="0.3">
      <c r="A108" s="1">
        <v>42471</v>
      </c>
      <c r="B108" s="206">
        <v>423243219</v>
      </c>
      <c r="C108" s="8">
        <f t="shared" ref="C108:C127" si="10">B108-B107</f>
        <v>0</v>
      </c>
      <c r="D108" s="7">
        <f t="shared" ref="D108:D127" si="11">IFERROR(B107/B108-1,0)</f>
        <v>0</v>
      </c>
    </row>
    <row r="109" spans="1:4" x14ac:dyDescent="0.3">
      <c r="A109" s="1">
        <v>42472</v>
      </c>
      <c r="B109" s="206">
        <v>423243219</v>
      </c>
      <c r="C109" s="8">
        <f t="shared" si="10"/>
        <v>0</v>
      </c>
      <c r="D109" s="7">
        <f t="shared" si="11"/>
        <v>0</v>
      </c>
    </row>
    <row r="110" spans="1:4" x14ac:dyDescent="0.3">
      <c r="A110" s="1">
        <v>42473</v>
      </c>
      <c r="B110" s="206">
        <v>423243219</v>
      </c>
      <c r="C110" s="8">
        <f t="shared" si="10"/>
        <v>0</v>
      </c>
      <c r="D110" s="7">
        <f t="shared" si="11"/>
        <v>0</v>
      </c>
    </row>
    <row r="111" spans="1:4" x14ac:dyDescent="0.3">
      <c r="A111" s="1">
        <v>42474</v>
      </c>
      <c r="B111" s="206">
        <v>423243219</v>
      </c>
      <c r="C111" s="8">
        <f t="shared" si="10"/>
        <v>0</v>
      </c>
      <c r="D111" s="7">
        <f t="shared" si="11"/>
        <v>0</v>
      </c>
    </row>
    <row r="112" spans="1:4" x14ac:dyDescent="0.3">
      <c r="A112" s="1">
        <v>42475</v>
      </c>
      <c r="B112" s="206">
        <v>423243219</v>
      </c>
      <c r="C112" s="8">
        <f t="shared" si="10"/>
        <v>0</v>
      </c>
      <c r="D112" s="7">
        <f t="shared" si="11"/>
        <v>0</v>
      </c>
    </row>
    <row r="113" spans="1:4" x14ac:dyDescent="0.3">
      <c r="A113" s="1">
        <v>42476</v>
      </c>
      <c r="B113" s="206">
        <v>423243219</v>
      </c>
      <c r="C113" s="8">
        <f t="shared" si="10"/>
        <v>0</v>
      </c>
      <c r="D113" s="7">
        <f t="shared" si="11"/>
        <v>0</v>
      </c>
    </row>
    <row r="114" spans="1:4" x14ac:dyDescent="0.3">
      <c r="A114" s="1">
        <v>42477</v>
      </c>
      <c r="B114" s="206">
        <v>423243219</v>
      </c>
      <c r="C114" s="8">
        <f t="shared" si="10"/>
        <v>0</v>
      </c>
      <c r="D114" s="7">
        <f t="shared" si="11"/>
        <v>0</v>
      </c>
    </row>
    <row r="115" spans="1:4" x14ac:dyDescent="0.3">
      <c r="A115" s="1">
        <v>42478</v>
      </c>
      <c r="B115" s="206">
        <v>423243219</v>
      </c>
      <c r="C115" s="8">
        <f t="shared" si="10"/>
        <v>0</v>
      </c>
      <c r="D115" s="7">
        <f t="shared" si="11"/>
        <v>0</v>
      </c>
    </row>
    <row r="116" spans="1:4" x14ac:dyDescent="0.3">
      <c r="A116" s="1">
        <v>42479</v>
      </c>
      <c r="B116" s="206">
        <v>423243219</v>
      </c>
      <c r="C116" s="8">
        <f t="shared" si="10"/>
        <v>0</v>
      </c>
      <c r="D116" s="7">
        <f t="shared" si="11"/>
        <v>0</v>
      </c>
    </row>
    <row r="117" spans="1:4" x14ac:dyDescent="0.3">
      <c r="A117" s="1">
        <v>42480</v>
      </c>
      <c r="B117" s="206">
        <v>423243219</v>
      </c>
      <c r="C117" s="8">
        <f t="shared" si="10"/>
        <v>0</v>
      </c>
      <c r="D117" s="7">
        <f t="shared" si="11"/>
        <v>0</v>
      </c>
    </row>
    <row r="118" spans="1:4" x14ac:dyDescent="0.3">
      <c r="A118" s="1">
        <v>42481</v>
      </c>
      <c r="B118" s="206">
        <v>423243219</v>
      </c>
      <c r="C118" s="8">
        <f t="shared" si="10"/>
        <v>0</v>
      </c>
      <c r="D118" s="7">
        <f t="shared" si="11"/>
        <v>0</v>
      </c>
    </row>
    <row r="119" spans="1:4" x14ac:dyDescent="0.3">
      <c r="A119" s="1">
        <v>42482</v>
      </c>
      <c r="B119" s="206">
        <v>423243219</v>
      </c>
      <c r="C119" s="8">
        <f t="shared" si="10"/>
        <v>0</v>
      </c>
      <c r="D119" s="7">
        <f t="shared" si="11"/>
        <v>0</v>
      </c>
    </row>
    <row r="120" spans="1:4" x14ac:dyDescent="0.3">
      <c r="A120" s="1">
        <v>42483</v>
      </c>
      <c r="B120" s="206">
        <v>423243219</v>
      </c>
      <c r="C120" s="8">
        <f t="shared" si="10"/>
        <v>0</v>
      </c>
      <c r="D120" s="7">
        <f t="shared" si="11"/>
        <v>0</v>
      </c>
    </row>
    <row r="121" spans="1:4" x14ac:dyDescent="0.3">
      <c r="A121" s="1">
        <v>42484</v>
      </c>
      <c r="B121" s="206">
        <v>423243219</v>
      </c>
      <c r="C121" s="8">
        <f t="shared" si="10"/>
        <v>0</v>
      </c>
      <c r="D121" s="7">
        <f t="shared" si="11"/>
        <v>0</v>
      </c>
    </row>
    <row r="122" spans="1:4" x14ac:dyDescent="0.3">
      <c r="A122" s="1">
        <v>42485</v>
      </c>
      <c r="B122" s="206">
        <v>423243219</v>
      </c>
      <c r="C122" s="8">
        <f t="shared" si="10"/>
        <v>0</v>
      </c>
      <c r="D122" s="7">
        <f t="shared" si="11"/>
        <v>0</v>
      </c>
    </row>
    <row r="123" spans="1:4" x14ac:dyDescent="0.3">
      <c r="A123" s="1">
        <v>42486</v>
      </c>
      <c r="B123" s="206">
        <v>423243219</v>
      </c>
      <c r="C123" s="8">
        <f t="shared" si="10"/>
        <v>0</v>
      </c>
      <c r="D123" s="7">
        <f t="shared" si="11"/>
        <v>0</v>
      </c>
    </row>
    <row r="124" spans="1:4" x14ac:dyDescent="0.3">
      <c r="A124" s="1">
        <v>42487</v>
      </c>
      <c r="B124" s="206">
        <v>423243219</v>
      </c>
      <c r="C124" s="8">
        <f t="shared" si="10"/>
        <v>0</v>
      </c>
      <c r="D124" s="7">
        <f t="shared" si="11"/>
        <v>0</v>
      </c>
    </row>
    <row r="125" spans="1:4" x14ac:dyDescent="0.3">
      <c r="A125" s="1">
        <v>42488</v>
      </c>
      <c r="B125" s="206">
        <v>423243219</v>
      </c>
      <c r="C125" s="8">
        <f t="shared" si="10"/>
        <v>0</v>
      </c>
      <c r="D125" s="7">
        <f t="shared" si="11"/>
        <v>0</v>
      </c>
    </row>
    <row r="126" spans="1:4" x14ac:dyDescent="0.3">
      <c r="A126" s="1">
        <v>42489</v>
      </c>
      <c r="B126" s="206">
        <v>423243219</v>
      </c>
      <c r="C126" s="8">
        <f t="shared" si="10"/>
        <v>0</v>
      </c>
      <c r="D126" s="7">
        <f t="shared" si="11"/>
        <v>0</v>
      </c>
    </row>
    <row r="127" spans="1:4" x14ac:dyDescent="0.3">
      <c r="A127" s="1">
        <v>42490</v>
      </c>
      <c r="B127" s="206">
        <v>423243219</v>
      </c>
      <c r="C127" s="8">
        <f t="shared" si="10"/>
        <v>0</v>
      </c>
      <c r="D127" s="7">
        <f t="shared" si="11"/>
        <v>0</v>
      </c>
    </row>
    <row r="128" spans="1:4" x14ac:dyDescent="0.3">
      <c r="A128" s="35" t="s">
        <v>11</v>
      </c>
      <c r="B128" s="17">
        <f>B127</f>
        <v>423243219</v>
      </c>
      <c r="C128" s="17">
        <f>SUM(C98:C127)</f>
        <v>0</v>
      </c>
      <c r="D128" s="5"/>
    </row>
    <row r="129" spans="1:4" x14ac:dyDescent="0.3">
      <c r="A129" s="1">
        <v>42491</v>
      </c>
      <c r="B129" s="206">
        <v>423243219</v>
      </c>
      <c r="C129" s="8">
        <f>B129-B127</f>
        <v>0</v>
      </c>
      <c r="D129" s="7">
        <f>IFERROR(B127/B129-1,0)</f>
        <v>0</v>
      </c>
    </row>
    <row r="130" spans="1:4" x14ac:dyDescent="0.3">
      <c r="A130" s="1">
        <v>42492</v>
      </c>
      <c r="B130" s="206">
        <v>423243219</v>
      </c>
      <c r="C130" s="8">
        <f t="shared" ref="C130:C159" si="12">B130-B129</f>
        <v>0</v>
      </c>
      <c r="D130" s="7">
        <f t="shared" ref="D130:D159" si="13">IFERROR(B129/B130-1,0)</f>
        <v>0</v>
      </c>
    </row>
    <row r="131" spans="1:4" x14ac:dyDescent="0.3">
      <c r="A131" s="1">
        <v>42493</v>
      </c>
      <c r="B131" s="206">
        <v>423243219</v>
      </c>
      <c r="C131" s="8">
        <f t="shared" si="12"/>
        <v>0</v>
      </c>
      <c r="D131" s="7">
        <f t="shared" si="13"/>
        <v>0</v>
      </c>
    </row>
    <row r="132" spans="1:4" x14ac:dyDescent="0.3">
      <c r="A132" s="1">
        <v>42494</v>
      </c>
      <c r="B132" s="206">
        <v>423243219</v>
      </c>
      <c r="C132" s="8">
        <f t="shared" si="12"/>
        <v>0</v>
      </c>
      <c r="D132" s="7">
        <f t="shared" si="13"/>
        <v>0</v>
      </c>
    </row>
    <row r="133" spans="1:4" x14ac:dyDescent="0.3">
      <c r="A133" s="1">
        <v>42495</v>
      </c>
      <c r="B133" s="206">
        <v>423243219</v>
      </c>
      <c r="C133" s="8">
        <f t="shared" si="12"/>
        <v>0</v>
      </c>
      <c r="D133" s="7">
        <f t="shared" si="13"/>
        <v>0</v>
      </c>
    </row>
    <row r="134" spans="1:4" x14ac:dyDescent="0.3">
      <c r="A134" s="1">
        <v>42496</v>
      </c>
      <c r="B134" s="206">
        <v>423243219</v>
      </c>
      <c r="C134" s="8">
        <f t="shared" si="12"/>
        <v>0</v>
      </c>
      <c r="D134" s="7">
        <f t="shared" si="13"/>
        <v>0</v>
      </c>
    </row>
    <row r="135" spans="1:4" x14ac:dyDescent="0.3">
      <c r="A135" s="1">
        <v>42497</v>
      </c>
      <c r="B135" s="206">
        <v>423243219</v>
      </c>
      <c r="C135" s="8">
        <f t="shared" si="12"/>
        <v>0</v>
      </c>
      <c r="D135" s="7">
        <f t="shared" si="13"/>
        <v>0</v>
      </c>
    </row>
    <row r="136" spans="1:4" x14ac:dyDescent="0.3">
      <c r="A136" s="1">
        <v>42498</v>
      </c>
      <c r="B136" s="206">
        <v>423243219</v>
      </c>
      <c r="C136" s="8">
        <f t="shared" si="12"/>
        <v>0</v>
      </c>
      <c r="D136" s="7">
        <f t="shared" si="13"/>
        <v>0</v>
      </c>
    </row>
    <row r="137" spans="1:4" x14ac:dyDescent="0.3">
      <c r="A137" s="1">
        <v>42499</v>
      </c>
      <c r="B137" s="206">
        <v>423243219</v>
      </c>
      <c r="C137" s="8">
        <f t="shared" si="12"/>
        <v>0</v>
      </c>
      <c r="D137" s="7">
        <f t="shared" si="13"/>
        <v>0</v>
      </c>
    </row>
    <row r="138" spans="1:4" x14ac:dyDescent="0.3">
      <c r="A138" s="1">
        <v>42500</v>
      </c>
      <c r="B138" s="206">
        <v>423243219</v>
      </c>
      <c r="C138" s="8">
        <f t="shared" si="12"/>
        <v>0</v>
      </c>
      <c r="D138" s="7">
        <f t="shared" si="13"/>
        <v>0</v>
      </c>
    </row>
    <row r="139" spans="1:4" x14ac:dyDescent="0.3">
      <c r="A139" s="1">
        <v>42501</v>
      </c>
      <c r="B139" s="206">
        <v>423243219</v>
      </c>
      <c r="C139" s="8">
        <f t="shared" si="12"/>
        <v>0</v>
      </c>
      <c r="D139" s="7">
        <f t="shared" si="13"/>
        <v>0</v>
      </c>
    </row>
    <row r="140" spans="1:4" x14ac:dyDescent="0.3">
      <c r="A140" s="1">
        <v>42502</v>
      </c>
      <c r="B140" s="206">
        <v>423243219</v>
      </c>
      <c r="C140" s="8">
        <f t="shared" si="12"/>
        <v>0</v>
      </c>
      <c r="D140" s="7">
        <f t="shared" si="13"/>
        <v>0</v>
      </c>
    </row>
    <row r="141" spans="1:4" x14ac:dyDescent="0.3">
      <c r="A141" s="1">
        <v>42503</v>
      </c>
      <c r="B141" s="206">
        <v>423243219</v>
      </c>
      <c r="C141" s="8">
        <f t="shared" si="12"/>
        <v>0</v>
      </c>
      <c r="D141" s="7">
        <f t="shared" si="13"/>
        <v>0</v>
      </c>
    </row>
    <row r="142" spans="1:4" x14ac:dyDescent="0.3">
      <c r="A142" s="1">
        <v>42504</v>
      </c>
      <c r="B142" s="206">
        <v>423243219</v>
      </c>
      <c r="C142" s="8">
        <f t="shared" si="12"/>
        <v>0</v>
      </c>
      <c r="D142" s="7">
        <f t="shared" si="13"/>
        <v>0</v>
      </c>
    </row>
    <row r="143" spans="1:4" x14ac:dyDescent="0.3">
      <c r="A143" s="1">
        <v>42505</v>
      </c>
      <c r="B143" s="206">
        <v>423243219</v>
      </c>
      <c r="C143" s="8">
        <f t="shared" si="12"/>
        <v>0</v>
      </c>
      <c r="D143" s="7">
        <f t="shared" si="13"/>
        <v>0</v>
      </c>
    </row>
    <row r="144" spans="1:4" x14ac:dyDescent="0.3">
      <c r="A144" s="1">
        <v>42506</v>
      </c>
      <c r="B144" s="206">
        <v>423243219</v>
      </c>
      <c r="C144" s="8">
        <f t="shared" si="12"/>
        <v>0</v>
      </c>
      <c r="D144" s="7">
        <f t="shared" si="13"/>
        <v>0</v>
      </c>
    </row>
    <row r="145" spans="1:4" x14ac:dyDescent="0.3">
      <c r="A145" s="1">
        <v>42507</v>
      </c>
      <c r="B145" s="206">
        <v>423243219</v>
      </c>
      <c r="C145" s="8">
        <f t="shared" si="12"/>
        <v>0</v>
      </c>
      <c r="D145" s="7">
        <f t="shared" si="13"/>
        <v>0</v>
      </c>
    </row>
    <row r="146" spans="1:4" x14ac:dyDescent="0.3">
      <c r="A146" s="1">
        <v>42508</v>
      </c>
      <c r="B146" s="206">
        <v>423243219</v>
      </c>
      <c r="C146" s="8">
        <f t="shared" si="12"/>
        <v>0</v>
      </c>
      <c r="D146" s="7">
        <f t="shared" si="13"/>
        <v>0</v>
      </c>
    </row>
    <row r="147" spans="1:4" x14ac:dyDescent="0.3">
      <c r="A147" s="1">
        <v>42509</v>
      </c>
      <c r="B147" s="206">
        <v>423243219</v>
      </c>
      <c r="C147" s="8">
        <f t="shared" si="12"/>
        <v>0</v>
      </c>
      <c r="D147" s="7">
        <f t="shared" si="13"/>
        <v>0</v>
      </c>
    </row>
    <row r="148" spans="1:4" x14ac:dyDescent="0.3">
      <c r="A148" s="1">
        <v>42510</v>
      </c>
      <c r="B148" s="206">
        <v>423243219</v>
      </c>
      <c r="C148" s="8">
        <f t="shared" si="12"/>
        <v>0</v>
      </c>
      <c r="D148" s="7">
        <f t="shared" si="13"/>
        <v>0</v>
      </c>
    </row>
    <row r="149" spans="1:4" x14ac:dyDescent="0.3">
      <c r="A149" s="1">
        <v>42511</v>
      </c>
      <c r="B149" s="206">
        <v>423243219</v>
      </c>
      <c r="C149" s="8">
        <f t="shared" si="12"/>
        <v>0</v>
      </c>
      <c r="D149" s="7">
        <f t="shared" si="13"/>
        <v>0</v>
      </c>
    </row>
    <row r="150" spans="1:4" x14ac:dyDescent="0.3">
      <c r="A150" s="1">
        <v>42512</v>
      </c>
      <c r="B150" s="206">
        <v>423243219</v>
      </c>
      <c r="C150" s="8">
        <f t="shared" si="12"/>
        <v>0</v>
      </c>
      <c r="D150" s="7">
        <f t="shared" si="13"/>
        <v>0</v>
      </c>
    </row>
    <row r="151" spans="1:4" x14ac:dyDescent="0.3">
      <c r="A151" s="1">
        <v>42513</v>
      </c>
      <c r="B151" s="206">
        <v>423243219</v>
      </c>
      <c r="C151" s="8">
        <f t="shared" si="12"/>
        <v>0</v>
      </c>
      <c r="D151" s="7">
        <f t="shared" si="13"/>
        <v>0</v>
      </c>
    </row>
    <row r="152" spans="1:4" x14ac:dyDescent="0.3">
      <c r="A152" s="1">
        <v>42514</v>
      </c>
      <c r="B152" s="206">
        <v>423243219</v>
      </c>
      <c r="C152" s="8">
        <f t="shared" si="12"/>
        <v>0</v>
      </c>
      <c r="D152" s="7">
        <f t="shared" si="13"/>
        <v>0</v>
      </c>
    </row>
    <row r="153" spans="1:4" x14ac:dyDescent="0.3">
      <c r="A153" s="1">
        <v>42515</v>
      </c>
      <c r="B153" s="206">
        <v>423243219</v>
      </c>
      <c r="C153" s="8">
        <f t="shared" si="12"/>
        <v>0</v>
      </c>
      <c r="D153" s="7">
        <f t="shared" si="13"/>
        <v>0</v>
      </c>
    </row>
    <row r="154" spans="1:4" x14ac:dyDescent="0.3">
      <c r="A154" s="1">
        <v>42516</v>
      </c>
      <c r="B154" s="206">
        <v>423243219</v>
      </c>
      <c r="C154" s="8">
        <f t="shared" si="12"/>
        <v>0</v>
      </c>
      <c r="D154" s="7">
        <f t="shared" si="13"/>
        <v>0</v>
      </c>
    </row>
    <row r="155" spans="1:4" x14ac:dyDescent="0.3">
      <c r="A155" s="1">
        <v>42517</v>
      </c>
      <c r="B155" s="206">
        <v>423243219</v>
      </c>
      <c r="C155" s="8">
        <f t="shared" si="12"/>
        <v>0</v>
      </c>
      <c r="D155" s="7">
        <f t="shared" si="13"/>
        <v>0</v>
      </c>
    </row>
    <row r="156" spans="1:4" x14ac:dyDescent="0.3">
      <c r="A156" s="1">
        <v>42518</v>
      </c>
      <c r="B156" s="206">
        <v>423243219</v>
      </c>
      <c r="C156" s="8">
        <f t="shared" si="12"/>
        <v>0</v>
      </c>
      <c r="D156" s="7">
        <f t="shared" si="13"/>
        <v>0</v>
      </c>
    </row>
    <row r="157" spans="1:4" x14ac:dyDescent="0.3">
      <c r="A157" s="1">
        <v>42519</v>
      </c>
      <c r="B157" s="206">
        <v>423243219</v>
      </c>
      <c r="C157" s="8">
        <f t="shared" si="12"/>
        <v>0</v>
      </c>
      <c r="D157" s="7">
        <f t="shared" si="13"/>
        <v>0</v>
      </c>
    </row>
    <row r="158" spans="1:4" x14ac:dyDescent="0.3">
      <c r="A158" s="1">
        <v>42520</v>
      </c>
      <c r="B158" s="206">
        <v>423243219</v>
      </c>
      <c r="C158" s="8">
        <f t="shared" si="12"/>
        <v>0</v>
      </c>
      <c r="D158" s="7">
        <f t="shared" si="13"/>
        <v>0</v>
      </c>
    </row>
    <row r="159" spans="1:4" x14ac:dyDescent="0.3">
      <c r="A159" s="1">
        <v>42521</v>
      </c>
      <c r="B159" s="206">
        <v>423243219</v>
      </c>
      <c r="C159" s="8">
        <f t="shared" si="12"/>
        <v>0</v>
      </c>
      <c r="D159" s="7">
        <f t="shared" si="13"/>
        <v>0</v>
      </c>
    </row>
    <row r="160" spans="1:4" x14ac:dyDescent="0.3">
      <c r="A160" s="35" t="s">
        <v>12</v>
      </c>
      <c r="B160" s="17">
        <f>B159</f>
        <v>423243219</v>
      </c>
      <c r="C160" s="17">
        <f>SUM(C129:C159)</f>
        <v>0</v>
      </c>
      <c r="D160" s="5"/>
    </row>
    <row r="161" spans="1:4" x14ac:dyDescent="0.3">
      <c r="A161" s="1">
        <v>42522</v>
      </c>
      <c r="B161" s="206">
        <v>423243219</v>
      </c>
      <c r="C161" s="8">
        <f>B161-B159</f>
        <v>0</v>
      </c>
      <c r="D161" s="7">
        <f>IFERROR(B159/B161-1,0)</f>
        <v>0</v>
      </c>
    </row>
    <row r="162" spans="1:4" x14ac:dyDescent="0.3">
      <c r="A162" s="1">
        <v>42523</v>
      </c>
      <c r="B162" s="206">
        <v>423243219</v>
      </c>
      <c r="C162" s="8">
        <f t="shared" ref="C162" si="14">B162-B161</f>
        <v>0</v>
      </c>
      <c r="D162" s="7">
        <f t="shared" ref="D162" si="15">IFERROR(B161/B162-1,0)</f>
        <v>0</v>
      </c>
    </row>
    <row r="163" spans="1:4" x14ac:dyDescent="0.3">
      <c r="A163" s="1">
        <v>42524</v>
      </c>
      <c r="B163" s="206">
        <v>423243219</v>
      </c>
      <c r="C163" s="8">
        <f t="shared" ref="C163:C190" si="16">B163-B162</f>
        <v>0</v>
      </c>
      <c r="D163" s="7">
        <f t="shared" ref="D163:D190" si="17">IFERROR(B162/B163-1,0)</f>
        <v>0</v>
      </c>
    </row>
    <row r="164" spans="1:4" x14ac:dyDescent="0.3">
      <c r="A164" s="1">
        <v>42525</v>
      </c>
      <c r="B164" s="206">
        <v>423243219</v>
      </c>
      <c r="C164" s="8">
        <f t="shared" si="16"/>
        <v>0</v>
      </c>
      <c r="D164" s="7">
        <f t="shared" si="17"/>
        <v>0</v>
      </c>
    </row>
    <row r="165" spans="1:4" x14ac:dyDescent="0.3">
      <c r="A165" s="1">
        <v>42526</v>
      </c>
      <c r="B165" s="206">
        <v>423243219</v>
      </c>
      <c r="C165" s="8">
        <f t="shared" si="16"/>
        <v>0</v>
      </c>
      <c r="D165" s="7">
        <f t="shared" si="17"/>
        <v>0</v>
      </c>
    </row>
    <row r="166" spans="1:4" x14ac:dyDescent="0.3">
      <c r="A166" s="1">
        <v>42527</v>
      </c>
      <c r="B166" s="206">
        <v>423243219</v>
      </c>
      <c r="C166" s="8">
        <f t="shared" si="16"/>
        <v>0</v>
      </c>
      <c r="D166" s="7">
        <f t="shared" si="17"/>
        <v>0</v>
      </c>
    </row>
    <row r="167" spans="1:4" x14ac:dyDescent="0.3">
      <c r="A167" s="1">
        <v>42528</v>
      </c>
      <c r="B167" s="206">
        <v>423243219</v>
      </c>
      <c r="C167" s="8">
        <f t="shared" si="16"/>
        <v>0</v>
      </c>
      <c r="D167" s="7">
        <f t="shared" si="17"/>
        <v>0</v>
      </c>
    </row>
    <row r="168" spans="1:4" x14ac:dyDescent="0.3">
      <c r="A168" s="1">
        <v>42529</v>
      </c>
      <c r="B168" s="206">
        <v>423243219</v>
      </c>
      <c r="C168" s="8">
        <f t="shared" si="16"/>
        <v>0</v>
      </c>
      <c r="D168" s="7">
        <f t="shared" si="17"/>
        <v>0</v>
      </c>
    </row>
    <row r="169" spans="1:4" x14ac:dyDescent="0.3">
      <c r="A169" s="1">
        <v>42530</v>
      </c>
      <c r="B169" s="206">
        <v>423243219</v>
      </c>
      <c r="C169" s="8">
        <f t="shared" si="16"/>
        <v>0</v>
      </c>
      <c r="D169" s="7">
        <f t="shared" si="17"/>
        <v>0</v>
      </c>
    </row>
    <row r="170" spans="1:4" x14ac:dyDescent="0.3">
      <c r="A170" s="1">
        <v>42531</v>
      </c>
      <c r="B170" s="206">
        <v>423243219</v>
      </c>
      <c r="C170" s="8">
        <f t="shared" si="16"/>
        <v>0</v>
      </c>
      <c r="D170" s="7">
        <f t="shared" si="17"/>
        <v>0</v>
      </c>
    </row>
    <row r="171" spans="1:4" x14ac:dyDescent="0.3">
      <c r="A171" s="1">
        <v>42532</v>
      </c>
      <c r="B171" s="206">
        <v>423243219</v>
      </c>
      <c r="C171" s="8">
        <f t="shared" si="16"/>
        <v>0</v>
      </c>
      <c r="D171" s="7">
        <f t="shared" si="17"/>
        <v>0</v>
      </c>
    </row>
    <row r="172" spans="1:4" x14ac:dyDescent="0.3">
      <c r="A172" s="1">
        <v>42533</v>
      </c>
      <c r="B172" s="206">
        <v>423243219</v>
      </c>
      <c r="C172" s="8">
        <f t="shared" si="16"/>
        <v>0</v>
      </c>
      <c r="D172" s="7">
        <f t="shared" si="17"/>
        <v>0</v>
      </c>
    </row>
    <row r="173" spans="1:4" x14ac:dyDescent="0.3">
      <c r="A173" s="1">
        <v>42534</v>
      </c>
      <c r="B173" s="206">
        <v>423243219</v>
      </c>
      <c r="C173" s="8">
        <f t="shared" si="16"/>
        <v>0</v>
      </c>
      <c r="D173" s="7">
        <f t="shared" si="17"/>
        <v>0</v>
      </c>
    </row>
    <row r="174" spans="1:4" x14ac:dyDescent="0.3">
      <c r="A174" s="1">
        <v>42535</v>
      </c>
      <c r="B174" s="206">
        <v>423243219</v>
      </c>
      <c r="C174" s="8">
        <f t="shared" si="16"/>
        <v>0</v>
      </c>
      <c r="D174" s="7">
        <f t="shared" si="17"/>
        <v>0</v>
      </c>
    </row>
    <row r="175" spans="1:4" x14ac:dyDescent="0.3">
      <c r="A175" s="1">
        <v>42536</v>
      </c>
      <c r="B175" s="206">
        <v>423243219</v>
      </c>
      <c r="C175" s="8">
        <f t="shared" si="16"/>
        <v>0</v>
      </c>
      <c r="D175" s="7">
        <f t="shared" si="17"/>
        <v>0</v>
      </c>
    </row>
    <row r="176" spans="1:4" x14ac:dyDescent="0.3">
      <c r="A176" s="1">
        <v>42537</v>
      </c>
      <c r="B176" s="206">
        <v>423243219</v>
      </c>
      <c r="C176" s="8">
        <f t="shared" si="16"/>
        <v>0</v>
      </c>
      <c r="D176" s="7">
        <f t="shared" si="17"/>
        <v>0</v>
      </c>
    </row>
    <row r="177" spans="1:4" x14ac:dyDescent="0.3">
      <c r="A177" s="1">
        <v>42538</v>
      </c>
      <c r="B177" s="206">
        <v>423243219</v>
      </c>
      <c r="C177" s="8">
        <f t="shared" si="16"/>
        <v>0</v>
      </c>
      <c r="D177" s="7">
        <f t="shared" si="17"/>
        <v>0</v>
      </c>
    </row>
    <row r="178" spans="1:4" x14ac:dyDescent="0.3">
      <c r="A178" s="1">
        <v>42539</v>
      </c>
      <c r="B178" s="206">
        <v>423243219</v>
      </c>
      <c r="C178" s="8">
        <f t="shared" si="16"/>
        <v>0</v>
      </c>
      <c r="D178" s="7">
        <f t="shared" si="17"/>
        <v>0</v>
      </c>
    </row>
    <row r="179" spans="1:4" x14ac:dyDescent="0.3">
      <c r="A179" s="1">
        <v>42540</v>
      </c>
      <c r="B179" s="206">
        <v>423243219</v>
      </c>
      <c r="C179" s="8">
        <f t="shared" si="16"/>
        <v>0</v>
      </c>
      <c r="D179" s="7">
        <f t="shared" si="17"/>
        <v>0</v>
      </c>
    </row>
    <row r="180" spans="1:4" x14ac:dyDescent="0.3">
      <c r="A180" s="1">
        <v>42541</v>
      </c>
      <c r="B180" s="206">
        <v>423243219</v>
      </c>
      <c r="C180" s="8">
        <f t="shared" si="16"/>
        <v>0</v>
      </c>
      <c r="D180" s="7">
        <f t="shared" si="17"/>
        <v>0</v>
      </c>
    </row>
    <row r="181" spans="1:4" x14ac:dyDescent="0.3">
      <c r="A181" s="1">
        <v>42542</v>
      </c>
      <c r="B181" s="206">
        <v>423243219</v>
      </c>
      <c r="C181" s="8">
        <f t="shared" si="16"/>
        <v>0</v>
      </c>
      <c r="D181" s="7">
        <f t="shared" si="17"/>
        <v>0</v>
      </c>
    </row>
    <row r="182" spans="1:4" x14ac:dyDescent="0.3">
      <c r="A182" s="1">
        <v>42543</v>
      </c>
      <c r="B182" s="206">
        <v>423243219</v>
      </c>
      <c r="C182" s="8">
        <f t="shared" si="16"/>
        <v>0</v>
      </c>
      <c r="D182" s="7">
        <f t="shared" si="17"/>
        <v>0</v>
      </c>
    </row>
    <row r="183" spans="1:4" x14ac:dyDescent="0.3">
      <c r="A183" s="1">
        <v>42544</v>
      </c>
      <c r="B183" s="206">
        <v>423243219</v>
      </c>
      <c r="C183" s="8">
        <f t="shared" si="16"/>
        <v>0</v>
      </c>
      <c r="D183" s="7">
        <f t="shared" si="17"/>
        <v>0</v>
      </c>
    </row>
    <row r="184" spans="1:4" x14ac:dyDescent="0.3">
      <c r="A184" s="1">
        <v>42545</v>
      </c>
      <c r="B184" s="206">
        <v>423243219</v>
      </c>
      <c r="C184" s="8">
        <f t="shared" si="16"/>
        <v>0</v>
      </c>
      <c r="D184" s="7">
        <f t="shared" si="17"/>
        <v>0</v>
      </c>
    </row>
    <row r="185" spans="1:4" x14ac:dyDescent="0.3">
      <c r="A185" s="1">
        <v>42546</v>
      </c>
      <c r="B185" s="206">
        <v>423243219</v>
      </c>
      <c r="C185" s="8">
        <f t="shared" si="16"/>
        <v>0</v>
      </c>
      <c r="D185" s="7">
        <f t="shared" si="17"/>
        <v>0</v>
      </c>
    </row>
    <row r="186" spans="1:4" x14ac:dyDescent="0.3">
      <c r="A186" s="1">
        <v>42547</v>
      </c>
      <c r="B186" s="206">
        <v>423243219</v>
      </c>
      <c r="C186" s="8">
        <f t="shared" si="16"/>
        <v>0</v>
      </c>
      <c r="D186" s="7">
        <f t="shared" si="17"/>
        <v>0</v>
      </c>
    </row>
    <row r="187" spans="1:4" x14ac:dyDescent="0.3">
      <c r="A187" s="1">
        <v>42548</v>
      </c>
      <c r="B187" s="206">
        <v>423243219</v>
      </c>
      <c r="C187" s="8">
        <f t="shared" si="16"/>
        <v>0</v>
      </c>
      <c r="D187" s="7">
        <f t="shared" si="17"/>
        <v>0</v>
      </c>
    </row>
    <row r="188" spans="1:4" x14ac:dyDescent="0.3">
      <c r="A188" s="1">
        <v>42549</v>
      </c>
      <c r="B188" s="206">
        <v>423243219</v>
      </c>
      <c r="C188" s="8">
        <f t="shared" si="16"/>
        <v>0</v>
      </c>
      <c r="D188" s="7">
        <f t="shared" si="17"/>
        <v>0</v>
      </c>
    </row>
    <row r="189" spans="1:4" x14ac:dyDescent="0.3">
      <c r="A189" s="1">
        <v>42550</v>
      </c>
      <c r="B189" s="206">
        <v>423243219</v>
      </c>
      <c r="C189" s="8">
        <f t="shared" si="16"/>
        <v>0</v>
      </c>
      <c r="D189" s="7">
        <f t="shared" si="17"/>
        <v>0</v>
      </c>
    </row>
    <row r="190" spans="1:4" x14ac:dyDescent="0.3">
      <c r="A190" s="1">
        <v>42551</v>
      </c>
      <c r="B190" s="206">
        <v>423243219</v>
      </c>
      <c r="C190" s="8">
        <f t="shared" si="16"/>
        <v>0</v>
      </c>
      <c r="D190" s="7">
        <f t="shared" si="17"/>
        <v>0</v>
      </c>
    </row>
    <row r="191" spans="1:4" x14ac:dyDescent="0.3">
      <c r="A191" s="35" t="s">
        <v>13</v>
      </c>
      <c r="B191" s="17"/>
      <c r="C191" s="17">
        <f>SUM(C161:C190)</f>
        <v>0</v>
      </c>
      <c r="D191" s="5"/>
    </row>
    <row r="192" spans="1:4" x14ac:dyDescent="0.3">
      <c r="A192" s="1">
        <v>42552</v>
      </c>
      <c r="B192" s="206">
        <v>423243219</v>
      </c>
      <c r="C192" s="8">
        <f>B192-B190</f>
        <v>0</v>
      </c>
      <c r="D192" s="7">
        <f>IFERROR(B190/B192-1,0)</f>
        <v>0</v>
      </c>
    </row>
    <row r="193" spans="1:4" x14ac:dyDescent="0.3">
      <c r="A193" s="1">
        <v>42553</v>
      </c>
      <c r="B193" s="206">
        <v>423243219</v>
      </c>
      <c r="C193" s="8">
        <f t="shared" ref="C193:C222" si="18">B193-B192</f>
        <v>0</v>
      </c>
      <c r="D193" s="7">
        <f t="shared" ref="D193:D222" si="19">IFERROR(B192/B193-1,0)</f>
        <v>0</v>
      </c>
    </row>
    <row r="194" spans="1:4" x14ac:dyDescent="0.3">
      <c r="A194" s="1">
        <v>42554</v>
      </c>
      <c r="B194" s="206">
        <v>423243219</v>
      </c>
      <c r="C194" s="8">
        <f t="shared" si="18"/>
        <v>0</v>
      </c>
      <c r="D194" s="7">
        <f t="shared" si="19"/>
        <v>0</v>
      </c>
    </row>
    <row r="195" spans="1:4" x14ac:dyDescent="0.3">
      <c r="A195" s="1">
        <v>42555</v>
      </c>
      <c r="B195" s="206">
        <v>423243219</v>
      </c>
      <c r="C195" s="8">
        <f t="shared" si="18"/>
        <v>0</v>
      </c>
      <c r="D195" s="7">
        <f t="shared" si="19"/>
        <v>0</v>
      </c>
    </row>
    <row r="196" spans="1:4" x14ac:dyDescent="0.3">
      <c r="A196" s="1">
        <v>42556</v>
      </c>
      <c r="B196" s="206">
        <v>423243219</v>
      </c>
      <c r="C196" s="8">
        <f t="shared" si="18"/>
        <v>0</v>
      </c>
      <c r="D196" s="7">
        <f t="shared" si="19"/>
        <v>0</v>
      </c>
    </row>
    <row r="197" spans="1:4" x14ac:dyDescent="0.3">
      <c r="A197" s="1">
        <v>42557</v>
      </c>
      <c r="B197" s="206">
        <v>423243219</v>
      </c>
      <c r="C197" s="8">
        <f t="shared" si="18"/>
        <v>0</v>
      </c>
      <c r="D197" s="7">
        <f t="shared" si="19"/>
        <v>0</v>
      </c>
    </row>
    <row r="198" spans="1:4" x14ac:dyDescent="0.3">
      <c r="A198" s="1">
        <v>42558</v>
      </c>
      <c r="B198" s="206">
        <v>423243219</v>
      </c>
      <c r="C198" s="8">
        <f t="shared" si="18"/>
        <v>0</v>
      </c>
      <c r="D198" s="7">
        <f t="shared" si="19"/>
        <v>0</v>
      </c>
    </row>
    <row r="199" spans="1:4" x14ac:dyDescent="0.3">
      <c r="A199" s="1">
        <v>42559</v>
      </c>
      <c r="B199" s="206">
        <v>423243219</v>
      </c>
      <c r="C199" s="8">
        <f t="shared" si="18"/>
        <v>0</v>
      </c>
      <c r="D199" s="7">
        <f t="shared" si="19"/>
        <v>0</v>
      </c>
    </row>
    <row r="200" spans="1:4" x14ac:dyDescent="0.3">
      <c r="A200" s="1">
        <v>42560</v>
      </c>
      <c r="B200" s="206">
        <v>423243219</v>
      </c>
      <c r="C200" s="8">
        <f t="shared" si="18"/>
        <v>0</v>
      </c>
      <c r="D200" s="7">
        <f t="shared" si="19"/>
        <v>0</v>
      </c>
    </row>
    <row r="201" spans="1:4" x14ac:dyDescent="0.3">
      <c r="A201" s="1">
        <v>42561</v>
      </c>
      <c r="B201" s="206">
        <v>423243219</v>
      </c>
      <c r="C201" s="8">
        <f t="shared" si="18"/>
        <v>0</v>
      </c>
      <c r="D201" s="7">
        <f t="shared" si="19"/>
        <v>0</v>
      </c>
    </row>
    <row r="202" spans="1:4" x14ac:dyDescent="0.3">
      <c r="A202" s="1">
        <v>42562</v>
      </c>
      <c r="B202" s="206">
        <v>423243219</v>
      </c>
      <c r="C202" s="8">
        <f t="shared" si="18"/>
        <v>0</v>
      </c>
      <c r="D202" s="7">
        <f t="shared" si="19"/>
        <v>0</v>
      </c>
    </row>
    <row r="203" spans="1:4" x14ac:dyDescent="0.3">
      <c r="A203" s="1">
        <v>42563</v>
      </c>
      <c r="B203" s="206">
        <v>423243219</v>
      </c>
      <c r="C203" s="8">
        <f t="shared" si="18"/>
        <v>0</v>
      </c>
      <c r="D203" s="7">
        <f t="shared" si="19"/>
        <v>0</v>
      </c>
    </row>
    <row r="204" spans="1:4" x14ac:dyDescent="0.3">
      <c r="A204" s="1">
        <v>42564</v>
      </c>
      <c r="B204" s="206">
        <v>423243219</v>
      </c>
      <c r="C204" s="8">
        <f t="shared" si="18"/>
        <v>0</v>
      </c>
      <c r="D204" s="7">
        <f t="shared" si="19"/>
        <v>0</v>
      </c>
    </row>
    <row r="205" spans="1:4" x14ac:dyDescent="0.3">
      <c r="A205" s="1">
        <v>42565</v>
      </c>
      <c r="B205" s="206">
        <v>423243219</v>
      </c>
      <c r="C205" s="8">
        <f t="shared" si="18"/>
        <v>0</v>
      </c>
      <c r="D205" s="7">
        <f t="shared" si="19"/>
        <v>0</v>
      </c>
    </row>
    <row r="206" spans="1:4" x14ac:dyDescent="0.3">
      <c r="A206" s="1">
        <v>42566</v>
      </c>
      <c r="B206" s="206">
        <v>423243219</v>
      </c>
      <c r="C206" s="8">
        <f t="shared" si="18"/>
        <v>0</v>
      </c>
      <c r="D206" s="7">
        <f t="shared" si="19"/>
        <v>0</v>
      </c>
    </row>
    <row r="207" spans="1:4" x14ac:dyDescent="0.3">
      <c r="A207" s="1">
        <v>42567</v>
      </c>
      <c r="B207" s="206">
        <v>423243219</v>
      </c>
      <c r="C207" s="8">
        <f t="shared" si="18"/>
        <v>0</v>
      </c>
      <c r="D207" s="7">
        <f t="shared" si="19"/>
        <v>0</v>
      </c>
    </row>
    <row r="208" spans="1:4" x14ac:dyDescent="0.3">
      <c r="A208" s="1">
        <v>42568</v>
      </c>
      <c r="B208" s="206">
        <v>423243219</v>
      </c>
      <c r="C208" s="8">
        <f t="shared" si="18"/>
        <v>0</v>
      </c>
      <c r="D208" s="7">
        <f t="shared" si="19"/>
        <v>0</v>
      </c>
    </row>
    <row r="209" spans="1:4" x14ac:dyDescent="0.3">
      <c r="A209" s="1">
        <v>42569</v>
      </c>
      <c r="B209" s="206">
        <v>423243219</v>
      </c>
      <c r="C209" s="8">
        <f t="shared" si="18"/>
        <v>0</v>
      </c>
      <c r="D209" s="7">
        <f t="shared" si="19"/>
        <v>0</v>
      </c>
    </row>
    <row r="210" spans="1:4" x14ac:dyDescent="0.3">
      <c r="A210" s="1">
        <v>42570</v>
      </c>
      <c r="B210" s="206">
        <v>423243219</v>
      </c>
      <c r="C210" s="8">
        <f t="shared" si="18"/>
        <v>0</v>
      </c>
      <c r="D210" s="7">
        <f t="shared" si="19"/>
        <v>0</v>
      </c>
    </row>
    <row r="211" spans="1:4" x14ac:dyDescent="0.3">
      <c r="A211" s="1">
        <v>42571</v>
      </c>
      <c r="B211" s="206">
        <v>423243219</v>
      </c>
      <c r="C211" s="8">
        <f t="shared" si="18"/>
        <v>0</v>
      </c>
      <c r="D211" s="7">
        <f t="shared" si="19"/>
        <v>0</v>
      </c>
    </row>
    <row r="212" spans="1:4" x14ac:dyDescent="0.3">
      <c r="A212" s="1">
        <v>42572</v>
      </c>
      <c r="B212" s="206">
        <v>423243219</v>
      </c>
      <c r="C212" s="8">
        <f t="shared" si="18"/>
        <v>0</v>
      </c>
      <c r="D212" s="7">
        <f t="shared" si="19"/>
        <v>0</v>
      </c>
    </row>
    <row r="213" spans="1:4" x14ac:dyDescent="0.3">
      <c r="A213" s="1">
        <v>42573</v>
      </c>
      <c r="B213" s="206">
        <v>423243219</v>
      </c>
      <c r="C213" s="8">
        <f t="shared" si="18"/>
        <v>0</v>
      </c>
      <c r="D213" s="7">
        <f t="shared" si="19"/>
        <v>0</v>
      </c>
    </row>
    <row r="214" spans="1:4" x14ac:dyDescent="0.3">
      <c r="A214" s="1">
        <v>42574</v>
      </c>
      <c r="B214" s="206">
        <v>423243219</v>
      </c>
      <c r="C214" s="8">
        <f t="shared" si="18"/>
        <v>0</v>
      </c>
      <c r="D214" s="7">
        <f t="shared" si="19"/>
        <v>0</v>
      </c>
    </row>
    <row r="215" spans="1:4" x14ac:dyDescent="0.3">
      <c r="A215" s="1">
        <v>42575</v>
      </c>
      <c r="B215" s="206">
        <v>423243219</v>
      </c>
      <c r="C215" s="8">
        <f t="shared" si="18"/>
        <v>0</v>
      </c>
      <c r="D215" s="7">
        <f t="shared" si="19"/>
        <v>0</v>
      </c>
    </row>
    <row r="216" spans="1:4" x14ac:dyDescent="0.3">
      <c r="A216" s="1">
        <v>42576</v>
      </c>
      <c r="B216" s="206">
        <v>423243219</v>
      </c>
      <c r="C216" s="8">
        <f t="shared" si="18"/>
        <v>0</v>
      </c>
      <c r="D216" s="7">
        <f t="shared" si="19"/>
        <v>0</v>
      </c>
    </row>
    <row r="217" spans="1:4" x14ac:dyDescent="0.3">
      <c r="A217" s="1">
        <v>42577</v>
      </c>
      <c r="B217" s="206">
        <v>423243219</v>
      </c>
      <c r="C217" s="8">
        <f t="shared" si="18"/>
        <v>0</v>
      </c>
      <c r="D217" s="7">
        <f t="shared" si="19"/>
        <v>0</v>
      </c>
    </row>
    <row r="218" spans="1:4" x14ac:dyDescent="0.3">
      <c r="A218" s="1">
        <v>42578</v>
      </c>
      <c r="B218" s="206">
        <v>423243219</v>
      </c>
      <c r="C218" s="8">
        <f t="shared" si="18"/>
        <v>0</v>
      </c>
      <c r="D218" s="7">
        <f t="shared" si="19"/>
        <v>0</v>
      </c>
    </row>
    <row r="219" spans="1:4" x14ac:dyDescent="0.3">
      <c r="A219" s="1">
        <v>42579</v>
      </c>
      <c r="B219" s="206">
        <v>423243219</v>
      </c>
      <c r="C219" s="8">
        <f t="shared" si="18"/>
        <v>0</v>
      </c>
      <c r="D219" s="7">
        <f t="shared" si="19"/>
        <v>0</v>
      </c>
    </row>
    <row r="220" spans="1:4" x14ac:dyDescent="0.3">
      <c r="A220" s="1">
        <v>42580</v>
      </c>
      <c r="B220" s="206">
        <v>423243219</v>
      </c>
      <c r="C220" s="8">
        <f t="shared" si="18"/>
        <v>0</v>
      </c>
      <c r="D220" s="7">
        <f t="shared" si="19"/>
        <v>0</v>
      </c>
    </row>
    <row r="221" spans="1:4" x14ac:dyDescent="0.3">
      <c r="A221" s="1">
        <v>42581</v>
      </c>
      <c r="B221" s="206">
        <v>423243219</v>
      </c>
      <c r="C221" s="8">
        <f t="shared" si="18"/>
        <v>0</v>
      </c>
      <c r="D221" s="7">
        <f t="shared" si="19"/>
        <v>0</v>
      </c>
    </row>
    <row r="222" spans="1:4" x14ac:dyDescent="0.3">
      <c r="A222" s="1">
        <v>42582</v>
      </c>
      <c r="B222" s="206">
        <v>423243219</v>
      </c>
      <c r="C222" s="8">
        <f t="shared" si="18"/>
        <v>0</v>
      </c>
      <c r="D222" s="7">
        <f t="shared" si="19"/>
        <v>0</v>
      </c>
    </row>
    <row r="223" spans="1:4" x14ac:dyDescent="0.3">
      <c r="A223" s="35" t="s">
        <v>14</v>
      </c>
      <c r="B223" s="17"/>
      <c r="C223" s="17">
        <f>SUM(C192:C222)</f>
        <v>0</v>
      </c>
      <c r="D223" s="5"/>
    </row>
    <row r="224" spans="1:4" x14ac:dyDescent="0.3">
      <c r="A224" s="1">
        <v>42583</v>
      </c>
      <c r="B224" s="206">
        <v>423243219</v>
      </c>
      <c r="C224" s="8">
        <f>B224-B222</f>
        <v>0</v>
      </c>
      <c r="D224" s="7">
        <f>IFERROR(B224/B222-1,0)</f>
        <v>0</v>
      </c>
    </row>
    <row r="225" spans="1:4" x14ac:dyDescent="0.3">
      <c r="A225" s="1">
        <v>42584</v>
      </c>
      <c r="B225" s="206">
        <v>423243219</v>
      </c>
      <c r="C225" s="8">
        <f t="shared" ref="C225:C254" si="20">B225-B224</f>
        <v>0</v>
      </c>
      <c r="D225" s="7">
        <f t="shared" ref="D225:D254" si="21">IFERROR(B225/B224-1,0)</f>
        <v>0</v>
      </c>
    </row>
    <row r="226" spans="1:4" x14ac:dyDescent="0.3">
      <c r="A226" s="1">
        <v>42585</v>
      </c>
      <c r="B226" s="206">
        <v>423243219</v>
      </c>
      <c r="C226" s="8">
        <f t="shared" si="20"/>
        <v>0</v>
      </c>
      <c r="D226" s="7">
        <f t="shared" si="21"/>
        <v>0</v>
      </c>
    </row>
    <row r="227" spans="1:4" x14ac:dyDescent="0.3">
      <c r="A227" s="1">
        <v>42586</v>
      </c>
      <c r="B227" s="206">
        <v>423243219</v>
      </c>
      <c r="C227" s="8">
        <f t="shared" si="20"/>
        <v>0</v>
      </c>
      <c r="D227" s="7">
        <f t="shared" si="21"/>
        <v>0</v>
      </c>
    </row>
    <row r="228" spans="1:4" x14ac:dyDescent="0.3">
      <c r="A228" s="1">
        <v>42587</v>
      </c>
      <c r="B228" s="206">
        <v>423243219</v>
      </c>
      <c r="C228" s="8">
        <f t="shared" si="20"/>
        <v>0</v>
      </c>
      <c r="D228" s="7">
        <f t="shared" si="21"/>
        <v>0</v>
      </c>
    </row>
    <row r="229" spans="1:4" x14ac:dyDescent="0.3">
      <c r="A229" s="1">
        <v>42588</v>
      </c>
      <c r="B229" s="206">
        <v>423243219</v>
      </c>
      <c r="C229" s="8">
        <f t="shared" si="20"/>
        <v>0</v>
      </c>
      <c r="D229" s="7">
        <f t="shared" si="21"/>
        <v>0</v>
      </c>
    </row>
    <row r="230" spans="1:4" x14ac:dyDescent="0.3">
      <c r="A230" s="1">
        <v>42589</v>
      </c>
      <c r="B230" s="206">
        <v>423243219</v>
      </c>
      <c r="C230" s="8">
        <f t="shared" si="20"/>
        <v>0</v>
      </c>
      <c r="D230" s="7">
        <f t="shared" si="21"/>
        <v>0</v>
      </c>
    </row>
    <row r="231" spans="1:4" x14ac:dyDescent="0.3">
      <c r="A231" s="1">
        <v>42590</v>
      </c>
      <c r="B231" s="206">
        <v>423243219</v>
      </c>
      <c r="C231" s="8">
        <f t="shared" si="20"/>
        <v>0</v>
      </c>
      <c r="D231" s="7">
        <f t="shared" si="21"/>
        <v>0</v>
      </c>
    </row>
    <row r="232" spans="1:4" x14ac:dyDescent="0.3">
      <c r="A232" s="1">
        <v>42591</v>
      </c>
      <c r="B232" s="206">
        <v>423243219</v>
      </c>
      <c r="C232" s="8">
        <f t="shared" si="20"/>
        <v>0</v>
      </c>
      <c r="D232" s="7">
        <f t="shared" si="21"/>
        <v>0</v>
      </c>
    </row>
    <row r="233" spans="1:4" x14ac:dyDescent="0.3">
      <c r="A233" s="1">
        <v>42592</v>
      </c>
      <c r="B233" s="206">
        <v>423243219</v>
      </c>
      <c r="C233" s="8">
        <f t="shared" si="20"/>
        <v>0</v>
      </c>
      <c r="D233" s="7">
        <f t="shared" si="21"/>
        <v>0</v>
      </c>
    </row>
    <row r="234" spans="1:4" x14ac:dyDescent="0.3">
      <c r="A234" s="1">
        <v>42593</v>
      </c>
      <c r="B234" s="206">
        <v>423243219</v>
      </c>
      <c r="C234" s="8">
        <f t="shared" si="20"/>
        <v>0</v>
      </c>
      <c r="D234" s="7">
        <f t="shared" si="21"/>
        <v>0</v>
      </c>
    </row>
    <row r="235" spans="1:4" x14ac:dyDescent="0.3">
      <c r="A235" s="1">
        <v>42594</v>
      </c>
      <c r="B235" s="206">
        <v>423243219</v>
      </c>
      <c r="C235" s="8">
        <f t="shared" si="20"/>
        <v>0</v>
      </c>
      <c r="D235" s="7">
        <f t="shared" si="21"/>
        <v>0</v>
      </c>
    </row>
    <row r="236" spans="1:4" x14ac:dyDescent="0.3">
      <c r="A236" s="1">
        <v>42595</v>
      </c>
      <c r="B236" s="206">
        <v>423243219</v>
      </c>
      <c r="C236" s="8">
        <f t="shared" si="20"/>
        <v>0</v>
      </c>
      <c r="D236" s="7">
        <f t="shared" si="21"/>
        <v>0</v>
      </c>
    </row>
    <row r="237" spans="1:4" x14ac:dyDescent="0.3">
      <c r="A237" s="1">
        <v>42596</v>
      </c>
      <c r="B237" s="206">
        <v>423243219</v>
      </c>
      <c r="C237" s="8">
        <f t="shared" si="20"/>
        <v>0</v>
      </c>
      <c r="D237" s="7">
        <f t="shared" si="21"/>
        <v>0</v>
      </c>
    </row>
    <row r="238" spans="1:4" x14ac:dyDescent="0.3">
      <c r="A238" s="1">
        <v>42597</v>
      </c>
      <c r="B238" s="206">
        <v>423243219</v>
      </c>
      <c r="C238" s="8">
        <f t="shared" si="20"/>
        <v>0</v>
      </c>
      <c r="D238" s="7">
        <f t="shared" si="21"/>
        <v>0</v>
      </c>
    </row>
    <row r="239" spans="1:4" x14ac:dyDescent="0.3">
      <c r="A239" s="1">
        <v>42598</v>
      </c>
      <c r="B239" s="206">
        <v>423243219</v>
      </c>
      <c r="C239" s="8">
        <f t="shared" si="20"/>
        <v>0</v>
      </c>
      <c r="D239" s="7">
        <f t="shared" si="21"/>
        <v>0</v>
      </c>
    </row>
    <row r="240" spans="1:4" x14ac:dyDescent="0.3">
      <c r="A240" s="1">
        <v>42599</v>
      </c>
      <c r="C240" s="8">
        <f t="shared" si="20"/>
        <v>-423243219</v>
      </c>
      <c r="D240" s="7">
        <f t="shared" si="21"/>
        <v>-1</v>
      </c>
    </row>
    <row r="241" spans="1:4" x14ac:dyDescent="0.3">
      <c r="A241" s="1">
        <v>42600</v>
      </c>
      <c r="C241" s="8">
        <f t="shared" si="20"/>
        <v>0</v>
      </c>
      <c r="D241" s="7">
        <f t="shared" si="21"/>
        <v>0</v>
      </c>
    </row>
    <row r="242" spans="1:4" x14ac:dyDescent="0.3">
      <c r="A242" s="1">
        <v>42601</v>
      </c>
      <c r="C242" s="8">
        <f t="shared" si="20"/>
        <v>0</v>
      </c>
      <c r="D242" s="7">
        <f t="shared" si="21"/>
        <v>0</v>
      </c>
    </row>
    <row r="243" spans="1:4" x14ac:dyDescent="0.3">
      <c r="A243" s="1">
        <v>42602</v>
      </c>
      <c r="C243" s="8">
        <f t="shared" si="20"/>
        <v>0</v>
      </c>
      <c r="D243" s="7">
        <f t="shared" si="21"/>
        <v>0</v>
      </c>
    </row>
    <row r="244" spans="1:4" x14ac:dyDescent="0.3">
      <c r="A244" s="1">
        <v>42603</v>
      </c>
      <c r="C244" s="8">
        <f t="shared" si="20"/>
        <v>0</v>
      </c>
      <c r="D244" s="7">
        <f t="shared" si="21"/>
        <v>0</v>
      </c>
    </row>
    <row r="245" spans="1:4" x14ac:dyDescent="0.3">
      <c r="A245" s="1">
        <v>42604</v>
      </c>
      <c r="C245" s="8">
        <f t="shared" si="20"/>
        <v>0</v>
      </c>
      <c r="D245" s="7">
        <f t="shared" si="21"/>
        <v>0</v>
      </c>
    </row>
    <row r="246" spans="1:4" x14ac:dyDescent="0.3">
      <c r="A246" s="1">
        <v>42605</v>
      </c>
      <c r="C246" s="8">
        <f t="shared" si="20"/>
        <v>0</v>
      </c>
      <c r="D246" s="7">
        <f t="shared" si="21"/>
        <v>0</v>
      </c>
    </row>
    <row r="247" spans="1:4" x14ac:dyDescent="0.3">
      <c r="A247" s="1">
        <v>42606</v>
      </c>
      <c r="C247" s="8">
        <f t="shared" si="20"/>
        <v>0</v>
      </c>
      <c r="D247" s="7">
        <f t="shared" si="21"/>
        <v>0</v>
      </c>
    </row>
    <row r="248" spans="1:4" x14ac:dyDescent="0.3">
      <c r="A248" s="1">
        <v>42607</v>
      </c>
      <c r="C248" s="8">
        <f t="shared" si="20"/>
        <v>0</v>
      </c>
      <c r="D248" s="7">
        <f t="shared" si="21"/>
        <v>0</v>
      </c>
    </row>
    <row r="249" spans="1:4" x14ac:dyDescent="0.3">
      <c r="A249" s="1">
        <v>42608</v>
      </c>
      <c r="C249" s="8">
        <f t="shared" si="20"/>
        <v>0</v>
      </c>
      <c r="D249" s="7">
        <f t="shared" si="21"/>
        <v>0</v>
      </c>
    </row>
    <row r="250" spans="1:4" x14ac:dyDescent="0.3">
      <c r="A250" s="1">
        <v>42609</v>
      </c>
      <c r="C250" s="8">
        <f t="shared" si="20"/>
        <v>0</v>
      </c>
      <c r="D250" s="7">
        <f t="shared" si="21"/>
        <v>0</v>
      </c>
    </row>
    <row r="251" spans="1:4" x14ac:dyDescent="0.3">
      <c r="A251" s="1">
        <v>42610</v>
      </c>
      <c r="C251" s="8">
        <f t="shared" si="20"/>
        <v>0</v>
      </c>
      <c r="D251" s="7">
        <f t="shared" si="21"/>
        <v>0</v>
      </c>
    </row>
    <row r="252" spans="1:4" x14ac:dyDescent="0.3">
      <c r="A252" s="1">
        <v>42611</v>
      </c>
      <c r="C252" s="8">
        <f t="shared" si="20"/>
        <v>0</v>
      </c>
      <c r="D252" s="7">
        <f t="shared" si="21"/>
        <v>0</v>
      </c>
    </row>
    <row r="253" spans="1:4" x14ac:dyDescent="0.3">
      <c r="A253" s="1">
        <v>42612</v>
      </c>
      <c r="C253" s="8">
        <f t="shared" si="20"/>
        <v>0</v>
      </c>
      <c r="D253" s="7">
        <f t="shared" si="21"/>
        <v>0</v>
      </c>
    </row>
    <row r="254" spans="1:4" x14ac:dyDescent="0.3">
      <c r="A254" s="1">
        <v>42613</v>
      </c>
      <c r="C254" s="8">
        <f t="shared" si="20"/>
        <v>0</v>
      </c>
      <c r="D254" s="7">
        <f t="shared" si="21"/>
        <v>0</v>
      </c>
    </row>
    <row r="255" spans="1:4" x14ac:dyDescent="0.3">
      <c r="A255" s="35" t="s">
        <v>15</v>
      </c>
      <c r="B255" s="5"/>
      <c r="C255" s="17">
        <f>SUM(C224:C254)</f>
        <v>-423243219</v>
      </c>
      <c r="D255" s="5"/>
    </row>
    <row r="256" spans="1:4" x14ac:dyDescent="0.3">
      <c r="A256" s="1">
        <v>42614</v>
      </c>
      <c r="C256" s="8">
        <f>B256-B254</f>
        <v>0</v>
      </c>
      <c r="D256" s="7">
        <f>IFERROR(B256/B254-1,0)</f>
        <v>0</v>
      </c>
    </row>
    <row r="257" spans="1:4" x14ac:dyDescent="0.3">
      <c r="A257" s="1">
        <v>42615</v>
      </c>
      <c r="C257" s="8">
        <f t="shared" ref="C257:C320" si="22">B257-B256</f>
        <v>0</v>
      </c>
      <c r="D257" s="7">
        <f t="shared" ref="D257:D320" si="23">IFERROR(B257/B256-1,0)</f>
        <v>0</v>
      </c>
    </row>
    <row r="258" spans="1:4" x14ac:dyDescent="0.3">
      <c r="A258" s="1">
        <v>42616</v>
      </c>
      <c r="C258" s="8">
        <f t="shared" si="22"/>
        <v>0</v>
      </c>
      <c r="D258" s="7">
        <f t="shared" si="23"/>
        <v>0</v>
      </c>
    </row>
    <row r="259" spans="1:4" x14ac:dyDescent="0.3">
      <c r="A259" s="1">
        <v>42617</v>
      </c>
      <c r="C259" s="8">
        <f t="shared" si="22"/>
        <v>0</v>
      </c>
      <c r="D259" s="7">
        <f t="shared" si="23"/>
        <v>0</v>
      </c>
    </row>
    <row r="260" spans="1:4" x14ac:dyDescent="0.3">
      <c r="A260" s="1">
        <v>42618</v>
      </c>
      <c r="C260" s="8">
        <f t="shared" si="22"/>
        <v>0</v>
      </c>
      <c r="D260" s="7">
        <f t="shared" si="23"/>
        <v>0</v>
      </c>
    </row>
    <row r="261" spans="1:4" x14ac:dyDescent="0.3">
      <c r="A261" s="1">
        <v>42619</v>
      </c>
      <c r="C261" s="8">
        <f t="shared" si="22"/>
        <v>0</v>
      </c>
      <c r="D261" s="7">
        <f t="shared" si="23"/>
        <v>0</v>
      </c>
    </row>
    <row r="262" spans="1:4" x14ac:dyDescent="0.3">
      <c r="A262" s="1">
        <v>42620</v>
      </c>
      <c r="C262" s="8">
        <f t="shared" si="22"/>
        <v>0</v>
      </c>
      <c r="D262" s="7">
        <f t="shared" si="23"/>
        <v>0</v>
      </c>
    </row>
    <row r="263" spans="1:4" x14ac:dyDescent="0.3">
      <c r="A263" s="1">
        <v>42621</v>
      </c>
      <c r="C263" s="8">
        <f t="shared" si="22"/>
        <v>0</v>
      </c>
      <c r="D263" s="7">
        <f t="shared" si="23"/>
        <v>0</v>
      </c>
    </row>
    <row r="264" spans="1:4" x14ac:dyDescent="0.3">
      <c r="A264" s="1">
        <v>42622</v>
      </c>
      <c r="C264" s="8">
        <f t="shared" si="22"/>
        <v>0</v>
      </c>
      <c r="D264" s="7">
        <f t="shared" si="23"/>
        <v>0</v>
      </c>
    </row>
    <row r="265" spans="1:4" x14ac:dyDescent="0.3">
      <c r="A265" s="1">
        <v>42623</v>
      </c>
      <c r="C265" s="8">
        <f t="shared" si="22"/>
        <v>0</v>
      </c>
      <c r="D265" s="7">
        <f t="shared" si="23"/>
        <v>0</v>
      </c>
    </row>
    <row r="266" spans="1:4" x14ac:dyDescent="0.3">
      <c r="A266" s="1">
        <v>42624</v>
      </c>
      <c r="C266" s="8">
        <f t="shared" si="22"/>
        <v>0</v>
      </c>
      <c r="D266" s="7">
        <f t="shared" si="23"/>
        <v>0</v>
      </c>
    </row>
    <row r="267" spans="1:4" x14ac:dyDescent="0.3">
      <c r="A267" s="1">
        <v>42625</v>
      </c>
      <c r="C267" s="8">
        <f t="shared" si="22"/>
        <v>0</v>
      </c>
      <c r="D267" s="7">
        <f t="shared" si="23"/>
        <v>0</v>
      </c>
    </row>
    <row r="268" spans="1:4" x14ac:dyDescent="0.3">
      <c r="A268" s="1">
        <v>42626</v>
      </c>
      <c r="C268" s="8">
        <f t="shared" si="22"/>
        <v>0</v>
      </c>
      <c r="D268" s="7">
        <f t="shared" si="23"/>
        <v>0</v>
      </c>
    </row>
    <row r="269" spans="1:4" x14ac:dyDescent="0.3">
      <c r="A269" s="1">
        <v>42627</v>
      </c>
      <c r="C269" s="8">
        <f t="shared" si="22"/>
        <v>0</v>
      </c>
      <c r="D269" s="7">
        <f t="shared" si="23"/>
        <v>0</v>
      </c>
    </row>
    <row r="270" spans="1:4" x14ac:dyDescent="0.3">
      <c r="A270" s="1">
        <v>42628</v>
      </c>
      <c r="C270" s="8">
        <f t="shared" si="22"/>
        <v>0</v>
      </c>
      <c r="D270" s="7">
        <f t="shared" si="23"/>
        <v>0</v>
      </c>
    </row>
    <row r="271" spans="1:4" x14ac:dyDescent="0.3">
      <c r="A271" s="1">
        <v>42629</v>
      </c>
      <c r="C271" s="8">
        <f t="shared" si="22"/>
        <v>0</v>
      </c>
      <c r="D271" s="7">
        <f t="shared" si="23"/>
        <v>0</v>
      </c>
    </row>
    <row r="272" spans="1:4" x14ac:dyDescent="0.3">
      <c r="A272" s="1">
        <v>42630</v>
      </c>
      <c r="C272" s="8">
        <f t="shared" si="22"/>
        <v>0</v>
      </c>
      <c r="D272" s="7">
        <f t="shared" si="23"/>
        <v>0</v>
      </c>
    </row>
    <row r="273" spans="1:4" x14ac:dyDescent="0.3">
      <c r="A273" s="1">
        <v>42631</v>
      </c>
      <c r="C273" s="8">
        <f t="shared" si="22"/>
        <v>0</v>
      </c>
      <c r="D273" s="7">
        <f t="shared" si="23"/>
        <v>0</v>
      </c>
    </row>
    <row r="274" spans="1:4" x14ac:dyDescent="0.3">
      <c r="A274" s="1">
        <v>42632</v>
      </c>
      <c r="C274" s="8">
        <f t="shared" si="22"/>
        <v>0</v>
      </c>
      <c r="D274" s="7">
        <f t="shared" si="23"/>
        <v>0</v>
      </c>
    </row>
    <row r="275" spans="1:4" x14ac:dyDescent="0.3">
      <c r="A275" s="1">
        <v>42633</v>
      </c>
      <c r="C275" s="8">
        <f t="shared" si="22"/>
        <v>0</v>
      </c>
      <c r="D275" s="7">
        <f t="shared" si="23"/>
        <v>0</v>
      </c>
    </row>
    <row r="276" spans="1:4" x14ac:dyDescent="0.3">
      <c r="A276" s="1">
        <v>42634</v>
      </c>
      <c r="C276" s="8">
        <f t="shared" si="22"/>
        <v>0</v>
      </c>
      <c r="D276" s="7">
        <f t="shared" si="23"/>
        <v>0</v>
      </c>
    </row>
    <row r="277" spans="1:4" x14ac:dyDescent="0.3">
      <c r="A277" s="1">
        <v>42635</v>
      </c>
      <c r="C277" s="8">
        <f t="shared" si="22"/>
        <v>0</v>
      </c>
      <c r="D277" s="7">
        <f t="shared" si="23"/>
        <v>0</v>
      </c>
    </row>
    <row r="278" spans="1:4" x14ac:dyDescent="0.3">
      <c r="A278" s="1">
        <v>42636</v>
      </c>
      <c r="C278" s="8">
        <f t="shared" si="22"/>
        <v>0</v>
      </c>
      <c r="D278" s="7">
        <f t="shared" si="23"/>
        <v>0</v>
      </c>
    </row>
    <row r="279" spans="1:4" x14ac:dyDescent="0.3">
      <c r="A279" s="1">
        <v>42637</v>
      </c>
      <c r="C279" s="8">
        <f t="shared" si="22"/>
        <v>0</v>
      </c>
      <c r="D279" s="7">
        <f t="shared" si="23"/>
        <v>0</v>
      </c>
    </row>
    <row r="280" spans="1:4" x14ac:dyDescent="0.3">
      <c r="A280" s="1">
        <v>42638</v>
      </c>
      <c r="C280" s="8">
        <f t="shared" si="22"/>
        <v>0</v>
      </c>
      <c r="D280" s="7">
        <f t="shared" si="23"/>
        <v>0</v>
      </c>
    </row>
    <row r="281" spans="1:4" x14ac:dyDescent="0.3">
      <c r="A281" s="1">
        <v>42639</v>
      </c>
      <c r="C281" s="8">
        <f t="shared" si="22"/>
        <v>0</v>
      </c>
      <c r="D281" s="7">
        <f t="shared" si="23"/>
        <v>0</v>
      </c>
    </row>
    <row r="282" spans="1:4" x14ac:dyDescent="0.3">
      <c r="A282" s="1">
        <v>42640</v>
      </c>
      <c r="C282" s="8">
        <f t="shared" si="22"/>
        <v>0</v>
      </c>
      <c r="D282" s="7">
        <f t="shared" si="23"/>
        <v>0</v>
      </c>
    </row>
    <row r="283" spans="1:4" x14ac:dyDescent="0.3">
      <c r="A283" s="1">
        <v>42641</v>
      </c>
      <c r="C283" s="8">
        <f t="shared" si="22"/>
        <v>0</v>
      </c>
      <c r="D283" s="7">
        <f t="shared" si="23"/>
        <v>0</v>
      </c>
    </row>
    <row r="284" spans="1:4" x14ac:dyDescent="0.3">
      <c r="A284" s="1">
        <v>42642</v>
      </c>
      <c r="C284" s="8">
        <f t="shared" si="22"/>
        <v>0</v>
      </c>
      <c r="D284" s="7">
        <f t="shared" si="23"/>
        <v>0</v>
      </c>
    </row>
    <row r="285" spans="1:4" x14ac:dyDescent="0.3">
      <c r="A285" s="1">
        <v>42643</v>
      </c>
      <c r="C285" s="8">
        <f t="shared" si="22"/>
        <v>0</v>
      </c>
      <c r="D285" s="7">
        <f t="shared" si="23"/>
        <v>0</v>
      </c>
    </row>
    <row r="286" spans="1:4" x14ac:dyDescent="0.3">
      <c r="A286" s="35" t="s">
        <v>16</v>
      </c>
      <c r="B286" s="5"/>
      <c r="C286" s="17">
        <f>SUM(C256:C285)</f>
        <v>0</v>
      </c>
      <c r="D286" s="5"/>
    </row>
    <row r="287" spans="1:4" x14ac:dyDescent="0.3">
      <c r="A287" s="1">
        <v>42644</v>
      </c>
      <c r="C287" s="8">
        <f>B287-B285</f>
        <v>0</v>
      </c>
      <c r="D287" s="7">
        <f>IFERROR(B287/B285-1,0)</f>
        <v>0</v>
      </c>
    </row>
    <row r="288" spans="1:4" x14ac:dyDescent="0.3">
      <c r="A288" s="1">
        <v>42645</v>
      </c>
      <c r="C288" s="8">
        <f t="shared" si="22"/>
        <v>0</v>
      </c>
      <c r="D288" s="7">
        <f t="shared" si="23"/>
        <v>0</v>
      </c>
    </row>
    <row r="289" spans="1:4" x14ac:dyDescent="0.3">
      <c r="A289" s="1">
        <v>42646</v>
      </c>
      <c r="C289" s="8">
        <f t="shared" si="22"/>
        <v>0</v>
      </c>
      <c r="D289" s="7">
        <f t="shared" si="23"/>
        <v>0</v>
      </c>
    </row>
    <row r="290" spans="1:4" x14ac:dyDescent="0.3">
      <c r="A290" s="1">
        <v>42647</v>
      </c>
      <c r="C290" s="8">
        <f t="shared" si="22"/>
        <v>0</v>
      </c>
      <c r="D290" s="7">
        <f t="shared" si="23"/>
        <v>0</v>
      </c>
    </row>
    <row r="291" spans="1:4" x14ac:dyDescent="0.3">
      <c r="A291" s="1">
        <v>42648</v>
      </c>
      <c r="C291" s="8">
        <f t="shared" si="22"/>
        <v>0</v>
      </c>
      <c r="D291" s="7">
        <f t="shared" si="23"/>
        <v>0</v>
      </c>
    </row>
    <row r="292" spans="1:4" x14ac:dyDescent="0.3">
      <c r="A292" s="1">
        <v>42649</v>
      </c>
      <c r="C292" s="8">
        <f t="shared" si="22"/>
        <v>0</v>
      </c>
      <c r="D292" s="7">
        <f t="shared" si="23"/>
        <v>0</v>
      </c>
    </row>
    <row r="293" spans="1:4" x14ac:dyDescent="0.3">
      <c r="A293" s="1">
        <v>42650</v>
      </c>
      <c r="C293" s="8">
        <f t="shared" si="22"/>
        <v>0</v>
      </c>
      <c r="D293" s="7">
        <f t="shared" si="23"/>
        <v>0</v>
      </c>
    </row>
    <row r="294" spans="1:4" x14ac:dyDescent="0.3">
      <c r="A294" s="1">
        <v>42651</v>
      </c>
      <c r="C294" s="8">
        <f t="shared" si="22"/>
        <v>0</v>
      </c>
      <c r="D294" s="7">
        <f t="shared" si="23"/>
        <v>0</v>
      </c>
    </row>
    <row r="295" spans="1:4" x14ac:dyDescent="0.3">
      <c r="A295" s="1">
        <v>42652</v>
      </c>
      <c r="C295" s="8">
        <f t="shared" si="22"/>
        <v>0</v>
      </c>
      <c r="D295" s="7">
        <f t="shared" si="23"/>
        <v>0</v>
      </c>
    </row>
    <row r="296" spans="1:4" x14ac:dyDescent="0.3">
      <c r="A296" s="1">
        <v>42653</v>
      </c>
      <c r="C296" s="8">
        <f t="shared" si="22"/>
        <v>0</v>
      </c>
      <c r="D296" s="7">
        <f t="shared" si="23"/>
        <v>0</v>
      </c>
    </row>
    <row r="297" spans="1:4" x14ac:dyDescent="0.3">
      <c r="A297" s="1">
        <v>42654</v>
      </c>
      <c r="C297" s="8">
        <f t="shared" si="22"/>
        <v>0</v>
      </c>
      <c r="D297" s="7">
        <f t="shared" si="23"/>
        <v>0</v>
      </c>
    </row>
    <row r="298" spans="1:4" x14ac:dyDescent="0.3">
      <c r="A298" s="1">
        <v>42655</v>
      </c>
      <c r="C298" s="8">
        <f t="shared" si="22"/>
        <v>0</v>
      </c>
      <c r="D298" s="7">
        <f t="shared" si="23"/>
        <v>0</v>
      </c>
    </row>
    <row r="299" spans="1:4" x14ac:dyDescent="0.3">
      <c r="A299" s="1">
        <v>42656</v>
      </c>
      <c r="C299" s="8">
        <f t="shared" si="22"/>
        <v>0</v>
      </c>
      <c r="D299" s="7">
        <f t="shared" si="23"/>
        <v>0</v>
      </c>
    </row>
    <row r="300" spans="1:4" x14ac:dyDescent="0.3">
      <c r="A300" s="1">
        <v>42657</v>
      </c>
      <c r="C300" s="8">
        <f t="shared" si="22"/>
        <v>0</v>
      </c>
      <c r="D300" s="7">
        <f t="shared" si="23"/>
        <v>0</v>
      </c>
    </row>
    <row r="301" spans="1:4" x14ac:dyDescent="0.3">
      <c r="A301" s="1">
        <v>42658</v>
      </c>
      <c r="C301" s="8">
        <f t="shared" si="22"/>
        <v>0</v>
      </c>
      <c r="D301" s="7">
        <f t="shared" si="23"/>
        <v>0</v>
      </c>
    </row>
    <row r="302" spans="1:4" x14ac:dyDescent="0.3">
      <c r="A302" s="1">
        <v>42659</v>
      </c>
      <c r="C302" s="8">
        <f t="shared" si="22"/>
        <v>0</v>
      </c>
      <c r="D302" s="7">
        <f t="shared" si="23"/>
        <v>0</v>
      </c>
    </row>
    <row r="303" spans="1:4" x14ac:dyDescent="0.3">
      <c r="A303" s="1">
        <v>42660</v>
      </c>
      <c r="C303" s="8">
        <f t="shared" si="22"/>
        <v>0</v>
      </c>
      <c r="D303" s="7">
        <f t="shared" si="23"/>
        <v>0</v>
      </c>
    </row>
    <row r="304" spans="1:4" x14ac:dyDescent="0.3">
      <c r="A304" s="1">
        <v>42661</v>
      </c>
      <c r="C304" s="8">
        <f t="shared" si="22"/>
        <v>0</v>
      </c>
      <c r="D304" s="7">
        <f t="shared" si="23"/>
        <v>0</v>
      </c>
    </row>
    <row r="305" spans="1:4" x14ac:dyDescent="0.3">
      <c r="A305" s="1">
        <v>42662</v>
      </c>
      <c r="C305" s="8">
        <f t="shared" si="22"/>
        <v>0</v>
      </c>
      <c r="D305" s="7">
        <f t="shared" si="23"/>
        <v>0</v>
      </c>
    </row>
    <row r="306" spans="1:4" x14ac:dyDescent="0.3">
      <c r="A306" s="1">
        <v>42663</v>
      </c>
      <c r="C306" s="8">
        <f t="shared" si="22"/>
        <v>0</v>
      </c>
      <c r="D306" s="7">
        <f t="shared" si="23"/>
        <v>0</v>
      </c>
    </row>
    <row r="307" spans="1:4" x14ac:dyDescent="0.3">
      <c r="A307" s="1">
        <v>42664</v>
      </c>
      <c r="C307" s="8">
        <f t="shared" si="22"/>
        <v>0</v>
      </c>
      <c r="D307" s="7">
        <f t="shared" si="23"/>
        <v>0</v>
      </c>
    </row>
    <row r="308" spans="1:4" x14ac:dyDescent="0.3">
      <c r="A308" s="1">
        <v>42665</v>
      </c>
      <c r="C308" s="8">
        <f t="shared" si="22"/>
        <v>0</v>
      </c>
      <c r="D308" s="7">
        <f t="shared" si="23"/>
        <v>0</v>
      </c>
    </row>
    <row r="309" spans="1:4" x14ac:dyDescent="0.3">
      <c r="A309" s="1">
        <v>42666</v>
      </c>
      <c r="C309" s="8">
        <f t="shared" si="22"/>
        <v>0</v>
      </c>
      <c r="D309" s="7">
        <f t="shared" si="23"/>
        <v>0</v>
      </c>
    </row>
    <row r="310" spans="1:4" x14ac:dyDescent="0.3">
      <c r="A310" s="1">
        <v>42667</v>
      </c>
      <c r="C310" s="8">
        <f t="shared" si="22"/>
        <v>0</v>
      </c>
      <c r="D310" s="7">
        <f t="shared" si="23"/>
        <v>0</v>
      </c>
    </row>
    <row r="311" spans="1:4" x14ac:dyDescent="0.3">
      <c r="A311" s="1">
        <v>42668</v>
      </c>
      <c r="C311" s="8">
        <f t="shared" si="22"/>
        <v>0</v>
      </c>
      <c r="D311" s="7">
        <f t="shared" si="23"/>
        <v>0</v>
      </c>
    </row>
    <row r="312" spans="1:4" x14ac:dyDescent="0.3">
      <c r="A312" s="1">
        <v>42669</v>
      </c>
      <c r="C312" s="8">
        <f t="shared" si="22"/>
        <v>0</v>
      </c>
      <c r="D312" s="7">
        <f t="shared" si="23"/>
        <v>0</v>
      </c>
    </row>
    <row r="313" spans="1:4" x14ac:dyDescent="0.3">
      <c r="A313" s="1">
        <v>42670</v>
      </c>
      <c r="C313" s="8">
        <f t="shared" si="22"/>
        <v>0</v>
      </c>
      <c r="D313" s="7">
        <f t="shared" si="23"/>
        <v>0</v>
      </c>
    </row>
    <row r="314" spans="1:4" x14ac:dyDescent="0.3">
      <c r="A314" s="1">
        <v>42671</v>
      </c>
      <c r="C314" s="8">
        <f t="shared" si="22"/>
        <v>0</v>
      </c>
      <c r="D314" s="7">
        <f t="shared" si="23"/>
        <v>0</v>
      </c>
    </row>
    <row r="315" spans="1:4" x14ac:dyDescent="0.3">
      <c r="A315" s="1">
        <v>42672</v>
      </c>
      <c r="C315" s="8">
        <f t="shared" si="22"/>
        <v>0</v>
      </c>
      <c r="D315" s="7">
        <f t="shared" si="23"/>
        <v>0</v>
      </c>
    </row>
    <row r="316" spans="1:4" x14ac:dyDescent="0.3">
      <c r="A316" s="1">
        <v>42673</v>
      </c>
      <c r="C316" s="8">
        <f t="shared" si="22"/>
        <v>0</v>
      </c>
      <c r="D316" s="7">
        <f t="shared" si="23"/>
        <v>0</v>
      </c>
    </row>
    <row r="317" spans="1:4" x14ac:dyDescent="0.3">
      <c r="A317" s="1">
        <v>42674</v>
      </c>
      <c r="C317" s="8">
        <f t="shared" si="22"/>
        <v>0</v>
      </c>
      <c r="D317" s="7">
        <f t="shared" si="23"/>
        <v>0</v>
      </c>
    </row>
    <row r="318" spans="1:4" x14ac:dyDescent="0.3">
      <c r="A318" s="35" t="s">
        <v>17</v>
      </c>
      <c r="B318" s="5"/>
      <c r="C318" s="17">
        <f>SUM(C287:C317)</f>
        <v>0</v>
      </c>
      <c r="D318" s="5"/>
    </row>
    <row r="319" spans="1:4" x14ac:dyDescent="0.3">
      <c r="A319" s="1">
        <v>42675</v>
      </c>
      <c r="C319" s="8">
        <f>B319-B317</f>
        <v>0</v>
      </c>
      <c r="D319" s="7">
        <f>IFERROR(B319/B317-1,0)</f>
        <v>0</v>
      </c>
    </row>
    <row r="320" spans="1:4" x14ac:dyDescent="0.3">
      <c r="A320" s="1">
        <v>42676</v>
      </c>
      <c r="C320" s="8">
        <f t="shared" si="22"/>
        <v>0</v>
      </c>
      <c r="D320" s="7">
        <f t="shared" si="23"/>
        <v>0</v>
      </c>
    </row>
    <row r="321" spans="1:4" x14ac:dyDescent="0.3">
      <c r="A321" s="1">
        <v>42677</v>
      </c>
      <c r="C321" s="8">
        <f t="shared" ref="C321:C380" si="24">B321-B320</f>
        <v>0</v>
      </c>
      <c r="D321" s="7">
        <f t="shared" ref="D321:D380" si="25">IFERROR(B321/B320-1,0)</f>
        <v>0</v>
      </c>
    </row>
    <row r="322" spans="1:4" x14ac:dyDescent="0.3">
      <c r="A322" s="1">
        <v>42678</v>
      </c>
      <c r="C322" s="8">
        <f t="shared" si="24"/>
        <v>0</v>
      </c>
      <c r="D322" s="7">
        <f t="shared" si="25"/>
        <v>0</v>
      </c>
    </row>
    <row r="323" spans="1:4" x14ac:dyDescent="0.3">
      <c r="A323" s="1">
        <v>42679</v>
      </c>
      <c r="C323" s="8">
        <f t="shared" si="24"/>
        <v>0</v>
      </c>
      <c r="D323" s="7">
        <f t="shared" si="25"/>
        <v>0</v>
      </c>
    </row>
    <row r="324" spans="1:4" x14ac:dyDescent="0.3">
      <c r="A324" s="1">
        <v>42680</v>
      </c>
      <c r="C324" s="8">
        <f t="shared" si="24"/>
        <v>0</v>
      </c>
      <c r="D324" s="7">
        <f t="shared" si="25"/>
        <v>0</v>
      </c>
    </row>
    <row r="325" spans="1:4" x14ac:dyDescent="0.3">
      <c r="A325" s="1">
        <v>42681</v>
      </c>
      <c r="C325" s="8">
        <f t="shared" si="24"/>
        <v>0</v>
      </c>
      <c r="D325" s="7">
        <f t="shared" si="25"/>
        <v>0</v>
      </c>
    </row>
    <row r="326" spans="1:4" x14ac:dyDescent="0.3">
      <c r="A326" s="1">
        <v>42682</v>
      </c>
      <c r="C326" s="8">
        <f t="shared" si="24"/>
        <v>0</v>
      </c>
      <c r="D326" s="7">
        <f t="shared" si="25"/>
        <v>0</v>
      </c>
    </row>
    <row r="327" spans="1:4" x14ac:dyDescent="0.3">
      <c r="A327" s="1">
        <v>42683</v>
      </c>
      <c r="C327" s="8">
        <f t="shared" si="24"/>
        <v>0</v>
      </c>
      <c r="D327" s="7">
        <f t="shared" si="25"/>
        <v>0</v>
      </c>
    </row>
    <row r="328" spans="1:4" x14ac:dyDescent="0.3">
      <c r="A328" s="1">
        <v>42684</v>
      </c>
      <c r="C328" s="8">
        <f t="shared" si="24"/>
        <v>0</v>
      </c>
      <c r="D328" s="7">
        <f t="shared" si="25"/>
        <v>0</v>
      </c>
    </row>
    <row r="329" spans="1:4" x14ac:dyDescent="0.3">
      <c r="A329" s="1">
        <v>42685</v>
      </c>
      <c r="C329" s="8">
        <f t="shared" si="24"/>
        <v>0</v>
      </c>
      <c r="D329" s="7">
        <f t="shared" si="25"/>
        <v>0</v>
      </c>
    </row>
    <row r="330" spans="1:4" x14ac:dyDescent="0.3">
      <c r="A330" s="1">
        <v>42686</v>
      </c>
      <c r="C330" s="8">
        <f t="shared" si="24"/>
        <v>0</v>
      </c>
      <c r="D330" s="7">
        <f t="shared" si="25"/>
        <v>0</v>
      </c>
    </row>
    <row r="331" spans="1:4" x14ac:dyDescent="0.3">
      <c r="A331" s="1">
        <v>42687</v>
      </c>
      <c r="C331" s="8">
        <f t="shared" si="24"/>
        <v>0</v>
      </c>
      <c r="D331" s="7">
        <f t="shared" si="25"/>
        <v>0</v>
      </c>
    </row>
    <row r="332" spans="1:4" x14ac:dyDescent="0.3">
      <c r="A332" s="1">
        <v>42688</v>
      </c>
      <c r="C332" s="8">
        <f t="shared" si="24"/>
        <v>0</v>
      </c>
      <c r="D332" s="7">
        <f t="shared" si="25"/>
        <v>0</v>
      </c>
    </row>
    <row r="333" spans="1:4" x14ac:dyDescent="0.3">
      <c r="A333" s="1">
        <v>42689</v>
      </c>
      <c r="C333" s="8">
        <f t="shared" si="24"/>
        <v>0</v>
      </c>
      <c r="D333" s="7">
        <f t="shared" si="25"/>
        <v>0</v>
      </c>
    </row>
    <row r="334" spans="1:4" x14ac:dyDescent="0.3">
      <c r="A334" s="1">
        <v>42690</v>
      </c>
      <c r="C334" s="8">
        <f t="shared" si="24"/>
        <v>0</v>
      </c>
      <c r="D334" s="7">
        <f t="shared" si="25"/>
        <v>0</v>
      </c>
    </row>
    <row r="335" spans="1:4" x14ac:dyDescent="0.3">
      <c r="A335" s="1">
        <v>42691</v>
      </c>
      <c r="C335" s="8">
        <f t="shared" si="24"/>
        <v>0</v>
      </c>
      <c r="D335" s="7">
        <f t="shared" si="25"/>
        <v>0</v>
      </c>
    </row>
    <row r="336" spans="1:4" x14ac:dyDescent="0.3">
      <c r="A336" s="1">
        <v>42692</v>
      </c>
      <c r="C336" s="8">
        <f t="shared" si="24"/>
        <v>0</v>
      </c>
      <c r="D336" s="7">
        <f t="shared" si="25"/>
        <v>0</v>
      </c>
    </row>
    <row r="337" spans="1:4" x14ac:dyDescent="0.3">
      <c r="A337" s="1">
        <v>42693</v>
      </c>
      <c r="C337" s="8">
        <f t="shared" si="24"/>
        <v>0</v>
      </c>
      <c r="D337" s="7">
        <f t="shared" si="25"/>
        <v>0</v>
      </c>
    </row>
    <row r="338" spans="1:4" x14ac:dyDescent="0.3">
      <c r="A338" s="1">
        <v>42694</v>
      </c>
      <c r="C338" s="8">
        <f t="shared" si="24"/>
        <v>0</v>
      </c>
      <c r="D338" s="7">
        <f t="shared" si="25"/>
        <v>0</v>
      </c>
    </row>
    <row r="339" spans="1:4" x14ac:dyDescent="0.3">
      <c r="A339" s="1">
        <v>42695</v>
      </c>
      <c r="C339" s="8">
        <f t="shared" si="24"/>
        <v>0</v>
      </c>
      <c r="D339" s="7">
        <f t="shared" si="25"/>
        <v>0</v>
      </c>
    </row>
    <row r="340" spans="1:4" x14ac:dyDescent="0.3">
      <c r="A340" s="1">
        <v>42696</v>
      </c>
      <c r="C340" s="8">
        <f t="shared" si="24"/>
        <v>0</v>
      </c>
      <c r="D340" s="7">
        <f t="shared" si="25"/>
        <v>0</v>
      </c>
    </row>
    <row r="341" spans="1:4" x14ac:dyDescent="0.3">
      <c r="A341" s="1">
        <v>42697</v>
      </c>
      <c r="C341" s="8">
        <f t="shared" si="24"/>
        <v>0</v>
      </c>
      <c r="D341" s="7">
        <f t="shared" si="25"/>
        <v>0</v>
      </c>
    </row>
    <row r="342" spans="1:4" x14ac:dyDescent="0.3">
      <c r="A342" s="1">
        <v>42698</v>
      </c>
      <c r="C342" s="8">
        <f t="shared" si="24"/>
        <v>0</v>
      </c>
      <c r="D342" s="7">
        <f t="shared" si="25"/>
        <v>0</v>
      </c>
    </row>
    <row r="343" spans="1:4" x14ac:dyDescent="0.3">
      <c r="A343" s="1">
        <v>42699</v>
      </c>
      <c r="C343" s="8">
        <f t="shared" si="24"/>
        <v>0</v>
      </c>
      <c r="D343" s="7">
        <f t="shared" si="25"/>
        <v>0</v>
      </c>
    </row>
    <row r="344" spans="1:4" x14ac:dyDescent="0.3">
      <c r="A344" s="1">
        <v>42700</v>
      </c>
      <c r="C344" s="8">
        <f t="shared" si="24"/>
        <v>0</v>
      </c>
      <c r="D344" s="7">
        <f t="shared" si="25"/>
        <v>0</v>
      </c>
    </row>
    <row r="345" spans="1:4" x14ac:dyDescent="0.3">
      <c r="A345" s="1">
        <v>42701</v>
      </c>
      <c r="C345" s="8">
        <f t="shared" si="24"/>
        <v>0</v>
      </c>
      <c r="D345" s="7">
        <f t="shared" si="25"/>
        <v>0</v>
      </c>
    </row>
    <row r="346" spans="1:4" x14ac:dyDescent="0.3">
      <c r="A346" s="1">
        <v>42702</v>
      </c>
      <c r="C346" s="8">
        <f t="shared" si="24"/>
        <v>0</v>
      </c>
      <c r="D346" s="7">
        <f t="shared" si="25"/>
        <v>0</v>
      </c>
    </row>
    <row r="347" spans="1:4" x14ac:dyDescent="0.3">
      <c r="A347" s="1">
        <v>42703</v>
      </c>
      <c r="C347" s="8">
        <f t="shared" si="24"/>
        <v>0</v>
      </c>
      <c r="D347" s="7">
        <f t="shared" si="25"/>
        <v>0</v>
      </c>
    </row>
    <row r="348" spans="1:4" x14ac:dyDescent="0.3">
      <c r="A348" s="1">
        <v>42704</v>
      </c>
      <c r="C348" s="8">
        <f t="shared" si="24"/>
        <v>0</v>
      </c>
      <c r="D348" s="7">
        <f t="shared" si="25"/>
        <v>0</v>
      </c>
    </row>
    <row r="349" spans="1:4" x14ac:dyDescent="0.3">
      <c r="A349" s="35" t="s">
        <v>18</v>
      </c>
      <c r="B349" s="5"/>
      <c r="C349" s="17">
        <f>SUM(C319:C348)</f>
        <v>0</v>
      </c>
      <c r="D349" s="5"/>
    </row>
    <row r="350" spans="1:4" x14ac:dyDescent="0.3">
      <c r="A350" s="1">
        <v>42705</v>
      </c>
      <c r="C350" s="8">
        <f>B350-B348</f>
        <v>0</v>
      </c>
      <c r="D350" s="7">
        <f>IFERROR(B350/B348-1,0)</f>
        <v>0</v>
      </c>
    </row>
    <row r="351" spans="1:4" x14ac:dyDescent="0.3">
      <c r="A351" s="1">
        <v>42706</v>
      </c>
      <c r="C351" s="8">
        <f t="shared" si="24"/>
        <v>0</v>
      </c>
      <c r="D351" s="7">
        <f t="shared" si="25"/>
        <v>0</v>
      </c>
    </row>
    <row r="352" spans="1:4" x14ac:dyDescent="0.3">
      <c r="A352" s="1">
        <v>42707</v>
      </c>
      <c r="C352" s="8">
        <f t="shared" si="24"/>
        <v>0</v>
      </c>
      <c r="D352" s="7">
        <f t="shared" si="25"/>
        <v>0</v>
      </c>
    </row>
    <row r="353" spans="1:4" x14ac:dyDescent="0.3">
      <c r="A353" s="1">
        <v>42708</v>
      </c>
      <c r="C353" s="8">
        <f t="shared" si="24"/>
        <v>0</v>
      </c>
      <c r="D353" s="7">
        <f t="shared" si="25"/>
        <v>0</v>
      </c>
    </row>
    <row r="354" spans="1:4" x14ac:dyDescent="0.3">
      <c r="A354" s="1">
        <v>42709</v>
      </c>
      <c r="C354" s="8">
        <f t="shared" si="24"/>
        <v>0</v>
      </c>
      <c r="D354" s="7">
        <f t="shared" si="25"/>
        <v>0</v>
      </c>
    </row>
    <row r="355" spans="1:4" x14ac:dyDescent="0.3">
      <c r="A355" s="1">
        <v>42710</v>
      </c>
      <c r="C355" s="8">
        <f t="shared" si="24"/>
        <v>0</v>
      </c>
      <c r="D355" s="7">
        <f t="shared" si="25"/>
        <v>0</v>
      </c>
    </row>
    <row r="356" spans="1:4" x14ac:dyDescent="0.3">
      <c r="A356" s="1">
        <v>42711</v>
      </c>
      <c r="C356" s="8">
        <f t="shared" si="24"/>
        <v>0</v>
      </c>
      <c r="D356" s="7">
        <f t="shared" si="25"/>
        <v>0</v>
      </c>
    </row>
    <row r="357" spans="1:4" x14ac:dyDescent="0.3">
      <c r="A357" s="1">
        <v>42712</v>
      </c>
      <c r="C357" s="8">
        <f t="shared" si="24"/>
        <v>0</v>
      </c>
      <c r="D357" s="7">
        <f t="shared" si="25"/>
        <v>0</v>
      </c>
    </row>
    <row r="358" spans="1:4" x14ac:dyDescent="0.3">
      <c r="A358" s="1">
        <v>42713</v>
      </c>
      <c r="C358" s="8">
        <f t="shared" si="24"/>
        <v>0</v>
      </c>
      <c r="D358" s="7">
        <f t="shared" si="25"/>
        <v>0</v>
      </c>
    </row>
    <row r="359" spans="1:4" x14ac:dyDescent="0.3">
      <c r="A359" s="1">
        <v>42714</v>
      </c>
      <c r="C359" s="8">
        <f t="shared" si="24"/>
        <v>0</v>
      </c>
      <c r="D359" s="7">
        <f t="shared" si="25"/>
        <v>0</v>
      </c>
    </row>
    <row r="360" spans="1:4" x14ac:dyDescent="0.3">
      <c r="A360" s="1">
        <v>42715</v>
      </c>
      <c r="B360" s="206"/>
      <c r="C360" s="8">
        <f t="shared" si="24"/>
        <v>0</v>
      </c>
      <c r="D360" s="7">
        <f t="shared" si="25"/>
        <v>0</v>
      </c>
    </row>
    <row r="361" spans="1:4" x14ac:dyDescent="0.3">
      <c r="A361" s="1">
        <v>42716</v>
      </c>
      <c r="B361" s="206"/>
      <c r="C361" s="8">
        <f t="shared" si="24"/>
        <v>0</v>
      </c>
      <c r="D361" s="7">
        <f t="shared" si="25"/>
        <v>0</v>
      </c>
    </row>
    <row r="362" spans="1:4" x14ac:dyDescent="0.3">
      <c r="A362" s="1">
        <v>42717</v>
      </c>
      <c r="B362" s="206"/>
      <c r="C362" s="8">
        <f t="shared" si="24"/>
        <v>0</v>
      </c>
      <c r="D362" s="7">
        <f t="shared" si="25"/>
        <v>0</v>
      </c>
    </row>
    <row r="363" spans="1:4" x14ac:dyDescent="0.3">
      <c r="A363" s="1">
        <v>42718</v>
      </c>
      <c r="C363" s="8">
        <f t="shared" si="24"/>
        <v>0</v>
      </c>
      <c r="D363" s="7">
        <f t="shared" si="25"/>
        <v>0</v>
      </c>
    </row>
    <row r="364" spans="1:4" x14ac:dyDescent="0.3">
      <c r="A364" s="1">
        <v>42719</v>
      </c>
      <c r="B364" s="206"/>
      <c r="C364" s="8">
        <f t="shared" si="24"/>
        <v>0</v>
      </c>
      <c r="D364" s="7">
        <f t="shared" si="25"/>
        <v>0</v>
      </c>
    </row>
    <row r="365" spans="1:4" x14ac:dyDescent="0.3">
      <c r="A365" s="1">
        <v>42720</v>
      </c>
      <c r="B365" s="206"/>
      <c r="C365" s="8">
        <f t="shared" si="24"/>
        <v>0</v>
      </c>
      <c r="D365" s="7">
        <f t="shared" si="25"/>
        <v>0</v>
      </c>
    </row>
    <row r="366" spans="1:4" x14ac:dyDescent="0.3">
      <c r="A366" s="1">
        <v>42721</v>
      </c>
      <c r="B366" s="206"/>
      <c r="C366" s="8">
        <f t="shared" si="24"/>
        <v>0</v>
      </c>
      <c r="D366" s="7">
        <f t="shared" si="25"/>
        <v>0</v>
      </c>
    </row>
    <row r="367" spans="1:4" x14ac:dyDescent="0.3">
      <c r="A367" s="1">
        <v>42722</v>
      </c>
      <c r="B367" s="206"/>
      <c r="C367" s="8">
        <f t="shared" si="24"/>
        <v>0</v>
      </c>
      <c r="D367" s="7">
        <f t="shared" si="25"/>
        <v>0</v>
      </c>
    </row>
    <row r="368" spans="1:4" x14ac:dyDescent="0.3">
      <c r="A368" s="1">
        <v>42723</v>
      </c>
      <c r="B368" s="206"/>
      <c r="C368" s="8">
        <f t="shared" si="24"/>
        <v>0</v>
      </c>
      <c r="D368" s="7">
        <f t="shared" si="25"/>
        <v>0</v>
      </c>
    </row>
    <row r="369" spans="1:4" x14ac:dyDescent="0.3">
      <c r="A369" s="1">
        <v>42724</v>
      </c>
      <c r="B369" s="206"/>
      <c r="C369" s="8">
        <f t="shared" si="24"/>
        <v>0</v>
      </c>
      <c r="D369" s="7">
        <f t="shared" si="25"/>
        <v>0</v>
      </c>
    </row>
    <row r="370" spans="1:4" x14ac:dyDescent="0.3">
      <c r="A370" s="1">
        <v>42725</v>
      </c>
      <c r="B370" s="206"/>
      <c r="C370" s="8">
        <f t="shared" si="24"/>
        <v>0</v>
      </c>
      <c r="D370" s="7">
        <f t="shared" si="25"/>
        <v>0</v>
      </c>
    </row>
    <row r="371" spans="1:4" x14ac:dyDescent="0.3">
      <c r="A371" s="1">
        <v>42726</v>
      </c>
      <c r="B371" s="206"/>
      <c r="C371" s="8">
        <f t="shared" si="24"/>
        <v>0</v>
      </c>
      <c r="D371" s="7">
        <f t="shared" si="25"/>
        <v>0</v>
      </c>
    </row>
    <row r="372" spans="1:4" x14ac:dyDescent="0.3">
      <c r="A372" s="1">
        <v>42727</v>
      </c>
      <c r="B372" s="206"/>
      <c r="C372" s="8">
        <f t="shared" si="24"/>
        <v>0</v>
      </c>
      <c r="D372" s="7">
        <f t="shared" si="25"/>
        <v>0</v>
      </c>
    </row>
    <row r="373" spans="1:4" x14ac:dyDescent="0.3">
      <c r="A373" s="1">
        <v>42728</v>
      </c>
      <c r="C373" s="8">
        <f t="shared" si="24"/>
        <v>0</v>
      </c>
      <c r="D373" s="7">
        <f t="shared" si="25"/>
        <v>0</v>
      </c>
    </row>
    <row r="374" spans="1:4" x14ac:dyDescent="0.3">
      <c r="A374" s="1">
        <v>42729</v>
      </c>
      <c r="B374" s="206"/>
      <c r="C374" s="8">
        <f t="shared" si="24"/>
        <v>0</v>
      </c>
      <c r="D374" s="7">
        <f t="shared" si="25"/>
        <v>0</v>
      </c>
    </row>
    <row r="375" spans="1:4" x14ac:dyDescent="0.3">
      <c r="A375" s="1">
        <v>42730</v>
      </c>
      <c r="B375" s="206"/>
      <c r="C375" s="8">
        <f t="shared" si="24"/>
        <v>0</v>
      </c>
      <c r="D375" s="7">
        <f t="shared" si="25"/>
        <v>0</v>
      </c>
    </row>
    <row r="376" spans="1:4" x14ac:dyDescent="0.3">
      <c r="A376" s="1">
        <v>42731</v>
      </c>
      <c r="B376" s="206"/>
      <c r="C376" s="8">
        <f t="shared" si="24"/>
        <v>0</v>
      </c>
      <c r="D376" s="7">
        <f t="shared" si="25"/>
        <v>0</v>
      </c>
    </row>
    <row r="377" spans="1:4" x14ac:dyDescent="0.3">
      <c r="A377" s="1">
        <v>42732</v>
      </c>
      <c r="B377" s="206"/>
      <c r="C377" s="8">
        <f t="shared" si="24"/>
        <v>0</v>
      </c>
      <c r="D377" s="7">
        <f t="shared" si="25"/>
        <v>0</v>
      </c>
    </row>
    <row r="378" spans="1:4" x14ac:dyDescent="0.3">
      <c r="A378" s="1">
        <v>42733</v>
      </c>
      <c r="B378" s="206"/>
      <c r="C378" s="8">
        <f t="shared" si="24"/>
        <v>0</v>
      </c>
      <c r="D378" s="7">
        <f t="shared" si="25"/>
        <v>0</v>
      </c>
    </row>
    <row r="379" spans="1:4" x14ac:dyDescent="0.3">
      <c r="A379" s="1">
        <v>42734</v>
      </c>
      <c r="B379" s="206"/>
      <c r="C379" s="8">
        <f t="shared" si="24"/>
        <v>0</v>
      </c>
      <c r="D379" s="7">
        <f t="shared" si="25"/>
        <v>0</v>
      </c>
    </row>
    <row r="380" spans="1:4" x14ac:dyDescent="0.3">
      <c r="A380" s="1">
        <v>42735</v>
      </c>
      <c r="B380" s="206"/>
      <c r="C380" s="8">
        <f t="shared" si="24"/>
        <v>0</v>
      </c>
      <c r="D380" s="7">
        <f t="shared" si="25"/>
        <v>0</v>
      </c>
    </row>
    <row r="381" spans="1:4" x14ac:dyDescent="0.3">
      <c r="A381" s="35" t="s">
        <v>19</v>
      </c>
      <c r="B381" s="5"/>
      <c r="C381" s="17">
        <f>SUM(C350:C380)</f>
        <v>0</v>
      </c>
      <c r="D381" s="5"/>
    </row>
  </sheetData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3"/>
  <dimension ref="A1:V386"/>
  <sheetViews>
    <sheetView workbookViewId="0">
      <selection activeCell="N4" sqref="N4"/>
    </sheetView>
  </sheetViews>
  <sheetFormatPr baseColWidth="10" defaultColWidth="11.44140625" defaultRowHeight="14.4" x14ac:dyDescent="0.3"/>
  <cols>
    <col min="1" max="1" width="17.88671875" bestFit="1" customWidth="1"/>
    <col min="2" max="2" width="18" bestFit="1" customWidth="1"/>
    <col min="3" max="3" width="16.44140625" bestFit="1" customWidth="1"/>
    <col min="4" max="7" width="17.44140625" customWidth="1"/>
    <col min="8" max="9" width="16.44140625" customWidth="1"/>
    <col min="10" max="10" width="17.88671875" customWidth="1"/>
    <col min="11" max="11" width="17.88671875" bestFit="1" customWidth="1"/>
    <col min="12" max="17" width="15.109375" bestFit="1" customWidth="1"/>
  </cols>
  <sheetData>
    <row r="1" spans="1:22" x14ac:dyDescent="0.3">
      <c r="A1" t="s">
        <v>5</v>
      </c>
      <c r="E1" t="s">
        <v>241</v>
      </c>
      <c r="F1" t="s">
        <v>242</v>
      </c>
      <c r="G1" t="s">
        <v>243</v>
      </c>
      <c r="H1" t="s">
        <v>1096</v>
      </c>
      <c r="I1" t="s">
        <v>1097</v>
      </c>
      <c r="J1" t="s">
        <v>1098</v>
      </c>
    </row>
    <row r="2" spans="1:22" ht="28.8" x14ac:dyDescent="0.3">
      <c r="B2" s="1"/>
      <c r="C2" s="41" t="s">
        <v>244</v>
      </c>
      <c r="D2" s="42" t="e">
        <f ca="1">SUM(N4:N10)</f>
        <v>#REF!</v>
      </c>
      <c r="E2" s="42" t="e">
        <f ca="1">SUM(O4:O10)</f>
        <v>#REF!</v>
      </c>
      <c r="F2" s="42">
        <f>SUM(P4:P10)</f>
        <v>10487571423</v>
      </c>
      <c r="G2" s="132">
        <f>SUM(Q4:Q10)</f>
        <v>10271501639</v>
      </c>
      <c r="H2" s="132" t="e">
        <f ca="1">SUM(T4:T10)</f>
        <v>#REF!</v>
      </c>
      <c r="I2" s="132" t="e">
        <f t="shared" ref="I2:J2" ca="1" si="0">SUM(U4:U10)</f>
        <v>#REF!</v>
      </c>
      <c r="J2" s="132" t="e">
        <f t="shared" ca="1" si="0"/>
        <v>#REF!</v>
      </c>
    </row>
    <row r="3" spans="1:22" ht="28.8" x14ac:dyDescent="0.3">
      <c r="A3" s="43" t="s">
        <v>245</v>
      </c>
      <c r="B3" s="43" t="s">
        <v>245</v>
      </c>
      <c r="C3" s="43" t="s">
        <v>246</v>
      </c>
      <c r="D3" s="43" t="s">
        <v>247</v>
      </c>
      <c r="E3" s="43" t="s">
        <v>241</v>
      </c>
      <c r="F3" s="43" t="s">
        <v>242</v>
      </c>
      <c r="G3" s="43" t="s">
        <v>243</v>
      </c>
      <c r="H3" s="43" t="str">
        <f>H1</f>
        <v>Semaine 2</v>
      </c>
      <c r="I3" s="43" t="str">
        <f t="shared" ref="I3:J3" si="1">I1</f>
        <v>Semaine 3</v>
      </c>
      <c r="J3" s="43" t="str">
        <f t="shared" si="1"/>
        <v>Semaine 4</v>
      </c>
      <c r="K3" s="43" t="s">
        <v>248</v>
      </c>
      <c r="L3" s="43" t="s">
        <v>249</v>
      </c>
      <c r="M3" s="43" t="s">
        <v>250</v>
      </c>
      <c r="N3" s="44" t="s">
        <v>244</v>
      </c>
      <c r="O3" s="44" t="s">
        <v>251</v>
      </c>
      <c r="P3" s="44" t="s">
        <v>252</v>
      </c>
      <c r="Q3" s="43" t="s">
        <v>253</v>
      </c>
      <c r="R3" s="43"/>
      <c r="S3" s="43"/>
      <c r="T3" s="43" t="s">
        <v>1096</v>
      </c>
      <c r="U3" s="43" t="s">
        <v>1097</v>
      </c>
      <c r="V3" s="43" t="s">
        <v>1098</v>
      </c>
    </row>
    <row r="4" spans="1:22" x14ac:dyDescent="0.3">
      <c r="A4" s="8">
        <v>0</v>
      </c>
      <c r="B4" s="8">
        <v>28282828</v>
      </c>
      <c r="C4" s="6">
        <v>0</v>
      </c>
      <c r="D4" s="8" t="e">
        <f ca="1">IF($D$2&gt;$B4,($B4-$A4)*$C4,($D$2-$A4)*$C4)</f>
        <v>#REF!</v>
      </c>
      <c r="E4" s="8" t="e">
        <f ca="1">IF($E$2&gt;$B4,($B4-$A4)*$C4,($E$2-$A4)*$C4)</f>
        <v>#REF!</v>
      </c>
      <c r="F4" s="8">
        <f>IF($F$2&gt;$B4,($B4-$A4)*$C4,($F$2-$A4)*$C4)</f>
        <v>0</v>
      </c>
      <c r="G4" s="8">
        <f>IF($G$2&gt;$B4,($B4-$A4)*$C4,($G$2-$A4)*$C4)</f>
        <v>0</v>
      </c>
      <c r="H4" s="8" t="e">
        <f ca="1">IF($H$2&gt;$B4,($B4-$A4)*$C4,($H$2-$A4)*$C4)</f>
        <v>#REF!</v>
      </c>
      <c r="I4" s="8" t="e">
        <f ca="1">IF($I$2&gt;$B4,($B4-$A4)*$C4,($I$2-$A4)*$C4)</f>
        <v>#REF!</v>
      </c>
      <c r="J4" s="8" t="e">
        <f ca="1">IF($J$2&gt;$B4,($B4-$A4)*$C4,($J$2-$A4)*$C4)</f>
        <v>#REF!</v>
      </c>
      <c r="K4" s="21" t="e">
        <f ca="1">SUM(D4:D18)</f>
        <v>#REF!</v>
      </c>
      <c r="L4" s="21">
        <f t="shared" ref="L4:L18" ca="1" si="2">WEEKDAY(M4,2)</f>
        <v>7</v>
      </c>
      <c r="M4" s="1">
        <f ca="1">ROUNDDOWN(NOW()-7,0)</f>
        <v>43457</v>
      </c>
      <c r="N4" s="21" t="e">
        <f ca="1">VLOOKUP(M4,#REF!,5,FALSE)-VLOOKUP(M4,A21:C385,3,FALSE)</f>
        <v>#REF!</v>
      </c>
      <c r="O4" s="21" t="e">
        <f ca="1">Investissement!$D$30-Investissement!$C$30</f>
        <v>#REF!</v>
      </c>
      <c r="P4" s="21">
        <f>1687296218-219938841</f>
        <v>1467357377</v>
      </c>
      <c r="Q4" s="21">
        <f t="shared" ref="Q4:Q11" si="3">$P$4</f>
        <v>1467357377</v>
      </c>
      <c r="R4" s="1">
        <f ca="1">M10</f>
        <v>43463</v>
      </c>
      <c r="T4" t="e">
        <f ca="1">Investissement!M34-Investissement!O34</f>
        <v>#REF!</v>
      </c>
      <c r="U4" t="e">
        <f ca="1">Investissement!M42-Investissement!O42</f>
        <v>#REF!</v>
      </c>
      <c r="V4" t="e">
        <f ca="1">Investissement!M50-Investissement!O50</f>
        <v>#REF!</v>
      </c>
    </row>
    <row r="5" spans="1:22" x14ac:dyDescent="0.3">
      <c r="A5" s="8">
        <f>B4+1</f>
        <v>28282829</v>
      </c>
      <c r="B5" s="8">
        <v>42714818</v>
      </c>
      <c r="C5" s="6">
        <v>0.01</v>
      </c>
      <c r="D5" s="8" t="e">
        <f t="shared" ref="D5:D17" ca="1" si="4">IF($D$2&gt;$B5,($B5-$A5)*$C5,($D$2-$A5)*$C5)</f>
        <v>#REF!</v>
      </c>
      <c r="E5" s="8" t="e">
        <f t="shared" ref="E5:E17" ca="1" si="5">IF($E$2&gt;$B5,($B5-$A5)*$C5,($E$2-$A5)*$C5)</f>
        <v>#REF!</v>
      </c>
      <c r="F5" s="8">
        <f t="shared" ref="F5:F17" si="6">IF($F$2&gt;$B5,($B5-$A5)*$C5,($F$2-$A5)*$C5)</f>
        <v>144319.89000000001</v>
      </c>
      <c r="G5" s="8">
        <f t="shared" ref="G5:G18" si="7">IF($G$2&gt;$B5,($B5-$A5)*$C5,($G$2-$A5)*$C5)</f>
        <v>144319.89000000001</v>
      </c>
      <c r="H5" s="8" t="e">
        <f t="shared" ref="H5:H17" ca="1" si="8">IF($H$2&gt;$B5,($B5-$A5)*$C5,($H$2-$A5)*$C5)</f>
        <v>#REF!</v>
      </c>
      <c r="I5" s="8" t="e">
        <f t="shared" ref="I5:I17" ca="1" si="9">IF($I$2&gt;$B5,($B5-$A5)*$C5,($I$2-$A5)*$C5)</f>
        <v>#REF!</v>
      </c>
      <c r="J5" s="8" t="e">
        <f t="shared" ref="J5:J17" ca="1" si="10">IF($J$2&gt;$B5,($B5-$A5)*$C5,($J$2-$A5)*$C5)</f>
        <v>#REF!</v>
      </c>
      <c r="K5" s="8" t="e">
        <f ca="1">SUM(E4:E18)</f>
        <v>#REF!</v>
      </c>
      <c r="L5" s="21">
        <f t="shared" ca="1" si="2"/>
        <v>1</v>
      </c>
      <c r="M5" s="1">
        <f ca="1">ROUNDDOWN(NOW()-6,0)</f>
        <v>43458</v>
      </c>
      <c r="N5" s="21" t="e">
        <f ca="1">VLOOKUP(M5,#REF!,5,FALSE)-VLOOKUP(M5,A22:C386,3,FALSE)</f>
        <v>#REF!</v>
      </c>
      <c r="O5" s="21" t="e">
        <f ca="1">Investissement!$D$30-Investissement!$C$30</f>
        <v>#REF!</v>
      </c>
      <c r="P5" s="21">
        <f>1687484766-219953591</f>
        <v>1467531175</v>
      </c>
      <c r="Q5" s="21">
        <f t="shared" si="3"/>
        <v>1467357377</v>
      </c>
      <c r="R5" s="1">
        <f ca="1">R4+1</f>
        <v>43464</v>
      </c>
      <c r="T5" t="e">
        <f ca="1">Investissement!M35-Investissement!O35</f>
        <v>#REF!</v>
      </c>
      <c r="U5" t="e">
        <f ca="1">Investissement!M43-Investissement!O43</f>
        <v>#REF!</v>
      </c>
      <c r="V5" s="189" t="e">
        <f ca="1">Investissement!M51-Investissement!O51</f>
        <v>#REF!</v>
      </c>
    </row>
    <row r="6" spans="1:22" x14ac:dyDescent="0.3">
      <c r="A6" s="8">
        <f t="shared" ref="A6:A18" si="11">B5+1</f>
        <v>42714819</v>
      </c>
      <c r="B6" s="8">
        <v>64821081</v>
      </c>
      <c r="C6" s="6">
        <v>0.02</v>
      </c>
      <c r="D6" s="8" t="e">
        <f t="shared" ca="1" si="4"/>
        <v>#REF!</v>
      </c>
      <c r="E6" s="8" t="e">
        <f t="shared" ca="1" si="5"/>
        <v>#REF!</v>
      </c>
      <c r="F6" s="8">
        <f t="shared" si="6"/>
        <v>442125.24</v>
      </c>
      <c r="G6" s="8">
        <f t="shared" si="7"/>
        <v>442125.24</v>
      </c>
      <c r="H6" s="8" t="e">
        <f t="shared" ca="1" si="8"/>
        <v>#REF!</v>
      </c>
      <c r="I6" s="8" t="e">
        <f t="shared" ca="1" si="9"/>
        <v>#REF!</v>
      </c>
      <c r="J6" s="8" t="e">
        <f t="shared" ca="1" si="10"/>
        <v>#REF!</v>
      </c>
      <c r="K6" s="8">
        <f>SUM(F4:F18)</f>
        <v>6184518002.6300001</v>
      </c>
      <c r="L6" s="21">
        <f t="shared" ca="1" si="2"/>
        <v>2</v>
      </c>
      <c r="M6" s="1">
        <f ca="1">ROUNDDOWN(NOW()-5,0)</f>
        <v>43459</v>
      </c>
      <c r="N6" s="21" t="e">
        <f ca="1">VLOOKUP(M6,#REF!,5,FALSE)-VLOOKUP(M6,A23:C387,3,FALSE)</f>
        <v>#REF!</v>
      </c>
      <c r="O6" s="21" t="e">
        <f ca="1">Investissement!$D$30-Investissement!$C$30</f>
        <v>#REF!</v>
      </c>
      <c r="P6" s="21">
        <f>1687307910-219940530</f>
        <v>1467367380</v>
      </c>
      <c r="Q6" s="21">
        <f t="shared" si="3"/>
        <v>1467357377</v>
      </c>
      <c r="R6" s="1">
        <f t="shared" ref="R6:R10" ca="1" si="12">R5+1</f>
        <v>43465</v>
      </c>
      <c r="T6" t="e">
        <f ca="1">Investissement!M36-Investissement!O36</f>
        <v>#REF!</v>
      </c>
      <c r="U6" t="e">
        <f ca="1">Investissement!M44-Investissement!O44</f>
        <v>#REF!</v>
      </c>
      <c r="V6" s="189" t="e">
        <f ca="1">Investissement!M52-Investissement!O52</f>
        <v>#REF!</v>
      </c>
    </row>
    <row r="7" spans="1:22" x14ac:dyDescent="0.3">
      <c r="A7" s="8">
        <f t="shared" si="11"/>
        <v>64821082</v>
      </c>
      <c r="B7" s="8">
        <v>87401726</v>
      </c>
      <c r="C7" s="6">
        <v>0.04</v>
      </c>
      <c r="D7" s="8" t="e">
        <f t="shared" ca="1" si="4"/>
        <v>#REF!</v>
      </c>
      <c r="E7" s="8" t="e">
        <f t="shared" ca="1" si="5"/>
        <v>#REF!</v>
      </c>
      <c r="F7" s="8">
        <f t="shared" si="6"/>
        <v>903225.76</v>
      </c>
      <c r="G7" s="8">
        <f t="shared" si="7"/>
        <v>903225.76</v>
      </c>
      <c r="H7" s="8" t="e">
        <f t="shared" ca="1" si="8"/>
        <v>#REF!</v>
      </c>
      <c r="I7" s="8" t="e">
        <f t="shared" ca="1" si="9"/>
        <v>#REF!</v>
      </c>
      <c r="J7" s="8" t="e">
        <f t="shared" ca="1" si="10"/>
        <v>#REF!</v>
      </c>
      <c r="K7" s="8">
        <f>SUM(G4:G17)</f>
        <v>3852207855.8600001</v>
      </c>
      <c r="L7" s="21">
        <f t="shared" ca="1" si="2"/>
        <v>3</v>
      </c>
      <c r="M7" s="1">
        <f ca="1">ROUNDDOWN(NOW()-4,0)</f>
        <v>43460</v>
      </c>
      <c r="N7" s="21" t="e">
        <f ca="1">VLOOKUP(M7,#REF!,5,FALSE)-VLOOKUP(M7,A24:C388,3,FALSE)</f>
        <v>#REF!</v>
      </c>
      <c r="O7" s="21" t="e">
        <f ca="1">Investissement!$D$30-Investissement!$C$30</f>
        <v>#REF!</v>
      </c>
      <c r="P7" s="21">
        <f>1674414271-218858493</f>
        <v>1455555778</v>
      </c>
      <c r="Q7" s="21">
        <f t="shared" si="3"/>
        <v>1467357377</v>
      </c>
      <c r="R7" s="1">
        <f t="shared" ca="1" si="12"/>
        <v>43466</v>
      </c>
      <c r="T7" t="e">
        <f ca="1">Investissement!M37-Investissement!O37</f>
        <v>#REF!</v>
      </c>
      <c r="U7" t="e">
        <f ca="1">Investissement!M45-Investissement!O45</f>
        <v>#REF!</v>
      </c>
      <c r="V7" s="189" t="e">
        <f ca="1">Investissement!M53-Investissement!O53</f>
        <v>#REF!</v>
      </c>
    </row>
    <row r="8" spans="1:22" x14ac:dyDescent="0.3">
      <c r="A8" s="8">
        <f t="shared" si="11"/>
        <v>87401727</v>
      </c>
      <c r="B8" s="8">
        <v>126290615</v>
      </c>
      <c r="C8" s="6">
        <v>0.06</v>
      </c>
      <c r="D8" s="8" t="e">
        <f t="shared" ca="1" si="4"/>
        <v>#REF!</v>
      </c>
      <c r="E8" s="8" t="e">
        <f t="shared" ca="1" si="5"/>
        <v>#REF!</v>
      </c>
      <c r="F8" s="8">
        <f t="shared" si="6"/>
        <v>2333333.2799999998</v>
      </c>
      <c r="G8" s="8">
        <f t="shared" si="7"/>
        <v>2333333.2799999998</v>
      </c>
      <c r="H8" s="8" t="e">
        <f t="shared" ca="1" si="8"/>
        <v>#REF!</v>
      </c>
      <c r="I8" s="8" t="e">
        <f t="shared" ca="1" si="9"/>
        <v>#REF!</v>
      </c>
      <c r="J8" s="8" t="e">
        <f t="shared" ca="1" si="10"/>
        <v>#REF!</v>
      </c>
      <c r="K8" s="8"/>
      <c r="L8" s="21">
        <f t="shared" ca="1" si="2"/>
        <v>4</v>
      </c>
      <c r="M8" s="1">
        <f ca="1">ROUNDDOWN(NOW()-3,0)</f>
        <v>43461</v>
      </c>
      <c r="N8" s="21" t="e">
        <f ca="1">VLOOKUP(M8,#REF!,5,FALSE)-VLOOKUP(M8,A25:C389,3,FALSE)</f>
        <v>#REF!</v>
      </c>
      <c r="O8" s="21" t="e">
        <f ca="1">Investissement!$D$30-Investissement!$C$30</f>
        <v>#REF!</v>
      </c>
      <c r="P8" s="21">
        <f>1707997243-223697034</f>
        <v>1484300209</v>
      </c>
      <c r="Q8" s="21">
        <f t="shared" si="3"/>
        <v>1467357377</v>
      </c>
      <c r="R8" s="1">
        <f t="shared" ca="1" si="12"/>
        <v>43467</v>
      </c>
      <c r="T8" t="e">
        <f ca="1">Investissement!M38-Investissement!O38</f>
        <v>#REF!</v>
      </c>
      <c r="U8" t="e">
        <f ca="1">Investissement!M46-Investissement!O46</f>
        <v>#REF!</v>
      </c>
      <c r="V8" s="189" t="e">
        <f ca="1">Investissement!M54-Investissement!O54</f>
        <v>#REF!</v>
      </c>
    </row>
    <row r="9" spans="1:22" x14ac:dyDescent="0.3">
      <c r="A9" s="8">
        <f t="shared" si="11"/>
        <v>126290616</v>
      </c>
      <c r="B9" s="8">
        <v>183267359</v>
      </c>
      <c r="C9" s="6">
        <v>0.08</v>
      </c>
      <c r="D9" s="8" t="e">
        <f t="shared" ca="1" si="4"/>
        <v>#REF!</v>
      </c>
      <c r="E9" s="8" t="e">
        <f t="shared" ca="1" si="5"/>
        <v>#REF!</v>
      </c>
      <c r="F9" s="8">
        <f t="shared" si="6"/>
        <v>4558139.4400000004</v>
      </c>
      <c r="G9" s="8">
        <f t="shared" si="7"/>
        <v>4558139.4400000004</v>
      </c>
      <c r="H9" s="8" t="e">
        <f t="shared" ca="1" si="8"/>
        <v>#REF!</v>
      </c>
      <c r="I9" s="8" t="e">
        <f t="shared" ca="1" si="9"/>
        <v>#REF!</v>
      </c>
      <c r="J9" s="8" t="e">
        <f t="shared" ca="1" si="10"/>
        <v>#REF!</v>
      </c>
      <c r="K9" s="8"/>
      <c r="L9" s="21">
        <f t="shared" ca="1" si="2"/>
        <v>5</v>
      </c>
      <c r="M9" s="1">
        <f ca="1">ROUNDDOWN(NOW()-2,0)</f>
        <v>43462</v>
      </c>
      <c r="N9" s="21" t="e">
        <f ca="1">VLOOKUP(M9,#REF!,5,FALSE)-VLOOKUP(M9,A26:C390,3,FALSE)</f>
        <v>#REF!</v>
      </c>
      <c r="O9" s="21" t="e">
        <f ca="1">Investissement!$D$30-Investissement!$C$30</f>
        <v>#REF!</v>
      </c>
      <c r="P9" s="21">
        <f>1810891749-238161997</f>
        <v>1572729752</v>
      </c>
      <c r="Q9" s="21">
        <f t="shared" si="3"/>
        <v>1467357377</v>
      </c>
      <c r="R9" s="1">
        <f t="shared" ca="1" si="12"/>
        <v>43468</v>
      </c>
      <c r="T9" t="e">
        <f ca="1">Investissement!M39-Investissement!O39</f>
        <v>#REF!</v>
      </c>
      <c r="U9" t="e">
        <f ca="1">Investissement!M47-Investissement!O47</f>
        <v>#REF!</v>
      </c>
      <c r="V9" s="189" t="e">
        <f ca="1">Investissement!M55-Investissement!O55</f>
        <v>#REF!</v>
      </c>
    </row>
    <row r="10" spans="1:22" x14ac:dyDescent="0.3">
      <c r="A10" s="8">
        <f t="shared" si="11"/>
        <v>183267360</v>
      </c>
      <c r="B10" s="8">
        <v>253267359</v>
      </c>
      <c r="C10" s="6">
        <v>0.12</v>
      </c>
      <c r="D10" s="8" t="e">
        <f t="shared" ca="1" si="4"/>
        <v>#REF!</v>
      </c>
      <c r="E10" s="8" t="e">
        <f t="shared" ca="1" si="5"/>
        <v>#REF!</v>
      </c>
      <c r="F10" s="8">
        <f t="shared" si="6"/>
        <v>8399999.879999999</v>
      </c>
      <c r="G10" s="8">
        <f t="shared" si="7"/>
        <v>8399999.879999999</v>
      </c>
      <c r="H10" s="8" t="e">
        <f t="shared" ca="1" si="8"/>
        <v>#REF!</v>
      </c>
      <c r="I10" s="8" t="e">
        <f t="shared" ca="1" si="9"/>
        <v>#REF!</v>
      </c>
      <c r="J10" s="8" t="e">
        <f t="shared" ca="1" si="10"/>
        <v>#REF!</v>
      </c>
      <c r="K10" s="8" t="e">
        <f ca="1">SUM(H4:H18)</f>
        <v>#REF!</v>
      </c>
      <c r="L10" s="21">
        <f t="shared" ca="1" si="2"/>
        <v>6</v>
      </c>
      <c r="M10" s="1">
        <f ca="1">ROUNDDOWN(NOW()-1,0)</f>
        <v>43463</v>
      </c>
      <c r="N10" s="21" t="e">
        <f ca="1">VLOOKUP(M10,#REF!,5,FALSE)-VLOOKUP(M10,A27:C391,3,FALSE)</f>
        <v>#REF!</v>
      </c>
      <c r="O10" s="21" t="e">
        <f ca="1">Investissement!$D$30-Investissement!$C$30</f>
        <v>#REF!</v>
      </c>
      <c r="P10" s="21">
        <f>1810891749-238161997</f>
        <v>1572729752</v>
      </c>
      <c r="Q10" s="21">
        <f t="shared" si="3"/>
        <v>1467357377</v>
      </c>
      <c r="R10" s="1">
        <f t="shared" ca="1" si="12"/>
        <v>43469</v>
      </c>
      <c r="T10" t="e">
        <f ca="1">Investissement!M40-Investissement!O40</f>
        <v>#REF!</v>
      </c>
      <c r="U10" t="e">
        <f ca="1">Investissement!M48-Investissement!O48</f>
        <v>#REF!</v>
      </c>
      <c r="V10" s="189" t="e">
        <f ca="1">Investissement!M56-Investissement!O56</f>
        <v>#REF!</v>
      </c>
    </row>
    <row r="11" spans="1:22" x14ac:dyDescent="0.3">
      <c r="A11" s="8">
        <f t="shared" si="11"/>
        <v>253267360</v>
      </c>
      <c r="B11" s="8">
        <v>326401688</v>
      </c>
      <c r="C11" s="6">
        <v>0.15</v>
      </c>
      <c r="D11" s="8" t="e">
        <f ca="1">IF($D$2&gt;$B11,($B11-$A11)*$C11,($D$2-$A11)*$C11)</f>
        <v>#REF!</v>
      </c>
      <c r="E11" s="8" t="e">
        <f t="shared" ca="1" si="5"/>
        <v>#REF!</v>
      </c>
      <c r="F11" s="8">
        <f t="shared" si="6"/>
        <v>10970149.199999999</v>
      </c>
      <c r="G11" s="8">
        <f t="shared" si="7"/>
        <v>10970149.199999999</v>
      </c>
      <c r="H11" s="8" t="e">
        <f t="shared" ca="1" si="8"/>
        <v>#REF!</v>
      </c>
      <c r="I11" s="8" t="e">
        <f t="shared" ca="1" si="9"/>
        <v>#REF!</v>
      </c>
      <c r="J11" s="8" t="e">
        <f t="shared" ca="1" si="10"/>
        <v>#REF!</v>
      </c>
      <c r="K11" s="8" t="e">
        <f ca="1">SUM(I4:I18)</f>
        <v>#REF!</v>
      </c>
      <c r="L11" s="21">
        <f t="shared" ca="1" si="2"/>
        <v>7</v>
      </c>
      <c r="M11" s="1">
        <f ca="1">ROUNDDOWN(NOW(),0)</f>
        <v>43464</v>
      </c>
      <c r="N11" s="21" t="e">
        <f ca="1">Investissement!D30-Investissement!C30</f>
        <v>#REF!</v>
      </c>
      <c r="Q11" s="21">
        <f t="shared" si="3"/>
        <v>1467357377</v>
      </c>
      <c r="R11" s="1">
        <f t="shared" ref="R11" ca="1" si="13">R10+1</f>
        <v>43470</v>
      </c>
      <c r="V11" s="189"/>
    </row>
    <row r="12" spans="1:22" x14ac:dyDescent="0.3">
      <c r="A12" s="8">
        <f t="shared" si="11"/>
        <v>326401689</v>
      </c>
      <c r="B12" s="8">
        <v>419735021</v>
      </c>
      <c r="C12" s="6">
        <v>0.24</v>
      </c>
      <c r="D12" s="8" t="e">
        <f t="shared" ca="1" si="4"/>
        <v>#REF!</v>
      </c>
      <c r="E12" s="8" t="e">
        <f t="shared" ca="1" si="5"/>
        <v>#REF!</v>
      </c>
      <c r="F12" s="8">
        <f t="shared" si="6"/>
        <v>22399999.68</v>
      </c>
      <c r="G12" s="8">
        <f t="shared" si="7"/>
        <v>22399999.68</v>
      </c>
      <c r="H12" s="8" t="e">
        <f t="shared" ca="1" si="8"/>
        <v>#REF!</v>
      </c>
      <c r="I12" s="8" t="e">
        <f t="shared" ca="1" si="9"/>
        <v>#REF!</v>
      </c>
      <c r="J12" s="8" t="e">
        <f t="shared" ca="1" si="10"/>
        <v>#REF!</v>
      </c>
      <c r="K12" s="8" t="e">
        <f ca="1">SUM(J4:J18)</f>
        <v>#REF!</v>
      </c>
      <c r="L12" s="21">
        <f t="shared" ca="1" si="2"/>
        <v>1</v>
      </c>
      <c r="M12" s="1">
        <f ca="1">ROUNDDOWN(NOW()+1,0)</f>
        <v>43465</v>
      </c>
      <c r="N12" s="21" t="e">
        <f ca="1">N11</f>
        <v>#REF!</v>
      </c>
      <c r="O12" s="40"/>
    </row>
    <row r="13" spans="1:22" x14ac:dyDescent="0.3">
      <c r="A13" s="8">
        <f t="shared" si="11"/>
        <v>419735022</v>
      </c>
      <c r="B13" s="8">
        <v>585189567</v>
      </c>
      <c r="C13" s="6">
        <v>0.32</v>
      </c>
      <c r="D13" s="8" t="e">
        <f t="shared" ca="1" si="4"/>
        <v>#REF!</v>
      </c>
      <c r="E13" s="8" t="e">
        <f t="shared" ca="1" si="5"/>
        <v>#REF!</v>
      </c>
      <c r="F13" s="8">
        <f t="shared" si="6"/>
        <v>52945454.399999999</v>
      </c>
      <c r="G13" s="8">
        <f t="shared" si="7"/>
        <v>52945454.399999999</v>
      </c>
      <c r="H13" s="8" t="e">
        <f t="shared" ca="1" si="8"/>
        <v>#REF!</v>
      </c>
      <c r="I13" s="8" t="e">
        <f t="shared" ca="1" si="9"/>
        <v>#REF!</v>
      </c>
      <c r="J13" s="8" t="e">
        <f t="shared" ca="1" si="10"/>
        <v>#REF!</v>
      </c>
      <c r="K13" s="8"/>
      <c r="L13" s="21">
        <f t="shared" ca="1" si="2"/>
        <v>2</v>
      </c>
      <c r="M13" s="1">
        <f ca="1">ROUNDDOWN(NOW()+2,0)</f>
        <v>43466</v>
      </c>
      <c r="N13" s="21" t="e">
        <f t="shared" ref="N13:N18" ca="1" si="14">N12</f>
        <v>#REF!</v>
      </c>
    </row>
    <row r="14" spans="1:22" x14ac:dyDescent="0.3">
      <c r="A14" s="8">
        <f t="shared" si="11"/>
        <v>585189568</v>
      </c>
      <c r="B14" s="8">
        <v>1051856233</v>
      </c>
      <c r="C14" s="6">
        <v>0.36</v>
      </c>
      <c r="D14" s="8" t="e">
        <f t="shared" ca="1" si="4"/>
        <v>#REF!</v>
      </c>
      <c r="E14" s="8" t="e">
        <f t="shared" ca="1" si="5"/>
        <v>#REF!</v>
      </c>
      <c r="F14" s="8">
        <f t="shared" si="6"/>
        <v>167999999.40000001</v>
      </c>
      <c r="G14" s="8">
        <f t="shared" si="7"/>
        <v>167999999.40000001</v>
      </c>
      <c r="H14" s="8" t="e">
        <f t="shared" ca="1" si="8"/>
        <v>#REF!</v>
      </c>
      <c r="I14" s="8" t="e">
        <f t="shared" ca="1" si="9"/>
        <v>#REF!</v>
      </c>
      <c r="J14" s="8" t="e">
        <f t="shared" ca="1" si="10"/>
        <v>#REF!</v>
      </c>
      <c r="K14" s="8"/>
      <c r="L14" s="21">
        <f t="shared" ca="1" si="2"/>
        <v>3</v>
      </c>
      <c r="M14" s="1">
        <f ca="1">ROUNDDOWN(NOW()+3,0)</f>
        <v>43467</v>
      </c>
      <c r="N14" s="21" t="e">
        <f t="shared" ca="1" si="14"/>
        <v>#REF!</v>
      </c>
    </row>
    <row r="15" spans="1:22" x14ac:dyDescent="0.3">
      <c r="A15" s="8">
        <f t="shared" si="11"/>
        <v>1051856234</v>
      </c>
      <c r="B15" s="8">
        <v>2051856233</v>
      </c>
      <c r="C15" s="6">
        <v>0.47</v>
      </c>
      <c r="D15" s="8" t="e">
        <f t="shared" ca="1" si="4"/>
        <v>#REF!</v>
      </c>
      <c r="E15" s="8" t="e">
        <f t="shared" ca="1" si="5"/>
        <v>#REF!</v>
      </c>
      <c r="F15" s="8">
        <f t="shared" si="6"/>
        <v>469999999.52999997</v>
      </c>
      <c r="G15" s="8">
        <f t="shared" si="7"/>
        <v>469999999.52999997</v>
      </c>
      <c r="H15" s="8" t="e">
        <f t="shared" ca="1" si="8"/>
        <v>#REF!</v>
      </c>
      <c r="I15" s="8" t="e">
        <f t="shared" ca="1" si="9"/>
        <v>#REF!</v>
      </c>
      <c r="J15" s="8" t="e">
        <f t="shared" ca="1" si="10"/>
        <v>#REF!</v>
      </c>
      <c r="K15" s="8"/>
      <c r="L15" s="21">
        <f t="shared" ca="1" si="2"/>
        <v>4</v>
      </c>
      <c r="M15" s="1">
        <f ca="1">ROUNDDOWN(NOW()+4,0)</f>
        <v>43468</v>
      </c>
      <c r="N15" s="21" t="e">
        <f t="shared" ca="1" si="14"/>
        <v>#REF!</v>
      </c>
    </row>
    <row r="16" spans="1:22" x14ac:dyDescent="0.3">
      <c r="A16" s="8">
        <f t="shared" si="11"/>
        <v>2051856234</v>
      </c>
      <c r="B16" s="8">
        <v>3607411789</v>
      </c>
      <c r="C16" s="6">
        <v>0.56000000000000005</v>
      </c>
      <c r="D16" s="8" t="e">
        <f t="shared" ca="1" si="4"/>
        <v>#REF!</v>
      </c>
      <c r="E16" s="8" t="e">
        <f t="shared" ca="1" si="5"/>
        <v>#REF!</v>
      </c>
      <c r="F16" s="8">
        <f t="shared" si="6"/>
        <v>871111110.80000007</v>
      </c>
      <c r="G16" s="8">
        <f t="shared" si="7"/>
        <v>871111110.80000007</v>
      </c>
      <c r="H16" s="8" t="e">
        <f t="shared" ca="1" si="8"/>
        <v>#REF!</v>
      </c>
      <c r="I16" s="8" t="e">
        <f t="shared" ca="1" si="9"/>
        <v>#REF!</v>
      </c>
      <c r="J16" s="8" t="e">
        <f t="shared" ca="1" si="10"/>
        <v>#REF!</v>
      </c>
      <c r="K16" s="8"/>
      <c r="L16" s="21">
        <f t="shared" ca="1" si="2"/>
        <v>5</v>
      </c>
      <c r="M16" s="1">
        <f ca="1">ROUNDDOWN(NOW()+5,0)</f>
        <v>43469</v>
      </c>
      <c r="N16" s="21" t="e">
        <f t="shared" ca="1" si="14"/>
        <v>#REF!</v>
      </c>
    </row>
    <row r="17" spans="1:14" x14ac:dyDescent="0.3">
      <c r="A17" s="8">
        <f t="shared" si="11"/>
        <v>3607411790</v>
      </c>
      <c r="B17" s="8">
        <v>7107411789</v>
      </c>
      <c r="C17" s="6">
        <v>0.64</v>
      </c>
      <c r="D17" s="8" t="e">
        <f t="shared" ca="1" si="4"/>
        <v>#REF!</v>
      </c>
      <c r="E17" s="8" t="e">
        <f t="shared" ca="1" si="5"/>
        <v>#REF!</v>
      </c>
      <c r="F17" s="8">
        <f t="shared" si="6"/>
        <v>2239999999.3600001</v>
      </c>
      <c r="G17" s="8">
        <f t="shared" si="7"/>
        <v>2239999999.3600001</v>
      </c>
      <c r="H17" s="8" t="e">
        <f t="shared" ca="1" si="8"/>
        <v>#REF!</v>
      </c>
      <c r="I17" s="8" t="e">
        <f t="shared" ca="1" si="9"/>
        <v>#REF!</v>
      </c>
      <c r="J17" s="8" t="e">
        <f t="shared" ca="1" si="10"/>
        <v>#REF!</v>
      </c>
      <c r="K17" s="8"/>
      <c r="L17" s="21">
        <f t="shared" ca="1" si="2"/>
        <v>6</v>
      </c>
      <c r="M17" s="1">
        <f ca="1">ROUNDDOWN(NOW()+6,0)</f>
        <v>43470</v>
      </c>
      <c r="N17" s="21" t="e">
        <f t="shared" ca="1" si="14"/>
        <v>#REF!</v>
      </c>
    </row>
    <row r="18" spans="1:14" x14ac:dyDescent="0.3">
      <c r="A18" s="8">
        <f t="shared" si="11"/>
        <v>7107411790</v>
      </c>
      <c r="B18" s="8"/>
      <c r="C18" s="6">
        <v>0.69</v>
      </c>
      <c r="D18" s="8" t="e">
        <f ca="1">IF($D$2&gt;=A18,(D2-A18)*C18,($D$2-A18)*C18)</f>
        <v>#REF!</v>
      </c>
      <c r="E18" s="8" t="e">
        <f ca="1">IF(E2&gt;=A18,(E2-A18)*C18,(E2-A18)*C18)</f>
        <v>#REF!</v>
      </c>
      <c r="F18" s="8">
        <f>IF(F2&gt;=A18,(F2-A18)*C18,(F2-A18)*C18)</f>
        <v>2332310146.77</v>
      </c>
      <c r="G18" s="8">
        <f t="shared" si="7"/>
        <v>-4904114135.0999994</v>
      </c>
      <c r="H18" s="8" t="e">
        <f ca="1">IF(H2&gt;=$A$18,(H2-$A$18)*$C$18,(H2-$A$18)*$C$18)</f>
        <v>#REF!</v>
      </c>
      <c r="I18" s="8" t="e">
        <f t="shared" ref="I18:J18" ca="1" si="15">IF(I2&gt;=$A$18,(I2-$A$18)*$C$18,(I2-$A$18)*$C$18)</f>
        <v>#REF!</v>
      </c>
      <c r="J18" s="8" t="e">
        <f t="shared" ca="1" si="15"/>
        <v>#REF!</v>
      </c>
      <c r="K18" s="8"/>
      <c r="L18" s="21">
        <f t="shared" ca="1" si="2"/>
        <v>7</v>
      </c>
      <c r="M18" s="1">
        <f ca="1">ROUNDDOWN(NOW()+7,0)</f>
        <v>43471</v>
      </c>
      <c r="N18" s="21" t="e">
        <f t="shared" ca="1" si="14"/>
        <v>#REF!</v>
      </c>
    </row>
    <row r="19" spans="1:14" x14ac:dyDescent="0.3">
      <c r="C19" s="6"/>
      <c r="J19" s="1"/>
      <c r="K19" s="21"/>
    </row>
    <row r="20" spans="1:14" x14ac:dyDescent="0.3">
      <c r="A20" s="68" t="s">
        <v>1</v>
      </c>
      <c r="B20" s="68" t="s">
        <v>254</v>
      </c>
      <c r="C20" s="68" t="s">
        <v>7</v>
      </c>
    </row>
    <row r="21" spans="1:14" x14ac:dyDescent="0.3">
      <c r="A21" s="1">
        <v>42370</v>
      </c>
      <c r="B21" s="8" t="e">
        <f>VLOOKUP(A21,#REF!,7,FALSE)</f>
        <v>#REF!</v>
      </c>
      <c r="C21" s="8" t="e">
        <f>VLOOKUP(A21,#REF!,11,FALSE)</f>
        <v>#REF!</v>
      </c>
    </row>
    <row r="22" spans="1:14" x14ac:dyDescent="0.3">
      <c r="A22" s="1">
        <v>42371</v>
      </c>
      <c r="B22" s="8" t="e">
        <f>VLOOKUP(A22,#REF!,7,FALSE)</f>
        <v>#REF!</v>
      </c>
      <c r="C22" s="8" t="e">
        <f>VLOOKUP(A22,#REF!,11,FALSE)</f>
        <v>#REF!</v>
      </c>
    </row>
    <row r="23" spans="1:14" x14ac:dyDescent="0.3">
      <c r="A23" s="1">
        <v>42372</v>
      </c>
      <c r="B23" s="8" t="e">
        <f>VLOOKUP(A23,#REF!,7,FALSE)</f>
        <v>#REF!</v>
      </c>
      <c r="C23" s="8" t="e">
        <f>VLOOKUP(A23,#REF!,11,FALSE)</f>
        <v>#REF!</v>
      </c>
    </row>
    <row r="24" spans="1:14" x14ac:dyDescent="0.3">
      <c r="A24" s="1">
        <v>42373</v>
      </c>
      <c r="B24" s="8" t="e">
        <f>VLOOKUP(A24,#REF!,7,FALSE)</f>
        <v>#REF!</v>
      </c>
      <c r="C24" s="8" t="e">
        <f>VLOOKUP(A24,#REF!,11,FALSE)</f>
        <v>#REF!</v>
      </c>
    </row>
    <row r="25" spans="1:14" x14ac:dyDescent="0.3">
      <c r="A25" s="1">
        <v>42374</v>
      </c>
      <c r="B25" s="8" t="e">
        <f>VLOOKUP(A25,#REF!,7,FALSE)</f>
        <v>#REF!</v>
      </c>
      <c r="C25" s="8" t="e">
        <f>VLOOKUP(A25,#REF!,11,FALSE)</f>
        <v>#REF!</v>
      </c>
    </row>
    <row r="26" spans="1:14" x14ac:dyDescent="0.3">
      <c r="A26" s="1">
        <v>42375</v>
      </c>
      <c r="B26" s="8" t="e">
        <f>VLOOKUP(A26,#REF!,7,FALSE)</f>
        <v>#REF!</v>
      </c>
      <c r="C26" s="8" t="e">
        <f>VLOOKUP(A26,#REF!,11,FALSE)</f>
        <v>#REF!</v>
      </c>
    </row>
    <row r="27" spans="1:14" x14ac:dyDescent="0.3">
      <c r="A27" s="1">
        <v>42376</v>
      </c>
      <c r="B27" s="8" t="e">
        <f>VLOOKUP(A27,#REF!,7,FALSE)</f>
        <v>#REF!</v>
      </c>
      <c r="C27" s="8" t="e">
        <f>VLOOKUP(A27,#REF!,11,FALSE)</f>
        <v>#REF!</v>
      </c>
    </row>
    <row r="28" spans="1:14" x14ac:dyDescent="0.3">
      <c r="A28" s="1">
        <v>42377</v>
      </c>
      <c r="B28" s="8" t="e">
        <f>VLOOKUP(A28,#REF!,7,FALSE)</f>
        <v>#REF!</v>
      </c>
      <c r="C28" s="8" t="e">
        <f>VLOOKUP(A28,#REF!,11,FALSE)</f>
        <v>#REF!</v>
      </c>
    </row>
    <row r="29" spans="1:14" x14ac:dyDescent="0.3">
      <c r="A29" s="1">
        <v>42378</v>
      </c>
      <c r="B29" s="8" t="e">
        <f>VLOOKUP(A29,#REF!,7,FALSE)</f>
        <v>#REF!</v>
      </c>
      <c r="C29" s="8" t="e">
        <f>VLOOKUP(A29,#REF!,11,FALSE)</f>
        <v>#REF!</v>
      </c>
    </row>
    <row r="30" spans="1:14" x14ac:dyDescent="0.3">
      <c r="A30" s="1">
        <v>42379</v>
      </c>
      <c r="B30" s="8" t="e">
        <f>VLOOKUP(A30,#REF!,7,FALSE)</f>
        <v>#REF!</v>
      </c>
      <c r="C30" s="8" t="e">
        <f>VLOOKUP(A30,#REF!,11,FALSE)</f>
        <v>#REF!</v>
      </c>
    </row>
    <row r="31" spans="1:14" x14ac:dyDescent="0.3">
      <c r="A31" s="1">
        <v>42380</v>
      </c>
      <c r="B31" s="8" t="e">
        <f>VLOOKUP(A31,#REF!,7,FALSE)</f>
        <v>#REF!</v>
      </c>
      <c r="C31" s="8" t="e">
        <f>VLOOKUP(A31,#REF!,11,FALSE)</f>
        <v>#REF!</v>
      </c>
    </row>
    <row r="32" spans="1:14" x14ac:dyDescent="0.3">
      <c r="A32" s="1">
        <v>42381</v>
      </c>
      <c r="B32" s="8" t="e">
        <f>VLOOKUP(A32,#REF!,7,FALSE)</f>
        <v>#REF!</v>
      </c>
      <c r="C32" s="8" t="e">
        <f>VLOOKUP(A32,#REF!,11,FALSE)</f>
        <v>#REF!</v>
      </c>
    </row>
    <row r="33" spans="1:3" x14ac:dyDescent="0.3">
      <c r="A33" s="1">
        <v>42382</v>
      </c>
      <c r="B33" s="8" t="e">
        <f>VLOOKUP(A33,#REF!,7,FALSE)</f>
        <v>#REF!</v>
      </c>
      <c r="C33" s="8" t="e">
        <f>VLOOKUP(A33,#REF!,11,FALSE)</f>
        <v>#REF!</v>
      </c>
    </row>
    <row r="34" spans="1:3" x14ac:dyDescent="0.3">
      <c r="A34" s="1">
        <v>42383</v>
      </c>
      <c r="B34" s="8" t="e">
        <f>VLOOKUP(A34,#REF!,7,FALSE)</f>
        <v>#REF!</v>
      </c>
      <c r="C34" s="8" t="e">
        <f>VLOOKUP(A34,#REF!,11,FALSE)</f>
        <v>#REF!</v>
      </c>
    </row>
    <row r="35" spans="1:3" x14ac:dyDescent="0.3">
      <c r="A35" s="1">
        <v>42384</v>
      </c>
      <c r="B35" s="8" t="e">
        <f>VLOOKUP(A35,#REF!,7,FALSE)</f>
        <v>#REF!</v>
      </c>
      <c r="C35" s="8" t="e">
        <f>VLOOKUP(A35,#REF!,11,FALSE)</f>
        <v>#REF!</v>
      </c>
    </row>
    <row r="36" spans="1:3" x14ac:dyDescent="0.3">
      <c r="A36" s="1">
        <v>42385</v>
      </c>
      <c r="B36" s="8" t="e">
        <f>VLOOKUP(A36,#REF!,7,FALSE)</f>
        <v>#REF!</v>
      </c>
      <c r="C36" s="8" t="e">
        <f>VLOOKUP(A36,#REF!,11,FALSE)</f>
        <v>#REF!</v>
      </c>
    </row>
    <row r="37" spans="1:3" x14ac:dyDescent="0.3">
      <c r="A37" s="1">
        <v>42386</v>
      </c>
      <c r="B37" s="8" t="e">
        <f>VLOOKUP(A37,#REF!,7,FALSE)</f>
        <v>#REF!</v>
      </c>
      <c r="C37" s="8" t="e">
        <f>VLOOKUP(A37,#REF!,11,FALSE)</f>
        <v>#REF!</v>
      </c>
    </row>
    <row r="38" spans="1:3" x14ac:dyDescent="0.3">
      <c r="A38" s="1">
        <v>42387</v>
      </c>
      <c r="B38" s="8" t="e">
        <f>VLOOKUP(A38,#REF!,7,FALSE)</f>
        <v>#REF!</v>
      </c>
      <c r="C38" s="8" t="e">
        <f>VLOOKUP(A38,#REF!,11,FALSE)</f>
        <v>#REF!</v>
      </c>
    </row>
    <row r="39" spans="1:3" x14ac:dyDescent="0.3">
      <c r="A39" s="1">
        <v>42388</v>
      </c>
      <c r="B39" s="8" t="e">
        <f>VLOOKUP(A39,#REF!,7,FALSE)</f>
        <v>#REF!</v>
      </c>
      <c r="C39" s="8" t="e">
        <f>VLOOKUP(A39,#REF!,11,FALSE)</f>
        <v>#REF!</v>
      </c>
    </row>
    <row r="40" spans="1:3" x14ac:dyDescent="0.3">
      <c r="A40" s="1">
        <v>42389</v>
      </c>
      <c r="B40" s="8" t="e">
        <f>VLOOKUP(A40,#REF!,7,FALSE)</f>
        <v>#REF!</v>
      </c>
      <c r="C40" s="8" t="e">
        <f>VLOOKUP(A40,#REF!,11,FALSE)</f>
        <v>#REF!</v>
      </c>
    </row>
    <row r="41" spans="1:3" x14ac:dyDescent="0.3">
      <c r="A41" s="1">
        <v>42390</v>
      </c>
      <c r="B41" s="8" t="e">
        <f>VLOOKUP(A41,#REF!,7,FALSE)</f>
        <v>#REF!</v>
      </c>
      <c r="C41" s="8" t="e">
        <f>VLOOKUP(A41,#REF!,11,FALSE)</f>
        <v>#REF!</v>
      </c>
    </row>
    <row r="42" spans="1:3" x14ac:dyDescent="0.3">
      <c r="A42" s="1">
        <v>42391</v>
      </c>
      <c r="B42" s="8" t="e">
        <f>VLOOKUP(A42,#REF!,7,FALSE)</f>
        <v>#REF!</v>
      </c>
      <c r="C42" s="8" t="e">
        <f>VLOOKUP(A42,#REF!,11,FALSE)</f>
        <v>#REF!</v>
      </c>
    </row>
    <row r="43" spans="1:3" x14ac:dyDescent="0.3">
      <c r="A43" s="1">
        <v>42392</v>
      </c>
      <c r="B43" s="8" t="e">
        <f>VLOOKUP(A43,#REF!,7,FALSE)</f>
        <v>#REF!</v>
      </c>
      <c r="C43" s="8" t="e">
        <f>VLOOKUP(A43,#REF!,11,FALSE)</f>
        <v>#REF!</v>
      </c>
    </row>
    <row r="44" spans="1:3" x14ac:dyDescent="0.3">
      <c r="A44" s="1">
        <v>42393</v>
      </c>
      <c r="B44" s="8" t="e">
        <f>VLOOKUP(A44,#REF!,7,FALSE)</f>
        <v>#REF!</v>
      </c>
      <c r="C44" s="8" t="e">
        <f>VLOOKUP(A44,#REF!,11,FALSE)</f>
        <v>#REF!</v>
      </c>
    </row>
    <row r="45" spans="1:3" x14ac:dyDescent="0.3">
      <c r="A45" s="1">
        <v>42394</v>
      </c>
      <c r="B45" s="8" t="e">
        <f>VLOOKUP(A45,#REF!,7,FALSE)</f>
        <v>#REF!</v>
      </c>
      <c r="C45" s="8" t="e">
        <f>VLOOKUP(A45,#REF!,11,FALSE)</f>
        <v>#REF!</v>
      </c>
    </row>
    <row r="46" spans="1:3" x14ac:dyDescent="0.3">
      <c r="A46" s="1">
        <v>42395</v>
      </c>
      <c r="B46" s="8" t="e">
        <f>VLOOKUP(A46,#REF!,7,FALSE)</f>
        <v>#REF!</v>
      </c>
      <c r="C46" s="8" t="e">
        <f>VLOOKUP(A46,#REF!,11,FALSE)</f>
        <v>#REF!</v>
      </c>
    </row>
    <row r="47" spans="1:3" x14ac:dyDescent="0.3">
      <c r="A47" s="1">
        <v>42396</v>
      </c>
      <c r="B47" s="8" t="e">
        <f>VLOOKUP(A47,#REF!,7,FALSE)</f>
        <v>#REF!</v>
      </c>
      <c r="C47" s="8" t="e">
        <f>VLOOKUP(A47,#REF!,11,FALSE)</f>
        <v>#REF!</v>
      </c>
    </row>
    <row r="48" spans="1:3" x14ac:dyDescent="0.3">
      <c r="A48" s="1">
        <v>42397</v>
      </c>
      <c r="B48" s="8" t="e">
        <f>VLOOKUP(A48,#REF!,7,FALSE)</f>
        <v>#REF!</v>
      </c>
      <c r="C48" s="8" t="e">
        <f>VLOOKUP(A48,#REF!,11,FALSE)</f>
        <v>#REF!</v>
      </c>
    </row>
    <row r="49" spans="1:3" x14ac:dyDescent="0.3">
      <c r="A49" s="1">
        <v>42398</v>
      </c>
      <c r="B49" s="8" t="e">
        <f>VLOOKUP(A49,#REF!,7,FALSE)</f>
        <v>#REF!</v>
      </c>
      <c r="C49" s="8" t="e">
        <f>VLOOKUP(A49,#REF!,11,FALSE)</f>
        <v>#REF!</v>
      </c>
    </row>
    <row r="50" spans="1:3" x14ac:dyDescent="0.3">
      <c r="A50" s="1">
        <v>42399</v>
      </c>
      <c r="B50" s="8" t="e">
        <f>VLOOKUP(A50,#REF!,7,FALSE)</f>
        <v>#REF!</v>
      </c>
      <c r="C50" s="8" t="e">
        <f>VLOOKUP(A50,#REF!,11,FALSE)</f>
        <v>#REF!</v>
      </c>
    </row>
    <row r="51" spans="1:3" x14ac:dyDescent="0.3">
      <c r="A51" s="1">
        <v>42400</v>
      </c>
      <c r="B51" s="8" t="e">
        <f>VLOOKUP(A51,#REF!,7,FALSE)</f>
        <v>#REF!</v>
      </c>
      <c r="C51" s="8" t="e">
        <f>VLOOKUP(A51,#REF!,11,FALSE)</f>
        <v>#REF!</v>
      </c>
    </row>
    <row r="52" spans="1:3" x14ac:dyDescent="0.3">
      <c r="A52" s="1">
        <v>42401</v>
      </c>
      <c r="B52" s="8" t="e">
        <f>VLOOKUP(A52,#REF!,7,FALSE)</f>
        <v>#REF!</v>
      </c>
      <c r="C52" s="8" t="e">
        <f>VLOOKUP(A52,#REF!,11,FALSE)</f>
        <v>#REF!</v>
      </c>
    </row>
    <row r="53" spans="1:3" x14ac:dyDescent="0.3">
      <c r="A53" s="1">
        <v>42402</v>
      </c>
      <c r="B53" s="8" t="e">
        <f>VLOOKUP(A53,#REF!,7,FALSE)</f>
        <v>#REF!</v>
      </c>
      <c r="C53" s="8" t="e">
        <f>VLOOKUP(A53,#REF!,11,FALSE)</f>
        <v>#REF!</v>
      </c>
    </row>
    <row r="54" spans="1:3" x14ac:dyDescent="0.3">
      <c r="A54" s="1">
        <v>42403</v>
      </c>
      <c r="B54" s="8" t="e">
        <f>VLOOKUP(A54,#REF!,7,FALSE)</f>
        <v>#REF!</v>
      </c>
      <c r="C54" s="8" t="e">
        <f>VLOOKUP(A54,#REF!,11,FALSE)</f>
        <v>#REF!</v>
      </c>
    </row>
    <row r="55" spans="1:3" x14ac:dyDescent="0.3">
      <c r="A55" s="1">
        <v>42404</v>
      </c>
      <c r="B55" s="8" t="e">
        <f>VLOOKUP(A55,#REF!,7,FALSE)</f>
        <v>#REF!</v>
      </c>
      <c r="C55" s="8" t="e">
        <f>VLOOKUP(A55,#REF!,11,FALSE)</f>
        <v>#REF!</v>
      </c>
    </row>
    <row r="56" spans="1:3" x14ac:dyDescent="0.3">
      <c r="A56" s="1">
        <v>42405</v>
      </c>
      <c r="B56" s="8" t="e">
        <f>VLOOKUP(A56,#REF!,7,FALSE)</f>
        <v>#REF!</v>
      </c>
      <c r="C56" s="8" t="e">
        <f>VLOOKUP(A56,#REF!,11,FALSE)</f>
        <v>#REF!</v>
      </c>
    </row>
    <row r="57" spans="1:3" x14ac:dyDescent="0.3">
      <c r="A57" s="1">
        <v>42406</v>
      </c>
      <c r="B57" s="8" t="e">
        <f>VLOOKUP(A57,#REF!,7,FALSE)</f>
        <v>#REF!</v>
      </c>
      <c r="C57" s="8" t="e">
        <f>VLOOKUP(A57,#REF!,11,FALSE)</f>
        <v>#REF!</v>
      </c>
    </row>
    <row r="58" spans="1:3" x14ac:dyDescent="0.3">
      <c r="A58" s="1">
        <v>42407</v>
      </c>
      <c r="B58" s="8" t="e">
        <f>VLOOKUP(A58,#REF!,7,FALSE)</f>
        <v>#REF!</v>
      </c>
      <c r="C58" s="8" t="e">
        <f>VLOOKUP(A58,#REF!,11,FALSE)</f>
        <v>#REF!</v>
      </c>
    </row>
    <row r="59" spans="1:3" x14ac:dyDescent="0.3">
      <c r="A59" s="1">
        <v>42408</v>
      </c>
      <c r="B59" s="8" t="e">
        <f>VLOOKUP(A59,#REF!,7,FALSE)</f>
        <v>#REF!</v>
      </c>
      <c r="C59" s="8" t="e">
        <f>VLOOKUP(A59,#REF!,11,FALSE)</f>
        <v>#REF!</v>
      </c>
    </row>
    <row r="60" spans="1:3" x14ac:dyDescent="0.3">
      <c r="A60" s="1">
        <v>42409</v>
      </c>
      <c r="B60" s="8" t="e">
        <f>VLOOKUP(A60,#REF!,7,FALSE)</f>
        <v>#REF!</v>
      </c>
      <c r="C60" s="8" t="e">
        <f>VLOOKUP(A60,#REF!,11,FALSE)</f>
        <v>#REF!</v>
      </c>
    </row>
    <row r="61" spans="1:3" x14ac:dyDescent="0.3">
      <c r="A61" s="1">
        <v>42410</v>
      </c>
      <c r="B61" s="8" t="e">
        <f>VLOOKUP(A61,#REF!,7,FALSE)</f>
        <v>#REF!</v>
      </c>
      <c r="C61" s="8" t="e">
        <f>VLOOKUP(A61,#REF!,11,FALSE)</f>
        <v>#REF!</v>
      </c>
    </row>
    <row r="62" spans="1:3" x14ac:dyDescent="0.3">
      <c r="A62" s="1">
        <v>42411</v>
      </c>
      <c r="B62" s="8" t="e">
        <f>VLOOKUP(A62,#REF!,7,FALSE)</f>
        <v>#REF!</v>
      </c>
      <c r="C62" s="8" t="e">
        <f>VLOOKUP(A62,#REF!,11,FALSE)</f>
        <v>#REF!</v>
      </c>
    </row>
    <row r="63" spans="1:3" x14ac:dyDescent="0.3">
      <c r="A63" s="1">
        <v>42412</v>
      </c>
      <c r="B63" s="8" t="e">
        <f>VLOOKUP(A63,#REF!,7,FALSE)</f>
        <v>#REF!</v>
      </c>
      <c r="C63" s="8" t="e">
        <f>VLOOKUP(A63,#REF!,11,FALSE)</f>
        <v>#REF!</v>
      </c>
    </row>
    <row r="64" spans="1:3" x14ac:dyDescent="0.3">
      <c r="A64" s="1">
        <v>42413</v>
      </c>
      <c r="B64" s="8" t="e">
        <f>VLOOKUP(A64,#REF!,7,FALSE)</f>
        <v>#REF!</v>
      </c>
      <c r="C64" s="8" t="e">
        <f>VLOOKUP(A64,#REF!,11,FALSE)</f>
        <v>#REF!</v>
      </c>
    </row>
    <row r="65" spans="1:3" x14ac:dyDescent="0.3">
      <c r="A65" s="1">
        <v>42414</v>
      </c>
      <c r="B65" s="8" t="e">
        <f>VLOOKUP(A65,#REF!,7,FALSE)</f>
        <v>#REF!</v>
      </c>
      <c r="C65" s="8" t="e">
        <f>VLOOKUP(A65,#REF!,11,FALSE)</f>
        <v>#REF!</v>
      </c>
    </row>
    <row r="66" spans="1:3" x14ac:dyDescent="0.3">
      <c r="A66" s="1">
        <v>42415</v>
      </c>
      <c r="B66" s="8" t="e">
        <f>VLOOKUP(A66,#REF!,7,FALSE)</f>
        <v>#REF!</v>
      </c>
      <c r="C66" s="8" t="e">
        <f>VLOOKUP(A66,#REF!,11,FALSE)</f>
        <v>#REF!</v>
      </c>
    </row>
    <row r="67" spans="1:3" x14ac:dyDescent="0.3">
      <c r="A67" s="1">
        <v>42416</v>
      </c>
      <c r="B67" s="8" t="e">
        <f>VLOOKUP(A67,#REF!,7,FALSE)</f>
        <v>#REF!</v>
      </c>
      <c r="C67" s="8" t="e">
        <f>VLOOKUP(A67,#REF!,11,FALSE)</f>
        <v>#REF!</v>
      </c>
    </row>
    <row r="68" spans="1:3" x14ac:dyDescent="0.3">
      <c r="A68" s="1">
        <v>42417</v>
      </c>
      <c r="B68" s="8" t="e">
        <f>VLOOKUP(A68,#REF!,7,FALSE)</f>
        <v>#REF!</v>
      </c>
      <c r="C68" s="8" t="e">
        <f>VLOOKUP(A68,#REF!,11,FALSE)</f>
        <v>#REF!</v>
      </c>
    </row>
    <row r="69" spans="1:3" x14ac:dyDescent="0.3">
      <c r="A69" s="1">
        <v>42418</v>
      </c>
      <c r="B69" s="8" t="e">
        <f>VLOOKUP(A69,#REF!,7,FALSE)</f>
        <v>#REF!</v>
      </c>
      <c r="C69" s="8" t="e">
        <f>VLOOKUP(A69,#REF!,11,FALSE)</f>
        <v>#REF!</v>
      </c>
    </row>
    <row r="70" spans="1:3" x14ac:dyDescent="0.3">
      <c r="A70" s="1">
        <v>42419</v>
      </c>
      <c r="B70" s="8" t="e">
        <f>VLOOKUP(A70,#REF!,7,FALSE)</f>
        <v>#REF!</v>
      </c>
      <c r="C70" s="8" t="e">
        <f>VLOOKUP(A70,#REF!,11,FALSE)</f>
        <v>#REF!</v>
      </c>
    </row>
    <row r="71" spans="1:3" x14ac:dyDescent="0.3">
      <c r="A71" s="1">
        <v>42420</v>
      </c>
      <c r="B71" s="8" t="e">
        <f>VLOOKUP(A71,#REF!,7,FALSE)</f>
        <v>#REF!</v>
      </c>
      <c r="C71" s="8" t="e">
        <f>VLOOKUP(A71,#REF!,11,FALSE)</f>
        <v>#REF!</v>
      </c>
    </row>
    <row r="72" spans="1:3" x14ac:dyDescent="0.3">
      <c r="A72" s="1">
        <v>42421</v>
      </c>
      <c r="B72" s="8" t="e">
        <f>VLOOKUP(A72,#REF!,7,FALSE)</f>
        <v>#REF!</v>
      </c>
      <c r="C72" s="8" t="e">
        <f>VLOOKUP(A72,#REF!,11,FALSE)</f>
        <v>#REF!</v>
      </c>
    </row>
    <row r="73" spans="1:3" x14ac:dyDescent="0.3">
      <c r="A73" s="1">
        <v>42422</v>
      </c>
      <c r="B73" s="8" t="e">
        <f>VLOOKUP(A73,#REF!,7,FALSE)</f>
        <v>#REF!</v>
      </c>
      <c r="C73" s="8" t="e">
        <f>VLOOKUP(A73,#REF!,11,FALSE)</f>
        <v>#REF!</v>
      </c>
    </row>
    <row r="74" spans="1:3" x14ac:dyDescent="0.3">
      <c r="A74" s="1">
        <v>42423</v>
      </c>
      <c r="B74" s="8" t="e">
        <f>VLOOKUP(A74,#REF!,7,FALSE)</f>
        <v>#REF!</v>
      </c>
      <c r="C74" s="8" t="e">
        <f>VLOOKUP(A74,#REF!,11,FALSE)</f>
        <v>#REF!</v>
      </c>
    </row>
    <row r="75" spans="1:3" x14ac:dyDescent="0.3">
      <c r="A75" s="1">
        <v>42424</v>
      </c>
      <c r="B75" s="8" t="e">
        <f>VLOOKUP(A75,#REF!,7,FALSE)</f>
        <v>#REF!</v>
      </c>
      <c r="C75" s="8" t="e">
        <f>VLOOKUP(A75,#REF!,11,FALSE)</f>
        <v>#REF!</v>
      </c>
    </row>
    <row r="76" spans="1:3" x14ac:dyDescent="0.3">
      <c r="A76" s="1">
        <v>42425</v>
      </c>
      <c r="B76" s="8" t="e">
        <f>VLOOKUP(A76,#REF!,7,FALSE)</f>
        <v>#REF!</v>
      </c>
      <c r="C76" s="8" t="e">
        <f>VLOOKUP(A76,#REF!,11,FALSE)</f>
        <v>#REF!</v>
      </c>
    </row>
    <row r="77" spans="1:3" x14ac:dyDescent="0.3">
      <c r="A77" s="1">
        <v>42426</v>
      </c>
      <c r="B77" s="8" t="e">
        <f>VLOOKUP(A77,#REF!,7,FALSE)</f>
        <v>#REF!</v>
      </c>
      <c r="C77" s="8" t="e">
        <f>VLOOKUP(A77,#REF!,11,FALSE)</f>
        <v>#REF!</v>
      </c>
    </row>
    <row r="78" spans="1:3" x14ac:dyDescent="0.3">
      <c r="A78" s="1">
        <v>42427</v>
      </c>
      <c r="B78" s="8" t="e">
        <f>VLOOKUP(A78,#REF!,7,FALSE)</f>
        <v>#REF!</v>
      </c>
      <c r="C78" s="8" t="e">
        <f>VLOOKUP(A78,#REF!,11,FALSE)</f>
        <v>#REF!</v>
      </c>
    </row>
    <row r="79" spans="1:3" x14ac:dyDescent="0.3">
      <c r="A79" s="1">
        <v>42428</v>
      </c>
      <c r="B79" s="8" t="e">
        <f>VLOOKUP(A79,#REF!,7,FALSE)</f>
        <v>#REF!</v>
      </c>
      <c r="C79" s="8" t="e">
        <f>VLOOKUP(A79,#REF!,11,FALSE)</f>
        <v>#REF!</v>
      </c>
    </row>
    <row r="80" spans="1:3" x14ac:dyDescent="0.3">
      <c r="A80" s="1">
        <v>42429</v>
      </c>
      <c r="B80" s="8" t="e">
        <f>VLOOKUP(A80,#REF!,7,FALSE)</f>
        <v>#REF!</v>
      </c>
      <c r="C80" s="8" t="e">
        <f>VLOOKUP(A80,#REF!,11,FALSE)</f>
        <v>#REF!</v>
      </c>
    </row>
    <row r="81" spans="1:3" x14ac:dyDescent="0.3">
      <c r="A81" s="1">
        <v>42430</v>
      </c>
      <c r="B81" s="8" t="e">
        <f>VLOOKUP(A81,#REF!,7,FALSE)</f>
        <v>#REF!</v>
      </c>
      <c r="C81" s="8" t="e">
        <f>VLOOKUP(A81,#REF!,11,FALSE)</f>
        <v>#REF!</v>
      </c>
    </row>
    <row r="82" spans="1:3" x14ac:dyDescent="0.3">
      <c r="A82" s="1">
        <v>42431</v>
      </c>
      <c r="B82" s="8" t="e">
        <f>VLOOKUP(A82,#REF!,7,FALSE)</f>
        <v>#REF!</v>
      </c>
      <c r="C82" s="8" t="e">
        <f>VLOOKUP(A82,#REF!,11,FALSE)</f>
        <v>#REF!</v>
      </c>
    </row>
    <row r="83" spans="1:3" x14ac:dyDescent="0.3">
      <c r="A83" s="1">
        <v>42432</v>
      </c>
      <c r="B83" s="8" t="e">
        <f>VLOOKUP(A83,#REF!,7,FALSE)</f>
        <v>#REF!</v>
      </c>
      <c r="C83" s="8" t="e">
        <f>VLOOKUP(A83,#REF!,11,FALSE)</f>
        <v>#REF!</v>
      </c>
    </row>
    <row r="84" spans="1:3" x14ac:dyDescent="0.3">
      <c r="A84" s="1">
        <v>42433</v>
      </c>
      <c r="B84" s="8" t="e">
        <f>VLOOKUP(A84,#REF!,7,FALSE)</f>
        <v>#REF!</v>
      </c>
      <c r="C84" s="8" t="e">
        <f>VLOOKUP(A84,#REF!,11,FALSE)</f>
        <v>#REF!</v>
      </c>
    </row>
    <row r="85" spans="1:3" x14ac:dyDescent="0.3">
      <c r="A85" s="1">
        <v>42434</v>
      </c>
      <c r="B85" s="8" t="e">
        <f>VLOOKUP(A85,#REF!,7,FALSE)</f>
        <v>#REF!</v>
      </c>
      <c r="C85" s="8" t="e">
        <f>VLOOKUP(A85,#REF!,11,FALSE)</f>
        <v>#REF!</v>
      </c>
    </row>
    <row r="86" spans="1:3" x14ac:dyDescent="0.3">
      <c r="A86" s="1">
        <v>42435</v>
      </c>
      <c r="B86" s="8" t="e">
        <f>VLOOKUP(A86,#REF!,7,FALSE)</f>
        <v>#REF!</v>
      </c>
      <c r="C86" s="8" t="e">
        <f>VLOOKUP(A86,#REF!,11,FALSE)</f>
        <v>#REF!</v>
      </c>
    </row>
    <row r="87" spans="1:3" x14ac:dyDescent="0.3">
      <c r="A87" s="1">
        <v>42436</v>
      </c>
      <c r="B87" s="8" t="e">
        <f>VLOOKUP(A87,#REF!,7,FALSE)</f>
        <v>#REF!</v>
      </c>
      <c r="C87" s="8" t="e">
        <f>VLOOKUP(A87,#REF!,11,FALSE)</f>
        <v>#REF!</v>
      </c>
    </row>
    <row r="88" spans="1:3" x14ac:dyDescent="0.3">
      <c r="A88" s="1">
        <v>42437</v>
      </c>
      <c r="B88" s="8" t="e">
        <f>VLOOKUP(A88,#REF!,7,FALSE)</f>
        <v>#REF!</v>
      </c>
      <c r="C88" s="8" t="e">
        <f>VLOOKUP(A88,#REF!,11,FALSE)</f>
        <v>#REF!</v>
      </c>
    </row>
    <row r="89" spans="1:3" x14ac:dyDescent="0.3">
      <c r="A89" s="1">
        <v>42438</v>
      </c>
      <c r="B89" s="8" t="e">
        <f>VLOOKUP(A89,#REF!,7,FALSE)</f>
        <v>#REF!</v>
      </c>
      <c r="C89" s="8" t="e">
        <f>VLOOKUP(A89,#REF!,11,FALSE)</f>
        <v>#REF!</v>
      </c>
    </row>
    <row r="90" spans="1:3" x14ac:dyDescent="0.3">
      <c r="A90" s="1">
        <v>42439</v>
      </c>
      <c r="B90" s="8" t="e">
        <f>VLOOKUP(A90,#REF!,7,FALSE)</f>
        <v>#REF!</v>
      </c>
      <c r="C90" s="8" t="e">
        <f>VLOOKUP(A90,#REF!,11,FALSE)</f>
        <v>#REF!</v>
      </c>
    </row>
    <row r="91" spans="1:3" x14ac:dyDescent="0.3">
      <c r="A91" s="1">
        <v>42440</v>
      </c>
      <c r="B91" s="8" t="e">
        <f>VLOOKUP(A91,#REF!,7,FALSE)</f>
        <v>#REF!</v>
      </c>
      <c r="C91" s="8" t="e">
        <f>VLOOKUP(A91,#REF!,11,FALSE)</f>
        <v>#REF!</v>
      </c>
    </row>
    <row r="92" spans="1:3" x14ac:dyDescent="0.3">
      <c r="A92" s="1">
        <v>42441</v>
      </c>
      <c r="B92" s="8" t="e">
        <f>VLOOKUP(A92,#REF!,7,FALSE)</f>
        <v>#REF!</v>
      </c>
      <c r="C92" s="8" t="e">
        <f>VLOOKUP(A92,#REF!,11,FALSE)</f>
        <v>#REF!</v>
      </c>
    </row>
    <row r="93" spans="1:3" x14ac:dyDescent="0.3">
      <c r="A93" s="1">
        <v>42442</v>
      </c>
      <c r="B93" s="8" t="e">
        <f>VLOOKUP(A93,#REF!,7,FALSE)</f>
        <v>#REF!</v>
      </c>
      <c r="C93" s="8" t="e">
        <f>VLOOKUP(A93,#REF!,11,FALSE)</f>
        <v>#REF!</v>
      </c>
    </row>
    <row r="94" spans="1:3" x14ac:dyDescent="0.3">
      <c r="A94" s="1">
        <v>42443</v>
      </c>
      <c r="B94" s="8" t="e">
        <f>VLOOKUP(A94,#REF!,7,FALSE)</f>
        <v>#REF!</v>
      </c>
      <c r="C94" s="8" t="e">
        <f>VLOOKUP(A94,#REF!,11,FALSE)</f>
        <v>#REF!</v>
      </c>
    </row>
    <row r="95" spans="1:3" x14ac:dyDescent="0.3">
      <c r="A95" s="1">
        <v>42444</v>
      </c>
      <c r="B95" s="8" t="e">
        <f>VLOOKUP(A95,#REF!,7,FALSE)</f>
        <v>#REF!</v>
      </c>
      <c r="C95" s="8" t="e">
        <f>VLOOKUP(A95,#REF!,11,FALSE)</f>
        <v>#REF!</v>
      </c>
    </row>
    <row r="96" spans="1:3" x14ac:dyDescent="0.3">
      <c r="A96" s="1">
        <v>42445</v>
      </c>
      <c r="B96" s="8" t="e">
        <f>VLOOKUP(A96,#REF!,7,FALSE)</f>
        <v>#REF!</v>
      </c>
      <c r="C96" s="8" t="e">
        <f>VLOOKUP(A96,#REF!,11,FALSE)</f>
        <v>#REF!</v>
      </c>
    </row>
    <row r="97" spans="1:3" x14ac:dyDescent="0.3">
      <c r="A97" s="1">
        <v>42446</v>
      </c>
      <c r="B97" s="8" t="e">
        <f>VLOOKUP(A97,#REF!,7,FALSE)</f>
        <v>#REF!</v>
      </c>
      <c r="C97" s="8" t="e">
        <f>VLOOKUP(A97,#REF!,11,FALSE)</f>
        <v>#REF!</v>
      </c>
    </row>
    <row r="98" spans="1:3" x14ac:dyDescent="0.3">
      <c r="A98" s="1">
        <v>42447</v>
      </c>
      <c r="B98" s="8" t="e">
        <f>VLOOKUP(A98,#REF!,7,FALSE)</f>
        <v>#REF!</v>
      </c>
      <c r="C98" s="8" t="e">
        <f>VLOOKUP(A98,#REF!,11,FALSE)</f>
        <v>#REF!</v>
      </c>
    </row>
    <row r="99" spans="1:3" x14ac:dyDescent="0.3">
      <c r="A99" s="1">
        <v>42448</v>
      </c>
      <c r="B99" s="8" t="e">
        <f>VLOOKUP(A99,#REF!,7,FALSE)</f>
        <v>#REF!</v>
      </c>
      <c r="C99" s="8" t="e">
        <f>VLOOKUP(A99,#REF!,11,FALSE)</f>
        <v>#REF!</v>
      </c>
    </row>
    <row r="100" spans="1:3" x14ac:dyDescent="0.3">
      <c r="A100" s="1">
        <v>42449</v>
      </c>
      <c r="B100" s="8" t="e">
        <f>VLOOKUP(A100,#REF!,7,FALSE)</f>
        <v>#REF!</v>
      </c>
      <c r="C100" s="8" t="e">
        <f>VLOOKUP(A100,#REF!,11,FALSE)</f>
        <v>#REF!</v>
      </c>
    </row>
    <row r="101" spans="1:3" x14ac:dyDescent="0.3">
      <c r="A101" s="1">
        <v>42450</v>
      </c>
      <c r="B101" s="8" t="e">
        <f>VLOOKUP(A101,#REF!,7,FALSE)</f>
        <v>#REF!</v>
      </c>
      <c r="C101" s="8" t="e">
        <f>VLOOKUP(A101,#REF!,11,FALSE)</f>
        <v>#REF!</v>
      </c>
    </row>
    <row r="102" spans="1:3" x14ac:dyDescent="0.3">
      <c r="A102" s="1">
        <v>42451</v>
      </c>
      <c r="B102" s="8" t="e">
        <f>VLOOKUP(A102,#REF!,7,FALSE)</f>
        <v>#REF!</v>
      </c>
      <c r="C102" s="8" t="e">
        <f>VLOOKUP(A102,#REF!,11,FALSE)</f>
        <v>#REF!</v>
      </c>
    </row>
    <row r="103" spans="1:3" x14ac:dyDescent="0.3">
      <c r="A103" s="1">
        <v>42452</v>
      </c>
      <c r="B103" s="8" t="e">
        <f>VLOOKUP(A103,#REF!,7,FALSE)</f>
        <v>#REF!</v>
      </c>
      <c r="C103" s="8" t="e">
        <f>VLOOKUP(A103,#REF!,11,FALSE)</f>
        <v>#REF!</v>
      </c>
    </row>
    <row r="104" spans="1:3" x14ac:dyDescent="0.3">
      <c r="A104" s="1">
        <v>42453</v>
      </c>
      <c r="B104" s="8" t="e">
        <f>VLOOKUP(A104,#REF!,7,FALSE)</f>
        <v>#REF!</v>
      </c>
      <c r="C104" s="8" t="e">
        <f>VLOOKUP(A104,#REF!,11,FALSE)</f>
        <v>#REF!</v>
      </c>
    </row>
    <row r="105" spans="1:3" x14ac:dyDescent="0.3">
      <c r="A105" s="1">
        <v>42454</v>
      </c>
      <c r="B105" s="8" t="e">
        <f>VLOOKUP(A105,#REF!,7,FALSE)</f>
        <v>#REF!</v>
      </c>
      <c r="C105" s="8" t="e">
        <f>VLOOKUP(A105,#REF!,11,FALSE)</f>
        <v>#REF!</v>
      </c>
    </row>
    <row r="106" spans="1:3" x14ac:dyDescent="0.3">
      <c r="A106" s="1">
        <v>42455</v>
      </c>
      <c r="B106" s="8" t="e">
        <f>VLOOKUP(A106,#REF!,7,FALSE)</f>
        <v>#REF!</v>
      </c>
      <c r="C106" s="8" t="e">
        <f>VLOOKUP(A106,#REF!,11,FALSE)</f>
        <v>#REF!</v>
      </c>
    </row>
    <row r="107" spans="1:3" x14ac:dyDescent="0.3">
      <c r="A107" s="1">
        <v>42456</v>
      </c>
      <c r="B107" s="8" t="e">
        <f>VLOOKUP(A107,#REF!,7,FALSE)</f>
        <v>#REF!</v>
      </c>
      <c r="C107" s="8" t="e">
        <f>VLOOKUP(A107,#REF!,11,FALSE)</f>
        <v>#REF!</v>
      </c>
    </row>
    <row r="108" spans="1:3" x14ac:dyDescent="0.3">
      <c r="A108" s="1">
        <v>42457</v>
      </c>
      <c r="B108" s="8" t="e">
        <f>VLOOKUP(A108,#REF!,7,FALSE)</f>
        <v>#REF!</v>
      </c>
      <c r="C108" s="8" t="e">
        <f>VLOOKUP(A108,#REF!,11,FALSE)</f>
        <v>#REF!</v>
      </c>
    </row>
    <row r="109" spans="1:3" x14ac:dyDescent="0.3">
      <c r="A109" s="1">
        <v>42458</v>
      </c>
      <c r="B109" s="8" t="e">
        <f>VLOOKUP(A109,#REF!,7,FALSE)</f>
        <v>#REF!</v>
      </c>
      <c r="C109" s="8" t="e">
        <f>VLOOKUP(A109,#REF!,11,FALSE)</f>
        <v>#REF!</v>
      </c>
    </row>
    <row r="110" spans="1:3" x14ac:dyDescent="0.3">
      <c r="A110" s="1">
        <v>42459</v>
      </c>
      <c r="B110" s="8" t="e">
        <f>VLOOKUP(A110,#REF!,7,FALSE)</f>
        <v>#REF!</v>
      </c>
      <c r="C110" s="8" t="e">
        <f>VLOOKUP(A110,#REF!,11,FALSE)</f>
        <v>#REF!</v>
      </c>
    </row>
    <row r="111" spans="1:3" x14ac:dyDescent="0.3">
      <c r="A111" s="1">
        <v>42460</v>
      </c>
      <c r="B111" s="8" t="e">
        <f>VLOOKUP(A111,#REF!,7,FALSE)</f>
        <v>#REF!</v>
      </c>
      <c r="C111" s="8" t="e">
        <f>VLOOKUP(A111,#REF!,11,FALSE)</f>
        <v>#REF!</v>
      </c>
    </row>
    <row r="112" spans="1:3" x14ac:dyDescent="0.3">
      <c r="A112" s="1">
        <v>42461</v>
      </c>
      <c r="B112" s="8" t="e">
        <f>VLOOKUP(A112,#REF!,7,FALSE)</f>
        <v>#REF!</v>
      </c>
      <c r="C112" s="8" t="e">
        <f>VLOOKUP(A112,#REF!,11,FALSE)</f>
        <v>#REF!</v>
      </c>
    </row>
    <row r="113" spans="1:3" x14ac:dyDescent="0.3">
      <c r="A113" s="1">
        <v>42462</v>
      </c>
      <c r="B113" s="8" t="e">
        <f>VLOOKUP(A113,#REF!,7,FALSE)</f>
        <v>#REF!</v>
      </c>
      <c r="C113" s="8" t="e">
        <f>VLOOKUP(A113,#REF!,11,FALSE)</f>
        <v>#REF!</v>
      </c>
    </row>
    <row r="114" spans="1:3" x14ac:dyDescent="0.3">
      <c r="A114" s="1">
        <v>42463</v>
      </c>
      <c r="B114" s="8" t="e">
        <f>VLOOKUP(A114,#REF!,7,FALSE)</f>
        <v>#REF!</v>
      </c>
      <c r="C114" s="8" t="e">
        <f>VLOOKUP(A114,#REF!,11,FALSE)</f>
        <v>#REF!</v>
      </c>
    </row>
    <row r="115" spans="1:3" x14ac:dyDescent="0.3">
      <c r="A115" s="1">
        <v>42464</v>
      </c>
      <c r="B115" s="8" t="e">
        <f>VLOOKUP(A115,#REF!,7,FALSE)</f>
        <v>#REF!</v>
      </c>
      <c r="C115" s="8" t="e">
        <f>VLOOKUP(A115,#REF!,11,FALSE)</f>
        <v>#REF!</v>
      </c>
    </row>
    <row r="116" spans="1:3" x14ac:dyDescent="0.3">
      <c r="A116" s="1">
        <v>42465</v>
      </c>
      <c r="B116" s="8" t="e">
        <f>VLOOKUP(A116,#REF!,7,FALSE)</f>
        <v>#REF!</v>
      </c>
      <c r="C116" s="8" t="e">
        <f>VLOOKUP(A116,#REF!,11,FALSE)</f>
        <v>#REF!</v>
      </c>
    </row>
    <row r="117" spans="1:3" x14ac:dyDescent="0.3">
      <c r="A117" s="1">
        <v>42466</v>
      </c>
      <c r="B117" s="8" t="e">
        <f>VLOOKUP(A117,#REF!,7,FALSE)</f>
        <v>#REF!</v>
      </c>
      <c r="C117" s="8" t="e">
        <f>VLOOKUP(A117,#REF!,11,FALSE)</f>
        <v>#REF!</v>
      </c>
    </row>
    <row r="118" spans="1:3" x14ac:dyDescent="0.3">
      <c r="A118" s="1">
        <v>42467</v>
      </c>
      <c r="B118" s="8" t="e">
        <f>VLOOKUP(A118,#REF!,7,FALSE)</f>
        <v>#REF!</v>
      </c>
      <c r="C118" s="8" t="e">
        <f>VLOOKUP(A118,#REF!,11,FALSE)</f>
        <v>#REF!</v>
      </c>
    </row>
    <row r="119" spans="1:3" x14ac:dyDescent="0.3">
      <c r="A119" s="1">
        <v>42468</v>
      </c>
      <c r="B119" s="8" t="e">
        <f>VLOOKUP(A119,#REF!,7,FALSE)</f>
        <v>#REF!</v>
      </c>
      <c r="C119" s="8" t="e">
        <f>VLOOKUP(A119,#REF!,11,FALSE)</f>
        <v>#REF!</v>
      </c>
    </row>
    <row r="120" spans="1:3" x14ac:dyDescent="0.3">
      <c r="A120" s="1">
        <v>42469</v>
      </c>
      <c r="B120" s="8" t="e">
        <f>VLOOKUP(A120,#REF!,7,FALSE)</f>
        <v>#REF!</v>
      </c>
      <c r="C120" s="8" t="e">
        <f>VLOOKUP(A120,#REF!,11,FALSE)</f>
        <v>#REF!</v>
      </c>
    </row>
    <row r="121" spans="1:3" x14ac:dyDescent="0.3">
      <c r="A121" s="1">
        <v>42470</v>
      </c>
      <c r="B121" s="8" t="e">
        <f>VLOOKUP(A121,#REF!,7,FALSE)</f>
        <v>#REF!</v>
      </c>
      <c r="C121" s="8" t="e">
        <f>VLOOKUP(A121,#REF!,11,FALSE)</f>
        <v>#REF!</v>
      </c>
    </row>
    <row r="122" spans="1:3" x14ac:dyDescent="0.3">
      <c r="A122" s="1">
        <v>42471</v>
      </c>
      <c r="B122" s="8" t="e">
        <f>VLOOKUP(A122,#REF!,7,FALSE)</f>
        <v>#REF!</v>
      </c>
      <c r="C122" s="8" t="e">
        <f>VLOOKUP(A122,#REF!,11,FALSE)</f>
        <v>#REF!</v>
      </c>
    </row>
    <row r="123" spans="1:3" x14ac:dyDescent="0.3">
      <c r="A123" s="1">
        <v>42472</v>
      </c>
      <c r="B123" s="8" t="e">
        <f>VLOOKUP(A123,#REF!,7,FALSE)</f>
        <v>#REF!</v>
      </c>
      <c r="C123" s="8" t="e">
        <f>VLOOKUP(A123,#REF!,11,FALSE)</f>
        <v>#REF!</v>
      </c>
    </row>
    <row r="124" spans="1:3" x14ac:dyDescent="0.3">
      <c r="A124" s="1">
        <v>42473</v>
      </c>
      <c r="B124" s="8" t="e">
        <f>VLOOKUP(A124,#REF!,7,FALSE)</f>
        <v>#REF!</v>
      </c>
      <c r="C124" s="8" t="e">
        <f>VLOOKUP(A124,#REF!,11,FALSE)</f>
        <v>#REF!</v>
      </c>
    </row>
    <row r="125" spans="1:3" x14ac:dyDescent="0.3">
      <c r="A125" s="1">
        <v>42474</v>
      </c>
      <c r="B125" s="8" t="e">
        <f>VLOOKUP(A125,#REF!,7,FALSE)</f>
        <v>#REF!</v>
      </c>
      <c r="C125" s="8" t="e">
        <f>VLOOKUP(A125,#REF!,11,FALSE)</f>
        <v>#REF!</v>
      </c>
    </row>
    <row r="126" spans="1:3" x14ac:dyDescent="0.3">
      <c r="A126" s="1">
        <v>42475</v>
      </c>
      <c r="B126" s="8" t="e">
        <f>VLOOKUP(A126,#REF!,7,FALSE)</f>
        <v>#REF!</v>
      </c>
      <c r="C126" s="8" t="e">
        <f>VLOOKUP(A126,#REF!,11,FALSE)</f>
        <v>#REF!</v>
      </c>
    </row>
    <row r="127" spans="1:3" x14ac:dyDescent="0.3">
      <c r="A127" s="1">
        <v>42476</v>
      </c>
      <c r="B127" s="8" t="e">
        <f>VLOOKUP(A127,#REF!,7,FALSE)</f>
        <v>#REF!</v>
      </c>
      <c r="C127" s="8" t="e">
        <f>VLOOKUP(A127,#REF!,11,FALSE)</f>
        <v>#REF!</v>
      </c>
    </row>
    <row r="128" spans="1:3" x14ac:dyDescent="0.3">
      <c r="A128" s="1">
        <v>42477</v>
      </c>
      <c r="B128" s="8" t="e">
        <f>VLOOKUP(A128,#REF!,7,FALSE)</f>
        <v>#REF!</v>
      </c>
      <c r="C128" s="8" t="e">
        <f>VLOOKUP(A128,#REF!,11,FALSE)</f>
        <v>#REF!</v>
      </c>
    </row>
    <row r="129" spans="1:3" x14ac:dyDescent="0.3">
      <c r="A129" s="1">
        <v>42478</v>
      </c>
      <c r="B129" s="8" t="e">
        <f>VLOOKUP(A129,#REF!,7,FALSE)</f>
        <v>#REF!</v>
      </c>
      <c r="C129" s="8" t="e">
        <f>VLOOKUP(A129,#REF!,11,FALSE)</f>
        <v>#REF!</v>
      </c>
    </row>
    <row r="130" spans="1:3" x14ac:dyDescent="0.3">
      <c r="A130" s="1">
        <v>42479</v>
      </c>
      <c r="B130" s="8" t="e">
        <f>VLOOKUP(A130,#REF!,7,FALSE)</f>
        <v>#REF!</v>
      </c>
      <c r="C130" s="8" t="e">
        <f>VLOOKUP(A130,#REF!,11,FALSE)</f>
        <v>#REF!</v>
      </c>
    </row>
    <row r="131" spans="1:3" x14ac:dyDescent="0.3">
      <c r="A131" s="1">
        <v>42480</v>
      </c>
      <c r="B131" s="8" t="e">
        <f>VLOOKUP(A131,#REF!,7,FALSE)</f>
        <v>#REF!</v>
      </c>
      <c r="C131" s="8" t="e">
        <f>VLOOKUP(A131,#REF!,11,FALSE)</f>
        <v>#REF!</v>
      </c>
    </row>
    <row r="132" spans="1:3" x14ac:dyDescent="0.3">
      <c r="A132" s="1">
        <v>42481</v>
      </c>
      <c r="B132" s="8" t="e">
        <f>VLOOKUP(A132,#REF!,7,FALSE)</f>
        <v>#REF!</v>
      </c>
      <c r="C132" s="8" t="e">
        <f>VLOOKUP(A132,#REF!,11,FALSE)</f>
        <v>#REF!</v>
      </c>
    </row>
    <row r="133" spans="1:3" x14ac:dyDescent="0.3">
      <c r="A133" s="1">
        <v>42482</v>
      </c>
      <c r="B133" s="8" t="e">
        <f>VLOOKUP(A133,#REF!,7,FALSE)</f>
        <v>#REF!</v>
      </c>
      <c r="C133" s="8" t="e">
        <f>VLOOKUP(A133,#REF!,11,FALSE)</f>
        <v>#REF!</v>
      </c>
    </row>
    <row r="134" spans="1:3" x14ac:dyDescent="0.3">
      <c r="A134" s="1">
        <v>42483</v>
      </c>
      <c r="B134" s="8" t="e">
        <f>VLOOKUP(A134,#REF!,7,FALSE)</f>
        <v>#REF!</v>
      </c>
      <c r="C134" s="8" t="e">
        <f>VLOOKUP(A134,#REF!,11,FALSE)</f>
        <v>#REF!</v>
      </c>
    </row>
    <row r="135" spans="1:3" x14ac:dyDescent="0.3">
      <c r="A135" s="1">
        <v>42484</v>
      </c>
      <c r="B135" s="8" t="e">
        <f>VLOOKUP(A135,#REF!,7,FALSE)</f>
        <v>#REF!</v>
      </c>
      <c r="C135" s="8" t="e">
        <f>VLOOKUP(A135,#REF!,11,FALSE)</f>
        <v>#REF!</v>
      </c>
    </row>
    <row r="136" spans="1:3" x14ac:dyDescent="0.3">
      <c r="A136" s="1">
        <v>42485</v>
      </c>
      <c r="B136" s="8" t="e">
        <f>VLOOKUP(A136,#REF!,7,FALSE)</f>
        <v>#REF!</v>
      </c>
      <c r="C136" s="8" t="e">
        <f>VLOOKUP(A136,#REF!,11,FALSE)</f>
        <v>#REF!</v>
      </c>
    </row>
    <row r="137" spans="1:3" x14ac:dyDescent="0.3">
      <c r="A137" s="1">
        <v>42486</v>
      </c>
      <c r="B137" s="8" t="e">
        <f>VLOOKUP(A137,#REF!,7,FALSE)</f>
        <v>#REF!</v>
      </c>
      <c r="C137" s="8" t="e">
        <f>VLOOKUP(A137,#REF!,11,FALSE)</f>
        <v>#REF!</v>
      </c>
    </row>
    <row r="138" spans="1:3" x14ac:dyDescent="0.3">
      <c r="A138" s="1">
        <v>42487</v>
      </c>
      <c r="B138" s="8" t="e">
        <f>VLOOKUP(A138,#REF!,7,FALSE)</f>
        <v>#REF!</v>
      </c>
      <c r="C138" s="8" t="e">
        <f>VLOOKUP(A138,#REF!,11,FALSE)</f>
        <v>#REF!</v>
      </c>
    </row>
    <row r="139" spans="1:3" x14ac:dyDescent="0.3">
      <c r="A139" s="1">
        <v>42488</v>
      </c>
      <c r="B139" s="8" t="e">
        <f>VLOOKUP(A139,#REF!,7,FALSE)</f>
        <v>#REF!</v>
      </c>
      <c r="C139" s="8" t="e">
        <f>VLOOKUP(A139,#REF!,11,FALSE)</f>
        <v>#REF!</v>
      </c>
    </row>
    <row r="140" spans="1:3" x14ac:dyDescent="0.3">
      <c r="A140" s="1">
        <v>42489</v>
      </c>
      <c r="B140" s="8" t="e">
        <f>VLOOKUP(A140,#REF!,7,FALSE)</f>
        <v>#REF!</v>
      </c>
      <c r="C140" s="8" t="e">
        <f>VLOOKUP(A140,#REF!,11,FALSE)</f>
        <v>#REF!</v>
      </c>
    </row>
    <row r="141" spans="1:3" x14ac:dyDescent="0.3">
      <c r="A141" s="1">
        <v>42490</v>
      </c>
      <c r="B141" s="8" t="e">
        <f>VLOOKUP(A141,#REF!,7,FALSE)</f>
        <v>#REF!</v>
      </c>
      <c r="C141" s="8" t="e">
        <f>VLOOKUP(A141,#REF!,11,FALSE)</f>
        <v>#REF!</v>
      </c>
    </row>
    <row r="142" spans="1:3" x14ac:dyDescent="0.3">
      <c r="A142" s="1">
        <v>42491</v>
      </c>
      <c r="B142" s="8" t="e">
        <f>VLOOKUP(A142,#REF!,7,FALSE)</f>
        <v>#REF!</v>
      </c>
      <c r="C142" s="8" t="e">
        <f>VLOOKUP(A142,#REF!,11,FALSE)</f>
        <v>#REF!</v>
      </c>
    </row>
    <row r="143" spans="1:3" x14ac:dyDescent="0.3">
      <c r="A143" s="1">
        <v>42492</v>
      </c>
      <c r="B143" s="8" t="e">
        <f>VLOOKUP(A143,#REF!,7,FALSE)</f>
        <v>#REF!</v>
      </c>
      <c r="C143" s="8" t="e">
        <f>VLOOKUP(A143,#REF!,11,FALSE)</f>
        <v>#REF!</v>
      </c>
    </row>
    <row r="144" spans="1:3" x14ac:dyDescent="0.3">
      <c r="A144" s="1">
        <v>42493</v>
      </c>
      <c r="B144" s="8" t="e">
        <f>VLOOKUP(A144,#REF!,7,FALSE)</f>
        <v>#REF!</v>
      </c>
      <c r="C144" s="8" t="e">
        <f>VLOOKUP(A144,#REF!,11,FALSE)</f>
        <v>#REF!</v>
      </c>
    </row>
    <row r="145" spans="1:3" x14ac:dyDescent="0.3">
      <c r="A145" s="1">
        <v>42494</v>
      </c>
      <c r="B145" s="8" t="e">
        <f>VLOOKUP(A145,#REF!,7,FALSE)</f>
        <v>#REF!</v>
      </c>
      <c r="C145" s="8" t="e">
        <f>VLOOKUP(A145,#REF!,11,FALSE)</f>
        <v>#REF!</v>
      </c>
    </row>
    <row r="146" spans="1:3" x14ac:dyDescent="0.3">
      <c r="A146" s="1">
        <v>42495</v>
      </c>
      <c r="B146" s="8" t="e">
        <f>VLOOKUP(A146,#REF!,7,FALSE)</f>
        <v>#REF!</v>
      </c>
      <c r="C146" s="8" t="e">
        <f>VLOOKUP(A146,#REF!,11,FALSE)</f>
        <v>#REF!</v>
      </c>
    </row>
    <row r="147" spans="1:3" x14ac:dyDescent="0.3">
      <c r="A147" s="1">
        <v>42496</v>
      </c>
      <c r="B147" s="8" t="e">
        <f>VLOOKUP(A147,#REF!,7,FALSE)</f>
        <v>#REF!</v>
      </c>
      <c r="C147" s="8" t="e">
        <f>VLOOKUP(A147,#REF!,11,FALSE)</f>
        <v>#REF!</v>
      </c>
    </row>
    <row r="148" spans="1:3" x14ac:dyDescent="0.3">
      <c r="A148" s="1">
        <v>42497</v>
      </c>
      <c r="B148" s="8" t="e">
        <f>VLOOKUP(A148,#REF!,7,FALSE)</f>
        <v>#REF!</v>
      </c>
      <c r="C148" s="8" t="e">
        <f>VLOOKUP(A148,#REF!,11,FALSE)</f>
        <v>#REF!</v>
      </c>
    </row>
    <row r="149" spans="1:3" x14ac:dyDescent="0.3">
      <c r="A149" s="1">
        <v>42498</v>
      </c>
      <c r="B149" s="8" t="e">
        <f>VLOOKUP(A149,#REF!,7,FALSE)</f>
        <v>#REF!</v>
      </c>
      <c r="C149" s="8" t="e">
        <f>VLOOKUP(A149,#REF!,11,FALSE)</f>
        <v>#REF!</v>
      </c>
    </row>
    <row r="150" spans="1:3" x14ac:dyDescent="0.3">
      <c r="A150" s="1">
        <v>42499</v>
      </c>
      <c r="B150" s="8" t="e">
        <f>VLOOKUP(A150,#REF!,7,FALSE)</f>
        <v>#REF!</v>
      </c>
      <c r="C150" s="8" t="e">
        <f>VLOOKUP(A150,#REF!,11,FALSE)</f>
        <v>#REF!</v>
      </c>
    </row>
    <row r="151" spans="1:3" x14ac:dyDescent="0.3">
      <c r="A151" s="1">
        <v>42500</v>
      </c>
      <c r="B151" s="8" t="e">
        <f>VLOOKUP(A151,#REF!,7,FALSE)</f>
        <v>#REF!</v>
      </c>
      <c r="C151" s="8" t="e">
        <f>VLOOKUP(A151,#REF!,11,FALSE)</f>
        <v>#REF!</v>
      </c>
    </row>
    <row r="152" spans="1:3" x14ac:dyDescent="0.3">
      <c r="A152" s="1">
        <v>42501</v>
      </c>
      <c r="B152" s="8" t="e">
        <f>VLOOKUP(A152,#REF!,7,FALSE)</f>
        <v>#REF!</v>
      </c>
      <c r="C152" s="8" t="e">
        <f>VLOOKUP(A152,#REF!,11,FALSE)</f>
        <v>#REF!</v>
      </c>
    </row>
    <row r="153" spans="1:3" x14ac:dyDescent="0.3">
      <c r="A153" s="1">
        <v>42502</v>
      </c>
      <c r="B153" s="8" t="e">
        <f>VLOOKUP(A153,#REF!,7,FALSE)</f>
        <v>#REF!</v>
      </c>
      <c r="C153" s="8" t="e">
        <f>VLOOKUP(A153,#REF!,11,FALSE)</f>
        <v>#REF!</v>
      </c>
    </row>
    <row r="154" spans="1:3" x14ac:dyDescent="0.3">
      <c r="A154" s="1">
        <v>42503</v>
      </c>
      <c r="B154" s="8" t="e">
        <f>VLOOKUP(A154,#REF!,7,FALSE)</f>
        <v>#REF!</v>
      </c>
      <c r="C154" s="8" t="e">
        <f>VLOOKUP(A154,#REF!,11,FALSE)</f>
        <v>#REF!</v>
      </c>
    </row>
    <row r="155" spans="1:3" x14ac:dyDescent="0.3">
      <c r="A155" s="1">
        <v>42504</v>
      </c>
      <c r="B155" s="8" t="e">
        <f>VLOOKUP(A155,#REF!,7,FALSE)</f>
        <v>#REF!</v>
      </c>
      <c r="C155" s="8" t="e">
        <f>VLOOKUP(A155,#REF!,11,FALSE)</f>
        <v>#REF!</v>
      </c>
    </row>
    <row r="156" spans="1:3" x14ac:dyDescent="0.3">
      <c r="A156" s="1">
        <v>42505</v>
      </c>
      <c r="B156" s="8" t="e">
        <f>VLOOKUP(A156,#REF!,7,FALSE)</f>
        <v>#REF!</v>
      </c>
      <c r="C156" s="8" t="e">
        <f>VLOOKUP(A156,#REF!,11,FALSE)</f>
        <v>#REF!</v>
      </c>
    </row>
    <row r="157" spans="1:3" x14ac:dyDescent="0.3">
      <c r="A157" s="1">
        <v>42506</v>
      </c>
      <c r="B157" s="8" t="e">
        <f>VLOOKUP(A157,#REF!,7,FALSE)</f>
        <v>#REF!</v>
      </c>
      <c r="C157" s="8" t="e">
        <f>VLOOKUP(A157,#REF!,11,FALSE)</f>
        <v>#REF!</v>
      </c>
    </row>
    <row r="158" spans="1:3" x14ac:dyDescent="0.3">
      <c r="A158" s="1">
        <v>42507</v>
      </c>
      <c r="B158" s="8" t="e">
        <f>VLOOKUP(A158,#REF!,7,FALSE)</f>
        <v>#REF!</v>
      </c>
      <c r="C158" s="8" t="e">
        <f>VLOOKUP(A158,#REF!,11,FALSE)</f>
        <v>#REF!</v>
      </c>
    </row>
    <row r="159" spans="1:3" x14ac:dyDescent="0.3">
      <c r="A159" s="1">
        <v>42508</v>
      </c>
      <c r="B159" s="8" t="e">
        <f>VLOOKUP(A159,#REF!,7,FALSE)</f>
        <v>#REF!</v>
      </c>
      <c r="C159" s="8" t="e">
        <f>VLOOKUP(A159,#REF!,11,FALSE)</f>
        <v>#REF!</v>
      </c>
    </row>
    <row r="160" spans="1:3" x14ac:dyDescent="0.3">
      <c r="A160" s="1">
        <v>42509</v>
      </c>
      <c r="B160" s="8" t="e">
        <f>VLOOKUP(A160,#REF!,7,FALSE)</f>
        <v>#REF!</v>
      </c>
      <c r="C160" s="8" t="e">
        <f>VLOOKUP(A160,#REF!,11,FALSE)</f>
        <v>#REF!</v>
      </c>
    </row>
    <row r="161" spans="1:3" x14ac:dyDescent="0.3">
      <c r="A161" s="1">
        <v>42510</v>
      </c>
      <c r="B161" s="8" t="e">
        <f>VLOOKUP(A161,#REF!,7,FALSE)</f>
        <v>#REF!</v>
      </c>
      <c r="C161" s="8" t="e">
        <f>VLOOKUP(A161,#REF!,11,FALSE)</f>
        <v>#REF!</v>
      </c>
    </row>
    <row r="162" spans="1:3" x14ac:dyDescent="0.3">
      <c r="A162" s="1">
        <v>42511</v>
      </c>
      <c r="B162" s="8" t="e">
        <f>VLOOKUP(A162,#REF!,7,FALSE)</f>
        <v>#REF!</v>
      </c>
      <c r="C162" s="8" t="e">
        <f>VLOOKUP(A162,#REF!,11,FALSE)</f>
        <v>#REF!</v>
      </c>
    </row>
    <row r="163" spans="1:3" x14ac:dyDescent="0.3">
      <c r="A163" s="1">
        <v>42512</v>
      </c>
      <c r="B163" s="8" t="e">
        <f>VLOOKUP(A163,#REF!,7,FALSE)</f>
        <v>#REF!</v>
      </c>
      <c r="C163" s="8" t="e">
        <f>VLOOKUP(A163,#REF!,11,FALSE)</f>
        <v>#REF!</v>
      </c>
    </row>
    <row r="164" spans="1:3" x14ac:dyDescent="0.3">
      <c r="A164" s="1">
        <v>42513</v>
      </c>
      <c r="B164" s="8" t="e">
        <f>VLOOKUP(A164,#REF!,7,FALSE)</f>
        <v>#REF!</v>
      </c>
      <c r="C164" s="8" t="e">
        <f>VLOOKUP(A164,#REF!,11,FALSE)</f>
        <v>#REF!</v>
      </c>
    </row>
    <row r="165" spans="1:3" x14ac:dyDescent="0.3">
      <c r="A165" s="1">
        <v>42514</v>
      </c>
      <c r="B165" s="8" t="e">
        <f>VLOOKUP(A165,#REF!,7,FALSE)</f>
        <v>#REF!</v>
      </c>
      <c r="C165" s="8" t="e">
        <f>VLOOKUP(A165,#REF!,11,FALSE)</f>
        <v>#REF!</v>
      </c>
    </row>
    <row r="166" spans="1:3" x14ac:dyDescent="0.3">
      <c r="A166" s="1">
        <v>42515</v>
      </c>
      <c r="B166" s="8" t="e">
        <f>VLOOKUP(A166,#REF!,7,FALSE)</f>
        <v>#REF!</v>
      </c>
      <c r="C166" s="8" t="e">
        <f>VLOOKUP(A166,#REF!,11,FALSE)</f>
        <v>#REF!</v>
      </c>
    </row>
    <row r="167" spans="1:3" x14ac:dyDescent="0.3">
      <c r="A167" s="1">
        <v>42516</v>
      </c>
      <c r="B167" s="8" t="e">
        <f>VLOOKUP(A167,#REF!,7,FALSE)</f>
        <v>#REF!</v>
      </c>
      <c r="C167" s="8" t="e">
        <f>VLOOKUP(A167,#REF!,11,FALSE)</f>
        <v>#REF!</v>
      </c>
    </row>
    <row r="168" spans="1:3" x14ac:dyDescent="0.3">
      <c r="A168" s="1">
        <v>42517</v>
      </c>
      <c r="B168" s="8" t="e">
        <f>VLOOKUP(A168,#REF!,7,FALSE)</f>
        <v>#REF!</v>
      </c>
      <c r="C168" s="8" t="e">
        <f>VLOOKUP(A168,#REF!,11,FALSE)</f>
        <v>#REF!</v>
      </c>
    </row>
    <row r="169" spans="1:3" x14ac:dyDescent="0.3">
      <c r="A169" s="1">
        <v>42518</v>
      </c>
      <c r="B169" s="8" t="e">
        <f>VLOOKUP(A169,#REF!,7,FALSE)</f>
        <v>#REF!</v>
      </c>
      <c r="C169" s="8" t="e">
        <f>VLOOKUP(A169,#REF!,11,FALSE)</f>
        <v>#REF!</v>
      </c>
    </row>
    <row r="170" spans="1:3" x14ac:dyDescent="0.3">
      <c r="A170" s="1">
        <v>42519</v>
      </c>
      <c r="B170" s="8" t="e">
        <f>VLOOKUP(A170,#REF!,7,FALSE)</f>
        <v>#REF!</v>
      </c>
      <c r="C170" s="8" t="e">
        <f>VLOOKUP(A170,#REF!,11,FALSE)</f>
        <v>#REF!</v>
      </c>
    </row>
    <row r="171" spans="1:3" x14ac:dyDescent="0.3">
      <c r="A171" s="1">
        <v>42520</v>
      </c>
      <c r="B171" s="8" t="e">
        <f>VLOOKUP(A171,#REF!,7,FALSE)</f>
        <v>#REF!</v>
      </c>
      <c r="C171" s="8" t="e">
        <f>VLOOKUP(A171,#REF!,11,FALSE)</f>
        <v>#REF!</v>
      </c>
    </row>
    <row r="172" spans="1:3" x14ac:dyDescent="0.3">
      <c r="A172" s="1">
        <v>42521</v>
      </c>
      <c r="B172" s="8" t="e">
        <f>VLOOKUP(A172,#REF!,7,FALSE)</f>
        <v>#REF!</v>
      </c>
      <c r="C172" s="8" t="e">
        <f>VLOOKUP(A172,#REF!,11,FALSE)</f>
        <v>#REF!</v>
      </c>
    </row>
    <row r="173" spans="1:3" x14ac:dyDescent="0.3">
      <c r="A173" s="1">
        <v>42522</v>
      </c>
      <c r="B173" s="8" t="e">
        <f>VLOOKUP(A173,#REF!,7,FALSE)</f>
        <v>#REF!</v>
      </c>
      <c r="C173" s="8" t="e">
        <f>VLOOKUP(A173,#REF!,11,FALSE)</f>
        <v>#REF!</v>
      </c>
    </row>
    <row r="174" spans="1:3" x14ac:dyDescent="0.3">
      <c r="A174" s="1">
        <v>42523</v>
      </c>
      <c r="B174" s="8" t="e">
        <f>VLOOKUP(A174,#REF!,7,FALSE)</f>
        <v>#REF!</v>
      </c>
      <c r="C174" s="8" t="e">
        <f>VLOOKUP(A174,#REF!,11,FALSE)</f>
        <v>#REF!</v>
      </c>
    </row>
    <row r="175" spans="1:3" x14ac:dyDescent="0.3">
      <c r="A175" s="1">
        <v>42524</v>
      </c>
      <c r="B175" s="8" t="e">
        <f>VLOOKUP(A175,#REF!,7,FALSE)</f>
        <v>#REF!</v>
      </c>
      <c r="C175" s="8" t="e">
        <f>VLOOKUP(A175,#REF!,11,FALSE)</f>
        <v>#REF!</v>
      </c>
    </row>
    <row r="176" spans="1:3" x14ac:dyDescent="0.3">
      <c r="A176" s="1">
        <v>42525</v>
      </c>
      <c r="B176" s="8" t="e">
        <f>VLOOKUP(A176,#REF!,7,FALSE)</f>
        <v>#REF!</v>
      </c>
      <c r="C176" s="8" t="e">
        <f>VLOOKUP(A176,#REF!,11,FALSE)</f>
        <v>#REF!</v>
      </c>
    </row>
    <row r="177" spans="1:3" x14ac:dyDescent="0.3">
      <c r="A177" s="1">
        <v>42526</v>
      </c>
      <c r="B177" s="8" t="e">
        <f>VLOOKUP(A177,#REF!,7,FALSE)</f>
        <v>#REF!</v>
      </c>
      <c r="C177" s="8" t="e">
        <f>VLOOKUP(A177,#REF!,11,FALSE)</f>
        <v>#REF!</v>
      </c>
    </row>
    <row r="178" spans="1:3" x14ac:dyDescent="0.3">
      <c r="A178" s="1">
        <v>42527</v>
      </c>
      <c r="B178" s="8" t="e">
        <f>VLOOKUP(A178,#REF!,7,FALSE)</f>
        <v>#REF!</v>
      </c>
      <c r="C178" s="8" t="e">
        <f>VLOOKUP(A178,#REF!,11,FALSE)</f>
        <v>#REF!</v>
      </c>
    </row>
    <row r="179" spans="1:3" x14ac:dyDescent="0.3">
      <c r="A179" s="1">
        <v>42528</v>
      </c>
      <c r="B179" s="8" t="e">
        <f>VLOOKUP(A179,#REF!,7,FALSE)</f>
        <v>#REF!</v>
      </c>
      <c r="C179" s="8" t="e">
        <f>VLOOKUP(A179,#REF!,11,FALSE)</f>
        <v>#REF!</v>
      </c>
    </row>
    <row r="180" spans="1:3" x14ac:dyDescent="0.3">
      <c r="A180" s="1">
        <v>42529</v>
      </c>
      <c r="B180" s="8" t="e">
        <f>VLOOKUP(A180,#REF!,7,FALSE)</f>
        <v>#REF!</v>
      </c>
      <c r="C180" s="8" t="e">
        <f>VLOOKUP(A180,#REF!,11,FALSE)</f>
        <v>#REF!</v>
      </c>
    </row>
    <row r="181" spans="1:3" x14ac:dyDescent="0.3">
      <c r="A181" s="1">
        <v>42530</v>
      </c>
      <c r="B181" s="8" t="e">
        <f>VLOOKUP(A181,#REF!,7,FALSE)</f>
        <v>#REF!</v>
      </c>
      <c r="C181" s="8" t="e">
        <f>VLOOKUP(A181,#REF!,11,FALSE)</f>
        <v>#REF!</v>
      </c>
    </row>
    <row r="182" spans="1:3" x14ac:dyDescent="0.3">
      <c r="A182" s="1">
        <v>42531</v>
      </c>
      <c r="B182" s="8" t="e">
        <f>VLOOKUP(A182,#REF!,7,FALSE)</f>
        <v>#REF!</v>
      </c>
      <c r="C182" s="8" t="e">
        <f>VLOOKUP(A182,#REF!,11,FALSE)</f>
        <v>#REF!</v>
      </c>
    </row>
    <row r="183" spans="1:3" x14ac:dyDescent="0.3">
      <c r="A183" s="1">
        <v>42532</v>
      </c>
      <c r="B183" s="8" t="e">
        <f>VLOOKUP(A183,#REF!,7,FALSE)</f>
        <v>#REF!</v>
      </c>
      <c r="C183" s="8" t="e">
        <f>VLOOKUP(A183,#REF!,11,FALSE)</f>
        <v>#REF!</v>
      </c>
    </row>
    <row r="184" spans="1:3" x14ac:dyDescent="0.3">
      <c r="A184" s="1">
        <v>42533</v>
      </c>
      <c r="B184" s="8" t="e">
        <f>VLOOKUP(A184,#REF!,7,FALSE)</f>
        <v>#REF!</v>
      </c>
      <c r="C184" s="8" t="e">
        <f>VLOOKUP(A184,#REF!,11,FALSE)</f>
        <v>#REF!</v>
      </c>
    </row>
    <row r="185" spans="1:3" x14ac:dyDescent="0.3">
      <c r="A185" s="1">
        <v>42534</v>
      </c>
      <c r="B185" s="8" t="e">
        <f>VLOOKUP(A185,#REF!,7,FALSE)</f>
        <v>#REF!</v>
      </c>
      <c r="C185" s="8" t="e">
        <f>VLOOKUP(A185,#REF!,11,FALSE)</f>
        <v>#REF!</v>
      </c>
    </row>
    <row r="186" spans="1:3" x14ac:dyDescent="0.3">
      <c r="A186" s="1">
        <v>42535</v>
      </c>
      <c r="B186" s="8" t="e">
        <f>VLOOKUP(A186,#REF!,7,FALSE)</f>
        <v>#REF!</v>
      </c>
      <c r="C186" s="8" t="e">
        <f>VLOOKUP(A186,#REF!,11,FALSE)</f>
        <v>#REF!</v>
      </c>
    </row>
    <row r="187" spans="1:3" x14ac:dyDescent="0.3">
      <c r="A187" s="1">
        <v>42536</v>
      </c>
      <c r="B187" s="8" t="e">
        <f>VLOOKUP(A187,#REF!,7,FALSE)</f>
        <v>#REF!</v>
      </c>
      <c r="C187" s="8" t="e">
        <f>VLOOKUP(A187,#REF!,11,FALSE)</f>
        <v>#REF!</v>
      </c>
    </row>
    <row r="188" spans="1:3" x14ac:dyDescent="0.3">
      <c r="A188" s="1">
        <v>42537</v>
      </c>
      <c r="B188" s="8" t="e">
        <f>VLOOKUP(A188,#REF!,7,FALSE)</f>
        <v>#REF!</v>
      </c>
      <c r="C188" s="8" t="e">
        <f>VLOOKUP(A188,#REF!,11,FALSE)</f>
        <v>#REF!</v>
      </c>
    </row>
    <row r="189" spans="1:3" x14ac:dyDescent="0.3">
      <c r="A189" s="1">
        <v>42538</v>
      </c>
      <c r="B189" s="8" t="e">
        <f>VLOOKUP(A189,#REF!,7,FALSE)</f>
        <v>#REF!</v>
      </c>
      <c r="C189" s="8" t="e">
        <f>VLOOKUP(A189,#REF!,11,FALSE)</f>
        <v>#REF!</v>
      </c>
    </row>
    <row r="190" spans="1:3" x14ac:dyDescent="0.3">
      <c r="A190" s="1">
        <v>42539</v>
      </c>
      <c r="B190" s="8" t="e">
        <f>VLOOKUP(A190,#REF!,7,FALSE)</f>
        <v>#REF!</v>
      </c>
      <c r="C190" s="8" t="e">
        <f>VLOOKUP(A190,#REF!,11,FALSE)</f>
        <v>#REF!</v>
      </c>
    </row>
    <row r="191" spans="1:3" x14ac:dyDescent="0.3">
      <c r="A191" s="1">
        <v>42540</v>
      </c>
      <c r="B191" s="8" t="e">
        <f>VLOOKUP(A191,#REF!,7,FALSE)</f>
        <v>#REF!</v>
      </c>
      <c r="C191" s="8" t="e">
        <f>VLOOKUP(A191,#REF!,11,FALSE)</f>
        <v>#REF!</v>
      </c>
    </row>
    <row r="192" spans="1:3" x14ac:dyDescent="0.3">
      <c r="A192" s="1">
        <v>42541</v>
      </c>
      <c r="B192" s="8" t="e">
        <f>VLOOKUP(A192,#REF!,7,FALSE)</f>
        <v>#REF!</v>
      </c>
      <c r="C192" s="8" t="e">
        <f>VLOOKUP(A192,#REF!,11,FALSE)</f>
        <v>#REF!</v>
      </c>
    </row>
    <row r="193" spans="1:3" x14ac:dyDescent="0.3">
      <c r="A193" s="1">
        <v>42542</v>
      </c>
      <c r="B193" s="8" t="e">
        <f>VLOOKUP(A193,#REF!,7,FALSE)</f>
        <v>#REF!</v>
      </c>
      <c r="C193" s="8" t="e">
        <f>VLOOKUP(A193,#REF!,11,FALSE)</f>
        <v>#REF!</v>
      </c>
    </row>
    <row r="194" spans="1:3" x14ac:dyDescent="0.3">
      <c r="A194" s="1">
        <v>42543</v>
      </c>
      <c r="B194" s="8" t="e">
        <f>VLOOKUP(A194,#REF!,7,FALSE)</f>
        <v>#REF!</v>
      </c>
      <c r="C194" s="8" t="e">
        <f>VLOOKUP(A194,#REF!,11,FALSE)</f>
        <v>#REF!</v>
      </c>
    </row>
    <row r="195" spans="1:3" x14ac:dyDescent="0.3">
      <c r="A195" s="1">
        <v>42544</v>
      </c>
      <c r="B195" s="8" t="e">
        <f>VLOOKUP(A195,#REF!,7,FALSE)</f>
        <v>#REF!</v>
      </c>
      <c r="C195" s="8" t="e">
        <f>VLOOKUP(A195,#REF!,11,FALSE)</f>
        <v>#REF!</v>
      </c>
    </row>
    <row r="196" spans="1:3" x14ac:dyDescent="0.3">
      <c r="A196" s="1">
        <v>42545</v>
      </c>
      <c r="B196" s="8" t="e">
        <f>VLOOKUP(A196,#REF!,7,FALSE)</f>
        <v>#REF!</v>
      </c>
      <c r="C196" s="8" t="e">
        <f>VLOOKUP(A196,#REF!,11,FALSE)</f>
        <v>#REF!</v>
      </c>
    </row>
    <row r="197" spans="1:3" x14ac:dyDescent="0.3">
      <c r="A197" s="1">
        <v>42546</v>
      </c>
      <c r="B197" s="8" t="e">
        <f>VLOOKUP(A197,#REF!,7,FALSE)</f>
        <v>#REF!</v>
      </c>
      <c r="C197" s="8" t="e">
        <f>VLOOKUP(A197,#REF!,11,FALSE)</f>
        <v>#REF!</v>
      </c>
    </row>
    <row r="198" spans="1:3" x14ac:dyDescent="0.3">
      <c r="A198" s="1">
        <v>42547</v>
      </c>
      <c r="B198" s="8" t="e">
        <f>VLOOKUP(A198,#REF!,7,FALSE)</f>
        <v>#REF!</v>
      </c>
      <c r="C198" s="8" t="e">
        <f>VLOOKUP(A198,#REF!,11,FALSE)</f>
        <v>#REF!</v>
      </c>
    </row>
    <row r="199" spans="1:3" x14ac:dyDescent="0.3">
      <c r="A199" s="1">
        <v>42548</v>
      </c>
      <c r="B199" s="8" t="e">
        <f>VLOOKUP(A199,#REF!,7,FALSE)</f>
        <v>#REF!</v>
      </c>
      <c r="C199" s="8" t="e">
        <f>VLOOKUP(A199,#REF!,11,FALSE)</f>
        <v>#REF!</v>
      </c>
    </row>
    <row r="200" spans="1:3" x14ac:dyDescent="0.3">
      <c r="A200" s="1">
        <v>42549</v>
      </c>
      <c r="B200" s="8" t="e">
        <f>VLOOKUP(A200,#REF!,7,FALSE)</f>
        <v>#REF!</v>
      </c>
      <c r="C200" s="8" t="e">
        <f>VLOOKUP(A200,#REF!,11,FALSE)</f>
        <v>#REF!</v>
      </c>
    </row>
    <row r="201" spans="1:3" x14ac:dyDescent="0.3">
      <c r="A201" s="1">
        <v>42550</v>
      </c>
      <c r="B201" s="8" t="e">
        <f>VLOOKUP(A201,#REF!,7,FALSE)</f>
        <v>#REF!</v>
      </c>
      <c r="C201" s="8" t="e">
        <f>VLOOKUP(A201,#REF!,11,FALSE)</f>
        <v>#REF!</v>
      </c>
    </row>
    <row r="202" spans="1:3" x14ac:dyDescent="0.3">
      <c r="A202" s="1">
        <v>42551</v>
      </c>
      <c r="B202" s="8" t="e">
        <f>VLOOKUP(A202,#REF!,7,FALSE)</f>
        <v>#REF!</v>
      </c>
      <c r="C202" s="8" t="e">
        <f>VLOOKUP(A202,#REF!,11,FALSE)</f>
        <v>#REF!</v>
      </c>
    </row>
    <row r="203" spans="1:3" x14ac:dyDescent="0.3">
      <c r="A203" s="1">
        <v>42552</v>
      </c>
      <c r="B203" s="8" t="e">
        <f>VLOOKUP(A203,#REF!,7,FALSE)</f>
        <v>#REF!</v>
      </c>
      <c r="C203" s="8" t="e">
        <f>VLOOKUP(A203,#REF!,11,FALSE)</f>
        <v>#REF!</v>
      </c>
    </row>
    <row r="204" spans="1:3" x14ac:dyDescent="0.3">
      <c r="A204" s="1">
        <v>42553</v>
      </c>
      <c r="B204" s="8" t="e">
        <f>VLOOKUP(A204,#REF!,7,FALSE)</f>
        <v>#REF!</v>
      </c>
      <c r="C204" s="8" t="e">
        <f>VLOOKUP(A204,#REF!,11,FALSE)</f>
        <v>#REF!</v>
      </c>
    </row>
    <row r="205" spans="1:3" x14ac:dyDescent="0.3">
      <c r="A205" s="1">
        <v>42554</v>
      </c>
      <c r="B205" s="8" t="e">
        <f>VLOOKUP(A205,#REF!,7,FALSE)</f>
        <v>#REF!</v>
      </c>
      <c r="C205" s="8" t="e">
        <f>VLOOKUP(A205,#REF!,11,FALSE)</f>
        <v>#REF!</v>
      </c>
    </row>
    <row r="206" spans="1:3" x14ac:dyDescent="0.3">
      <c r="A206" s="1">
        <v>42555</v>
      </c>
      <c r="B206" s="8" t="e">
        <f>VLOOKUP(A206,#REF!,7,FALSE)</f>
        <v>#REF!</v>
      </c>
      <c r="C206" s="8" t="e">
        <f>VLOOKUP(A206,#REF!,11,FALSE)</f>
        <v>#REF!</v>
      </c>
    </row>
    <row r="207" spans="1:3" x14ac:dyDescent="0.3">
      <c r="A207" s="1">
        <v>42556</v>
      </c>
      <c r="B207" s="8" t="e">
        <f>VLOOKUP(A207,#REF!,7,FALSE)</f>
        <v>#REF!</v>
      </c>
      <c r="C207" s="8" t="e">
        <f>VLOOKUP(A207,#REF!,11,FALSE)</f>
        <v>#REF!</v>
      </c>
    </row>
    <row r="208" spans="1:3" x14ac:dyDescent="0.3">
      <c r="A208" s="1">
        <v>42557</v>
      </c>
      <c r="B208" s="8" t="e">
        <f>VLOOKUP(A208,#REF!,7,FALSE)</f>
        <v>#REF!</v>
      </c>
      <c r="C208" s="8" t="e">
        <f>VLOOKUP(A208,#REF!,11,FALSE)</f>
        <v>#REF!</v>
      </c>
    </row>
    <row r="209" spans="1:3" x14ac:dyDescent="0.3">
      <c r="A209" s="1">
        <v>42558</v>
      </c>
      <c r="B209" s="8" t="e">
        <f>VLOOKUP(A209,#REF!,7,FALSE)</f>
        <v>#REF!</v>
      </c>
      <c r="C209" s="8" t="e">
        <f>VLOOKUP(A209,#REF!,11,FALSE)</f>
        <v>#REF!</v>
      </c>
    </row>
    <row r="210" spans="1:3" x14ac:dyDescent="0.3">
      <c r="A210" s="1">
        <v>42559</v>
      </c>
      <c r="B210" s="8" t="e">
        <f>VLOOKUP(A210,#REF!,7,FALSE)</f>
        <v>#REF!</v>
      </c>
      <c r="C210" s="8" t="e">
        <f>VLOOKUP(A210,#REF!,11,FALSE)</f>
        <v>#REF!</v>
      </c>
    </row>
    <row r="211" spans="1:3" x14ac:dyDescent="0.3">
      <c r="A211" s="1">
        <v>42560</v>
      </c>
      <c r="B211" s="8" t="e">
        <f>VLOOKUP(A211,#REF!,7,FALSE)</f>
        <v>#REF!</v>
      </c>
      <c r="C211" s="8" t="e">
        <f>VLOOKUP(A211,#REF!,11,FALSE)</f>
        <v>#REF!</v>
      </c>
    </row>
    <row r="212" spans="1:3" x14ac:dyDescent="0.3">
      <c r="A212" s="1">
        <v>42561</v>
      </c>
      <c r="B212" s="8" t="e">
        <f>VLOOKUP(A212,#REF!,7,FALSE)</f>
        <v>#REF!</v>
      </c>
      <c r="C212" s="8" t="e">
        <f>VLOOKUP(A212,#REF!,11,FALSE)</f>
        <v>#REF!</v>
      </c>
    </row>
    <row r="213" spans="1:3" x14ac:dyDescent="0.3">
      <c r="A213" s="1">
        <v>42562</v>
      </c>
      <c r="B213" s="8" t="e">
        <f>VLOOKUP(A213,#REF!,7,FALSE)</f>
        <v>#REF!</v>
      </c>
      <c r="C213" s="8" t="e">
        <f>VLOOKUP(A213,#REF!,11,FALSE)</f>
        <v>#REF!</v>
      </c>
    </row>
    <row r="214" spans="1:3" x14ac:dyDescent="0.3">
      <c r="A214" s="1">
        <v>42563</v>
      </c>
      <c r="B214" s="8" t="e">
        <f>VLOOKUP(A214,#REF!,7,FALSE)</f>
        <v>#REF!</v>
      </c>
      <c r="C214" s="8" t="e">
        <f>VLOOKUP(A214,#REF!,11,FALSE)</f>
        <v>#REF!</v>
      </c>
    </row>
    <row r="215" spans="1:3" x14ac:dyDescent="0.3">
      <c r="A215" s="1">
        <v>42564</v>
      </c>
      <c r="B215" s="8" t="e">
        <f>VLOOKUP(A215,#REF!,7,FALSE)</f>
        <v>#REF!</v>
      </c>
      <c r="C215" s="8" t="e">
        <f>VLOOKUP(A215,#REF!,11,FALSE)</f>
        <v>#REF!</v>
      </c>
    </row>
    <row r="216" spans="1:3" x14ac:dyDescent="0.3">
      <c r="A216" s="1">
        <v>42565</v>
      </c>
      <c r="B216" s="8" t="e">
        <f>VLOOKUP(A216,#REF!,7,FALSE)</f>
        <v>#REF!</v>
      </c>
      <c r="C216" s="8" t="e">
        <f>VLOOKUP(A216,#REF!,11,FALSE)</f>
        <v>#REF!</v>
      </c>
    </row>
    <row r="217" spans="1:3" x14ac:dyDescent="0.3">
      <c r="A217" s="1">
        <v>42566</v>
      </c>
      <c r="B217" s="8" t="e">
        <f>VLOOKUP(A217,#REF!,7,FALSE)</f>
        <v>#REF!</v>
      </c>
      <c r="C217" s="8" t="e">
        <f>VLOOKUP(A217,#REF!,11,FALSE)</f>
        <v>#REF!</v>
      </c>
    </row>
    <row r="218" spans="1:3" x14ac:dyDescent="0.3">
      <c r="A218" s="1">
        <v>42567</v>
      </c>
      <c r="B218" s="8" t="e">
        <f>VLOOKUP(A218,#REF!,7,FALSE)</f>
        <v>#REF!</v>
      </c>
      <c r="C218" s="8" t="e">
        <f>VLOOKUP(A218,#REF!,11,FALSE)</f>
        <v>#REF!</v>
      </c>
    </row>
    <row r="219" spans="1:3" x14ac:dyDescent="0.3">
      <c r="A219" s="1">
        <v>42568</v>
      </c>
      <c r="B219" s="8" t="e">
        <f>VLOOKUP(A219,#REF!,7,FALSE)</f>
        <v>#REF!</v>
      </c>
      <c r="C219" s="8" t="e">
        <f>VLOOKUP(A219,#REF!,11,FALSE)</f>
        <v>#REF!</v>
      </c>
    </row>
    <row r="220" spans="1:3" x14ac:dyDescent="0.3">
      <c r="A220" s="1">
        <v>42569</v>
      </c>
      <c r="B220" s="8" t="e">
        <f>VLOOKUP(A220,#REF!,7,FALSE)</f>
        <v>#REF!</v>
      </c>
      <c r="C220" s="8" t="e">
        <f>VLOOKUP(A220,#REF!,11,FALSE)</f>
        <v>#REF!</v>
      </c>
    </row>
    <row r="221" spans="1:3" x14ac:dyDescent="0.3">
      <c r="A221" s="1">
        <v>42570</v>
      </c>
      <c r="B221" s="8" t="e">
        <f>VLOOKUP(A221,#REF!,7,FALSE)</f>
        <v>#REF!</v>
      </c>
      <c r="C221" s="8" t="e">
        <f>VLOOKUP(A221,#REF!,11,FALSE)</f>
        <v>#REF!</v>
      </c>
    </row>
    <row r="222" spans="1:3" x14ac:dyDescent="0.3">
      <c r="A222" s="1">
        <v>42571</v>
      </c>
      <c r="B222" s="8" t="e">
        <f>VLOOKUP(A222,#REF!,7,FALSE)</f>
        <v>#REF!</v>
      </c>
      <c r="C222" s="8" t="e">
        <f>VLOOKUP(A222,#REF!,11,FALSE)</f>
        <v>#REF!</v>
      </c>
    </row>
    <row r="223" spans="1:3" x14ac:dyDescent="0.3">
      <c r="A223" s="1">
        <v>42572</v>
      </c>
      <c r="B223" s="8" t="e">
        <f>VLOOKUP(A223,#REF!,7,FALSE)</f>
        <v>#REF!</v>
      </c>
      <c r="C223" s="8" t="e">
        <f>VLOOKUP(A223,#REF!,11,FALSE)</f>
        <v>#REF!</v>
      </c>
    </row>
    <row r="224" spans="1:3" x14ac:dyDescent="0.3">
      <c r="A224" s="1">
        <v>42573</v>
      </c>
      <c r="B224" s="8" t="e">
        <f>VLOOKUP(A224,#REF!,7,FALSE)</f>
        <v>#REF!</v>
      </c>
      <c r="C224" s="8" t="e">
        <f>VLOOKUP(A224,#REF!,11,FALSE)</f>
        <v>#REF!</v>
      </c>
    </row>
    <row r="225" spans="1:3" x14ac:dyDescent="0.3">
      <c r="A225" s="1">
        <v>42574</v>
      </c>
      <c r="B225" s="8" t="e">
        <f>VLOOKUP(A225,#REF!,7,FALSE)</f>
        <v>#REF!</v>
      </c>
      <c r="C225" s="8" t="e">
        <f>VLOOKUP(A225,#REF!,11,FALSE)</f>
        <v>#REF!</v>
      </c>
    </row>
    <row r="226" spans="1:3" x14ac:dyDescent="0.3">
      <c r="A226" s="1">
        <v>42575</v>
      </c>
      <c r="B226" s="8" t="e">
        <f>VLOOKUP(A226,#REF!,7,FALSE)</f>
        <v>#REF!</v>
      </c>
      <c r="C226" s="8" t="e">
        <f>VLOOKUP(A226,#REF!,11,FALSE)</f>
        <v>#REF!</v>
      </c>
    </row>
    <row r="227" spans="1:3" x14ac:dyDescent="0.3">
      <c r="A227" s="1">
        <v>42576</v>
      </c>
      <c r="B227" s="8" t="e">
        <f>VLOOKUP(A227,#REF!,7,FALSE)</f>
        <v>#REF!</v>
      </c>
      <c r="C227" s="8" t="e">
        <f>VLOOKUP(A227,#REF!,11,FALSE)</f>
        <v>#REF!</v>
      </c>
    </row>
    <row r="228" spans="1:3" x14ac:dyDescent="0.3">
      <c r="A228" s="1">
        <v>42577</v>
      </c>
      <c r="B228" s="8" t="e">
        <f>VLOOKUP(A228,#REF!,7,FALSE)</f>
        <v>#REF!</v>
      </c>
      <c r="C228" s="8" t="e">
        <f>VLOOKUP(A228,#REF!,11,FALSE)</f>
        <v>#REF!</v>
      </c>
    </row>
    <row r="229" spans="1:3" x14ac:dyDescent="0.3">
      <c r="A229" s="1">
        <v>42578</v>
      </c>
      <c r="B229" s="8" t="e">
        <f>VLOOKUP(A229,#REF!,7,FALSE)</f>
        <v>#REF!</v>
      </c>
      <c r="C229" s="8" t="e">
        <f>VLOOKUP(A229,#REF!,11,FALSE)</f>
        <v>#REF!</v>
      </c>
    </row>
    <row r="230" spans="1:3" x14ac:dyDescent="0.3">
      <c r="A230" s="1">
        <v>42579</v>
      </c>
      <c r="B230" s="8" t="e">
        <f>VLOOKUP(A230,#REF!,7,FALSE)</f>
        <v>#REF!</v>
      </c>
      <c r="C230" s="8" t="e">
        <f>VLOOKUP(A230,#REF!,11,FALSE)</f>
        <v>#REF!</v>
      </c>
    </row>
    <row r="231" spans="1:3" x14ac:dyDescent="0.3">
      <c r="A231" s="1">
        <v>42580</v>
      </c>
      <c r="B231" s="8" t="e">
        <f>VLOOKUP(A231,#REF!,7,FALSE)</f>
        <v>#REF!</v>
      </c>
      <c r="C231" s="8" t="e">
        <f>VLOOKUP(A231,#REF!,11,FALSE)</f>
        <v>#REF!</v>
      </c>
    </row>
    <row r="232" spans="1:3" x14ac:dyDescent="0.3">
      <c r="A232" s="1">
        <v>42581</v>
      </c>
      <c r="B232" s="8" t="e">
        <f>VLOOKUP(A232,#REF!,7,FALSE)</f>
        <v>#REF!</v>
      </c>
      <c r="C232" s="8" t="e">
        <f>VLOOKUP(A232,#REF!,11,FALSE)</f>
        <v>#REF!</v>
      </c>
    </row>
    <row r="233" spans="1:3" x14ac:dyDescent="0.3">
      <c r="A233" s="1">
        <v>42582</v>
      </c>
      <c r="B233" s="8" t="e">
        <f>VLOOKUP(A233,#REF!,7,FALSE)</f>
        <v>#REF!</v>
      </c>
      <c r="C233" s="8" t="e">
        <f>VLOOKUP(A233,#REF!,11,FALSE)</f>
        <v>#REF!</v>
      </c>
    </row>
    <row r="234" spans="1:3" x14ac:dyDescent="0.3">
      <c r="A234" s="1">
        <v>42583</v>
      </c>
      <c r="B234" s="8" t="e">
        <f>VLOOKUP(A234,#REF!,7,FALSE)</f>
        <v>#REF!</v>
      </c>
      <c r="C234" s="8" t="e">
        <f>VLOOKUP(A234,#REF!,11,FALSE)</f>
        <v>#REF!</v>
      </c>
    </row>
    <row r="235" spans="1:3" x14ac:dyDescent="0.3">
      <c r="A235" s="1">
        <v>42584</v>
      </c>
      <c r="B235" s="8" t="e">
        <f>VLOOKUP(A235,#REF!,7,FALSE)</f>
        <v>#REF!</v>
      </c>
      <c r="C235" s="8" t="e">
        <f>VLOOKUP(A235,#REF!,11,FALSE)</f>
        <v>#REF!</v>
      </c>
    </row>
    <row r="236" spans="1:3" x14ac:dyDescent="0.3">
      <c r="A236" s="1">
        <v>42585</v>
      </c>
      <c r="B236" s="8" t="e">
        <f>VLOOKUP(A236,#REF!,7,FALSE)</f>
        <v>#REF!</v>
      </c>
      <c r="C236" s="8" t="e">
        <f>VLOOKUP(A236,#REF!,11,FALSE)</f>
        <v>#REF!</v>
      </c>
    </row>
    <row r="237" spans="1:3" x14ac:dyDescent="0.3">
      <c r="A237" s="1">
        <v>42586</v>
      </c>
      <c r="B237" s="8" t="e">
        <f>VLOOKUP(A237,#REF!,7,FALSE)</f>
        <v>#REF!</v>
      </c>
      <c r="C237" s="8" t="e">
        <f>VLOOKUP(A237,#REF!,11,FALSE)</f>
        <v>#REF!</v>
      </c>
    </row>
    <row r="238" spans="1:3" x14ac:dyDescent="0.3">
      <c r="A238" s="1">
        <v>42587</v>
      </c>
      <c r="B238" s="8" t="e">
        <f>VLOOKUP(A238,#REF!,7,FALSE)</f>
        <v>#REF!</v>
      </c>
      <c r="C238" s="8" t="e">
        <f>VLOOKUP(A238,#REF!,11,FALSE)</f>
        <v>#REF!</v>
      </c>
    </row>
    <row r="239" spans="1:3" x14ac:dyDescent="0.3">
      <c r="A239" s="1">
        <v>42588</v>
      </c>
      <c r="B239" s="8" t="e">
        <f>VLOOKUP(A239,#REF!,7,FALSE)</f>
        <v>#REF!</v>
      </c>
      <c r="C239" s="8" t="e">
        <f>VLOOKUP(A239,#REF!,11,FALSE)</f>
        <v>#REF!</v>
      </c>
    </row>
    <row r="240" spans="1:3" x14ac:dyDescent="0.3">
      <c r="A240" s="1">
        <v>42589</v>
      </c>
      <c r="B240" s="8" t="e">
        <f>VLOOKUP(A240,#REF!,7,FALSE)</f>
        <v>#REF!</v>
      </c>
      <c r="C240" s="8" t="e">
        <f>VLOOKUP(A240,#REF!,11,FALSE)</f>
        <v>#REF!</v>
      </c>
    </row>
    <row r="241" spans="1:3" x14ac:dyDescent="0.3">
      <c r="A241" s="1">
        <v>42590</v>
      </c>
      <c r="B241" s="8" t="e">
        <f>VLOOKUP(A241,#REF!,7,FALSE)</f>
        <v>#REF!</v>
      </c>
      <c r="C241" s="8" t="e">
        <f>VLOOKUP(A241,#REF!,11,FALSE)</f>
        <v>#REF!</v>
      </c>
    </row>
    <row r="242" spans="1:3" x14ac:dyDescent="0.3">
      <c r="A242" s="1">
        <v>42591</v>
      </c>
      <c r="B242" s="8" t="e">
        <f>VLOOKUP(A242,#REF!,7,FALSE)</f>
        <v>#REF!</v>
      </c>
      <c r="C242" s="8" t="e">
        <f>VLOOKUP(A242,#REF!,11,FALSE)</f>
        <v>#REF!</v>
      </c>
    </row>
    <row r="243" spans="1:3" x14ac:dyDescent="0.3">
      <c r="A243" s="1">
        <v>42592</v>
      </c>
      <c r="B243" s="8" t="e">
        <f>VLOOKUP(A243,#REF!,7,FALSE)</f>
        <v>#REF!</v>
      </c>
      <c r="C243" s="8" t="e">
        <f>VLOOKUP(A243,#REF!,11,FALSE)</f>
        <v>#REF!</v>
      </c>
    </row>
    <row r="244" spans="1:3" x14ac:dyDescent="0.3">
      <c r="A244" s="1">
        <v>42593</v>
      </c>
      <c r="B244" s="8" t="e">
        <f>VLOOKUP(A244,#REF!,7,FALSE)</f>
        <v>#REF!</v>
      </c>
      <c r="C244" s="8" t="e">
        <f>VLOOKUP(A244,#REF!,11,FALSE)</f>
        <v>#REF!</v>
      </c>
    </row>
    <row r="245" spans="1:3" x14ac:dyDescent="0.3">
      <c r="A245" s="1">
        <v>42594</v>
      </c>
      <c r="B245" s="8" t="e">
        <f>VLOOKUP(A245,#REF!,7,FALSE)</f>
        <v>#REF!</v>
      </c>
      <c r="C245" s="8" t="e">
        <f>VLOOKUP(A245,#REF!,11,FALSE)</f>
        <v>#REF!</v>
      </c>
    </row>
    <row r="246" spans="1:3" x14ac:dyDescent="0.3">
      <c r="A246" s="1">
        <v>42595</v>
      </c>
      <c r="B246" s="8" t="e">
        <f>VLOOKUP(A246,#REF!,7,FALSE)</f>
        <v>#REF!</v>
      </c>
      <c r="C246" s="8" t="e">
        <f>VLOOKUP(A246,#REF!,11,FALSE)</f>
        <v>#REF!</v>
      </c>
    </row>
    <row r="247" spans="1:3" x14ac:dyDescent="0.3">
      <c r="A247" s="1">
        <v>42596</v>
      </c>
      <c r="B247" s="8" t="e">
        <f>VLOOKUP(A247,#REF!,7,FALSE)</f>
        <v>#REF!</v>
      </c>
      <c r="C247" s="8" t="e">
        <f>VLOOKUP(A247,#REF!,11,FALSE)</f>
        <v>#REF!</v>
      </c>
    </row>
    <row r="248" spans="1:3" x14ac:dyDescent="0.3">
      <c r="A248" s="1">
        <v>42597</v>
      </c>
      <c r="B248" s="8" t="e">
        <f>VLOOKUP(A248,#REF!,7,FALSE)</f>
        <v>#REF!</v>
      </c>
      <c r="C248" s="8" t="e">
        <f>VLOOKUP(A248,#REF!,11,FALSE)</f>
        <v>#REF!</v>
      </c>
    </row>
    <row r="249" spans="1:3" x14ac:dyDescent="0.3">
      <c r="A249" s="1">
        <v>42598</v>
      </c>
      <c r="B249" s="8" t="e">
        <f>VLOOKUP(A249,#REF!,7,FALSE)</f>
        <v>#REF!</v>
      </c>
      <c r="C249" s="8" t="e">
        <f>VLOOKUP(A249,#REF!,11,FALSE)</f>
        <v>#REF!</v>
      </c>
    </row>
    <row r="250" spans="1:3" x14ac:dyDescent="0.3">
      <c r="A250" s="1">
        <v>42599</v>
      </c>
      <c r="B250" s="8" t="e">
        <f>VLOOKUP(A250,#REF!,7,FALSE)</f>
        <v>#REF!</v>
      </c>
      <c r="C250" s="8" t="e">
        <f>VLOOKUP(A250,#REF!,11,FALSE)</f>
        <v>#REF!</v>
      </c>
    </row>
    <row r="251" spans="1:3" x14ac:dyDescent="0.3">
      <c r="A251" s="1">
        <v>42600</v>
      </c>
      <c r="B251" s="8" t="e">
        <f>VLOOKUP(A251,#REF!,7,FALSE)</f>
        <v>#REF!</v>
      </c>
      <c r="C251" s="8" t="e">
        <f>VLOOKUP(A251,#REF!,11,FALSE)</f>
        <v>#REF!</v>
      </c>
    </row>
    <row r="252" spans="1:3" x14ac:dyDescent="0.3">
      <c r="A252" s="1">
        <v>42601</v>
      </c>
      <c r="B252" s="8" t="e">
        <f>VLOOKUP(A252,#REF!,7,FALSE)</f>
        <v>#REF!</v>
      </c>
      <c r="C252" s="8" t="e">
        <f>VLOOKUP(A252,#REF!,11,FALSE)</f>
        <v>#REF!</v>
      </c>
    </row>
    <row r="253" spans="1:3" x14ac:dyDescent="0.3">
      <c r="A253" s="1">
        <v>42602</v>
      </c>
      <c r="B253" s="8" t="e">
        <f>VLOOKUP(A253,#REF!,7,FALSE)</f>
        <v>#REF!</v>
      </c>
      <c r="C253" s="8" t="e">
        <f>VLOOKUP(A253,#REF!,11,FALSE)</f>
        <v>#REF!</v>
      </c>
    </row>
    <row r="254" spans="1:3" x14ac:dyDescent="0.3">
      <c r="A254" s="1">
        <v>42603</v>
      </c>
      <c r="B254" s="8" t="e">
        <f>VLOOKUP(A254,#REF!,7,FALSE)</f>
        <v>#REF!</v>
      </c>
      <c r="C254" s="8" t="e">
        <f>VLOOKUP(A254,#REF!,11,FALSE)</f>
        <v>#REF!</v>
      </c>
    </row>
    <row r="255" spans="1:3" x14ac:dyDescent="0.3">
      <c r="A255" s="1">
        <v>42604</v>
      </c>
      <c r="B255" s="8" t="e">
        <f>VLOOKUP(A255,#REF!,7,FALSE)</f>
        <v>#REF!</v>
      </c>
      <c r="C255" s="8" t="e">
        <f>VLOOKUP(A255,#REF!,11,FALSE)</f>
        <v>#REF!</v>
      </c>
    </row>
    <row r="256" spans="1:3" x14ac:dyDescent="0.3">
      <c r="A256" s="1">
        <v>42605</v>
      </c>
      <c r="B256" s="8" t="e">
        <f>VLOOKUP(A256,#REF!,7,FALSE)</f>
        <v>#REF!</v>
      </c>
      <c r="C256" s="8" t="e">
        <f>VLOOKUP(A256,#REF!,11,FALSE)</f>
        <v>#REF!</v>
      </c>
    </row>
    <row r="257" spans="1:3" x14ac:dyDescent="0.3">
      <c r="A257" s="1">
        <v>42606</v>
      </c>
      <c r="B257" s="8" t="e">
        <f>VLOOKUP(A257,#REF!,7,FALSE)</f>
        <v>#REF!</v>
      </c>
      <c r="C257" s="8" t="e">
        <f>VLOOKUP(A257,#REF!,11,FALSE)</f>
        <v>#REF!</v>
      </c>
    </row>
    <row r="258" spans="1:3" x14ac:dyDescent="0.3">
      <c r="A258" s="1">
        <v>42607</v>
      </c>
      <c r="B258" s="8" t="e">
        <f>VLOOKUP(A258,#REF!,7,FALSE)</f>
        <v>#REF!</v>
      </c>
      <c r="C258" s="8" t="e">
        <f>VLOOKUP(A258,#REF!,11,FALSE)</f>
        <v>#REF!</v>
      </c>
    </row>
    <row r="259" spans="1:3" x14ac:dyDescent="0.3">
      <c r="A259" s="1">
        <v>42608</v>
      </c>
      <c r="B259" s="8" t="e">
        <f>VLOOKUP(A259,#REF!,7,FALSE)</f>
        <v>#REF!</v>
      </c>
      <c r="C259" s="8" t="e">
        <f>VLOOKUP(A259,#REF!,11,FALSE)</f>
        <v>#REF!</v>
      </c>
    </row>
    <row r="260" spans="1:3" x14ac:dyDescent="0.3">
      <c r="A260" s="1">
        <v>42609</v>
      </c>
      <c r="B260" s="8" t="e">
        <f>VLOOKUP(A260,#REF!,7,FALSE)</f>
        <v>#REF!</v>
      </c>
      <c r="C260" s="8" t="e">
        <f>VLOOKUP(A260,#REF!,11,FALSE)</f>
        <v>#REF!</v>
      </c>
    </row>
    <row r="261" spans="1:3" x14ac:dyDescent="0.3">
      <c r="A261" s="1">
        <v>42610</v>
      </c>
      <c r="B261" s="8" t="e">
        <f>VLOOKUP(A261,#REF!,7,FALSE)</f>
        <v>#REF!</v>
      </c>
      <c r="C261" s="8" t="e">
        <f>VLOOKUP(A261,#REF!,11,FALSE)</f>
        <v>#REF!</v>
      </c>
    </row>
    <row r="262" spans="1:3" x14ac:dyDescent="0.3">
      <c r="A262" s="1">
        <v>42611</v>
      </c>
      <c r="B262" s="8" t="e">
        <f>VLOOKUP(A262,#REF!,7,FALSE)</f>
        <v>#REF!</v>
      </c>
      <c r="C262" s="8" t="e">
        <f>VLOOKUP(A262,#REF!,11,FALSE)</f>
        <v>#REF!</v>
      </c>
    </row>
    <row r="263" spans="1:3" x14ac:dyDescent="0.3">
      <c r="A263" s="1">
        <v>42612</v>
      </c>
      <c r="B263" s="8" t="e">
        <f>VLOOKUP(A263,#REF!,7,FALSE)</f>
        <v>#REF!</v>
      </c>
      <c r="C263" s="8" t="e">
        <f>VLOOKUP(A263,#REF!,11,FALSE)</f>
        <v>#REF!</v>
      </c>
    </row>
    <row r="264" spans="1:3" x14ac:dyDescent="0.3">
      <c r="A264" s="1">
        <v>42613</v>
      </c>
      <c r="B264" s="8" t="e">
        <f>VLOOKUP(A264,#REF!,7,FALSE)</f>
        <v>#REF!</v>
      </c>
      <c r="C264" s="8" t="e">
        <f>VLOOKUP(A264,#REF!,11,FALSE)</f>
        <v>#REF!</v>
      </c>
    </row>
    <row r="265" spans="1:3" x14ac:dyDescent="0.3">
      <c r="A265" s="1">
        <v>42614</v>
      </c>
      <c r="B265" s="8" t="e">
        <f>VLOOKUP(A265,#REF!,7,FALSE)</f>
        <v>#REF!</v>
      </c>
      <c r="C265" s="8" t="e">
        <f>VLOOKUP(A265,#REF!,11,FALSE)</f>
        <v>#REF!</v>
      </c>
    </row>
    <row r="266" spans="1:3" x14ac:dyDescent="0.3">
      <c r="A266" s="1">
        <v>42615</v>
      </c>
      <c r="B266" s="8" t="e">
        <f>VLOOKUP(A266,#REF!,7,FALSE)</f>
        <v>#REF!</v>
      </c>
      <c r="C266" s="8" t="e">
        <f>VLOOKUP(A266,#REF!,11,FALSE)</f>
        <v>#REF!</v>
      </c>
    </row>
    <row r="267" spans="1:3" x14ac:dyDescent="0.3">
      <c r="A267" s="1">
        <v>42616</v>
      </c>
      <c r="B267" s="8" t="e">
        <f>VLOOKUP(A267,#REF!,7,FALSE)</f>
        <v>#REF!</v>
      </c>
      <c r="C267" s="8" t="e">
        <f>VLOOKUP(A267,#REF!,11,FALSE)</f>
        <v>#REF!</v>
      </c>
    </row>
    <row r="268" spans="1:3" x14ac:dyDescent="0.3">
      <c r="A268" s="1">
        <v>42617</v>
      </c>
      <c r="B268" s="8" t="e">
        <f>VLOOKUP(A268,#REF!,7,FALSE)</f>
        <v>#REF!</v>
      </c>
      <c r="C268" s="8" t="e">
        <f>VLOOKUP(A268,#REF!,11,FALSE)</f>
        <v>#REF!</v>
      </c>
    </row>
    <row r="269" spans="1:3" x14ac:dyDescent="0.3">
      <c r="A269" s="1">
        <v>42618</v>
      </c>
      <c r="B269" s="8" t="e">
        <f>VLOOKUP(A269,#REF!,7,FALSE)</f>
        <v>#REF!</v>
      </c>
      <c r="C269" s="8" t="e">
        <f>VLOOKUP(A269,#REF!,11,FALSE)</f>
        <v>#REF!</v>
      </c>
    </row>
    <row r="270" spans="1:3" x14ac:dyDescent="0.3">
      <c r="A270" s="1">
        <v>42619</v>
      </c>
      <c r="B270" s="8" t="e">
        <f>VLOOKUP(A270,#REF!,7,FALSE)</f>
        <v>#REF!</v>
      </c>
      <c r="C270" s="8" t="e">
        <f>VLOOKUP(A270,#REF!,11,FALSE)</f>
        <v>#REF!</v>
      </c>
    </row>
    <row r="271" spans="1:3" x14ac:dyDescent="0.3">
      <c r="A271" s="1">
        <v>42620</v>
      </c>
      <c r="B271" s="8" t="e">
        <f>VLOOKUP(A271,#REF!,7,FALSE)</f>
        <v>#REF!</v>
      </c>
      <c r="C271" s="8" t="e">
        <f>VLOOKUP(A271,#REF!,11,FALSE)</f>
        <v>#REF!</v>
      </c>
    </row>
    <row r="272" spans="1:3" x14ac:dyDescent="0.3">
      <c r="A272" s="1">
        <v>42621</v>
      </c>
      <c r="B272" s="8" t="e">
        <f>VLOOKUP(A272,#REF!,7,FALSE)</f>
        <v>#REF!</v>
      </c>
      <c r="C272" s="8" t="e">
        <f>VLOOKUP(A272,#REF!,11,FALSE)</f>
        <v>#REF!</v>
      </c>
    </row>
    <row r="273" spans="1:3" x14ac:dyDescent="0.3">
      <c r="A273" s="1">
        <v>42622</v>
      </c>
      <c r="B273" s="8" t="e">
        <f>VLOOKUP(A273,#REF!,7,FALSE)</f>
        <v>#REF!</v>
      </c>
      <c r="C273" s="8" t="e">
        <f>VLOOKUP(A273,#REF!,11,FALSE)</f>
        <v>#REF!</v>
      </c>
    </row>
    <row r="274" spans="1:3" x14ac:dyDescent="0.3">
      <c r="A274" s="1">
        <v>42623</v>
      </c>
      <c r="B274" s="8" t="e">
        <f>VLOOKUP(A274,#REF!,7,FALSE)</f>
        <v>#REF!</v>
      </c>
      <c r="C274" s="8" t="e">
        <f>VLOOKUP(A274,#REF!,11,FALSE)</f>
        <v>#REF!</v>
      </c>
    </row>
    <row r="275" spans="1:3" x14ac:dyDescent="0.3">
      <c r="A275" s="1">
        <v>42624</v>
      </c>
      <c r="B275" s="8" t="e">
        <f>VLOOKUP(A275,#REF!,7,FALSE)</f>
        <v>#REF!</v>
      </c>
      <c r="C275" s="8" t="e">
        <f>VLOOKUP(A275,#REF!,11,FALSE)</f>
        <v>#REF!</v>
      </c>
    </row>
    <row r="276" spans="1:3" x14ac:dyDescent="0.3">
      <c r="A276" s="1">
        <v>42625</v>
      </c>
      <c r="B276" s="8" t="e">
        <f>VLOOKUP(A276,#REF!,7,FALSE)</f>
        <v>#REF!</v>
      </c>
      <c r="C276" s="8" t="e">
        <f>VLOOKUP(A276,#REF!,11,FALSE)</f>
        <v>#REF!</v>
      </c>
    </row>
    <row r="277" spans="1:3" x14ac:dyDescent="0.3">
      <c r="A277" s="1">
        <v>42626</v>
      </c>
      <c r="B277" s="8" t="e">
        <f>VLOOKUP(A277,#REF!,7,FALSE)</f>
        <v>#REF!</v>
      </c>
      <c r="C277" s="8" t="e">
        <f>VLOOKUP(A277,#REF!,11,FALSE)</f>
        <v>#REF!</v>
      </c>
    </row>
    <row r="278" spans="1:3" x14ac:dyDescent="0.3">
      <c r="A278" s="1">
        <v>42627</v>
      </c>
      <c r="B278" s="8" t="e">
        <f>VLOOKUP(A278,#REF!,7,FALSE)</f>
        <v>#REF!</v>
      </c>
      <c r="C278" s="8" t="e">
        <f>VLOOKUP(A278,#REF!,11,FALSE)</f>
        <v>#REF!</v>
      </c>
    </row>
    <row r="279" spans="1:3" x14ac:dyDescent="0.3">
      <c r="A279" s="1">
        <v>42628</v>
      </c>
      <c r="B279" s="8" t="e">
        <f>VLOOKUP(A279,#REF!,7,FALSE)</f>
        <v>#REF!</v>
      </c>
      <c r="C279" s="8" t="e">
        <f>VLOOKUP(A279,#REF!,11,FALSE)</f>
        <v>#REF!</v>
      </c>
    </row>
    <row r="280" spans="1:3" x14ac:dyDescent="0.3">
      <c r="A280" s="1">
        <v>42629</v>
      </c>
      <c r="B280" s="8" t="e">
        <f>VLOOKUP(A280,#REF!,7,FALSE)</f>
        <v>#REF!</v>
      </c>
      <c r="C280" s="8" t="e">
        <f>VLOOKUP(A280,#REF!,11,FALSE)</f>
        <v>#REF!</v>
      </c>
    </row>
    <row r="281" spans="1:3" x14ac:dyDescent="0.3">
      <c r="A281" s="1">
        <v>42630</v>
      </c>
      <c r="B281" s="8" t="e">
        <f>VLOOKUP(A281,#REF!,7,FALSE)</f>
        <v>#REF!</v>
      </c>
      <c r="C281" s="8" t="e">
        <f>VLOOKUP(A281,#REF!,11,FALSE)</f>
        <v>#REF!</v>
      </c>
    </row>
    <row r="282" spans="1:3" x14ac:dyDescent="0.3">
      <c r="A282" s="1">
        <v>42631</v>
      </c>
      <c r="B282" s="8" t="e">
        <f>VLOOKUP(A282,#REF!,7,FALSE)</f>
        <v>#REF!</v>
      </c>
      <c r="C282" s="8" t="e">
        <f>VLOOKUP(A282,#REF!,11,FALSE)</f>
        <v>#REF!</v>
      </c>
    </row>
    <row r="283" spans="1:3" x14ac:dyDescent="0.3">
      <c r="A283" s="1">
        <v>42632</v>
      </c>
      <c r="B283" s="8" t="e">
        <f>VLOOKUP(A283,#REF!,7,FALSE)</f>
        <v>#REF!</v>
      </c>
      <c r="C283" s="8" t="e">
        <f>VLOOKUP(A283,#REF!,11,FALSE)</f>
        <v>#REF!</v>
      </c>
    </row>
    <row r="284" spans="1:3" x14ac:dyDescent="0.3">
      <c r="A284" s="1">
        <v>42633</v>
      </c>
      <c r="B284" s="8" t="e">
        <f>VLOOKUP(A284,#REF!,7,FALSE)</f>
        <v>#REF!</v>
      </c>
      <c r="C284" s="8" t="e">
        <f>VLOOKUP(A284,#REF!,11,FALSE)</f>
        <v>#REF!</v>
      </c>
    </row>
    <row r="285" spans="1:3" x14ac:dyDescent="0.3">
      <c r="A285" s="1">
        <v>42634</v>
      </c>
      <c r="B285" s="8" t="e">
        <f>VLOOKUP(A285,#REF!,7,FALSE)</f>
        <v>#REF!</v>
      </c>
      <c r="C285" s="8" t="e">
        <f>VLOOKUP(A285,#REF!,11,FALSE)</f>
        <v>#REF!</v>
      </c>
    </row>
    <row r="286" spans="1:3" x14ac:dyDescent="0.3">
      <c r="A286" s="1">
        <v>42635</v>
      </c>
      <c r="B286" s="8" t="e">
        <f>VLOOKUP(A286,#REF!,7,FALSE)</f>
        <v>#REF!</v>
      </c>
      <c r="C286" s="8" t="e">
        <f>VLOOKUP(A286,#REF!,11,FALSE)</f>
        <v>#REF!</v>
      </c>
    </row>
    <row r="287" spans="1:3" x14ac:dyDescent="0.3">
      <c r="A287" s="1">
        <v>42636</v>
      </c>
      <c r="B287" s="8" t="e">
        <f>VLOOKUP(A287,#REF!,7,FALSE)</f>
        <v>#REF!</v>
      </c>
      <c r="C287" s="8" t="e">
        <f>VLOOKUP(A287,#REF!,11,FALSE)</f>
        <v>#REF!</v>
      </c>
    </row>
    <row r="288" spans="1:3" x14ac:dyDescent="0.3">
      <c r="A288" s="1">
        <v>42637</v>
      </c>
      <c r="B288" s="8" t="e">
        <f>VLOOKUP(A288,#REF!,7,FALSE)</f>
        <v>#REF!</v>
      </c>
      <c r="C288" s="8" t="e">
        <f>VLOOKUP(A288,#REF!,11,FALSE)</f>
        <v>#REF!</v>
      </c>
    </row>
    <row r="289" spans="1:3" x14ac:dyDescent="0.3">
      <c r="A289" s="1">
        <v>42638</v>
      </c>
      <c r="B289" s="8" t="e">
        <f>VLOOKUP(A289,#REF!,7,FALSE)</f>
        <v>#REF!</v>
      </c>
      <c r="C289" s="8" t="e">
        <f>VLOOKUP(A289,#REF!,11,FALSE)</f>
        <v>#REF!</v>
      </c>
    </row>
    <row r="290" spans="1:3" x14ac:dyDescent="0.3">
      <c r="A290" s="1">
        <v>42639</v>
      </c>
      <c r="B290" s="8" t="e">
        <f>VLOOKUP(A290,#REF!,7,FALSE)</f>
        <v>#REF!</v>
      </c>
      <c r="C290" s="8" t="e">
        <f>VLOOKUP(A290,#REF!,11,FALSE)</f>
        <v>#REF!</v>
      </c>
    </row>
    <row r="291" spans="1:3" x14ac:dyDescent="0.3">
      <c r="A291" s="1">
        <v>42640</v>
      </c>
      <c r="B291" s="8" t="e">
        <f>VLOOKUP(A291,#REF!,7,FALSE)</f>
        <v>#REF!</v>
      </c>
      <c r="C291" s="8" t="e">
        <f>VLOOKUP(A291,#REF!,11,FALSE)</f>
        <v>#REF!</v>
      </c>
    </row>
    <row r="292" spans="1:3" x14ac:dyDescent="0.3">
      <c r="A292" s="1">
        <v>42641</v>
      </c>
      <c r="B292" s="8" t="e">
        <f>VLOOKUP(A292,#REF!,7,FALSE)</f>
        <v>#REF!</v>
      </c>
      <c r="C292" s="8" t="e">
        <f>VLOOKUP(A292,#REF!,11,FALSE)</f>
        <v>#REF!</v>
      </c>
    </row>
    <row r="293" spans="1:3" x14ac:dyDescent="0.3">
      <c r="A293" s="1">
        <v>42642</v>
      </c>
      <c r="B293" s="8" t="e">
        <f>VLOOKUP(A293,#REF!,7,FALSE)</f>
        <v>#REF!</v>
      </c>
      <c r="C293" s="8" t="e">
        <f>VLOOKUP(A293,#REF!,11,FALSE)</f>
        <v>#REF!</v>
      </c>
    </row>
    <row r="294" spans="1:3" x14ac:dyDescent="0.3">
      <c r="A294" s="1">
        <v>42643</v>
      </c>
      <c r="B294" s="8" t="e">
        <f>VLOOKUP(A294,#REF!,7,FALSE)</f>
        <v>#REF!</v>
      </c>
      <c r="C294" s="8" t="e">
        <f>VLOOKUP(A294,#REF!,11,FALSE)</f>
        <v>#REF!</v>
      </c>
    </row>
    <row r="295" spans="1:3" x14ac:dyDescent="0.3">
      <c r="A295" s="1">
        <v>42644</v>
      </c>
      <c r="B295" s="8" t="e">
        <f>VLOOKUP(A295,#REF!,7,FALSE)</f>
        <v>#REF!</v>
      </c>
      <c r="C295" s="8" t="e">
        <f>VLOOKUP(A295,#REF!,11,FALSE)</f>
        <v>#REF!</v>
      </c>
    </row>
    <row r="296" spans="1:3" x14ac:dyDescent="0.3">
      <c r="A296" s="1">
        <v>42645</v>
      </c>
      <c r="B296" s="8" t="e">
        <f>VLOOKUP(A296,#REF!,7,FALSE)</f>
        <v>#REF!</v>
      </c>
      <c r="C296" s="8" t="e">
        <f>VLOOKUP(A296,#REF!,11,FALSE)</f>
        <v>#REF!</v>
      </c>
    </row>
    <row r="297" spans="1:3" x14ac:dyDescent="0.3">
      <c r="A297" s="1">
        <v>42646</v>
      </c>
      <c r="B297" s="8" t="e">
        <f>VLOOKUP(A297,#REF!,7,FALSE)</f>
        <v>#REF!</v>
      </c>
      <c r="C297" s="8" t="e">
        <f>VLOOKUP(A297,#REF!,11,FALSE)</f>
        <v>#REF!</v>
      </c>
    </row>
    <row r="298" spans="1:3" x14ac:dyDescent="0.3">
      <c r="A298" s="1">
        <v>42647</v>
      </c>
      <c r="B298" s="8" t="e">
        <f>VLOOKUP(A298,#REF!,7,FALSE)</f>
        <v>#REF!</v>
      </c>
      <c r="C298" s="8" t="e">
        <f>VLOOKUP(A298,#REF!,11,FALSE)</f>
        <v>#REF!</v>
      </c>
    </row>
    <row r="299" spans="1:3" x14ac:dyDescent="0.3">
      <c r="A299" s="1">
        <v>42648</v>
      </c>
      <c r="B299" s="8" t="e">
        <f>VLOOKUP(A299,#REF!,7,FALSE)</f>
        <v>#REF!</v>
      </c>
      <c r="C299" s="8" t="e">
        <f>VLOOKUP(A299,#REF!,11,FALSE)</f>
        <v>#REF!</v>
      </c>
    </row>
    <row r="300" spans="1:3" x14ac:dyDescent="0.3">
      <c r="A300" s="1">
        <v>42649</v>
      </c>
      <c r="B300" s="8" t="e">
        <f>VLOOKUP(A300,#REF!,7,FALSE)</f>
        <v>#REF!</v>
      </c>
      <c r="C300" s="8" t="e">
        <f>VLOOKUP(A300,#REF!,11,FALSE)</f>
        <v>#REF!</v>
      </c>
    </row>
    <row r="301" spans="1:3" x14ac:dyDescent="0.3">
      <c r="A301" s="1">
        <v>42650</v>
      </c>
      <c r="B301" s="8" t="e">
        <f>VLOOKUP(A301,#REF!,7,FALSE)</f>
        <v>#REF!</v>
      </c>
      <c r="C301" s="8" t="e">
        <f>VLOOKUP(A301,#REF!,11,FALSE)</f>
        <v>#REF!</v>
      </c>
    </row>
    <row r="302" spans="1:3" x14ac:dyDescent="0.3">
      <c r="A302" s="1">
        <v>42651</v>
      </c>
      <c r="B302" s="8" t="e">
        <f>VLOOKUP(A302,#REF!,7,FALSE)</f>
        <v>#REF!</v>
      </c>
      <c r="C302" s="8" t="e">
        <f>VLOOKUP(A302,#REF!,11,FALSE)</f>
        <v>#REF!</v>
      </c>
    </row>
    <row r="303" spans="1:3" x14ac:dyDescent="0.3">
      <c r="A303" s="1">
        <v>42652</v>
      </c>
      <c r="B303" s="8" t="e">
        <f>VLOOKUP(A303,#REF!,7,FALSE)</f>
        <v>#REF!</v>
      </c>
      <c r="C303" s="8" t="e">
        <f>VLOOKUP(A303,#REF!,11,FALSE)</f>
        <v>#REF!</v>
      </c>
    </row>
    <row r="304" spans="1:3" x14ac:dyDescent="0.3">
      <c r="A304" s="1">
        <v>42653</v>
      </c>
      <c r="B304" s="8" t="e">
        <f>VLOOKUP(A304,#REF!,7,FALSE)</f>
        <v>#REF!</v>
      </c>
      <c r="C304" s="8" t="e">
        <f>VLOOKUP(A304,#REF!,11,FALSE)</f>
        <v>#REF!</v>
      </c>
    </row>
    <row r="305" spans="1:3" x14ac:dyDescent="0.3">
      <c r="A305" s="1">
        <v>42654</v>
      </c>
      <c r="B305" s="8" t="e">
        <f>VLOOKUP(A305,#REF!,7,FALSE)</f>
        <v>#REF!</v>
      </c>
      <c r="C305" s="8" t="e">
        <f>VLOOKUP(A305,#REF!,11,FALSE)</f>
        <v>#REF!</v>
      </c>
    </row>
    <row r="306" spans="1:3" x14ac:dyDescent="0.3">
      <c r="A306" s="1">
        <v>42655</v>
      </c>
      <c r="B306" s="8" t="e">
        <f>VLOOKUP(A306,#REF!,7,FALSE)</f>
        <v>#REF!</v>
      </c>
      <c r="C306" s="8" t="e">
        <f>VLOOKUP(A306,#REF!,11,FALSE)</f>
        <v>#REF!</v>
      </c>
    </row>
    <row r="307" spans="1:3" x14ac:dyDescent="0.3">
      <c r="A307" s="1">
        <v>42656</v>
      </c>
      <c r="B307" s="8" t="e">
        <f>VLOOKUP(A307,#REF!,7,FALSE)</f>
        <v>#REF!</v>
      </c>
      <c r="C307" s="8" t="e">
        <f>VLOOKUP(A307,#REF!,11,FALSE)</f>
        <v>#REF!</v>
      </c>
    </row>
    <row r="308" spans="1:3" x14ac:dyDescent="0.3">
      <c r="A308" s="1">
        <v>42657</v>
      </c>
      <c r="B308" s="8" t="e">
        <f>VLOOKUP(A308,#REF!,7,FALSE)</f>
        <v>#REF!</v>
      </c>
      <c r="C308" s="8" t="e">
        <f>VLOOKUP(A308,#REF!,11,FALSE)</f>
        <v>#REF!</v>
      </c>
    </row>
    <row r="309" spans="1:3" x14ac:dyDescent="0.3">
      <c r="A309" s="1">
        <v>42658</v>
      </c>
      <c r="B309" s="8" t="e">
        <f>VLOOKUP(A309,#REF!,7,FALSE)</f>
        <v>#REF!</v>
      </c>
      <c r="C309" s="8" t="e">
        <f>VLOOKUP(A309,#REF!,11,FALSE)</f>
        <v>#REF!</v>
      </c>
    </row>
    <row r="310" spans="1:3" x14ac:dyDescent="0.3">
      <c r="A310" s="1">
        <v>42659</v>
      </c>
      <c r="B310" s="8" t="e">
        <f>VLOOKUP(A310,#REF!,7,FALSE)</f>
        <v>#REF!</v>
      </c>
      <c r="C310" s="8" t="e">
        <f>VLOOKUP(A310,#REF!,11,FALSE)</f>
        <v>#REF!</v>
      </c>
    </row>
    <row r="311" spans="1:3" x14ac:dyDescent="0.3">
      <c r="A311" s="1">
        <v>42660</v>
      </c>
      <c r="B311" s="8" t="e">
        <f>VLOOKUP(A311,#REF!,7,FALSE)</f>
        <v>#REF!</v>
      </c>
      <c r="C311" s="8" t="e">
        <f>VLOOKUP(A311,#REF!,11,FALSE)</f>
        <v>#REF!</v>
      </c>
    </row>
    <row r="312" spans="1:3" x14ac:dyDescent="0.3">
      <c r="A312" s="1">
        <v>42661</v>
      </c>
      <c r="B312" s="8" t="e">
        <f>VLOOKUP(A312,#REF!,7,FALSE)</f>
        <v>#REF!</v>
      </c>
      <c r="C312" s="8" t="e">
        <f>VLOOKUP(A312,#REF!,11,FALSE)</f>
        <v>#REF!</v>
      </c>
    </row>
    <row r="313" spans="1:3" x14ac:dyDescent="0.3">
      <c r="A313" s="1">
        <v>42662</v>
      </c>
      <c r="B313" s="8" t="e">
        <f>VLOOKUP(A313,#REF!,7,FALSE)</f>
        <v>#REF!</v>
      </c>
      <c r="C313" s="8" t="e">
        <f>VLOOKUP(A313,#REF!,11,FALSE)</f>
        <v>#REF!</v>
      </c>
    </row>
    <row r="314" spans="1:3" x14ac:dyDescent="0.3">
      <c r="A314" s="1">
        <v>42663</v>
      </c>
      <c r="B314" s="8" t="e">
        <f>VLOOKUP(A314,#REF!,7,FALSE)</f>
        <v>#REF!</v>
      </c>
      <c r="C314" s="8" t="e">
        <f>VLOOKUP(A314,#REF!,11,FALSE)</f>
        <v>#REF!</v>
      </c>
    </row>
    <row r="315" spans="1:3" x14ac:dyDescent="0.3">
      <c r="A315" s="1">
        <v>42664</v>
      </c>
      <c r="B315" s="8" t="e">
        <f>VLOOKUP(A315,#REF!,7,FALSE)</f>
        <v>#REF!</v>
      </c>
      <c r="C315" s="8" t="e">
        <f>VLOOKUP(A315,#REF!,11,FALSE)</f>
        <v>#REF!</v>
      </c>
    </row>
    <row r="316" spans="1:3" x14ac:dyDescent="0.3">
      <c r="A316" s="1">
        <v>42665</v>
      </c>
      <c r="B316" s="8" t="e">
        <f>VLOOKUP(A316,#REF!,7,FALSE)</f>
        <v>#REF!</v>
      </c>
      <c r="C316" s="8" t="e">
        <f>VLOOKUP(A316,#REF!,11,FALSE)</f>
        <v>#REF!</v>
      </c>
    </row>
    <row r="317" spans="1:3" x14ac:dyDescent="0.3">
      <c r="A317" s="1">
        <v>42666</v>
      </c>
      <c r="B317" s="8" t="e">
        <f>VLOOKUP(A317,#REF!,7,FALSE)</f>
        <v>#REF!</v>
      </c>
      <c r="C317" s="8" t="e">
        <f>VLOOKUP(A317,#REF!,11,FALSE)</f>
        <v>#REF!</v>
      </c>
    </row>
    <row r="318" spans="1:3" x14ac:dyDescent="0.3">
      <c r="A318" s="1">
        <v>42667</v>
      </c>
      <c r="B318" s="8" t="e">
        <f>VLOOKUP(A318,#REF!,7,FALSE)</f>
        <v>#REF!</v>
      </c>
      <c r="C318" s="8" t="e">
        <f>VLOOKUP(A318,#REF!,11,FALSE)</f>
        <v>#REF!</v>
      </c>
    </row>
    <row r="319" spans="1:3" x14ac:dyDescent="0.3">
      <c r="A319" s="1">
        <v>42668</v>
      </c>
      <c r="B319" s="8" t="e">
        <f>VLOOKUP(A319,#REF!,7,FALSE)</f>
        <v>#REF!</v>
      </c>
      <c r="C319" s="8" t="e">
        <f>VLOOKUP(A319,#REF!,11,FALSE)</f>
        <v>#REF!</v>
      </c>
    </row>
    <row r="320" spans="1:3" x14ac:dyDescent="0.3">
      <c r="A320" s="1">
        <v>42669</v>
      </c>
      <c r="B320" s="8" t="e">
        <f>VLOOKUP(A320,#REF!,7,FALSE)</f>
        <v>#REF!</v>
      </c>
      <c r="C320" s="8" t="e">
        <f>VLOOKUP(A320,#REF!,11,FALSE)</f>
        <v>#REF!</v>
      </c>
    </row>
    <row r="321" spans="1:3" x14ac:dyDescent="0.3">
      <c r="A321" s="1">
        <v>42670</v>
      </c>
      <c r="B321" s="8" t="e">
        <f>VLOOKUP(A321,#REF!,7,FALSE)</f>
        <v>#REF!</v>
      </c>
      <c r="C321" s="8" t="e">
        <f>VLOOKUP(A321,#REF!,11,FALSE)</f>
        <v>#REF!</v>
      </c>
    </row>
    <row r="322" spans="1:3" x14ac:dyDescent="0.3">
      <c r="A322" s="1">
        <v>42671</v>
      </c>
      <c r="B322" s="8" t="e">
        <f>VLOOKUP(A322,#REF!,7,FALSE)</f>
        <v>#REF!</v>
      </c>
      <c r="C322" s="8" t="e">
        <f>VLOOKUP(A322,#REF!,11,FALSE)</f>
        <v>#REF!</v>
      </c>
    </row>
    <row r="323" spans="1:3" x14ac:dyDescent="0.3">
      <c r="A323" s="1">
        <v>42672</v>
      </c>
      <c r="B323" s="8" t="e">
        <f>VLOOKUP(A323,#REF!,7,FALSE)</f>
        <v>#REF!</v>
      </c>
      <c r="C323" s="8" t="e">
        <f>VLOOKUP(A323,#REF!,11,FALSE)</f>
        <v>#REF!</v>
      </c>
    </row>
    <row r="324" spans="1:3" x14ac:dyDescent="0.3">
      <c r="A324" s="1">
        <v>42673</v>
      </c>
      <c r="B324" s="8" t="e">
        <f>VLOOKUP(A324,#REF!,7,FALSE)</f>
        <v>#REF!</v>
      </c>
      <c r="C324" s="8" t="e">
        <f>VLOOKUP(A324,#REF!,11,FALSE)</f>
        <v>#REF!</v>
      </c>
    </row>
    <row r="325" spans="1:3" x14ac:dyDescent="0.3">
      <c r="A325" s="1">
        <v>42674</v>
      </c>
      <c r="B325" s="8" t="e">
        <f>VLOOKUP(A325,#REF!,7,FALSE)</f>
        <v>#REF!</v>
      </c>
      <c r="C325" s="8" t="e">
        <f>VLOOKUP(A325,#REF!,11,FALSE)</f>
        <v>#REF!</v>
      </c>
    </row>
    <row r="326" spans="1:3" x14ac:dyDescent="0.3">
      <c r="A326" s="1">
        <v>42675</v>
      </c>
      <c r="B326" s="8" t="e">
        <f>VLOOKUP(A326,#REF!,7,FALSE)</f>
        <v>#REF!</v>
      </c>
      <c r="C326" s="8" t="e">
        <f>VLOOKUP(A326,#REF!,11,FALSE)</f>
        <v>#REF!</v>
      </c>
    </row>
    <row r="327" spans="1:3" x14ac:dyDescent="0.3">
      <c r="A327" s="1">
        <v>42676</v>
      </c>
      <c r="B327" s="8" t="e">
        <f>VLOOKUP(A327,#REF!,7,FALSE)</f>
        <v>#REF!</v>
      </c>
      <c r="C327" s="8" t="e">
        <f>VLOOKUP(A327,#REF!,11,FALSE)</f>
        <v>#REF!</v>
      </c>
    </row>
    <row r="328" spans="1:3" x14ac:dyDescent="0.3">
      <c r="A328" s="1">
        <v>42677</v>
      </c>
      <c r="B328" s="8" t="e">
        <f>VLOOKUP(A328,#REF!,7,FALSE)</f>
        <v>#REF!</v>
      </c>
      <c r="C328" s="8" t="e">
        <f>VLOOKUP(A328,#REF!,11,FALSE)</f>
        <v>#REF!</v>
      </c>
    </row>
    <row r="329" spans="1:3" x14ac:dyDescent="0.3">
      <c r="A329" s="1">
        <v>42678</v>
      </c>
      <c r="B329" s="8" t="e">
        <f>VLOOKUP(A329,#REF!,7,FALSE)</f>
        <v>#REF!</v>
      </c>
      <c r="C329" s="8" t="e">
        <f>VLOOKUP(A329,#REF!,11,FALSE)</f>
        <v>#REF!</v>
      </c>
    </row>
    <row r="330" spans="1:3" x14ac:dyDescent="0.3">
      <c r="A330" s="1">
        <v>42679</v>
      </c>
      <c r="B330" s="8" t="e">
        <f>VLOOKUP(A330,#REF!,7,FALSE)</f>
        <v>#REF!</v>
      </c>
      <c r="C330" s="8" t="e">
        <f>VLOOKUP(A330,#REF!,11,FALSE)</f>
        <v>#REF!</v>
      </c>
    </row>
    <row r="331" spans="1:3" x14ac:dyDescent="0.3">
      <c r="A331" s="1">
        <v>42680</v>
      </c>
      <c r="B331" s="8" t="e">
        <f>VLOOKUP(A331,#REF!,7,FALSE)</f>
        <v>#REF!</v>
      </c>
      <c r="C331" s="8" t="e">
        <f>VLOOKUP(A331,#REF!,11,FALSE)</f>
        <v>#REF!</v>
      </c>
    </row>
    <row r="332" spans="1:3" x14ac:dyDescent="0.3">
      <c r="A332" s="1">
        <v>42681</v>
      </c>
      <c r="B332" s="8" t="e">
        <f>VLOOKUP(A332,#REF!,7,FALSE)</f>
        <v>#REF!</v>
      </c>
      <c r="C332" s="8" t="e">
        <f>VLOOKUP(A332,#REF!,11,FALSE)</f>
        <v>#REF!</v>
      </c>
    </row>
    <row r="333" spans="1:3" x14ac:dyDescent="0.3">
      <c r="A333" s="1">
        <v>42682</v>
      </c>
      <c r="B333" s="8" t="e">
        <f>VLOOKUP(A333,#REF!,7,FALSE)</f>
        <v>#REF!</v>
      </c>
      <c r="C333" s="8" t="e">
        <f>VLOOKUP(A333,#REF!,11,FALSE)</f>
        <v>#REF!</v>
      </c>
    </row>
    <row r="334" spans="1:3" x14ac:dyDescent="0.3">
      <c r="A334" s="1">
        <v>42683</v>
      </c>
      <c r="B334" s="8" t="e">
        <f>VLOOKUP(A334,#REF!,7,FALSE)</f>
        <v>#REF!</v>
      </c>
      <c r="C334" s="8" t="e">
        <f>VLOOKUP(A334,#REF!,11,FALSE)</f>
        <v>#REF!</v>
      </c>
    </row>
    <row r="335" spans="1:3" x14ac:dyDescent="0.3">
      <c r="A335" s="1">
        <v>42684</v>
      </c>
      <c r="B335" s="8" t="e">
        <f>VLOOKUP(A335,#REF!,7,FALSE)</f>
        <v>#REF!</v>
      </c>
      <c r="C335" s="8" t="e">
        <f>VLOOKUP(A335,#REF!,11,FALSE)</f>
        <v>#REF!</v>
      </c>
    </row>
    <row r="336" spans="1:3" x14ac:dyDescent="0.3">
      <c r="A336" s="1">
        <v>42685</v>
      </c>
      <c r="B336" s="8" t="e">
        <f>VLOOKUP(A336,#REF!,7,FALSE)</f>
        <v>#REF!</v>
      </c>
      <c r="C336" s="8" t="e">
        <f>VLOOKUP(A336,#REF!,11,FALSE)</f>
        <v>#REF!</v>
      </c>
    </row>
    <row r="337" spans="1:3" x14ac:dyDescent="0.3">
      <c r="A337" s="1">
        <v>42686</v>
      </c>
      <c r="B337" s="8" t="e">
        <f>VLOOKUP(A337,#REF!,7,FALSE)</f>
        <v>#REF!</v>
      </c>
      <c r="C337" s="8" t="e">
        <f>VLOOKUP(A337,#REF!,11,FALSE)</f>
        <v>#REF!</v>
      </c>
    </row>
    <row r="338" spans="1:3" x14ac:dyDescent="0.3">
      <c r="A338" s="1">
        <v>42687</v>
      </c>
      <c r="B338" s="8" t="e">
        <f>VLOOKUP(A338,#REF!,7,FALSE)</f>
        <v>#REF!</v>
      </c>
      <c r="C338" s="8" t="e">
        <f>VLOOKUP(A338,#REF!,11,FALSE)</f>
        <v>#REF!</v>
      </c>
    </row>
    <row r="339" spans="1:3" x14ac:dyDescent="0.3">
      <c r="A339" s="1">
        <v>42688</v>
      </c>
      <c r="B339" s="8" t="e">
        <f>VLOOKUP(A339,#REF!,7,FALSE)</f>
        <v>#REF!</v>
      </c>
      <c r="C339" s="8" t="e">
        <f>VLOOKUP(A339,#REF!,11,FALSE)</f>
        <v>#REF!</v>
      </c>
    </row>
    <row r="340" spans="1:3" x14ac:dyDescent="0.3">
      <c r="A340" s="1">
        <v>42689</v>
      </c>
      <c r="B340" s="8" t="e">
        <f>VLOOKUP(A340,#REF!,7,FALSE)</f>
        <v>#REF!</v>
      </c>
      <c r="C340" s="8" t="e">
        <f>VLOOKUP(A340,#REF!,11,FALSE)</f>
        <v>#REF!</v>
      </c>
    </row>
    <row r="341" spans="1:3" x14ac:dyDescent="0.3">
      <c r="A341" s="1">
        <v>42690</v>
      </c>
      <c r="B341" s="8" t="e">
        <f>VLOOKUP(A341,#REF!,7,FALSE)</f>
        <v>#REF!</v>
      </c>
      <c r="C341" s="8" t="e">
        <f>VLOOKUP(A341,#REF!,11,FALSE)</f>
        <v>#REF!</v>
      </c>
    </row>
    <row r="342" spans="1:3" x14ac:dyDescent="0.3">
      <c r="A342" s="1">
        <v>42691</v>
      </c>
      <c r="B342" s="8" t="e">
        <f>VLOOKUP(A342,#REF!,7,FALSE)</f>
        <v>#REF!</v>
      </c>
      <c r="C342" s="8" t="e">
        <f>VLOOKUP(A342,#REF!,11,FALSE)</f>
        <v>#REF!</v>
      </c>
    </row>
    <row r="343" spans="1:3" x14ac:dyDescent="0.3">
      <c r="A343" s="1">
        <v>42692</v>
      </c>
      <c r="B343" s="8" t="e">
        <f>VLOOKUP(A343,#REF!,7,FALSE)</f>
        <v>#REF!</v>
      </c>
      <c r="C343" s="8" t="e">
        <f>VLOOKUP(A343,#REF!,11,FALSE)</f>
        <v>#REF!</v>
      </c>
    </row>
    <row r="344" spans="1:3" x14ac:dyDescent="0.3">
      <c r="A344" s="1">
        <v>42693</v>
      </c>
      <c r="B344" s="8" t="e">
        <f>VLOOKUP(A344,#REF!,7,FALSE)</f>
        <v>#REF!</v>
      </c>
      <c r="C344" s="8" t="e">
        <f>VLOOKUP(A344,#REF!,11,FALSE)</f>
        <v>#REF!</v>
      </c>
    </row>
    <row r="345" spans="1:3" x14ac:dyDescent="0.3">
      <c r="A345" s="1">
        <v>42694</v>
      </c>
      <c r="B345" s="8" t="e">
        <f>VLOOKUP(A345,#REF!,7,FALSE)</f>
        <v>#REF!</v>
      </c>
      <c r="C345" s="8" t="e">
        <f>VLOOKUP(A345,#REF!,11,FALSE)</f>
        <v>#REF!</v>
      </c>
    </row>
    <row r="346" spans="1:3" x14ac:dyDescent="0.3">
      <c r="A346" s="1">
        <v>42695</v>
      </c>
      <c r="B346" s="8" t="e">
        <f>VLOOKUP(A346,#REF!,7,FALSE)</f>
        <v>#REF!</v>
      </c>
      <c r="C346" s="8" t="e">
        <f>VLOOKUP(A346,#REF!,11,FALSE)</f>
        <v>#REF!</v>
      </c>
    </row>
    <row r="347" spans="1:3" x14ac:dyDescent="0.3">
      <c r="A347" s="1">
        <v>42696</v>
      </c>
      <c r="B347" s="8" t="e">
        <f>VLOOKUP(A347,#REF!,7,FALSE)</f>
        <v>#REF!</v>
      </c>
      <c r="C347" s="8" t="e">
        <f>VLOOKUP(A347,#REF!,11,FALSE)</f>
        <v>#REF!</v>
      </c>
    </row>
    <row r="348" spans="1:3" x14ac:dyDescent="0.3">
      <c r="A348" s="1">
        <v>42697</v>
      </c>
      <c r="B348" s="8" t="e">
        <f>VLOOKUP(A348,#REF!,7,FALSE)</f>
        <v>#REF!</v>
      </c>
      <c r="C348" s="8" t="e">
        <f>VLOOKUP(A348,#REF!,11,FALSE)</f>
        <v>#REF!</v>
      </c>
    </row>
    <row r="349" spans="1:3" x14ac:dyDescent="0.3">
      <c r="A349" s="1">
        <v>42698</v>
      </c>
      <c r="B349" s="8" t="e">
        <f>VLOOKUP(A349,#REF!,7,FALSE)</f>
        <v>#REF!</v>
      </c>
      <c r="C349" s="8" t="e">
        <f>VLOOKUP(A349,#REF!,11,FALSE)</f>
        <v>#REF!</v>
      </c>
    </row>
    <row r="350" spans="1:3" x14ac:dyDescent="0.3">
      <c r="A350" s="1">
        <v>42699</v>
      </c>
      <c r="B350" s="8" t="e">
        <f>VLOOKUP(A350,#REF!,7,FALSE)</f>
        <v>#REF!</v>
      </c>
      <c r="C350" s="8" t="e">
        <f>VLOOKUP(A350,#REF!,11,FALSE)</f>
        <v>#REF!</v>
      </c>
    </row>
    <row r="351" spans="1:3" x14ac:dyDescent="0.3">
      <c r="A351" s="1">
        <v>42700</v>
      </c>
      <c r="B351" s="8" t="e">
        <f>VLOOKUP(A351,#REF!,7,FALSE)</f>
        <v>#REF!</v>
      </c>
      <c r="C351" s="8" t="e">
        <f>VLOOKUP(A351,#REF!,11,FALSE)</f>
        <v>#REF!</v>
      </c>
    </row>
    <row r="352" spans="1:3" x14ac:dyDescent="0.3">
      <c r="A352" s="1">
        <v>42701</v>
      </c>
      <c r="B352" s="8" t="e">
        <f>VLOOKUP(A352,#REF!,7,FALSE)</f>
        <v>#REF!</v>
      </c>
      <c r="C352" s="8" t="e">
        <f>VLOOKUP(A352,#REF!,11,FALSE)</f>
        <v>#REF!</v>
      </c>
    </row>
    <row r="353" spans="1:3" x14ac:dyDescent="0.3">
      <c r="A353" s="1">
        <v>42702</v>
      </c>
      <c r="B353" s="8" t="e">
        <f>VLOOKUP(A353,#REF!,7,FALSE)</f>
        <v>#REF!</v>
      </c>
      <c r="C353" s="8" t="e">
        <f>VLOOKUP(A353,#REF!,11,FALSE)</f>
        <v>#REF!</v>
      </c>
    </row>
    <row r="354" spans="1:3" x14ac:dyDescent="0.3">
      <c r="A354" s="1">
        <v>42703</v>
      </c>
      <c r="B354" s="8" t="e">
        <f>VLOOKUP(A354,#REF!,7,FALSE)</f>
        <v>#REF!</v>
      </c>
      <c r="C354" s="8" t="e">
        <f>VLOOKUP(A354,#REF!,11,FALSE)</f>
        <v>#REF!</v>
      </c>
    </row>
    <row r="355" spans="1:3" x14ac:dyDescent="0.3">
      <c r="A355" s="1">
        <v>42704</v>
      </c>
      <c r="B355" s="8" t="e">
        <f>VLOOKUP(A355,#REF!,7,FALSE)</f>
        <v>#REF!</v>
      </c>
      <c r="C355" s="8" t="e">
        <f>VLOOKUP(A355,#REF!,11,FALSE)</f>
        <v>#REF!</v>
      </c>
    </row>
    <row r="356" spans="1:3" x14ac:dyDescent="0.3">
      <c r="A356" s="1">
        <v>42705</v>
      </c>
      <c r="B356" s="8" t="e">
        <f>VLOOKUP(A356,#REF!,7,FALSE)</f>
        <v>#REF!</v>
      </c>
      <c r="C356" s="8" t="e">
        <f>VLOOKUP(A356,#REF!,11,FALSE)</f>
        <v>#REF!</v>
      </c>
    </row>
    <row r="357" spans="1:3" x14ac:dyDescent="0.3">
      <c r="A357" s="1">
        <v>42706</v>
      </c>
      <c r="B357" s="8" t="e">
        <f>VLOOKUP(A357,#REF!,7,FALSE)</f>
        <v>#REF!</v>
      </c>
      <c r="C357" s="8" t="e">
        <f>VLOOKUP(A357,#REF!,11,FALSE)</f>
        <v>#REF!</v>
      </c>
    </row>
    <row r="358" spans="1:3" x14ac:dyDescent="0.3">
      <c r="A358" s="1">
        <v>42707</v>
      </c>
      <c r="B358" s="8" t="e">
        <f>VLOOKUP(A358,#REF!,7,FALSE)</f>
        <v>#REF!</v>
      </c>
      <c r="C358" s="8" t="e">
        <f>VLOOKUP(A358,#REF!,11,FALSE)</f>
        <v>#REF!</v>
      </c>
    </row>
    <row r="359" spans="1:3" x14ac:dyDescent="0.3">
      <c r="A359" s="1">
        <v>42708</v>
      </c>
      <c r="B359" s="8" t="e">
        <f>VLOOKUP(A359,#REF!,7,FALSE)</f>
        <v>#REF!</v>
      </c>
      <c r="C359" s="8" t="e">
        <f>VLOOKUP(A359,#REF!,11,FALSE)</f>
        <v>#REF!</v>
      </c>
    </row>
    <row r="360" spans="1:3" x14ac:dyDescent="0.3">
      <c r="A360" s="1">
        <v>42709</v>
      </c>
      <c r="B360" s="8" t="e">
        <f>VLOOKUP(A360,#REF!,7,FALSE)</f>
        <v>#REF!</v>
      </c>
      <c r="C360" s="8" t="e">
        <f>VLOOKUP(A360,#REF!,11,FALSE)</f>
        <v>#REF!</v>
      </c>
    </row>
    <row r="361" spans="1:3" x14ac:dyDescent="0.3">
      <c r="A361" s="1">
        <v>42710</v>
      </c>
      <c r="B361" s="8" t="e">
        <f>VLOOKUP(A361,#REF!,7,FALSE)</f>
        <v>#REF!</v>
      </c>
      <c r="C361" s="8" t="e">
        <f>VLOOKUP(A361,#REF!,11,FALSE)</f>
        <v>#REF!</v>
      </c>
    </row>
    <row r="362" spans="1:3" x14ac:dyDescent="0.3">
      <c r="A362" s="1">
        <v>42711</v>
      </c>
      <c r="B362" s="8" t="e">
        <f>VLOOKUP(A362,#REF!,7,FALSE)</f>
        <v>#REF!</v>
      </c>
      <c r="C362" s="8" t="e">
        <f>VLOOKUP(A362,#REF!,11,FALSE)</f>
        <v>#REF!</v>
      </c>
    </row>
    <row r="363" spans="1:3" x14ac:dyDescent="0.3">
      <c r="A363" s="1">
        <v>42712</v>
      </c>
      <c r="B363" s="8" t="e">
        <f>VLOOKUP(A363,#REF!,7,FALSE)</f>
        <v>#REF!</v>
      </c>
      <c r="C363" s="8" t="e">
        <f>VLOOKUP(A363,#REF!,11,FALSE)</f>
        <v>#REF!</v>
      </c>
    </row>
    <row r="364" spans="1:3" x14ac:dyDescent="0.3">
      <c r="A364" s="1">
        <v>42713</v>
      </c>
      <c r="B364" s="8" t="e">
        <f>VLOOKUP(A364,#REF!,7,FALSE)</f>
        <v>#REF!</v>
      </c>
      <c r="C364" s="8" t="e">
        <f>VLOOKUP(A364,#REF!,11,FALSE)</f>
        <v>#REF!</v>
      </c>
    </row>
    <row r="365" spans="1:3" x14ac:dyDescent="0.3">
      <c r="A365" s="1">
        <v>42714</v>
      </c>
      <c r="B365" s="8" t="e">
        <f>VLOOKUP(A365,#REF!,7,FALSE)</f>
        <v>#REF!</v>
      </c>
      <c r="C365" s="8" t="e">
        <f>VLOOKUP(A365,#REF!,11,FALSE)</f>
        <v>#REF!</v>
      </c>
    </row>
    <row r="366" spans="1:3" x14ac:dyDescent="0.3">
      <c r="A366" s="1">
        <v>42715</v>
      </c>
      <c r="B366" s="8" t="e">
        <f>VLOOKUP(A366,#REF!,7,FALSE)</f>
        <v>#REF!</v>
      </c>
      <c r="C366" s="8" t="e">
        <f>VLOOKUP(A366,#REF!,11,FALSE)</f>
        <v>#REF!</v>
      </c>
    </row>
    <row r="367" spans="1:3" x14ac:dyDescent="0.3">
      <c r="A367" s="1">
        <v>42716</v>
      </c>
      <c r="B367" s="8" t="e">
        <f>VLOOKUP(A367,#REF!,7,FALSE)</f>
        <v>#REF!</v>
      </c>
      <c r="C367" s="8" t="e">
        <f>VLOOKUP(A367,#REF!,11,FALSE)</f>
        <v>#REF!</v>
      </c>
    </row>
    <row r="368" spans="1:3" x14ac:dyDescent="0.3">
      <c r="A368" s="1">
        <v>42717</v>
      </c>
      <c r="B368" s="8" t="e">
        <f>VLOOKUP(A368,#REF!,7,FALSE)</f>
        <v>#REF!</v>
      </c>
      <c r="C368" s="8" t="e">
        <f>VLOOKUP(A368,#REF!,11,FALSE)</f>
        <v>#REF!</v>
      </c>
    </row>
    <row r="369" spans="1:3" x14ac:dyDescent="0.3">
      <c r="A369" s="1">
        <v>42718</v>
      </c>
      <c r="B369" s="8" t="e">
        <f>VLOOKUP(A369,#REF!,7,FALSE)</f>
        <v>#REF!</v>
      </c>
      <c r="C369" s="8" t="e">
        <f>VLOOKUP(A369,#REF!,11,FALSE)</f>
        <v>#REF!</v>
      </c>
    </row>
    <row r="370" spans="1:3" x14ac:dyDescent="0.3">
      <c r="A370" s="1">
        <v>42719</v>
      </c>
      <c r="B370" s="8" t="e">
        <f>VLOOKUP(A370,#REF!,7,FALSE)</f>
        <v>#REF!</v>
      </c>
      <c r="C370" s="8" t="e">
        <f>VLOOKUP(A370,#REF!,11,FALSE)</f>
        <v>#REF!</v>
      </c>
    </row>
    <row r="371" spans="1:3" x14ac:dyDescent="0.3">
      <c r="A371" s="1">
        <v>42720</v>
      </c>
      <c r="B371" s="8" t="e">
        <f>VLOOKUP(A371,#REF!,7,FALSE)</f>
        <v>#REF!</v>
      </c>
      <c r="C371" s="8" t="e">
        <f>VLOOKUP(A371,#REF!,11,FALSE)</f>
        <v>#REF!</v>
      </c>
    </row>
    <row r="372" spans="1:3" x14ac:dyDescent="0.3">
      <c r="A372" s="1">
        <v>42721</v>
      </c>
      <c r="B372" s="8" t="e">
        <f>VLOOKUP(A372,#REF!,7,FALSE)</f>
        <v>#REF!</v>
      </c>
      <c r="C372" s="8" t="e">
        <f>VLOOKUP(A372,#REF!,11,FALSE)</f>
        <v>#REF!</v>
      </c>
    </row>
    <row r="373" spans="1:3" x14ac:dyDescent="0.3">
      <c r="A373" s="1">
        <v>42722</v>
      </c>
      <c r="B373" s="8" t="e">
        <f>VLOOKUP(A373,#REF!,7,FALSE)</f>
        <v>#REF!</v>
      </c>
      <c r="C373" s="8" t="e">
        <f>VLOOKUP(A373,#REF!,11,FALSE)</f>
        <v>#REF!</v>
      </c>
    </row>
    <row r="374" spans="1:3" x14ac:dyDescent="0.3">
      <c r="A374" s="1">
        <v>42723</v>
      </c>
      <c r="B374" s="8" t="e">
        <f>VLOOKUP(A374,#REF!,7,FALSE)</f>
        <v>#REF!</v>
      </c>
      <c r="C374" s="8" t="e">
        <f>VLOOKUP(A374,#REF!,11,FALSE)</f>
        <v>#REF!</v>
      </c>
    </row>
    <row r="375" spans="1:3" x14ac:dyDescent="0.3">
      <c r="A375" s="1">
        <v>42724</v>
      </c>
      <c r="B375" s="8" t="e">
        <f>VLOOKUP(A375,#REF!,7,FALSE)</f>
        <v>#REF!</v>
      </c>
      <c r="C375" s="8" t="e">
        <f>VLOOKUP(A375,#REF!,11,FALSE)</f>
        <v>#REF!</v>
      </c>
    </row>
    <row r="376" spans="1:3" x14ac:dyDescent="0.3">
      <c r="A376" s="1">
        <v>42725</v>
      </c>
      <c r="B376" s="8" t="e">
        <f>VLOOKUP(A376,#REF!,7,FALSE)</f>
        <v>#REF!</v>
      </c>
      <c r="C376" s="8" t="e">
        <f>VLOOKUP(A376,#REF!,11,FALSE)</f>
        <v>#REF!</v>
      </c>
    </row>
    <row r="377" spans="1:3" x14ac:dyDescent="0.3">
      <c r="A377" s="1">
        <v>42726</v>
      </c>
      <c r="B377" s="8" t="e">
        <f>VLOOKUP(A377,#REF!,7,FALSE)</f>
        <v>#REF!</v>
      </c>
      <c r="C377" s="8" t="e">
        <f>VLOOKUP(A377,#REF!,11,FALSE)</f>
        <v>#REF!</v>
      </c>
    </row>
    <row r="378" spans="1:3" x14ac:dyDescent="0.3">
      <c r="A378" s="1">
        <v>42727</v>
      </c>
      <c r="B378" s="8" t="e">
        <f>VLOOKUP(A378,#REF!,7,FALSE)</f>
        <v>#REF!</v>
      </c>
      <c r="C378" s="8" t="e">
        <f>VLOOKUP(A378,#REF!,11,FALSE)</f>
        <v>#REF!</v>
      </c>
    </row>
    <row r="379" spans="1:3" x14ac:dyDescent="0.3">
      <c r="A379" s="1">
        <v>42728</v>
      </c>
      <c r="B379" s="8" t="e">
        <f>VLOOKUP(A379,#REF!,7,FALSE)</f>
        <v>#REF!</v>
      </c>
      <c r="C379" s="8" t="e">
        <f>VLOOKUP(A379,#REF!,11,FALSE)</f>
        <v>#REF!</v>
      </c>
    </row>
    <row r="380" spans="1:3" x14ac:dyDescent="0.3">
      <c r="A380" s="1">
        <v>42729</v>
      </c>
      <c r="B380" s="8" t="e">
        <f>VLOOKUP(A380,#REF!,7,FALSE)</f>
        <v>#REF!</v>
      </c>
      <c r="C380" s="8" t="e">
        <f>VLOOKUP(A380,#REF!,11,FALSE)</f>
        <v>#REF!</v>
      </c>
    </row>
    <row r="381" spans="1:3" x14ac:dyDescent="0.3">
      <c r="A381" s="1">
        <v>42730</v>
      </c>
      <c r="B381" s="8" t="e">
        <f>VLOOKUP(A381,#REF!,7,FALSE)</f>
        <v>#REF!</v>
      </c>
      <c r="C381" s="8" t="e">
        <f>VLOOKUP(A381,#REF!,11,FALSE)</f>
        <v>#REF!</v>
      </c>
    </row>
    <row r="382" spans="1:3" x14ac:dyDescent="0.3">
      <c r="A382" s="1">
        <v>42731</v>
      </c>
      <c r="B382" s="8" t="e">
        <f>VLOOKUP(A382,#REF!,7,FALSE)</f>
        <v>#REF!</v>
      </c>
      <c r="C382" s="8" t="e">
        <f>VLOOKUP(A382,#REF!,11,FALSE)</f>
        <v>#REF!</v>
      </c>
    </row>
    <row r="383" spans="1:3" x14ac:dyDescent="0.3">
      <c r="A383" s="1">
        <v>42732</v>
      </c>
      <c r="B383" s="8" t="e">
        <f>VLOOKUP(A383,#REF!,7,FALSE)</f>
        <v>#REF!</v>
      </c>
      <c r="C383" s="8" t="e">
        <f>VLOOKUP(A383,#REF!,11,FALSE)</f>
        <v>#REF!</v>
      </c>
    </row>
    <row r="384" spans="1:3" x14ac:dyDescent="0.3">
      <c r="A384" s="1">
        <v>42733</v>
      </c>
      <c r="B384" s="8" t="e">
        <f>VLOOKUP(A384,#REF!,7,FALSE)</f>
        <v>#REF!</v>
      </c>
      <c r="C384" s="8" t="e">
        <f>VLOOKUP(A384,#REF!,11,FALSE)</f>
        <v>#REF!</v>
      </c>
    </row>
    <row r="385" spans="1:3" x14ac:dyDescent="0.3">
      <c r="A385" s="1">
        <v>42734</v>
      </c>
      <c r="B385" s="8" t="e">
        <f>VLOOKUP(A385,#REF!,7,FALSE)</f>
        <v>#REF!</v>
      </c>
      <c r="C385" s="8" t="e">
        <f>VLOOKUP(A385,#REF!,11,FALSE)</f>
        <v>#REF!</v>
      </c>
    </row>
    <row r="386" spans="1:3" x14ac:dyDescent="0.3">
      <c r="A386" s="1">
        <v>42735</v>
      </c>
      <c r="B386" s="206" t="e">
        <f>VLOOKUP(A386,#REF!,7,FALSE)</f>
        <v>#REF!</v>
      </c>
      <c r="C386" s="206" t="e">
        <f>VLOOKUP(A386,#REF!,11,FALSE)</f>
        <v>#REF!</v>
      </c>
    </row>
  </sheetData>
  <conditionalFormatting sqref="D4:J18">
    <cfRule type="cellIs" dxfId="252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7"/>
  <dimension ref="A1:X109"/>
  <sheetViews>
    <sheetView topLeftCell="L64" workbookViewId="0">
      <selection activeCell="T74" sqref="T74"/>
    </sheetView>
  </sheetViews>
  <sheetFormatPr baseColWidth="10" defaultColWidth="11.44140625" defaultRowHeight="14.4" x14ac:dyDescent="0.3"/>
  <cols>
    <col min="1" max="1" width="18.44140625" bestFit="1" customWidth="1"/>
    <col min="2" max="2" width="17.88671875" bestFit="1" customWidth="1"/>
    <col min="3" max="3" width="10.88671875" bestFit="1" customWidth="1"/>
    <col min="4" max="4" width="10.6640625" bestFit="1" customWidth="1"/>
    <col min="5" max="5" width="8.33203125" bestFit="1" customWidth="1"/>
    <col min="6" max="7" width="11" bestFit="1" customWidth="1"/>
    <col min="8" max="8" width="16.33203125" bestFit="1" customWidth="1"/>
    <col min="9" max="9" width="8.109375" bestFit="1" customWidth="1"/>
    <col min="10" max="11" width="17.88671875" bestFit="1" customWidth="1"/>
    <col min="12" max="12" width="16.44140625" bestFit="1" customWidth="1"/>
    <col min="13" max="13" width="15.5546875" bestFit="1" customWidth="1"/>
    <col min="14" max="15" width="17.88671875" bestFit="1" customWidth="1"/>
    <col min="16" max="16" width="16.5546875" bestFit="1" customWidth="1"/>
    <col min="17" max="17" width="16.44140625" bestFit="1" customWidth="1"/>
    <col min="18" max="18" width="17.88671875" bestFit="1" customWidth="1"/>
    <col min="20" max="20" width="17.88671875" bestFit="1" customWidth="1"/>
    <col min="22" max="22" width="16.44140625" bestFit="1" customWidth="1"/>
    <col min="23" max="23" width="21.33203125" bestFit="1" customWidth="1"/>
    <col min="24" max="24" width="15.33203125" bestFit="1" customWidth="1"/>
  </cols>
  <sheetData>
    <row r="1" spans="1:17" x14ac:dyDescent="0.3">
      <c r="A1" t="s">
        <v>255</v>
      </c>
      <c r="G1" t="s">
        <v>255</v>
      </c>
      <c r="O1" s="5" t="s">
        <v>256</v>
      </c>
      <c r="P1" s="36">
        <f ca="1">SUMIF($A:$M,O1,$M:$M)</f>
        <v>0</v>
      </c>
    </row>
    <row r="2" spans="1:17" x14ac:dyDescent="0.3">
      <c r="O2" s="5" t="s">
        <v>257</v>
      </c>
      <c r="P2" s="36">
        <f t="shared" ref="P2:P4" ca="1" si="0">SUMIF($A:$M,O2,$M:$M)</f>
        <v>0</v>
      </c>
    </row>
    <row r="3" spans="1:17" s="2" customFormat="1" x14ac:dyDescent="0.3">
      <c r="A3" s="15" t="s">
        <v>258</v>
      </c>
      <c r="B3" s="15">
        <f>COUNT(B5:B100)</f>
        <v>80</v>
      </c>
      <c r="C3" s="15"/>
      <c r="D3" s="15"/>
      <c r="E3" s="15"/>
      <c r="F3" s="15"/>
      <c r="G3" s="15" t="s">
        <v>97</v>
      </c>
      <c r="H3" s="16">
        <f>SUM(H5:H100)</f>
        <v>31061424576</v>
      </c>
      <c r="I3" s="15"/>
      <c r="J3" s="16">
        <f>SUM(J5:J100)</f>
        <v>34534122352.682404</v>
      </c>
      <c r="K3" s="16">
        <f ca="1">SUM(K5:K100)</f>
        <v>0</v>
      </c>
      <c r="L3" s="16">
        <f ca="1">SUM(L5:L100)</f>
        <v>34534122352.682404</v>
      </c>
      <c r="M3" s="16">
        <f ca="1">SUM(M5:M100)</f>
        <v>0</v>
      </c>
      <c r="O3" s="5" t="s">
        <v>259</v>
      </c>
      <c r="P3" s="36">
        <f t="shared" ca="1" si="0"/>
        <v>0</v>
      </c>
    </row>
    <row r="4" spans="1:17" s="2" customFormat="1" ht="43.2" x14ac:dyDescent="0.3">
      <c r="A4" s="13" t="s">
        <v>260</v>
      </c>
      <c r="B4" s="13" t="s">
        <v>261</v>
      </c>
      <c r="C4" s="13" t="s">
        <v>262</v>
      </c>
      <c r="D4" s="13" t="s">
        <v>263</v>
      </c>
      <c r="E4" s="14" t="s">
        <v>264</v>
      </c>
      <c r="F4" s="14" t="s">
        <v>265</v>
      </c>
      <c r="G4" s="14" t="s">
        <v>266</v>
      </c>
      <c r="H4" s="14" t="s">
        <v>267</v>
      </c>
      <c r="I4" s="13" t="s">
        <v>29</v>
      </c>
      <c r="J4" s="13" t="s">
        <v>268</v>
      </c>
      <c r="K4" s="14" t="s">
        <v>269</v>
      </c>
      <c r="L4" s="14" t="s">
        <v>270</v>
      </c>
      <c r="M4" s="13" t="s">
        <v>271</v>
      </c>
      <c r="O4" s="5" t="s">
        <v>272</v>
      </c>
      <c r="P4" s="36">
        <f t="shared" ca="1" si="0"/>
        <v>0</v>
      </c>
    </row>
    <row r="5" spans="1:17" x14ac:dyDescent="0.3">
      <c r="A5" s="56" t="s">
        <v>259</v>
      </c>
      <c r="B5" s="56">
        <v>115586</v>
      </c>
      <c r="C5" s="57">
        <v>41609</v>
      </c>
      <c r="D5" s="57">
        <v>41816</v>
      </c>
      <c r="E5" s="9">
        <f t="shared" ref="E5:E36" si="1">D5-C5</f>
        <v>207</v>
      </c>
      <c r="F5" s="9">
        <f t="shared" ref="F5:F38" si="2">ROUND(E5/7,0)</f>
        <v>30</v>
      </c>
      <c r="G5" s="9">
        <f t="shared" ref="G5:G36" ca="1" si="3">IF(NOW()&gt;=D5,0,-ROUND((NOW()-C5-E5)/7,0))</f>
        <v>0</v>
      </c>
      <c r="H5" s="60">
        <v>321988843</v>
      </c>
      <c r="I5" s="61">
        <v>7.5800000000000006E-2</v>
      </c>
      <c r="J5" s="60">
        <f t="shared" ref="J5:J36" si="4">H5*I5+H5</f>
        <v>346395597.29939997</v>
      </c>
      <c r="K5" s="10">
        <f t="shared" ref="K5:K36" ca="1" si="5">IF(G5=0,0,ROUND(J5/F5,0))</f>
        <v>0</v>
      </c>
      <c r="L5" s="10">
        <f t="shared" ref="L5:L36" ca="1" si="6">IFERROR((F5-G5)*(J5/F5),0)</f>
        <v>346395597.29939997</v>
      </c>
      <c r="M5" s="10">
        <f t="shared" ref="M5:M36" ca="1" si="7">J5-L5</f>
        <v>0</v>
      </c>
      <c r="N5" s="20"/>
      <c r="O5" s="5" t="s">
        <v>273</v>
      </c>
      <c r="P5" s="36">
        <f t="shared" ref="P5" ca="1" si="8">SUMIF($A:$M,O5,$M:$M)</f>
        <v>0</v>
      </c>
      <c r="Q5" s="20"/>
    </row>
    <row r="6" spans="1:17" x14ac:dyDescent="0.3">
      <c r="A6" s="56" t="s">
        <v>272</v>
      </c>
      <c r="B6" s="56">
        <v>115587</v>
      </c>
      <c r="C6" s="57">
        <v>41609</v>
      </c>
      <c r="D6" s="57">
        <v>41817</v>
      </c>
      <c r="E6" s="9">
        <f t="shared" si="1"/>
        <v>208</v>
      </c>
      <c r="F6" s="9">
        <f t="shared" si="2"/>
        <v>30</v>
      </c>
      <c r="G6" s="9">
        <f t="shared" ca="1" si="3"/>
        <v>0</v>
      </c>
      <c r="H6" s="60">
        <v>200000000</v>
      </c>
      <c r="I6" s="61">
        <v>7.4700000000000003E-2</v>
      </c>
      <c r="J6" s="60">
        <f t="shared" si="4"/>
        <v>214940000</v>
      </c>
      <c r="K6" s="10">
        <f t="shared" ca="1" si="5"/>
        <v>0</v>
      </c>
      <c r="L6" s="10">
        <f t="shared" ca="1" si="6"/>
        <v>214940000</v>
      </c>
      <c r="M6" s="10">
        <f t="shared" ca="1" si="7"/>
        <v>0</v>
      </c>
      <c r="N6" s="20"/>
      <c r="O6" s="51"/>
      <c r="P6" s="16">
        <f ca="1">SUM(P1:P5)</f>
        <v>0</v>
      </c>
      <c r="Q6" s="20"/>
    </row>
    <row r="7" spans="1:17" x14ac:dyDescent="0.3">
      <c r="A7" s="56" t="s">
        <v>256</v>
      </c>
      <c r="B7" s="56">
        <v>129483</v>
      </c>
      <c r="C7" s="57">
        <v>41644</v>
      </c>
      <c r="D7" s="57">
        <v>41816</v>
      </c>
      <c r="E7" s="9">
        <f t="shared" si="1"/>
        <v>172</v>
      </c>
      <c r="F7" s="9">
        <f t="shared" si="2"/>
        <v>25</v>
      </c>
      <c r="G7" s="9">
        <f t="shared" ca="1" si="3"/>
        <v>0</v>
      </c>
      <c r="H7" s="60">
        <v>103000000</v>
      </c>
      <c r="I7" s="61">
        <v>1.3899999999999999E-2</v>
      </c>
      <c r="J7" s="60">
        <f t="shared" si="4"/>
        <v>104431700</v>
      </c>
      <c r="K7" s="10">
        <f t="shared" ca="1" si="5"/>
        <v>0</v>
      </c>
      <c r="L7" s="10">
        <f t="shared" ca="1" si="6"/>
        <v>104431700</v>
      </c>
      <c r="M7" s="10">
        <f t="shared" ca="1" si="7"/>
        <v>0</v>
      </c>
      <c r="N7" s="20"/>
      <c r="O7" s="51"/>
      <c r="P7" s="20"/>
      <c r="Q7" s="20"/>
    </row>
    <row r="8" spans="1:17" x14ac:dyDescent="0.3">
      <c r="A8" s="56" t="s">
        <v>272</v>
      </c>
      <c r="B8" s="56">
        <v>142904</v>
      </c>
      <c r="C8" s="57">
        <v>41680</v>
      </c>
      <c r="D8" s="57">
        <v>41816</v>
      </c>
      <c r="E8" s="9">
        <f t="shared" si="1"/>
        <v>136</v>
      </c>
      <c r="F8" s="9">
        <f t="shared" si="2"/>
        <v>19</v>
      </c>
      <c r="G8" s="9">
        <f t="shared" ca="1" si="3"/>
        <v>0</v>
      </c>
      <c r="H8" s="60">
        <v>225000000</v>
      </c>
      <c r="I8" s="61">
        <v>0.1182</v>
      </c>
      <c r="J8" s="60">
        <f t="shared" si="4"/>
        <v>251595000</v>
      </c>
      <c r="K8" s="10">
        <f t="shared" ca="1" si="5"/>
        <v>0</v>
      </c>
      <c r="L8" s="10">
        <f t="shared" ca="1" si="6"/>
        <v>251595000</v>
      </c>
      <c r="M8" s="10">
        <f t="shared" ca="1" si="7"/>
        <v>0</v>
      </c>
      <c r="N8" s="20"/>
      <c r="O8" s="51"/>
      <c r="P8" s="20"/>
      <c r="Q8" s="20"/>
    </row>
    <row r="9" spans="1:17" x14ac:dyDescent="0.3">
      <c r="A9" s="56" t="s">
        <v>259</v>
      </c>
      <c r="B9" s="56">
        <v>143087</v>
      </c>
      <c r="C9" s="57">
        <v>41680</v>
      </c>
      <c r="D9" s="57">
        <v>41816</v>
      </c>
      <c r="E9" s="9">
        <f t="shared" si="1"/>
        <v>136</v>
      </c>
      <c r="F9" s="9">
        <f t="shared" si="2"/>
        <v>19</v>
      </c>
      <c r="G9" s="9">
        <f t="shared" ca="1" si="3"/>
        <v>0</v>
      </c>
      <c r="H9" s="60">
        <v>700000000</v>
      </c>
      <c r="I9" s="61">
        <v>4.9800000000000004E-2</v>
      </c>
      <c r="J9" s="60">
        <f t="shared" si="4"/>
        <v>734860000</v>
      </c>
      <c r="K9" s="10">
        <f t="shared" ca="1" si="5"/>
        <v>0</v>
      </c>
      <c r="L9" s="10">
        <f t="shared" ca="1" si="6"/>
        <v>734860000</v>
      </c>
      <c r="M9" s="10">
        <f t="shared" ca="1" si="7"/>
        <v>0</v>
      </c>
      <c r="N9" s="20"/>
      <c r="O9" s="51"/>
      <c r="P9" s="20"/>
      <c r="Q9" s="20"/>
    </row>
    <row r="10" spans="1:17" x14ac:dyDescent="0.3">
      <c r="A10" s="56" t="s">
        <v>256</v>
      </c>
      <c r="B10" s="56">
        <v>143197</v>
      </c>
      <c r="C10" s="57">
        <v>41680</v>
      </c>
      <c r="D10" s="57">
        <v>41816</v>
      </c>
      <c r="E10" s="9">
        <f t="shared" si="1"/>
        <v>136</v>
      </c>
      <c r="F10" s="9">
        <f t="shared" si="2"/>
        <v>19</v>
      </c>
      <c r="G10" s="9">
        <f t="shared" ca="1" si="3"/>
        <v>0</v>
      </c>
      <c r="H10" s="60">
        <v>300000000</v>
      </c>
      <c r="I10" s="61">
        <v>2.06E-2</v>
      </c>
      <c r="J10" s="60">
        <f t="shared" si="4"/>
        <v>306180000</v>
      </c>
      <c r="K10" s="10">
        <f t="shared" ca="1" si="5"/>
        <v>0</v>
      </c>
      <c r="L10" s="10">
        <f t="shared" ca="1" si="6"/>
        <v>306180000</v>
      </c>
      <c r="M10" s="10">
        <f t="shared" ca="1" si="7"/>
        <v>0</v>
      </c>
      <c r="N10" s="20"/>
      <c r="O10" s="51"/>
      <c r="P10" s="20"/>
      <c r="Q10" s="20"/>
    </row>
    <row r="11" spans="1:17" x14ac:dyDescent="0.3">
      <c r="A11" s="56" t="s">
        <v>256</v>
      </c>
      <c r="B11" s="56">
        <v>142900</v>
      </c>
      <c r="C11" s="57">
        <v>41680</v>
      </c>
      <c r="D11" s="57">
        <v>41817</v>
      </c>
      <c r="E11" s="9">
        <f t="shared" si="1"/>
        <v>137</v>
      </c>
      <c r="F11" s="9">
        <f t="shared" si="2"/>
        <v>20</v>
      </c>
      <c r="G11" s="9">
        <f t="shared" ca="1" si="3"/>
        <v>0</v>
      </c>
      <c r="H11" s="60">
        <v>75000000</v>
      </c>
      <c r="I11" s="61">
        <v>2.06E-2</v>
      </c>
      <c r="J11" s="60">
        <f t="shared" si="4"/>
        <v>76545000</v>
      </c>
      <c r="K11" s="10">
        <f t="shared" ca="1" si="5"/>
        <v>0</v>
      </c>
      <c r="L11" s="10">
        <f t="shared" ca="1" si="6"/>
        <v>76545000</v>
      </c>
      <c r="M11" s="10">
        <f t="shared" ca="1" si="7"/>
        <v>0</v>
      </c>
      <c r="N11" s="20"/>
      <c r="O11" s="51"/>
      <c r="P11" s="20"/>
      <c r="Q11" s="20"/>
    </row>
    <row r="12" spans="1:17" x14ac:dyDescent="0.3">
      <c r="A12" s="56" t="s">
        <v>257</v>
      </c>
      <c r="B12" s="56">
        <v>142901</v>
      </c>
      <c r="C12" s="57">
        <v>41680</v>
      </c>
      <c r="D12" s="57">
        <v>41820</v>
      </c>
      <c r="E12" s="9">
        <f t="shared" si="1"/>
        <v>140</v>
      </c>
      <c r="F12" s="9">
        <f t="shared" si="2"/>
        <v>20</v>
      </c>
      <c r="G12" s="9">
        <f t="shared" ca="1" si="3"/>
        <v>0</v>
      </c>
      <c r="H12" s="60">
        <v>90000000</v>
      </c>
      <c r="I12" s="61">
        <v>5.9000000000000004E-2</v>
      </c>
      <c r="J12" s="60">
        <f t="shared" si="4"/>
        <v>95310000</v>
      </c>
      <c r="K12" s="10">
        <f t="shared" ca="1" si="5"/>
        <v>0</v>
      </c>
      <c r="L12" s="10">
        <f t="shared" ca="1" si="6"/>
        <v>95310000</v>
      </c>
      <c r="M12" s="10">
        <f t="shared" ca="1" si="7"/>
        <v>0</v>
      </c>
      <c r="N12" s="20"/>
      <c r="O12" s="51"/>
      <c r="P12" s="20"/>
      <c r="Q12" s="20"/>
    </row>
    <row r="13" spans="1:17" x14ac:dyDescent="0.3">
      <c r="A13" s="56" t="s">
        <v>259</v>
      </c>
      <c r="B13" s="56">
        <v>142902</v>
      </c>
      <c r="C13" s="57">
        <v>41680</v>
      </c>
      <c r="D13" s="57">
        <v>41925</v>
      </c>
      <c r="E13" s="9">
        <f t="shared" si="1"/>
        <v>245</v>
      </c>
      <c r="F13" s="9">
        <f t="shared" si="2"/>
        <v>35</v>
      </c>
      <c r="G13" s="9">
        <f t="shared" ca="1" si="3"/>
        <v>0</v>
      </c>
      <c r="H13" s="60">
        <v>150000000</v>
      </c>
      <c r="I13" s="61">
        <v>4.9800000000000004E-2</v>
      </c>
      <c r="J13" s="60">
        <f t="shared" si="4"/>
        <v>157470000</v>
      </c>
      <c r="K13" s="10">
        <f t="shared" ca="1" si="5"/>
        <v>0</v>
      </c>
      <c r="L13" s="10">
        <f t="shared" ca="1" si="6"/>
        <v>157470000</v>
      </c>
      <c r="M13" s="10">
        <f t="shared" ca="1" si="7"/>
        <v>0</v>
      </c>
      <c r="N13" s="51"/>
      <c r="O13" s="51"/>
      <c r="P13" s="20"/>
      <c r="Q13" s="20"/>
    </row>
    <row r="14" spans="1:17" x14ac:dyDescent="0.3">
      <c r="A14" s="56" t="s">
        <v>257</v>
      </c>
      <c r="B14" s="56">
        <v>159542</v>
      </c>
      <c r="C14" s="57">
        <v>41718</v>
      </c>
      <c r="D14" s="57">
        <v>41816</v>
      </c>
      <c r="E14" s="9">
        <f t="shared" si="1"/>
        <v>98</v>
      </c>
      <c r="F14" s="9">
        <f t="shared" si="2"/>
        <v>14</v>
      </c>
      <c r="G14" s="9">
        <f t="shared" ca="1" si="3"/>
        <v>0</v>
      </c>
      <c r="H14" s="60">
        <v>157000000</v>
      </c>
      <c r="I14" s="61">
        <v>5.2999999999999999E-2</v>
      </c>
      <c r="J14" s="60">
        <f t="shared" si="4"/>
        <v>165321000</v>
      </c>
      <c r="K14" s="10">
        <f t="shared" ca="1" si="5"/>
        <v>0</v>
      </c>
      <c r="L14" s="10">
        <f t="shared" ca="1" si="6"/>
        <v>165321000</v>
      </c>
      <c r="M14" s="10">
        <f t="shared" ca="1" si="7"/>
        <v>0</v>
      </c>
      <c r="N14" s="51"/>
      <c r="O14" s="51"/>
      <c r="P14" s="20"/>
      <c r="Q14" s="20"/>
    </row>
    <row r="15" spans="1:17" x14ac:dyDescent="0.3">
      <c r="A15" s="56" t="s">
        <v>272</v>
      </c>
      <c r="B15" s="56">
        <v>159548</v>
      </c>
      <c r="C15" s="57">
        <v>41718</v>
      </c>
      <c r="D15" s="57">
        <v>41847</v>
      </c>
      <c r="E15" s="9">
        <f t="shared" si="1"/>
        <v>129</v>
      </c>
      <c r="F15" s="9">
        <f t="shared" si="2"/>
        <v>18</v>
      </c>
      <c r="G15" s="9">
        <f t="shared" ca="1" si="3"/>
        <v>0</v>
      </c>
      <c r="H15" s="60">
        <v>250000000</v>
      </c>
      <c r="I15" s="61">
        <v>0.12</v>
      </c>
      <c r="J15" s="60">
        <f t="shared" si="4"/>
        <v>280000000</v>
      </c>
      <c r="K15" s="10">
        <f t="shared" ca="1" si="5"/>
        <v>0</v>
      </c>
      <c r="L15" s="10">
        <f t="shared" ca="1" si="6"/>
        <v>280000000</v>
      </c>
      <c r="M15" s="10">
        <f t="shared" ca="1" si="7"/>
        <v>0</v>
      </c>
      <c r="N15" s="51"/>
      <c r="O15" s="51"/>
      <c r="P15" s="20"/>
      <c r="Q15" s="20"/>
    </row>
    <row r="16" spans="1:17" x14ac:dyDescent="0.3">
      <c r="A16" s="56" t="s">
        <v>256</v>
      </c>
      <c r="B16" s="56">
        <v>159545</v>
      </c>
      <c r="C16" s="57">
        <v>41718</v>
      </c>
      <c r="D16" s="57">
        <v>41878</v>
      </c>
      <c r="E16" s="9">
        <f t="shared" si="1"/>
        <v>160</v>
      </c>
      <c r="F16" s="9">
        <f t="shared" si="2"/>
        <v>23</v>
      </c>
      <c r="G16" s="9">
        <f t="shared" ca="1" si="3"/>
        <v>0</v>
      </c>
      <c r="H16" s="60">
        <v>129000000</v>
      </c>
      <c r="I16" s="61">
        <v>1.3299999999999999E-2</v>
      </c>
      <c r="J16" s="60">
        <f t="shared" si="4"/>
        <v>130715700</v>
      </c>
      <c r="K16" s="10">
        <f t="shared" ca="1" si="5"/>
        <v>0</v>
      </c>
      <c r="L16" s="10">
        <f t="shared" ca="1" si="6"/>
        <v>130715700</v>
      </c>
      <c r="M16" s="10">
        <f t="shared" ca="1" si="7"/>
        <v>0</v>
      </c>
      <c r="N16" s="51"/>
      <c r="O16" s="51"/>
      <c r="P16" s="20"/>
      <c r="Q16" s="20"/>
    </row>
    <row r="17" spans="1:17" x14ac:dyDescent="0.3">
      <c r="A17" s="56" t="s">
        <v>259</v>
      </c>
      <c r="B17" s="56">
        <v>159546</v>
      </c>
      <c r="C17" s="57">
        <v>41718</v>
      </c>
      <c r="D17" s="57">
        <v>41929</v>
      </c>
      <c r="E17" s="9">
        <f t="shared" si="1"/>
        <v>211</v>
      </c>
      <c r="F17" s="9">
        <f t="shared" si="2"/>
        <v>30</v>
      </c>
      <c r="G17" s="9">
        <f t="shared" ca="1" si="3"/>
        <v>0</v>
      </c>
      <c r="H17" s="60">
        <v>130000000</v>
      </c>
      <c r="I17" s="61">
        <v>6.9900000000000004E-2</v>
      </c>
      <c r="J17" s="60">
        <f t="shared" si="4"/>
        <v>139087000</v>
      </c>
      <c r="K17" s="10">
        <f t="shared" ca="1" si="5"/>
        <v>0</v>
      </c>
      <c r="L17" s="10">
        <f t="shared" ca="1" si="6"/>
        <v>139087000</v>
      </c>
      <c r="M17" s="10">
        <f t="shared" ca="1" si="7"/>
        <v>0</v>
      </c>
      <c r="N17" s="51"/>
      <c r="O17" s="51"/>
      <c r="P17" s="20"/>
      <c r="Q17" s="20"/>
    </row>
    <row r="18" spans="1:17" x14ac:dyDescent="0.3">
      <c r="A18" s="56" t="s">
        <v>272</v>
      </c>
      <c r="B18" s="56">
        <v>163778</v>
      </c>
      <c r="C18" s="57">
        <v>41729</v>
      </c>
      <c r="D18" s="57">
        <v>41816</v>
      </c>
      <c r="E18" s="9">
        <f t="shared" si="1"/>
        <v>87</v>
      </c>
      <c r="F18" s="9">
        <f t="shared" si="2"/>
        <v>12</v>
      </c>
      <c r="G18" s="9">
        <f t="shared" ca="1" si="3"/>
        <v>0</v>
      </c>
      <c r="H18" s="60">
        <v>863000000</v>
      </c>
      <c r="I18" s="61">
        <v>6.3100000000000003E-2</v>
      </c>
      <c r="J18" s="60">
        <f t="shared" si="4"/>
        <v>917455300</v>
      </c>
      <c r="K18" s="10">
        <f t="shared" ca="1" si="5"/>
        <v>0</v>
      </c>
      <c r="L18" s="10">
        <f t="shared" ca="1" si="6"/>
        <v>917455300</v>
      </c>
      <c r="M18" s="10">
        <f t="shared" ca="1" si="7"/>
        <v>0</v>
      </c>
      <c r="N18" s="20"/>
      <c r="O18" s="51"/>
      <c r="P18" s="20"/>
      <c r="Q18" s="20"/>
    </row>
    <row r="19" spans="1:17" x14ac:dyDescent="0.3">
      <c r="A19" s="56" t="s">
        <v>272</v>
      </c>
      <c r="B19" s="56">
        <v>163525</v>
      </c>
      <c r="C19" s="57">
        <v>41729</v>
      </c>
      <c r="D19" s="57">
        <v>41847</v>
      </c>
      <c r="E19" s="9">
        <f t="shared" si="1"/>
        <v>118</v>
      </c>
      <c r="F19" s="9">
        <f t="shared" si="2"/>
        <v>17</v>
      </c>
      <c r="G19" s="9">
        <f t="shared" ca="1" si="3"/>
        <v>0</v>
      </c>
      <c r="H19" s="60">
        <v>195000000</v>
      </c>
      <c r="I19" s="61">
        <v>6.3100000000000003E-2</v>
      </c>
      <c r="J19" s="60">
        <f t="shared" si="4"/>
        <v>207304500</v>
      </c>
      <c r="K19" s="10">
        <f t="shared" ca="1" si="5"/>
        <v>0</v>
      </c>
      <c r="L19" s="10">
        <f t="shared" ca="1" si="6"/>
        <v>207304500</v>
      </c>
      <c r="M19" s="10">
        <f t="shared" ca="1" si="7"/>
        <v>0</v>
      </c>
      <c r="N19" s="51"/>
      <c r="O19" s="51"/>
      <c r="P19" s="20"/>
      <c r="Q19" s="20"/>
    </row>
    <row r="20" spans="1:17" x14ac:dyDescent="0.3">
      <c r="A20" s="56" t="s">
        <v>257</v>
      </c>
      <c r="B20" s="56">
        <v>163698</v>
      </c>
      <c r="C20" s="57">
        <v>41729</v>
      </c>
      <c r="D20" s="57">
        <v>41847</v>
      </c>
      <c r="E20" s="9">
        <f t="shared" si="1"/>
        <v>118</v>
      </c>
      <c r="F20" s="9">
        <f t="shared" si="2"/>
        <v>17</v>
      </c>
      <c r="G20" s="9">
        <f t="shared" ca="1" si="3"/>
        <v>0</v>
      </c>
      <c r="H20" s="60">
        <v>170000000</v>
      </c>
      <c r="I20" s="61">
        <v>5.04E-2</v>
      </c>
      <c r="J20" s="60">
        <f t="shared" si="4"/>
        <v>178568000</v>
      </c>
      <c r="K20" s="10">
        <f t="shared" ca="1" si="5"/>
        <v>0</v>
      </c>
      <c r="L20" s="10">
        <f t="shared" ca="1" si="6"/>
        <v>178568000</v>
      </c>
      <c r="M20" s="10">
        <f t="shared" ca="1" si="7"/>
        <v>0</v>
      </c>
      <c r="N20" s="20"/>
      <c r="O20" s="51"/>
      <c r="P20" s="20"/>
      <c r="Q20" s="20"/>
    </row>
    <row r="21" spans="1:17" x14ac:dyDescent="0.3">
      <c r="A21" s="56" t="s">
        <v>256</v>
      </c>
      <c r="B21" s="56">
        <v>163741</v>
      </c>
      <c r="C21" s="57">
        <v>41729</v>
      </c>
      <c r="D21" s="57">
        <v>41878</v>
      </c>
      <c r="E21" s="9">
        <f t="shared" si="1"/>
        <v>149</v>
      </c>
      <c r="F21" s="9">
        <f t="shared" si="2"/>
        <v>21</v>
      </c>
      <c r="G21" s="9">
        <f t="shared" ca="1" si="3"/>
        <v>0</v>
      </c>
      <c r="H21" s="60">
        <v>150000000</v>
      </c>
      <c r="I21" s="61">
        <v>1.67E-2</v>
      </c>
      <c r="J21" s="60">
        <f t="shared" si="4"/>
        <v>152505000</v>
      </c>
      <c r="K21" s="10">
        <f t="shared" ca="1" si="5"/>
        <v>0</v>
      </c>
      <c r="L21" s="10">
        <f t="shared" ca="1" si="6"/>
        <v>152505000</v>
      </c>
      <c r="M21" s="10">
        <f t="shared" ca="1" si="7"/>
        <v>0</v>
      </c>
      <c r="N21" s="20"/>
      <c r="O21" s="51"/>
      <c r="P21" s="20"/>
      <c r="Q21" s="20"/>
    </row>
    <row r="22" spans="1:17" x14ac:dyDescent="0.3">
      <c r="A22" s="56" t="s">
        <v>259</v>
      </c>
      <c r="B22" s="56">
        <v>163699</v>
      </c>
      <c r="C22" s="57">
        <v>41729</v>
      </c>
      <c r="D22" s="57">
        <v>41929</v>
      </c>
      <c r="E22" s="9">
        <f t="shared" si="1"/>
        <v>200</v>
      </c>
      <c r="F22" s="9">
        <f t="shared" si="2"/>
        <v>29</v>
      </c>
      <c r="G22" s="9">
        <f t="shared" ca="1" si="3"/>
        <v>0</v>
      </c>
      <c r="H22" s="60">
        <v>157000000</v>
      </c>
      <c r="I22" s="61">
        <v>5.8500000000000003E-2</v>
      </c>
      <c r="J22" s="60">
        <f t="shared" si="4"/>
        <v>166184500</v>
      </c>
      <c r="K22" s="10">
        <f t="shared" ca="1" si="5"/>
        <v>0</v>
      </c>
      <c r="L22" s="10">
        <f t="shared" ca="1" si="6"/>
        <v>166184500</v>
      </c>
      <c r="M22" s="10">
        <f t="shared" ca="1" si="7"/>
        <v>0</v>
      </c>
      <c r="N22" s="51"/>
      <c r="O22" s="51"/>
      <c r="P22" s="20"/>
      <c r="Q22" s="20"/>
    </row>
    <row r="23" spans="1:17" x14ac:dyDescent="0.3">
      <c r="A23" s="56" t="s">
        <v>272</v>
      </c>
      <c r="B23" s="56">
        <v>174821</v>
      </c>
      <c r="C23" s="57">
        <v>41760</v>
      </c>
      <c r="D23" s="57">
        <v>41826</v>
      </c>
      <c r="E23" s="9">
        <f t="shared" si="1"/>
        <v>66</v>
      </c>
      <c r="F23" s="9">
        <f t="shared" si="2"/>
        <v>9</v>
      </c>
      <c r="G23" s="9">
        <f t="shared" ca="1" si="3"/>
        <v>0</v>
      </c>
      <c r="H23" s="60">
        <v>370000000</v>
      </c>
      <c r="I23" s="61">
        <v>8.2500000000000004E-2</v>
      </c>
      <c r="J23" s="60">
        <f t="shared" si="4"/>
        <v>400525000</v>
      </c>
      <c r="K23" s="10">
        <f t="shared" ca="1" si="5"/>
        <v>0</v>
      </c>
      <c r="L23" s="10">
        <f t="shared" ca="1" si="6"/>
        <v>400525000</v>
      </c>
      <c r="M23" s="10">
        <f t="shared" ca="1" si="7"/>
        <v>0</v>
      </c>
      <c r="N23" s="51"/>
      <c r="O23" s="51"/>
      <c r="P23" s="20"/>
      <c r="Q23" s="20"/>
    </row>
    <row r="24" spans="1:17" x14ac:dyDescent="0.3">
      <c r="A24" s="56" t="s">
        <v>257</v>
      </c>
      <c r="B24" s="56">
        <v>176699</v>
      </c>
      <c r="C24" s="57">
        <v>41760</v>
      </c>
      <c r="D24" s="57">
        <v>41826</v>
      </c>
      <c r="E24" s="9">
        <f t="shared" si="1"/>
        <v>66</v>
      </c>
      <c r="F24" s="9">
        <f t="shared" si="2"/>
        <v>9</v>
      </c>
      <c r="G24" s="9">
        <f t="shared" ca="1" si="3"/>
        <v>0</v>
      </c>
      <c r="H24" s="60">
        <v>193000000</v>
      </c>
      <c r="I24" s="61">
        <v>2.7400000000000001E-2</v>
      </c>
      <c r="J24" s="60">
        <f t="shared" si="4"/>
        <v>198288200</v>
      </c>
      <c r="K24" s="10">
        <f t="shared" ca="1" si="5"/>
        <v>0</v>
      </c>
      <c r="L24" s="10">
        <f t="shared" ca="1" si="6"/>
        <v>198288200</v>
      </c>
      <c r="M24" s="10">
        <f t="shared" ca="1" si="7"/>
        <v>0</v>
      </c>
      <c r="N24" s="20"/>
      <c r="O24" s="51"/>
      <c r="P24" s="20"/>
      <c r="Q24" s="20"/>
    </row>
    <row r="25" spans="1:17" x14ac:dyDescent="0.3">
      <c r="A25" s="56" t="s">
        <v>257</v>
      </c>
      <c r="B25" s="56">
        <v>176370</v>
      </c>
      <c r="C25" s="57">
        <v>41760</v>
      </c>
      <c r="D25" s="57">
        <v>41847</v>
      </c>
      <c r="E25" s="9">
        <f t="shared" si="1"/>
        <v>87</v>
      </c>
      <c r="F25" s="9">
        <f t="shared" si="2"/>
        <v>12</v>
      </c>
      <c r="G25" s="9">
        <f t="shared" ca="1" si="3"/>
        <v>0</v>
      </c>
      <c r="H25" s="60">
        <v>183000000</v>
      </c>
      <c r="I25" s="61">
        <v>2.7400000000000001E-2</v>
      </c>
      <c r="J25" s="60">
        <f t="shared" si="4"/>
        <v>188014200</v>
      </c>
      <c r="K25" s="10">
        <f t="shared" ca="1" si="5"/>
        <v>0</v>
      </c>
      <c r="L25" s="10">
        <f t="shared" ca="1" si="6"/>
        <v>188014200</v>
      </c>
      <c r="M25" s="10">
        <f t="shared" ca="1" si="7"/>
        <v>0</v>
      </c>
      <c r="N25" s="20"/>
      <c r="O25" s="51"/>
      <c r="P25" s="20"/>
      <c r="Q25" s="20"/>
    </row>
    <row r="26" spans="1:17" x14ac:dyDescent="0.3">
      <c r="A26" s="56" t="s">
        <v>256</v>
      </c>
      <c r="B26" s="56">
        <v>174785</v>
      </c>
      <c r="C26" s="57">
        <v>41760</v>
      </c>
      <c r="D26" s="57">
        <v>41878</v>
      </c>
      <c r="E26" s="9">
        <f t="shared" si="1"/>
        <v>118</v>
      </c>
      <c r="F26" s="9">
        <f t="shared" si="2"/>
        <v>17</v>
      </c>
      <c r="G26" s="9">
        <f t="shared" ca="1" si="3"/>
        <v>0</v>
      </c>
      <c r="H26" s="60">
        <v>57000000</v>
      </c>
      <c r="I26" s="61">
        <v>1.14E-2</v>
      </c>
      <c r="J26" s="60">
        <f t="shared" si="4"/>
        <v>57649800</v>
      </c>
      <c r="K26" s="10">
        <f t="shared" ca="1" si="5"/>
        <v>0</v>
      </c>
      <c r="L26" s="10">
        <f t="shared" ca="1" si="6"/>
        <v>57649800</v>
      </c>
      <c r="M26" s="10">
        <f t="shared" ca="1" si="7"/>
        <v>0</v>
      </c>
      <c r="N26" s="20"/>
      <c r="O26" s="51"/>
      <c r="P26" s="20"/>
      <c r="Q26" s="20"/>
    </row>
    <row r="27" spans="1:17" x14ac:dyDescent="0.3">
      <c r="A27" s="56" t="s">
        <v>256</v>
      </c>
      <c r="B27" s="56">
        <v>174909</v>
      </c>
      <c r="C27" s="57">
        <v>41760</v>
      </c>
      <c r="D27" s="57">
        <v>41878</v>
      </c>
      <c r="E27" s="9">
        <f t="shared" si="1"/>
        <v>118</v>
      </c>
      <c r="F27" s="9">
        <f t="shared" si="2"/>
        <v>17</v>
      </c>
      <c r="G27" s="9">
        <f t="shared" ca="1" si="3"/>
        <v>0</v>
      </c>
      <c r="H27" s="60">
        <v>82000000</v>
      </c>
      <c r="I27" s="61">
        <v>2.5000000000000001E-2</v>
      </c>
      <c r="J27" s="60">
        <f t="shared" si="4"/>
        <v>84050000</v>
      </c>
      <c r="K27" s="10">
        <f t="shared" ca="1" si="5"/>
        <v>0</v>
      </c>
      <c r="L27" s="10">
        <f t="shared" ca="1" si="6"/>
        <v>84050000</v>
      </c>
      <c r="M27" s="10">
        <f t="shared" ca="1" si="7"/>
        <v>0</v>
      </c>
      <c r="N27" s="20"/>
      <c r="O27" s="51"/>
      <c r="P27" s="20"/>
      <c r="Q27" s="20"/>
    </row>
    <row r="28" spans="1:17" x14ac:dyDescent="0.3">
      <c r="A28" s="56" t="s">
        <v>272</v>
      </c>
      <c r="B28" s="56">
        <v>174787</v>
      </c>
      <c r="C28" s="57">
        <v>41760</v>
      </c>
      <c r="D28" s="57">
        <v>41929</v>
      </c>
      <c r="E28" s="9">
        <f t="shared" si="1"/>
        <v>169</v>
      </c>
      <c r="F28" s="9">
        <f t="shared" si="2"/>
        <v>24</v>
      </c>
      <c r="G28" s="9">
        <f t="shared" ca="1" si="3"/>
        <v>0</v>
      </c>
      <c r="H28" s="60">
        <v>163000000</v>
      </c>
      <c r="I28" s="61">
        <v>8.2500000000000004E-2</v>
      </c>
      <c r="J28" s="60">
        <f t="shared" si="4"/>
        <v>176447500</v>
      </c>
      <c r="K28" s="10">
        <f t="shared" ca="1" si="5"/>
        <v>0</v>
      </c>
      <c r="L28" s="10">
        <f t="shared" ca="1" si="6"/>
        <v>176447500</v>
      </c>
      <c r="M28" s="10">
        <f t="shared" ca="1" si="7"/>
        <v>0</v>
      </c>
      <c r="N28" s="20"/>
      <c r="O28" s="51"/>
      <c r="P28" s="20"/>
      <c r="Q28" s="20"/>
    </row>
    <row r="29" spans="1:17" x14ac:dyDescent="0.3">
      <c r="A29" s="56" t="s">
        <v>259</v>
      </c>
      <c r="B29" s="56">
        <v>174786</v>
      </c>
      <c r="C29" s="57">
        <v>41760</v>
      </c>
      <c r="D29" s="57">
        <v>41934</v>
      </c>
      <c r="E29" s="9">
        <f t="shared" si="1"/>
        <v>174</v>
      </c>
      <c r="F29" s="9">
        <f t="shared" si="2"/>
        <v>25</v>
      </c>
      <c r="G29" s="9">
        <f t="shared" ca="1" si="3"/>
        <v>0</v>
      </c>
      <c r="H29" s="60">
        <v>156000000</v>
      </c>
      <c r="I29" s="61">
        <v>4.82E-2</v>
      </c>
      <c r="J29" s="60">
        <f t="shared" si="4"/>
        <v>163519200</v>
      </c>
      <c r="K29" s="10">
        <f t="shared" ca="1" si="5"/>
        <v>0</v>
      </c>
      <c r="L29" s="10">
        <f t="shared" ca="1" si="6"/>
        <v>163519200</v>
      </c>
      <c r="M29" s="10">
        <f t="shared" ca="1" si="7"/>
        <v>0</v>
      </c>
      <c r="N29" s="20"/>
      <c r="O29" s="51"/>
      <c r="P29" s="20"/>
      <c r="Q29" s="20"/>
    </row>
    <row r="30" spans="1:17" x14ac:dyDescent="0.3">
      <c r="A30" s="56" t="s">
        <v>259</v>
      </c>
      <c r="B30" s="56">
        <v>175392</v>
      </c>
      <c r="C30" s="57">
        <v>41760</v>
      </c>
      <c r="D30" s="57">
        <v>41934</v>
      </c>
      <c r="E30" s="9">
        <f t="shared" si="1"/>
        <v>174</v>
      </c>
      <c r="F30" s="9">
        <f t="shared" si="2"/>
        <v>25</v>
      </c>
      <c r="G30" s="9">
        <f t="shared" ca="1" si="3"/>
        <v>0</v>
      </c>
      <c r="H30" s="60">
        <v>123000000</v>
      </c>
      <c r="I30" s="61">
        <v>0.04</v>
      </c>
      <c r="J30" s="60">
        <f t="shared" si="4"/>
        <v>127920000</v>
      </c>
      <c r="K30" s="10">
        <f t="shared" ca="1" si="5"/>
        <v>0</v>
      </c>
      <c r="L30" s="10">
        <f t="shared" ca="1" si="6"/>
        <v>127920000</v>
      </c>
      <c r="M30" s="10">
        <f t="shared" ca="1" si="7"/>
        <v>0</v>
      </c>
      <c r="N30" s="20"/>
      <c r="O30" s="51"/>
      <c r="P30" s="20"/>
      <c r="Q30" s="20"/>
    </row>
    <row r="31" spans="1:17" x14ac:dyDescent="0.3">
      <c r="A31" s="56" t="s">
        <v>257</v>
      </c>
      <c r="B31" s="56">
        <v>190786</v>
      </c>
      <c r="C31" s="57">
        <v>41793</v>
      </c>
      <c r="D31" s="57">
        <v>41826</v>
      </c>
      <c r="E31" s="9">
        <f t="shared" si="1"/>
        <v>33</v>
      </c>
      <c r="F31" s="9">
        <f t="shared" si="2"/>
        <v>5</v>
      </c>
      <c r="G31" s="9">
        <f t="shared" ca="1" si="3"/>
        <v>0</v>
      </c>
      <c r="H31" s="60">
        <v>294000000</v>
      </c>
      <c r="I31" s="61">
        <v>3.2099999999999997E-2</v>
      </c>
      <c r="J31" s="60">
        <f t="shared" si="4"/>
        <v>303437400</v>
      </c>
      <c r="K31" s="10">
        <f t="shared" ca="1" si="5"/>
        <v>0</v>
      </c>
      <c r="L31" s="10">
        <f t="shared" ca="1" si="6"/>
        <v>303437400</v>
      </c>
      <c r="M31" s="10">
        <f t="shared" ca="1" si="7"/>
        <v>0</v>
      </c>
      <c r="N31" s="20"/>
      <c r="O31" s="51"/>
      <c r="P31" s="20"/>
      <c r="Q31" s="20"/>
    </row>
    <row r="32" spans="1:17" x14ac:dyDescent="0.3">
      <c r="A32" s="56" t="s">
        <v>256</v>
      </c>
      <c r="B32" s="56">
        <v>190510</v>
      </c>
      <c r="C32" s="57">
        <v>41793</v>
      </c>
      <c r="D32" s="57">
        <v>41929</v>
      </c>
      <c r="E32" s="9">
        <f t="shared" si="1"/>
        <v>136</v>
      </c>
      <c r="F32" s="9">
        <f t="shared" si="2"/>
        <v>19</v>
      </c>
      <c r="G32" s="9">
        <f t="shared" ca="1" si="3"/>
        <v>0</v>
      </c>
      <c r="H32" s="60">
        <v>76000000</v>
      </c>
      <c r="I32" s="61">
        <v>1.2500000000000001E-2</v>
      </c>
      <c r="J32" s="60">
        <f t="shared" si="4"/>
        <v>76950000</v>
      </c>
      <c r="K32" s="10">
        <f t="shared" ca="1" si="5"/>
        <v>0</v>
      </c>
      <c r="L32" s="10">
        <f t="shared" ca="1" si="6"/>
        <v>76950000</v>
      </c>
      <c r="M32" s="10">
        <f t="shared" ca="1" si="7"/>
        <v>0</v>
      </c>
      <c r="N32" s="20"/>
      <c r="O32" s="51"/>
      <c r="P32" s="20"/>
      <c r="Q32" s="20"/>
    </row>
    <row r="33" spans="1:17" x14ac:dyDescent="0.3">
      <c r="A33" s="56" t="s">
        <v>257</v>
      </c>
      <c r="B33" s="56">
        <v>190511</v>
      </c>
      <c r="C33" s="57">
        <v>41793</v>
      </c>
      <c r="D33" s="57">
        <v>41929</v>
      </c>
      <c r="E33" s="9">
        <f t="shared" si="1"/>
        <v>136</v>
      </c>
      <c r="F33" s="9">
        <f t="shared" si="2"/>
        <v>19</v>
      </c>
      <c r="G33" s="9">
        <f t="shared" ca="1" si="3"/>
        <v>0</v>
      </c>
      <c r="H33" s="60">
        <v>70000000</v>
      </c>
      <c r="I33" s="61">
        <v>3.2099999999999997E-2</v>
      </c>
      <c r="J33" s="60">
        <f t="shared" si="4"/>
        <v>72247000</v>
      </c>
      <c r="K33" s="10">
        <f t="shared" ca="1" si="5"/>
        <v>0</v>
      </c>
      <c r="L33" s="10">
        <f t="shared" ca="1" si="6"/>
        <v>72247000</v>
      </c>
      <c r="M33" s="10">
        <f t="shared" ca="1" si="7"/>
        <v>0</v>
      </c>
      <c r="N33" s="20"/>
      <c r="O33" s="51"/>
      <c r="P33" s="20"/>
      <c r="Q33" s="20"/>
    </row>
    <row r="34" spans="1:17" x14ac:dyDescent="0.3">
      <c r="A34" s="56" t="s">
        <v>256</v>
      </c>
      <c r="B34" s="56">
        <v>190593</v>
      </c>
      <c r="C34" s="57">
        <v>41793</v>
      </c>
      <c r="D34" s="57">
        <v>41929</v>
      </c>
      <c r="E34" s="9">
        <f t="shared" si="1"/>
        <v>136</v>
      </c>
      <c r="F34" s="9">
        <f t="shared" si="2"/>
        <v>19</v>
      </c>
      <c r="G34" s="9">
        <f t="shared" ca="1" si="3"/>
        <v>0</v>
      </c>
      <c r="H34" s="60">
        <v>103000000</v>
      </c>
      <c r="I34" s="61">
        <v>1.2500000000000001E-2</v>
      </c>
      <c r="J34" s="60">
        <f t="shared" si="4"/>
        <v>104287500</v>
      </c>
      <c r="K34" s="10">
        <f t="shared" ca="1" si="5"/>
        <v>0</v>
      </c>
      <c r="L34" s="10">
        <f t="shared" ca="1" si="6"/>
        <v>104287500</v>
      </c>
      <c r="M34" s="10">
        <f t="shared" ca="1" si="7"/>
        <v>0</v>
      </c>
      <c r="N34" s="20"/>
      <c r="O34" s="51"/>
      <c r="P34" s="20"/>
      <c r="Q34" s="20"/>
    </row>
    <row r="35" spans="1:17" x14ac:dyDescent="0.3">
      <c r="A35" s="56" t="s">
        <v>272</v>
      </c>
      <c r="B35" s="56">
        <v>190429</v>
      </c>
      <c r="C35" s="57">
        <v>41793</v>
      </c>
      <c r="D35" s="57">
        <v>41934</v>
      </c>
      <c r="E35" s="9">
        <f t="shared" si="1"/>
        <v>141</v>
      </c>
      <c r="F35" s="9">
        <f t="shared" si="2"/>
        <v>20</v>
      </c>
      <c r="G35" s="9">
        <f t="shared" ca="1" si="3"/>
        <v>0</v>
      </c>
      <c r="H35" s="60">
        <v>171000000</v>
      </c>
      <c r="I35" s="61">
        <v>0.06</v>
      </c>
      <c r="J35" s="60">
        <f t="shared" si="4"/>
        <v>181260000</v>
      </c>
      <c r="K35" s="10">
        <f t="shared" ca="1" si="5"/>
        <v>0</v>
      </c>
      <c r="L35" s="10">
        <f t="shared" ca="1" si="6"/>
        <v>181260000</v>
      </c>
      <c r="M35" s="10">
        <f t="shared" ca="1" si="7"/>
        <v>0</v>
      </c>
      <c r="N35" s="20"/>
      <c r="O35" s="51"/>
      <c r="P35" s="20"/>
      <c r="Q35" s="20"/>
    </row>
    <row r="36" spans="1:17" x14ac:dyDescent="0.3">
      <c r="A36" s="56" t="s">
        <v>259</v>
      </c>
      <c r="B36" s="56">
        <v>190512</v>
      </c>
      <c r="C36" s="57">
        <v>41793</v>
      </c>
      <c r="D36" s="57">
        <v>41934</v>
      </c>
      <c r="E36" s="9">
        <f t="shared" si="1"/>
        <v>141</v>
      </c>
      <c r="F36" s="9">
        <f t="shared" si="2"/>
        <v>20</v>
      </c>
      <c r="G36" s="9">
        <f t="shared" ca="1" si="3"/>
        <v>0</v>
      </c>
      <c r="H36" s="60">
        <v>111000000</v>
      </c>
      <c r="I36" s="61">
        <v>4.8599999999999997E-2</v>
      </c>
      <c r="J36" s="60">
        <f t="shared" si="4"/>
        <v>116394600</v>
      </c>
      <c r="K36" s="10">
        <f t="shared" ca="1" si="5"/>
        <v>0</v>
      </c>
      <c r="L36" s="10">
        <f t="shared" ca="1" si="6"/>
        <v>116394600</v>
      </c>
      <c r="M36" s="10">
        <f t="shared" ca="1" si="7"/>
        <v>0</v>
      </c>
      <c r="N36" s="20"/>
      <c r="O36" s="51"/>
      <c r="P36" s="20"/>
      <c r="Q36" s="20"/>
    </row>
    <row r="37" spans="1:17" x14ac:dyDescent="0.3">
      <c r="A37" s="56" t="s">
        <v>259</v>
      </c>
      <c r="B37" s="56">
        <v>190948</v>
      </c>
      <c r="C37" s="57">
        <v>41793</v>
      </c>
      <c r="D37" s="57">
        <v>41934</v>
      </c>
      <c r="E37" s="9">
        <f t="shared" ref="E37:E68" si="9">D37-C37</f>
        <v>141</v>
      </c>
      <c r="F37" s="9">
        <f t="shared" si="2"/>
        <v>20</v>
      </c>
      <c r="G37" s="9">
        <f t="shared" ref="G37:G68" ca="1" si="10">IF(NOW()&gt;=D37,0,-ROUND((NOW()-C37-E37)/7,0))</f>
        <v>0</v>
      </c>
      <c r="H37" s="60">
        <v>138000000</v>
      </c>
      <c r="I37" s="61">
        <v>0.04</v>
      </c>
      <c r="J37" s="60">
        <f t="shared" ref="J37:J68" si="11">H37*I37+H37</f>
        <v>143520000</v>
      </c>
      <c r="K37" s="10">
        <f t="shared" ref="K37:K68" ca="1" si="12">IF(G37=0,0,ROUND(J37/F37,0))</f>
        <v>0</v>
      </c>
      <c r="L37" s="10">
        <f t="shared" ref="L37:L68" ca="1" si="13">IFERROR((F37-G37)*(J37/F37),0)</f>
        <v>143520000</v>
      </c>
      <c r="M37" s="10">
        <f t="shared" ref="M37:M68" ca="1" si="14">J37-L37</f>
        <v>0</v>
      </c>
      <c r="N37" s="20"/>
      <c r="O37" s="51"/>
      <c r="P37" s="20"/>
      <c r="Q37" s="20"/>
    </row>
    <row r="38" spans="1:17" x14ac:dyDescent="0.3">
      <c r="A38" s="56" t="s">
        <v>272</v>
      </c>
      <c r="B38" s="56">
        <v>190513</v>
      </c>
      <c r="C38" s="57">
        <v>41793</v>
      </c>
      <c r="D38" s="57">
        <v>41938</v>
      </c>
      <c r="E38" s="9">
        <f t="shared" si="9"/>
        <v>145</v>
      </c>
      <c r="F38" s="9">
        <f t="shared" si="2"/>
        <v>21</v>
      </c>
      <c r="G38" s="9">
        <f t="shared" ca="1" si="10"/>
        <v>0</v>
      </c>
      <c r="H38" s="60">
        <v>189000000</v>
      </c>
      <c r="I38" s="61">
        <v>0.06</v>
      </c>
      <c r="J38" s="60">
        <f t="shared" si="11"/>
        <v>200340000</v>
      </c>
      <c r="K38" s="10">
        <f t="shared" ca="1" si="12"/>
        <v>0</v>
      </c>
      <c r="L38" s="10">
        <f t="shared" ca="1" si="13"/>
        <v>200340000</v>
      </c>
      <c r="M38" s="10">
        <f t="shared" ca="1" si="14"/>
        <v>0</v>
      </c>
      <c r="N38" s="20"/>
      <c r="O38" s="51"/>
      <c r="P38" s="20"/>
      <c r="Q38" s="20"/>
    </row>
    <row r="39" spans="1:17" x14ac:dyDescent="0.3">
      <c r="A39" s="56" t="s">
        <v>256</v>
      </c>
      <c r="B39" s="56">
        <v>200404</v>
      </c>
      <c r="C39" s="57">
        <v>41814</v>
      </c>
      <c r="D39" s="57">
        <v>41929</v>
      </c>
      <c r="E39" s="9">
        <f t="shared" si="9"/>
        <v>115</v>
      </c>
      <c r="F39" s="9">
        <v>25</v>
      </c>
      <c r="G39" s="9">
        <f t="shared" ca="1" si="10"/>
        <v>0</v>
      </c>
      <c r="H39" s="60">
        <v>61000000</v>
      </c>
      <c r="I39" s="61">
        <v>0.01</v>
      </c>
      <c r="J39" s="60">
        <f t="shared" si="11"/>
        <v>61610000</v>
      </c>
      <c r="K39" s="10">
        <f t="shared" ca="1" si="12"/>
        <v>0</v>
      </c>
      <c r="L39" s="10">
        <f t="shared" ca="1" si="13"/>
        <v>61610000</v>
      </c>
      <c r="M39" s="10">
        <f t="shared" ca="1" si="14"/>
        <v>0</v>
      </c>
      <c r="N39" s="20"/>
      <c r="O39" s="51"/>
      <c r="P39" s="20"/>
      <c r="Q39" s="20"/>
    </row>
    <row r="40" spans="1:17" x14ac:dyDescent="0.3">
      <c r="A40" s="56" t="s">
        <v>257</v>
      </c>
      <c r="B40" s="56">
        <v>200406</v>
      </c>
      <c r="C40" s="57">
        <v>41814</v>
      </c>
      <c r="D40" s="57">
        <v>41929</v>
      </c>
      <c r="E40" s="9">
        <f t="shared" si="9"/>
        <v>115</v>
      </c>
      <c r="F40" s="9">
        <v>20</v>
      </c>
      <c r="G40" s="9">
        <f t="shared" ca="1" si="10"/>
        <v>0</v>
      </c>
      <c r="H40" s="60">
        <v>124000000</v>
      </c>
      <c r="I40" s="61">
        <v>4.7699999999999999E-2</v>
      </c>
      <c r="J40" s="60">
        <f t="shared" si="11"/>
        <v>129914800</v>
      </c>
      <c r="K40" s="10">
        <f t="shared" ca="1" si="12"/>
        <v>0</v>
      </c>
      <c r="L40" s="10">
        <f t="shared" ca="1" si="13"/>
        <v>129914800</v>
      </c>
      <c r="M40" s="10">
        <f t="shared" ca="1" si="14"/>
        <v>0</v>
      </c>
      <c r="N40" s="20"/>
      <c r="O40" s="51"/>
      <c r="P40" s="20"/>
      <c r="Q40" s="20"/>
    </row>
    <row r="41" spans="1:17" x14ac:dyDescent="0.3">
      <c r="A41" s="56" t="s">
        <v>272</v>
      </c>
      <c r="B41" s="56">
        <v>200407</v>
      </c>
      <c r="C41" s="57">
        <v>41814</v>
      </c>
      <c r="D41" s="57">
        <v>41938</v>
      </c>
      <c r="E41" s="9">
        <f t="shared" si="9"/>
        <v>124</v>
      </c>
      <c r="F41" s="9">
        <v>30</v>
      </c>
      <c r="G41" s="9">
        <f t="shared" ca="1" si="10"/>
        <v>0</v>
      </c>
      <c r="H41" s="60">
        <v>150000000</v>
      </c>
      <c r="I41" s="61">
        <v>0.1036</v>
      </c>
      <c r="J41" s="60">
        <f t="shared" si="11"/>
        <v>165540000</v>
      </c>
      <c r="K41" s="10">
        <f t="shared" ca="1" si="12"/>
        <v>0</v>
      </c>
      <c r="L41" s="10">
        <f t="shared" ca="1" si="13"/>
        <v>165540000</v>
      </c>
      <c r="M41" s="10">
        <f t="shared" ca="1" si="14"/>
        <v>0</v>
      </c>
      <c r="N41" s="20"/>
      <c r="O41" s="51"/>
      <c r="P41" s="20"/>
      <c r="Q41" s="20"/>
    </row>
    <row r="42" spans="1:17" x14ac:dyDescent="0.3">
      <c r="A42" s="56" t="s">
        <v>257</v>
      </c>
      <c r="B42" s="56">
        <v>216385</v>
      </c>
      <c r="C42" s="57">
        <v>41861</v>
      </c>
      <c r="D42" s="57">
        <v>41878</v>
      </c>
      <c r="E42" s="9">
        <f t="shared" si="9"/>
        <v>17</v>
      </c>
      <c r="F42" s="9">
        <v>20</v>
      </c>
      <c r="G42" s="9">
        <f t="shared" ca="1" si="10"/>
        <v>0</v>
      </c>
      <c r="H42" s="60">
        <v>606000000</v>
      </c>
      <c r="I42" s="61">
        <v>2.4899999999999999E-2</v>
      </c>
      <c r="J42" s="60">
        <f t="shared" si="11"/>
        <v>621089400</v>
      </c>
      <c r="K42" s="10">
        <f t="shared" ca="1" si="12"/>
        <v>0</v>
      </c>
      <c r="L42" s="10">
        <f t="shared" ca="1" si="13"/>
        <v>621089400</v>
      </c>
      <c r="M42" s="10">
        <f t="shared" ca="1" si="14"/>
        <v>0</v>
      </c>
      <c r="N42" s="51"/>
      <c r="O42" s="51"/>
      <c r="P42" s="20"/>
      <c r="Q42" s="20"/>
    </row>
    <row r="43" spans="1:17" x14ac:dyDescent="0.3">
      <c r="A43" s="56" t="s">
        <v>257</v>
      </c>
      <c r="B43" s="56">
        <v>215134</v>
      </c>
      <c r="C43" s="57">
        <v>41861</v>
      </c>
      <c r="D43" s="57">
        <v>41929</v>
      </c>
      <c r="E43" s="9">
        <f t="shared" si="9"/>
        <v>68</v>
      </c>
      <c r="F43" s="9">
        <v>20</v>
      </c>
      <c r="G43" s="9">
        <f t="shared" ca="1" si="10"/>
        <v>0</v>
      </c>
      <c r="H43" s="60">
        <v>217000000</v>
      </c>
      <c r="I43" s="61">
        <v>2.4899999999999999E-2</v>
      </c>
      <c r="J43" s="60">
        <f t="shared" si="11"/>
        <v>222403300</v>
      </c>
      <c r="K43" s="10">
        <f t="shared" ca="1" si="12"/>
        <v>0</v>
      </c>
      <c r="L43" s="10">
        <f t="shared" ca="1" si="13"/>
        <v>222403300</v>
      </c>
      <c r="M43" s="10">
        <f t="shared" ca="1" si="14"/>
        <v>0</v>
      </c>
      <c r="N43" s="51"/>
      <c r="O43" s="51"/>
      <c r="P43" s="20"/>
      <c r="Q43" s="20"/>
    </row>
    <row r="44" spans="1:17" x14ac:dyDescent="0.3">
      <c r="A44" s="56" t="s">
        <v>256</v>
      </c>
      <c r="B44" s="56">
        <v>215702</v>
      </c>
      <c r="C44" s="57">
        <v>41861</v>
      </c>
      <c r="D44" s="57">
        <v>41929</v>
      </c>
      <c r="E44" s="9">
        <f t="shared" si="9"/>
        <v>68</v>
      </c>
      <c r="F44" s="9">
        <v>25</v>
      </c>
      <c r="G44" s="9">
        <f t="shared" ca="1" si="10"/>
        <v>0</v>
      </c>
      <c r="H44" s="60">
        <v>273000000</v>
      </c>
      <c r="I44" s="61">
        <v>0.01</v>
      </c>
      <c r="J44" s="60">
        <f t="shared" si="11"/>
        <v>275730000</v>
      </c>
      <c r="K44" s="10">
        <f t="shared" ca="1" si="12"/>
        <v>0</v>
      </c>
      <c r="L44" s="10">
        <f t="shared" ca="1" si="13"/>
        <v>275730000</v>
      </c>
      <c r="M44" s="10">
        <f t="shared" ca="1" si="14"/>
        <v>0</v>
      </c>
      <c r="N44" s="51"/>
      <c r="O44" s="51"/>
      <c r="P44" s="20"/>
      <c r="Q44" s="20"/>
    </row>
    <row r="45" spans="1:17" x14ac:dyDescent="0.3">
      <c r="A45" s="56" t="s">
        <v>256</v>
      </c>
      <c r="B45" s="56">
        <v>215135</v>
      </c>
      <c r="C45" s="57">
        <v>41861</v>
      </c>
      <c r="D45" s="57">
        <v>41934</v>
      </c>
      <c r="E45" s="9">
        <f t="shared" si="9"/>
        <v>73</v>
      </c>
      <c r="F45" s="9">
        <v>25</v>
      </c>
      <c r="G45" s="9">
        <f t="shared" ca="1" si="10"/>
        <v>0</v>
      </c>
      <c r="H45" s="60">
        <v>93000000</v>
      </c>
      <c r="I45" s="61">
        <v>1.3299999999999999E-2</v>
      </c>
      <c r="J45" s="60">
        <f t="shared" si="11"/>
        <v>94236900</v>
      </c>
      <c r="K45" s="10">
        <f t="shared" ca="1" si="12"/>
        <v>0</v>
      </c>
      <c r="L45" s="10">
        <f t="shared" ca="1" si="13"/>
        <v>94236900</v>
      </c>
      <c r="M45" s="10">
        <f t="shared" ca="1" si="14"/>
        <v>0</v>
      </c>
      <c r="N45" s="51"/>
      <c r="O45" s="51"/>
      <c r="P45" s="20"/>
      <c r="Q45" s="20"/>
    </row>
    <row r="46" spans="1:17" x14ac:dyDescent="0.3">
      <c r="A46" s="56" t="s">
        <v>272</v>
      </c>
      <c r="B46" s="56">
        <v>215191</v>
      </c>
      <c r="C46" s="57">
        <v>41861</v>
      </c>
      <c r="D46" s="57">
        <v>41938</v>
      </c>
      <c r="E46" s="9">
        <f t="shared" si="9"/>
        <v>77</v>
      </c>
      <c r="F46" s="9">
        <v>30</v>
      </c>
      <c r="G46" s="9">
        <f t="shared" ca="1" si="10"/>
        <v>0</v>
      </c>
      <c r="H46" s="60">
        <v>405000000</v>
      </c>
      <c r="I46" s="61">
        <v>0.1009</v>
      </c>
      <c r="J46" s="60">
        <f t="shared" si="11"/>
        <v>445864500</v>
      </c>
      <c r="K46" s="10">
        <f t="shared" ca="1" si="12"/>
        <v>0</v>
      </c>
      <c r="L46" s="10">
        <f t="shared" ca="1" si="13"/>
        <v>445864500</v>
      </c>
      <c r="M46" s="10">
        <f t="shared" ca="1" si="14"/>
        <v>0</v>
      </c>
      <c r="N46" s="51"/>
      <c r="O46" s="51"/>
      <c r="P46" s="20"/>
      <c r="Q46" s="20"/>
    </row>
    <row r="47" spans="1:17" x14ac:dyDescent="0.3">
      <c r="A47" s="56" t="s">
        <v>259</v>
      </c>
      <c r="B47" s="56">
        <v>215323</v>
      </c>
      <c r="C47" s="57">
        <v>41861</v>
      </c>
      <c r="D47" s="57">
        <v>42047</v>
      </c>
      <c r="E47" s="9">
        <f t="shared" si="9"/>
        <v>186</v>
      </c>
      <c r="F47" s="9">
        <v>35</v>
      </c>
      <c r="G47" s="9">
        <f t="shared" ca="1" si="10"/>
        <v>0</v>
      </c>
      <c r="H47" s="60">
        <v>588000000</v>
      </c>
      <c r="I47" s="61">
        <v>6.5799999999999997E-2</v>
      </c>
      <c r="J47" s="60">
        <f t="shared" si="11"/>
        <v>626690400</v>
      </c>
      <c r="K47" s="10">
        <f t="shared" ca="1" si="12"/>
        <v>0</v>
      </c>
      <c r="L47" s="10">
        <f t="shared" ca="1" si="13"/>
        <v>626690400</v>
      </c>
      <c r="M47" s="10">
        <f t="shared" ca="1" si="14"/>
        <v>0</v>
      </c>
      <c r="N47" s="51"/>
      <c r="O47" s="51"/>
      <c r="P47" s="20"/>
      <c r="Q47" s="20"/>
    </row>
    <row r="48" spans="1:17" x14ac:dyDescent="0.3">
      <c r="A48" s="56" t="s">
        <v>272</v>
      </c>
      <c r="B48" s="56">
        <v>215895</v>
      </c>
      <c r="C48" s="57">
        <v>41861</v>
      </c>
      <c r="D48" s="57">
        <v>42047</v>
      </c>
      <c r="E48" s="9">
        <f t="shared" si="9"/>
        <v>186</v>
      </c>
      <c r="F48" s="9">
        <v>30</v>
      </c>
      <c r="G48" s="9">
        <f t="shared" ca="1" si="10"/>
        <v>0</v>
      </c>
      <c r="H48" s="60">
        <v>1167000000</v>
      </c>
      <c r="I48" s="61">
        <v>9.5000000000000001E-2</v>
      </c>
      <c r="J48" s="60">
        <f t="shared" si="11"/>
        <v>1277865000</v>
      </c>
      <c r="K48" s="10">
        <f t="shared" ca="1" si="12"/>
        <v>0</v>
      </c>
      <c r="L48" s="10">
        <f t="shared" ca="1" si="13"/>
        <v>1277865000</v>
      </c>
      <c r="M48" s="10">
        <f t="shared" ca="1" si="14"/>
        <v>0</v>
      </c>
      <c r="N48" s="51"/>
      <c r="O48" s="51"/>
      <c r="P48" s="20"/>
      <c r="Q48" s="20"/>
    </row>
    <row r="49" spans="1:17" x14ac:dyDescent="0.3">
      <c r="A49" s="56" t="s">
        <v>259</v>
      </c>
      <c r="B49" s="56">
        <v>215189</v>
      </c>
      <c r="C49" s="57">
        <v>41861</v>
      </c>
      <c r="D49" s="57">
        <v>42047</v>
      </c>
      <c r="E49" s="9">
        <f t="shared" si="9"/>
        <v>186</v>
      </c>
      <c r="F49" s="9">
        <v>35</v>
      </c>
      <c r="G49" s="9">
        <f t="shared" ca="1" si="10"/>
        <v>0</v>
      </c>
      <c r="H49" s="60">
        <v>219000000</v>
      </c>
      <c r="I49" s="61">
        <v>6.5799999999999997E-2</v>
      </c>
      <c r="J49" s="60">
        <f t="shared" si="11"/>
        <v>233410200</v>
      </c>
      <c r="K49" s="10">
        <f t="shared" ca="1" si="12"/>
        <v>0</v>
      </c>
      <c r="L49" s="10">
        <f t="shared" ca="1" si="13"/>
        <v>233410200</v>
      </c>
      <c r="M49" s="10">
        <f t="shared" ca="1" si="14"/>
        <v>0</v>
      </c>
      <c r="N49" s="51"/>
      <c r="O49" s="51"/>
      <c r="P49" s="20"/>
      <c r="Q49" s="20"/>
    </row>
    <row r="50" spans="1:17" x14ac:dyDescent="0.3">
      <c r="A50" s="56" t="s">
        <v>256</v>
      </c>
      <c r="B50" s="56">
        <v>235976</v>
      </c>
      <c r="C50" s="57">
        <v>41905</v>
      </c>
      <c r="D50" s="57">
        <v>41938</v>
      </c>
      <c r="E50" s="9">
        <f t="shared" si="9"/>
        <v>33</v>
      </c>
      <c r="F50" s="9">
        <v>25</v>
      </c>
      <c r="G50" s="9">
        <f t="shared" ca="1" si="10"/>
        <v>0</v>
      </c>
      <c r="H50" s="60">
        <v>114000000</v>
      </c>
      <c r="I50" s="61">
        <v>1.32E-2</v>
      </c>
      <c r="J50" s="60">
        <f t="shared" si="11"/>
        <v>115504800</v>
      </c>
      <c r="K50" s="10">
        <f t="shared" ca="1" si="12"/>
        <v>0</v>
      </c>
      <c r="L50" s="10">
        <f t="shared" ca="1" si="13"/>
        <v>115504800</v>
      </c>
      <c r="M50" s="10">
        <f t="shared" ca="1" si="14"/>
        <v>0</v>
      </c>
      <c r="N50" s="51"/>
      <c r="O50" s="51"/>
      <c r="P50" s="20"/>
      <c r="Q50" s="51"/>
    </row>
    <row r="51" spans="1:17" x14ac:dyDescent="0.3">
      <c r="A51" s="56" t="s">
        <v>257</v>
      </c>
      <c r="B51" s="56">
        <v>235977</v>
      </c>
      <c r="C51" s="57">
        <v>41905</v>
      </c>
      <c r="D51" s="57">
        <v>41938</v>
      </c>
      <c r="E51" s="9">
        <f t="shared" si="9"/>
        <v>33</v>
      </c>
      <c r="F51" s="9">
        <v>20</v>
      </c>
      <c r="G51" s="9">
        <f t="shared" ca="1" si="10"/>
        <v>0</v>
      </c>
      <c r="H51" s="60">
        <v>126000000</v>
      </c>
      <c r="I51" s="61">
        <v>2.2700000000000001E-2</v>
      </c>
      <c r="J51" s="60">
        <f t="shared" si="11"/>
        <v>128860200</v>
      </c>
      <c r="K51" s="10">
        <f t="shared" ca="1" si="12"/>
        <v>0</v>
      </c>
      <c r="L51" s="10">
        <f t="shared" ca="1" si="13"/>
        <v>128860200</v>
      </c>
      <c r="M51" s="10">
        <f t="shared" ca="1" si="14"/>
        <v>0</v>
      </c>
      <c r="N51" s="51"/>
      <c r="O51" s="51"/>
      <c r="P51" s="51"/>
      <c r="Q51" s="20"/>
    </row>
    <row r="52" spans="1:17" x14ac:dyDescent="0.3">
      <c r="A52" s="56" t="s">
        <v>272</v>
      </c>
      <c r="B52" s="56">
        <v>235979</v>
      </c>
      <c r="C52" s="57">
        <v>41905</v>
      </c>
      <c r="D52" s="57">
        <v>42047</v>
      </c>
      <c r="E52" s="9">
        <f t="shared" si="9"/>
        <v>142</v>
      </c>
      <c r="F52" s="9">
        <v>30</v>
      </c>
      <c r="G52" s="9">
        <f t="shared" ca="1" si="10"/>
        <v>0</v>
      </c>
      <c r="H52" s="60">
        <v>201000000</v>
      </c>
      <c r="I52" s="61">
        <v>8.1100000000000005E-2</v>
      </c>
      <c r="J52" s="60">
        <f t="shared" si="11"/>
        <v>217301100</v>
      </c>
      <c r="K52" s="10">
        <f t="shared" ca="1" si="12"/>
        <v>0</v>
      </c>
      <c r="L52" s="10">
        <f t="shared" ca="1" si="13"/>
        <v>217301100</v>
      </c>
      <c r="M52" s="10">
        <f t="shared" ca="1" si="14"/>
        <v>0</v>
      </c>
      <c r="N52" s="51"/>
      <c r="O52" s="51"/>
      <c r="P52" s="20"/>
      <c r="Q52" s="20"/>
    </row>
    <row r="53" spans="1:17" x14ac:dyDescent="0.3">
      <c r="A53" s="56" t="s">
        <v>259</v>
      </c>
      <c r="B53" s="56">
        <v>235978</v>
      </c>
      <c r="C53" s="57">
        <v>41905</v>
      </c>
      <c r="D53" s="57">
        <v>42092</v>
      </c>
      <c r="E53" s="9">
        <f t="shared" si="9"/>
        <v>187</v>
      </c>
      <c r="F53" s="9">
        <v>35</v>
      </c>
      <c r="G53" s="9">
        <f t="shared" ca="1" si="10"/>
        <v>0</v>
      </c>
      <c r="H53" s="60">
        <v>149000000</v>
      </c>
      <c r="I53" s="61">
        <v>5.3400000000000003E-2</v>
      </c>
      <c r="J53" s="60">
        <f t="shared" si="11"/>
        <v>156956600</v>
      </c>
      <c r="K53" s="10">
        <f t="shared" ca="1" si="12"/>
        <v>0</v>
      </c>
      <c r="L53" s="10">
        <f t="shared" ca="1" si="13"/>
        <v>156956600</v>
      </c>
      <c r="M53" s="10">
        <f t="shared" ca="1" si="14"/>
        <v>0</v>
      </c>
      <c r="N53" s="51"/>
      <c r="O53" s="51"/>
      <c r="P53" s="20"/>
      <c r="Q53" s="20"/>
    </row>
    <row r="54" spans="1:17" x14ac:dyDescent="0.3">
      <c r="A54" s="56" t="s">
        <v>256</v>
      </c>
      <c r="B54" s="56">
        <v>240719</v>
      </c>
      <c r="C54" s="57">
        <v>41918</v>
      </c>
      <c r="D54" s="57">
        <v>42047</v>
      </c>
      <c r="E54" s="9">
        <f t="shared" si="9"/>
        <v>129</v>
      </c>
      <c r="F54" s="9">
        <v>40</v>
      </c>
      <c r="G54" s="9">
        <f t="shared" ca="1" si="10"/>
        <v>0</v>
      </c>
      <c r="H54" s="60">
        <v>201435733</v>
      </c>
      <c r="I54" s="61">
        <v>5.0999999999999997E-2</v>
      </c>
      <c r="J54" s="60">
        <f t="shared" si="11"/>
        <v>211708955.38299999</v>
      </c>
      <c r="K54" s="10">
        <f t="shared" ca="1" si="12"/>
        <v>0</v>
      </c>
      <c r="L54" s="10">
        <f t="shared" ca="1" si="13"/>
        <v>211708955.38300002</v>
      </c>
      <c r="M54" s="10">
        <f t="shared" ca="1" si="14"/>
        <v>0</v>
      </c>
      <c r="N54" s="20"/>
      <c r="O54" s="51"/>
      <c r="P54" s="20"/>
      <c r="Q54" s="20"/>
    </row>
    <row r="55" spans="1:17" x14ac:dyDescent="0.3">
      <c r="A55" s="56" t="s">
        <v>257</v>
      </c>
      <c r="B55" s="56">
        <v>241307</v>
      </c>
      <c r="C55" s="57">
        <v>41918</v>
      </c>
      <c r="D55" s="57">
        <v>42092</v>
      </c>
      <c r="E55" s="9">
        <f t="shared" si="9"/>
        <v>174</v>
      </c>
      <c r="F55" s="9">
        <v>35</v>
      </c>
      <c r="G55" s="9">
        <f t="shared" ca="1" si="10"/>
        <v>0</v>
      </c>
      <c r="H55" s="60">
        <v>606000000</v>
      </c>
      <c r="I55" s="61">
        <v>7.3099999999999998E-2</v>
      </c>
      <c r="J55" s="60">
        <f t="shared" si="11"/>
        <v>650298600</v>
      </c>
      <c r="K55" s="10">
        <f t="shared" ca="1" si="12"/>
        <v>0</v>
      </c>
      <c r="L55" s="10">
        <f t="shared" ca="1" si="13"/>
        <v>650298600</v>
      </c>
      <c r="M55" s="10">
        <f t="shared" ca="1" si="14"/>
        <v>0</v>
      </c>
      <c r="N55" s="90"/>
      <c r="O55" s="51"/>
      <c r="P55" s="20"/>
      <c r="Q55" s="20"/>
    </row>
    <row r="56" spans="1:17" x14ac:dyDescent="0.3">
      <c r="A56" s="56" t="s">
        <v>259</v>
      </c>
      <c r="B56" s="56">
        <v>241390</v>
      </c>
      <c r="C56" s="57">
        <v>41918</v>
      </c>
      <c r="D56" s="57">
        <v>42119</v>
      </c>
      <c r="E56" s="9">
        <f t="shared" si="9"/>
        <v>201</v>
      </c>
      <c r="F56" s="9">
        <v>50</v>
      </c>
      <c r="G56" s="9">
        <f t="shared" ca="1" si="10"/>
        <v>0</v>
      </c>
      <c r="H56" s="60">
        <v>199000000</v>
      </c>
      <c r="I56" s="61">
        <v>7.0000000000000007E-2</v>
      </c>
      <c r="J56" s="60">
        <f t="shared" si="11"/>
        <v>212930000</v>
      </c>
      <c r="K56" s="10">
        <f t="shared" ca="1" si="12"/>
        <v>0</v>
      </c>
      <c r="L56" s="10">
        <f t="shared" ca="1" si="13"/>
        <v>212930000</v>
      </c>
      <c r="M56" s="99">
        <f t="shared" ca="1" si="14"/>
        <v>0</v>
      </c>
      <c r="N56" s="20"/>
      <c r="O56" s="51"/>
      <c r="P56" s="20"/>
      <c r="Q56" s="20"/>
    </row>
    <row r="57" spans="1:17" x14ac:dyDescent="0.3">
      <c r="A57" s="56" t="s">
        <v>272</v>
      </c>
      <c r="B57" s="56">
        <v>241332</v>
      </c>
      <c r="C57" s="57">
        <v>41918</v>
      </c>
      <c r="D57" s="57">
        <v>42234</v>
      </c>
      <c r="E57" s="9">
        <f t="shared" si="9"/>
        <v>316</v>
      </c>
      <c r="F57" s="9">
        <v>45</v>
      </c>
      <c r="G57" s="9">
        <f t="shared" ca="1" si="10"/>
        <v>0</v>
      </c>
      <c r="H57" s="60">
        <v>241000000</v>
      </c>
      <c r="I57" s="61">
        <v>0.15329999999999999</v>
      </c>
      <c r="J57" s="60">
        <f t="shared" si="11"/>
        <v>277945300</v>
      </c>
      <c r="K57" s="10">
        <f t="shared" ca="1" si="12"/>
        <v>0</v>
      </c>
      <c r="L57" s="10">
        <f t="shared" ca="1" si="13"/>
        <v>277945300</v>
      </c>
      <c r="M57" s="99">
        <f t="shared" ca="1" si="14"/>
        <v>0</v>
      </c>
      <c r="N57" s="20"/>
      <c r="O57" s="51"/>
      <c r="P57" s="20"/>
      <c r="Q57" s="20"/>
    </row>
    <row r="58" spans="1:17" x14ac:dyDescent="0.3">
      <c r="A58" s="56" t="s">
        <v>257</v>
      </c>
      <c r="B58" s="98">
        <v>251382</v>
      </c>
      <c r="C58" s="57">
        <v>41948</v>
      </c>
      <c r="D58" s="57">
        <v>42092</v>
      </c>
      <c r="E58" s="9">
        <f t="shared" si="9"/>
        <v>144</v>
      </c>
      <c r="F58" s="9">
        <v>35</v>
      </c>
      <c r="G58" s="9">
        <f t="shared" ca="1" si="10"/>
        <v>0</v>
      </c>
      <c r="H58" s="60">
        <v>350000000</v>
      </c>
      <c r="I58" s="61">
        <v>8.8599999999999998E-2</v>
      </c>
      <c r="J58" s="60">
        <f t="shared" si="11"/>
        <v>381010000</v>
      </c>
      <c r="K58" s="10">
        <f t="shared" ca="1" si="12"/>
        <v>0</v>
      </c>
      <c r="L58" s="10">
        <f t="shared" ca="1" si="13"/>
        <v>381010000</v>
      </c>
      <c r="M58" s="10">
        <f t="shared" ca="1" si="14"/>
        <v>0</v>
      </c>
      <c r="N58" s="90"/>
      <c r="O58" s="51"/>
      <c r="P58" s="20"/>
      <c r="Q58" s="20"/>
    </row>
    <row r="59" spans="1:17" x14ac:dyDescent="0.3">
      <c r="A59" s="56" t="s">
        <v>259</v>
      </c>
      <c r="B59" s="98">
        <v>251383</v>
      </c>
      <c r="C59" s="57">
        <v>41948</v>
      </c>
      <c r="D59" s="57">
        <v>42119</v>
      </c>
      <c r="E59" s="9">
        <f t="shared" si="9"/>
        <v>171</v>
      </c>
      <c r="F59" s="9">
        <v>50</v>
      </c>
      <c r="G59" s="9">
        <f t="shared" ca="1" si="10"/>
        <v>0</v>
      </c>
      <c r="H59" s="60">
        <v>234000000</v>
      </c>
      <c r="I59" s="61">
        <v>0.11600000000000001</v>
      </c>
      <c r="J59" s="60">
        <f t="shared" si="11"/>
        <v>261144000</v>
      </c>
      <c r="K59" s="10">
        <f t="shared" ca="1" si="12"/>
        <v>0</v>
      </c>
      <c r="L59" s="10">
        <f t="shared" ca="1" si="13"/>
        <v>261144000</v>
      </c>
      <c r="M59" s="99">
        <f t="shared" ca="1" si="14"/>
        <v>0</v>
      </c>
      <c r="N59" s="90"/>
      <c r="O59" s="51"/>
      <c r="P59" s="20"/>
      <c r="Q59" s="20"/>
    </row>
    <row r="60" spans="1:17" x14ac:dyDescent="0.3">
      <c r="A60" s="56" t="s">
        <v>256</v>
      </c>
      <c r="B60" s="98">
        <v>251380</v>
      </c>
      <c r="C60" s="57">
        <v>41948</v>
      </c>
      <c r="D60" s="57">
        <v>42119</v>
      </c>
      <c r="E60" s="9">
        <f t="shared" si="9"/>
        <v>171</v>
      </c>
      <c r="F60" s="9">
        <v>40</v>
      </c>
      <c r="G60" s="9">
        <f t="shared" ca="1" si="10"/>
        <v>0</v>
      </c>
      <c r="H60" s="60">
        <v>250000000</v>
      </c>
      <c r="I60" s="61">
        <v>3.9399999999999998E-2</v>
      </c>
      <c r="J60" s="60">
        <f t="shared" si="11"/>
        <v>259850000</v>
      </c>
      <c r="K60" s="10">
        <f t="shared" ca="1" si="12"/>
        <v>0</v>
      </c>
      <c r="L60" s="10">
        <f t="shared" ca="1" si="13"/>
        <v>259850000</v>
      </c>
      <c r="M60" s="99">
        <f t="shared" ca="1" si="14"/>
        <v>0</v>
      </c>
      <c r="N60" s="90"/>
      <c r="O60" s="51"/>
      <c r="P60" s="20"/>
      <c r="Q60" s="20"/>
    </row>
    <row r="61" spans="1:17" x14ac:dyDescent="0.3">
      <c r="A61" s="56" t="s">
        <v>272</v>
      </c>
      <c r="B61" s="98">
        <v>251384</v>
      </c>
      <c r="C61" s="57">
        <v>41962</v>
      </c>
      <c r="D61" s="57">
        <v>42215</v>
      </c>
      <c r="E61" s="9">
        <f t="shared" si="9"/>
        <v>253</v>
      </c>
      <c r="F61" s="9">
        <v>45</v>
      </c>
      <c r="G61" s="9">
        <f t="shared" ca="1" si="10"/>
        <v>0</v>
      </c>
      <c r="H61" s="60">
        <v>585000000</v>
      </c>
      <c r="I61" s="61">
        <v>0.15129999999999999</v>
      </c>
      <c r="J61" s="60">
        <f t="shared" si="11"/>
        <v>673510500</v>
      </c>
      <c r="K61" s="10">
        <f t="shared" ca="1" si="12"/>
        <v>0</v>
      </c>
      <c r="L61" s="10">
        <f t="shared" ca="1" si="13"/>
        <v>673510500</v>
      </c>
      <c r="M61" s="10">
        <f t="shared" ca="1" si="14"/>
        <v>0</v>
      </c>
      <c r="N61" s="51"/>
      <c r="P61" s="20"/>
    </row>
    <row r="62" spans="1:17" x14ac:dyDescent="0.3">
      <c r="A62" s="56" t="s">
        <v>256</v>
      </c>
      <c r="B62" s="98">
        <v>260498</v>
      </c>
      <c r="C62" s="57">
        <v>41973</v>
      </c>
      <c r="D62" s="57">
        <v>42092</v>
      </c>
      <c r="E62" s="9">
        <f t="shared" si="9"/>
        <v>119</v>
      </c>
      <c r="F62" s="9">
        <v>40</v>
      </c>
      <c r="G62" s="9">
        <f t="shared" ca="1" si="10"/>
        <v>0</v>
      </c>
      <c r="H62" s="60">
        <v>280000000</v>
      </c>
      <c r="I62" s="61">
        <v>4.8800000000000003E-2</v>
      </c>
      <c r="J62" s="60">
        <f t="shared" si="11"/>
        <v>293664000</v>
      </c>
      <c r="K62" s="10">
        <f t="shared" ca="1" si="12"/>
        <v>0</v>
      </c>
      <c r="L62" s="10">
        <f t="shared" ca="1" si="13"/>
        <v>293664000</v>
      </c>
      <c r="M62" s="10">
        <f t="shared" ca="1" si="14"/>
        <v>0</v>
      </c>
      <c r="N62" s="51"/>
    </row>
    <row r="63" spans="1:17" x14ac:dyDescent="0.3">
      <c r="A63" s="56" t="s">
        <v>272</v>
      </c>
      <c r="B63" s="98">
        <v>265432</v>
      </c>
      <c r="C63" s="57">
        <v>41978</v>
      </c>
      <c r="D63" s="57">
        <v>42119</v>
      </c>
      <c r="E63" s="9">
        <f t="shared" si="9"/>
        <v>141</v>
      </c>
      <c r="F63" s="9">
        <v>45</v>
      </c>
      <c r="G63" s="9">
        <f t="shared" ca="1" si="10"/>
        <v>0</v>
      </c>
      <c r="H63" s="60">
        <v>722000000</v>
      </c>
      <c r="I63" s="61">
        <v>0.25800000000000001</v>
      </c>
      <c r="J63" s="60">
        <f t="shared" si="11"/>
        <v>908276000</v>
      </c>
      <c r="K63" s="10">
        <f t="shared" ca="1" si="12"/>
        <v>0</v>
      </c>
      <c r="L63" s="10">
        <f t="shared" ca="1" si="13"/>
        <v>908276000</v>
      </c>
      <c r="M63" s="10">
        <f t="shared" ca="1" si="14"/>
        <v>0</v>
      </c>
      <c r="N63" s="51"/>
    </row>
    <row r="64" spans="1:17" x14ac:dyDescent="0.3">
      <c r="A64" s="56" t="s">
        <v>257</v>
      </c>
      <c r="B64" s="98">
        <v>265433</v>
      </c>
      <c r="C64" s="57">
        <v>41978</v>
      </c>
      <c r="D64" s="57">
        <v>42119</v>
      </c>
      <c r="E64" s="9">
        <f t="shared" si="9"/>
        <v>141</v>
      </c>
      <c r="F64" s="9">
        <v>35</v>
      </c>
      <c r="G64" s="9">
        <f t="shared" ca="1" si="10"/>
        <v>0</v>
      </c>
      <c r="H64" s="60">
        <v>195000000</v>
      </c>
      <c r="I64" s="61">
        <v>9.0700000000000003E-2</v>
      </c>
      <c r="J64" s="60">
        <f t="shared" si="11"/>
        <v>212686500</v>
      </c>
      <c r="K64" s="10">
        <f t="shared" ca="1" si="12"/>
        <v>0</v>
      </c>
      <c r="L64" s="10">
        <f t="shared" ca="1" si="13"/>
        <v>212686500</v>
      </c>
      <c r="M64" s="99">
        <f t="shared" ca="1" si="14"/>
        <v>0</v>
      </c>
      <c r="N64" s="51"/>
    </row>
    <row r="65" spans="1:24" x14ac:dyDescent="0.3">
      <c r="A65" s="56" t="s">
        <v>259</v>
      </c>
      <c r="B65" s="98">
        <v>265434</v>
      </c>
      <c r="C65" s="57">
        <v>41978</v>
      </c>
      <c r="D65" s="57">
        <v>42215</v>
      </c>
      <c r="E65" s="9">
        <f t="shared" si="9"/>
        <v>237</v>
      </c>
      <c r="F65" s="9">
        <v>50</v>
      </c>
      <c r="G65" s="9">
        <f t="shared" ca="1" si="10"/>
        <v>0</v>
      </c>
      <c r="H65" s="60">
        <v>466000000</v>
      </c>
      <c r="I65" s="61">
        <v>0.15679999999999999</v>
      </c>
      <c r="J65" s="60">
        <f t="shared" si="11"/>
        <v>539068800</v>
      </c>
      <c r="K65" s="10">
        <f t="shared" ca="1" si="12"/>
        <v>0</v>
      </c>
      <c r="L65" s="10">
        <f t="shared" ca="1" si="13"/>
        <v>539068800</v>
      </c>
      <c r="M65" s="99">
        <f t="shared" ca="1" si="14"/>
        <v>0</v>
      </c>
      <c r="N65" s="51"/>
    </row>
    <row r="66" spans="1:24" x14ac:dyDescent="0.3">
      <c r="A66" s="56" t="s">
        <v>257</v>
      </c>
      <c r="B66" s="98">
        <v>302521</v>
      </c>
      <c r="C66" s="57">
        <v>42063</v>
      </c>
      <c r="D66" s="57">
        <v>42092</v>
      </c>
      <c r="E66" s="9">
        <f t="shared" si="9"/>
        <v>29</v>
      </c>
      <c r="F66" s="9">
        <v>20</v>
      </c>
      <c r="G66" s="9">
        <f t="shared" ca="1" si="10"/>
        <v>0</v>
      </c>
      <c r="H66" s="60">
        <v>174000000</v>
      </c>
      <c r="I66" s="61">
        <v>3.4200000000000001E-2</v>
      </c>
      <c r="J66" s="60">
        <f t="shared" si="11"/>
        <v>179950800</v>
      </c>
      <c r="K66" s="10">
        <f t="shared" ca="1" si="12"/>
        <v>0</v>
      </c>
      <c r="L66" s="10">
        <f t="shared" ca="1" si="13"/>
        <v>179950800</v>
      </c>
      <c r="M66" s="10">
        <f t="shared" ca="1" si="14"/>
        <v>0</v>
      </c>
      <c r="N66" s="51"/>
    </row>
    <row r="67" spans="1:24" x14ac:dyDescent="0.3">
      <c r="A67" s="56" t="s">
        <v>256</v>
      </c>
      <c r="B67" s="98">
        <v>302519</v>
      </c>
      <c r="C67" s="57">
        <v>42063</v>
      </c>
      <c r="D67" s="57">
        <v>42092</v>
      </c>
      <c r="E67" s="9">
        <f t="shared" si="9"/>
        <v>29</v>
      </c>
      <c r="F67" s="9">
        <v>25</v>
      </c>
      <c r="G67" s="9">
        <f t="shared" ca="1" si="10"/>
        <v>0</v>
      </c>
      <c r="H67" s="60">
        <v>103000000</v>
      </c>
      <c r="I67" s="61">
        <v>1.3100000000000001E-2</v>
      </c>
      <c r="J67" s="60">
        <f t="shared" si="11"/>
        <v>104349300</v>
      </c>
      <c r="K67" s="10">
        <f t="shared" ca="1" si="12"/>
        <v>0</v>
      </c>
      <c r="L67" s="10">
        <f t="shared" ca="1" si="13"/>
        <v>104349300</v>
      </c>
      <c r="M67" s="10">
        <f t="shared" ca="1" si="14"/>
        <v>0</v>
      </c>
      <c r="N67" s="51"/>
    </row>
    <row r="68" spans="1:24" x14ac:dyDescent="0.3">
      <c r="A68" s="56" t="s">
        <v>272</v>
      </c>
      <c r="B68" s="98">
        <v>302530</v>
      </c>
      <c r="C68" s="57">
        <v>42063</v>
      </c>
      <c r="D68" s="57">
        <v>42119</v>
      </c>
      <c r="E68" s="9">
        <f t="shared" si="9"/>
        <v>56</v>
      </c>
      <c r="F68" s="9">
        <v>30</v>
      </c>
      <c r="G68" s="9">
        <f t="shared" ca="1" si="10"/>
        <v>0</v>
      </c>
      <c r="H68" s="60">
        <v>374000000</v>
      </c>
      <c r="I68" s="61">
        <v>9.1700000000000004E-2</v>
      </c>
      <c r="J68" s="60">
        <f t="shared" si="11"/>
        <v>408295800</v>
      </c>
      <c r="K68" s="10">
        <f t="shared" ca="1" si="12"/>
        <v>0</v>
      </c>
      <c r="L68" s="10">
        <f t="shared" ca="1" si="13"/>
        <v>408295800</v>
      </c>
      <c r="M68" s="99">
        <f t="shared" ca="1" si="14"/>
        <v>0</v>
      </c>
      <c r="N68" s="51"/>
    </row>
    <row r="69" spans="1:24" x14ac:dyDescent="0.3">
      <c r="A69" s="56" t="s">
        <v>259</v>
      </c>
      <c r="B69" s="98">
        <v>302529</v>
      </c>
      <c r="C69" s="57">
        <v>42063</v>
      </c>
      <c r="D69" s="57">
        <v>42119</v>
      </c>
      <c r="E69" s="9">
        <f t="shared" ref="E69:E80" si="15">D69-C69</f>
        <v>56</v>
      </c>
      <c r="F69" s="9">
        <v>35</v>
      </c>
      <c r="G69" s="9">
        <f t="shared" ref="G69:G80" ca="1" si="16">IF(NOW()&gt;=D69,0,-ROUND((NOW()-C69-E69)/7,0))</f>
        <v>0</v>
      </c>
      <c r="H69" s="60">
        <v>299000000</v>
      </c>
      <c r="I69" s="61">
        <v>4.8599999999999997E-2</v>
      </c>
      <c r="J69" s="60">
        <f t="shared" ref="J69:J80" si="17">H69*I69+H69</f>
        <v>313531400</v>
      </c>
      <c r="K69" s="10">
        <f t="shared" ref="K69:K80" ca="1" si="18">IF(G69=0,0,ROUND(J69/F69,0))</f>
        <v>0</v>
      </c>
      <c r="L69" s="10">
        <f t="shared" ref="L69:L80" ca="1" si="19">IFERROR((F69-G69)*(J69/F69),0)</f>
        <v>313531400</v>
      </c>
      <c r="M69" s="99">
        <f t="shared" ref="M69:M80" ca="1" si="20">J69-L69</f>
        <v>0</v>
      </c>
      <c r="N69" s="51"/>
    </row>
    <row r="70" spans="1:24" x14ac:dyDescent="0.3">
      <c r="A70" s="56" t="s">
        <v>257</v>
      </c>
      <c r="B70" s="98">
        <v>302523</v>
      </c>
      <c r="C70" s="57">
        <v>42063</v>
      </c>
      <c r="D70" s="57">
        <v>42119</v>
      </c>
      <c r="E70" s="9">
        <f t="shared" si="15"/>
        <v>56</v>
      </c>
      <c r="F70" s="9">
        <v>20</v>
      </c>
      <c r="G70" s="9">
        <f t="shared" ca="1" si="16"/>
        <v>0</v>
      </c>
      <c r="H70" s="60">
        <v>320000000</v>
      </c>
      <c r="I70" s="61">
        <v>5.4899999999999997E-2</v>
      </c>
      <c r="J70" s="60">
        <f t="shared" si="17"/>
        <v>337568000</v>
      </c>
      <c r="K70" s="10">
        <f t="shared" ca="1" si="18"/>
        <v>0</v>
      </c>
      <c r="L70" s="10">
        <f t="shared" ca="1" si="19"/>
        <v>337568000</v>
      </c>
      <c r="M70" s="99">
        <f t="shared" ca="1" si="20"/>
        <v>0</v>
      </c>
      <c r="N70" s="51"/>
    </row>
    <row r="71" spans="1:24" x14ac:dyDescent="0.3">
      <c r="A71" s="56" t="s">
        <v>256</v>
      </c>
      <c r="B71" s="98">
        <v>302517</v>
      </c>
      <c r="C71" s="57">
        <v>42063</v>
      </c>
      <c r="D71" s="57">
        <v>42119</v>
      </c>
      <c r="E71" s="9">
        <f t="shared" si="15"/>
        <v>56</v>
      </c>
      <c r="F71" s="9">
        <v>25</v>
      </c>
      <c r="G71" s="9">
        <f t="shared" ca="1" si="16"/>
        <v>0</v>
      </c>
      <c r="H71" s="60">
        <v>291000000</v>
      </c>
      <c r="I71" s="61">
        <v>1.72E-2</v>
      </c>
      <c r="J71" s="60">
        <f t="shared" si="17"/>
        <v>296005200</v>
      </c>
      <c r="K71" s="10">
        <f t="shared" ca="1" si="18"/>
        <v>0</v>
      </c>
      <c r="L71" s="10">
        <f t="shared" ca="1" si="19"/>
        <v>296005200</v>
      </c>
      <c r="M71" s="99">
        <f t="shared" ca="1" si="20"/>
        <v>0</v>
      </c>
      <c r="N71" s="51"/>
    </row>
    <row r="72" spans="1:24" x14ac:dyDescent="0.3">
      <c r="A72" s="56" t="s">
        <v>259</v>
      </c>
      <c r="B72" s="98">
        <v>302526</v>
      </c>
      <c r="C72" s="57">
        <v>42063</v>
      </c>
      <c r="D72" s="57">
        <v>42215</v>
      </c>
      <c r="E72" s="9">
        <f t="shared" si="15"/>
        <v>152</v>
      </c>
      <c r="F72" s="9">
        <v>35</v>
      </c>
      <c r="G72" s="9">
        <f t="shared" ca="1" si="16"/>
        <v>0</v>
      </c>
      <c r="H72" s="60">
        <v>516000000</v>
      </c>
      <c r="I72" s="61">
        <v>7.9200000000000007E-2</v>
      </c>
      <c r="J72" s="60">
        <f t="shared" si="17"/>
        <v>556867200</v>
      </c>
      <c r="K72" s="10">
        <f t="shared" ca="1" si="18"/>
        <v>0</v>
      </c>
      <c r="L72" s="10">
        <f t="shared" ca="1" si="19"/>
        <v>556867200</v>
      </c>
      <c r="M72" s="10">
        <f t="shared" ca="1" si="20"/>
        <v>0</v>
      </c>
      <c r="N72" s="51"/>
    </row>
    <row r="73" spans="1:24" x14ac:dyDescent="0.3">
      <c r="A73" s="56" t="s">
        <v>256</v>
      </c>
      <c r="B73" s="98">
        <v>319537</v>
      </c>
      <c r="C73" s="57">
        <v>42101</v>
      </c>
      <c r="D73" s="57">
        <v>42119</v>
      </c>
      <c r="E73" s="9">
        <f t="shared" si="15"/>
        <v>18</v>
      </c>
      <c r="F73" s="9">
        <v>40</v>
      </c>
      <c r="G73" s="9">
        <f t="shared" ca="1" si="16"/>
        <v>0</v>
      </c>
      <c r="H73" s="60">
        <v>234000000</v>
      </c>
      <c r="I73" s="61">
        <v>3.4000000000000002E-2</v>
      </c>
      <c r="J73" s="60">
        <f t="shared" si="17"/>
        <v>241956000</v>
      </c>
      <c r="K73" s="10">
        <f t="shared" ca="1" si="18"/>
        <v>0</v>
      </c>
      <c r="L73" s="10">
        <f t="shared" ca="1" si="19"/>
        <v>241956000</v>
      </c>
      <c r="M73" s="99">
        <f t="shared" ca="1" si="20"/>
        <v>0</v>
      </c>
      <c r="N73" s="51"/>
    </row>
    <row r="74" spans="1:24" x14ac:dyDescent="0.3">
      <c r="A74" s="56" t="s">
        <v>256</v>
      </c>
      <c r="B74" s="98">
        <v>319536</v>
      </c>
      <c r="C74" s="57">
        <v>42101</v>
      </c>
      <c r="D74" s="57">
        <v>42119</v>
      </c>
      <c r="E74" s="9">
        <f t="shared" si="15"/>
        <v>18</v>
      </c>
      <c r="F74" s="9">
        <v>40</v>
      </c>
      <c r="G74" s="9">
        <f t="shared" ca="1" si="16"/>
        <v>0</v>
      </c>
      <c r="H74" s="60">
        <v>123000000</v>
      </c>
      <c r="I74" s="61">
        <v>3.3700000000000001E-2</v>
      </c>
      <c r="J74" s="60">
        <f t="shared" si="17"/>
        <v>127145100</v>
      </c>
      <c r="K74" s="10">
        <f t="shared" ca="1" si="18"/>
        <v>0</v>
      </c>
      <c r="L74" s="10">
        <f t="shared" ca="1" si="19"/>
        <v>127145100</v>
      </c>
      <c r="M74" s="99">
        <f t="shared" ca="1" si="20"/>
        <v>0</v>
      </c>
      <c r="N74" s="51"/>
    </row>
    <row r="75" spans="1:24" x14ac:dyDescent="0.3">
      <c r="A75" s="56" t="s">
        <v>273</v>
      </c>
      <c r="B75" s="187">
        <v>319532</v>
      </c>
      <c r="C75" s="57">
        <v>42101</v>
      </c>
      <c r="D75" s="57">
        <v>42215</v>
      </c>
      <c r="E75" s="9">
        <f t="shared" si="15"/>
        <v>114</v>
      </c>
      <c r="F75" s="9">
        <v>45</v>
      </c>
      <c r="G75" s="9">
        <f t="shared" ca="1" si="16"/>
        <v>0</v>
      </c>
      <c r="H75" s="60">
        <v>1800000000</v>
      </c>
      <c r="I75" s="61">
        <v>0.30719999999999997</v>
      </c>
      <c r="J75" s="60">
        <f t="shared" si="17"/>
        <v>2352960000</v>
      </c>
      <c r="K75" s="10">
        <f t="shared" ca="1" si="18"/>
        <v>0</v>
      </c>
      <c r="L75" s="10">
        <f t="shared" ca="1" si="19"/>
        <v>2352960000</v>
      </c>
      <c r="M75" s="10">
        <f t="shared" ca="1" si="20"/>
        <v>0</v>
      </c>
      <c r="N75" s="51"/>
    </row>
    <row r="76" spans="1:24" x14ac:dyDescent="0.3">
      <c r="A76" s="56" t="s">
        <v>273</v>
      </c>
      <c r="B76" s="187">
        <v>319530</v>
      </c>
      <c r="C76" s="57">
        <v>42101</v>
      </c>
      <c r="D76" s="57">
        <v>42215</v>
      </c>
      <c r="E76" s="9">
        <f t="shared" si="15"/>
        <v>114</v>
      </c>
      <c r="F76" s="9">
        <v>45</v>
      </c>
      <c r="G76" s="9">
        <f t="shared" ca="1" si="16"/>
        <v>0</v>
      </c>
      <c r="H76" s="60">
        <v>1000000000</v>
      </c>
      <c r="I76" s="61">
        <v>0.2046</v>
      </c>
      <c r="J76" s="60">
        <f t="shared" si="17"/>
        <v>1204600000</v>
      </c>
      <c r="K76" s="10">
        <f t="shared" ca="1" si="18"/>
        <v>0</v>
      </c>
      <c r="L76" s="10">
        <f t="shared" ca="1" si="19"/>
        <v>1204600000</v>
      </c>
      <c r="M76" s="10">
        <f t="shared" ca="1" si="20"/>
        <v>0</v>
      </c>
      <c r="N76" s="51"/>
    </row>
    <row r="77" spans="1:24" x14ac:dyDescent="0.3">
      <c r="A77" s="56" t="s">
        <v>272</v>
      </c>
      <c r="B77" s="187">
        <v>319539</v>
      </c>
      <c r="C77" s="57">
        <v>42101</v>
      </c>
      <c r="D77" s="57">
        <v>42215</v>
      </c>
      <c r="E77" s="9">
        <f t="shared" si="15"/>
        <v>114</v>
      </c>
      <c r="F77" s="9">
        <v>45</v>
      </c>
      <c r="G77" s="9">
        <f t="shared" ca="1" si="16"/>
        <v>0</v>
      </c>
      <c r="H77" s="60">
        <v>940000000</v>
      </c>
      <c r="I77" s="61">
        <v>0.25230000000000002</v>
      </c>
      <c r="J77" s="60">
        <f t="shared" si="17"/>
        <v>1177162000</v>
      </c>
      <c r="K77" s="10">
        <f t="shared" ca="1" si="18"/>
        <v>0</v>
      </c>
      <c r="L77" s="10">
        <f t="shared" ca="1" si="19"/>
        <v>1177162000</v>
      </c>
      <c r="M77" s="10">
        <f t="shared" ca="1" si="20"/>
        <v>0</v>
      </c>
      <c r="N77" s="51"/>
    </row>
    <row r="78" spans="1:24" x14ac:dyDescent="0.3">
      <c r="A78" s="56" t="s">
        <v>257</v>
      </c>
      <c r="B78" s="187">
        <v>319533</v>
      </c>
      <c r="C78" s="57">
        <v>42101</v>
      </c>
      <c r="D78" s="57">
        <v>42215</v>
      </c>
      <c r="E78" s="9">
        <f t="shared" si="15"/>
        <v>114</v>
      </c>
      <c r="F78" s="9">
        <v>35</v>
      </c>
      <c r="G78" s="9">
        <f t="shared" ca="1" si="16"/>
        <v>0</v>
      </c>
      <c r="H78" s="60">
        <v>350000000</v>
      </c>
      <c r="I78" s="61">
        <v>8.3699999999999997E-2</v>
      </c>
      <c r="J78" s="60">
        <f t="shared" si="17"/>
        <v>379295000</v>
      </c>
      <c r="K78" s="10">
        <f t="shared" ca="1" si="18"/>
        <v>0</v>
      </c>
      <c r="L78" s="10">
        <f t="shared" ca="1" si="19"/>
        <v>379295000</v>
      </c>
      <c r="M78" s="10">
        <f t="shared" ca="1" si="20"/>
        <v>0</v>
      </c>
      <c r="N78" s="51"/>
      <c r="P78" s="38">
        <f>P80*1.16</f>
        <v>392683200</v>
      </c>
      <c r="T78" t="s">
        <v>1033</v>
      </c>
    </row>
    <row r="79" spans="1:24" x14ac:dyDescent="0.3">
      <c r="A79" s="56" t="s">
        <v>257</v>
      </c>
      <c r="B79" s="187">
        <v>319534</v>
      </c>
      <c r="C79" s="57">
        <v>42101</v>
      </c>
      <c r="D79" s="57">
        <v>42215</v>
      </c>
      <c r="E79" s="9">
        <f t="shared" si="15"/>
        <v>114</v>
      </c>
      <c r="F79" s="9">
        <v>35</v>
      </c>
      <c r="G79" s="9">
        <f t="shared" ca="1" si="16"/>
        <v>0</v>
      </c>
      <c r="H79" s="60">
        <v>320000000</v>
      </c>
      <c r="I79" s="61">
        <v>0.1239</v>
      </c>
      <c r="J79" s="60">
        <f t="shared" si="17"/>
        <v>359648000</v>
      </c>
      <c r="K79" s="10">
        <f t="shared" ca="1" si="18"/>
        <v>0</v>
      </c>
      <c r="L79" s="10">
        <f t="shared" ca="1" si="19"/>
        <v>359648000</v>
      </c>
      <c r="M79" s="10">
        <f t="shared" ca="1" si="20"/>
        <v>0</v>
      </c>
      <c r="N79" s="51"/>
      <c r="T79" s="38">
        <v>3668275.51</v>
      </c>
      <c r="V79" t="s">
        <v>1034</v>
      </c>
      <c r="W79" t="s">
        <v>1035</v>
      </c>
    </row>
    <row r="80" spans="1:24" x14ac:dyDescent="0.3">
      <c r="A80" s="56" t="s">
        <v>256</v>
      </c>
      <c r="B80" s="187">
        <v>416201</v>
      </c>
      <c r="C80" s="57">
        <v>42334</v>
      </c>
      <c r="D80" s="57">
        <f>C80+(7*F80)</f>
        <v>42614</v>
      </c>
      <c r="E80" s="9">
        <f t="shared" si="15"/>
        <v>280</v>
      </c>
      <c r="F80" s="9">
        <v>40</v>
      </c>
      <c r="G80" s="9">
        <f t="shared" ca="1" si="16"/>
        <v>0</v>
      </c>
      <c r="H80" s="60">
        <v>250000000</v>
      </c>
      <c r="I80" s="61">
        <v>3.0300000000000001E-2</v>
      </c>
      <c r="J80" s="60">
        <f t="shared" si="17"/>
        <v>257575000</v>
      </c>
      <c r="K80" s="10">
        <f t="shared" ca="1" si="18"/>
        <v>0</v>
      </c>
      <c r="L80" s="10">
        <f t="shared" ca="1" si="19"/>
        <v>257575000</v>
      </c>
      <c r="M80" s="10">
        <f t="shared" ca="1" si="20"/>
        <v>0</v>
      </c>
      <c r="N80" s="26">
        <f ca="1">SUM(K80:K89)</f>
        <v>0</v>
      </c>
      <c r="O80" s="8">
        <f ca="1">SUM(M80:M89)+4200000000</f>
        <v>4200000000</v>
      </c>
      <c r="P80" s="8">
        <f>403000000*0.84</f>
        <v>338520000</v>
      </c>
      <c r="Q80" s="120">
        <f ca="1">O80/P80</f>
        <v>12.406947890818859</v>
      </c>
      <c r="R80" s="38">
        <f>P80*0.9</f>
        <v>304668000</v>
      </c>
      <c r="S80">
        <f ca="1">O80/R80</f>
        <v>13.785497656465399</v>
      </c>
      <c r="T80" s="38">
        <f ca="1">T79*S80</f>
        <v>50569003.446374409</v>
      </c>
      <c r="V80" s="38">
        <f ca="1">T80-N80</f>
        <v>50569003.446374409</v>
      </c>
      <c r="W80" s="38">
        <f ca="1">T80</f>
        <v>50569003.446374409</v>
      </c>
      <c r="X80" s="38"/>
    </row>
    <row r="81" spans="1:17" x14ac:dyDescent="0.3">
      <c r="A81" s="56" t="s">
        <v>256</v>
      </c>
      <c r="B81" s="91"/>
      <c r="C81" s="57">
        <v>42334</v>
      </c>
      <c r="D81" s="57">
        <f t="shared" ref="D81:D89" si="21">C81+(7*F81)</f>
        <v>42614</v>
      </c>
      <c r="E81" s="9">
        <f t="shared" ref="E81:E109" si="22">D81-C81</f>
        <v>280</v>
      </c>
      <c r="F81" s="9">
        <v>40</v>
      </c>
      <c r="G81" s="9">
        <f t="shared" ref="G81:G109" ca="1" si="23">IF(NOW()&gt;=D81,0,-ROUND((NOW()-C81-E81)/7,0))</f>
        <v>0</v>
      </c>
      <c r="H81" s="60">
        <v>500000000</v>
      </c>
      <c r="I81" s="61">
        <v>2.0299999999999999E-2</v>
      </c>
      <c r="J81" s="60">
        <f t="shared" ref="J81:J109" si="24">H81*I81+H81</f>
        <v>510150000</v>
      </c>
      <c r="K81" s="10">
        <f t="shared" ref="K81:K109" ca="1" si="25">IF(G81=0,0,ROUND(J81/F81,0))</f>
        <v>0</v>
      </c>
      <c r="L81" s="10">
        <f t="shared" ref="L81:L109" ca="1" si="26">IFERROR((F81-G81)*(J81/F81),0)</f>
        <v>510150000</v>
      </c>
      <c r="M81" s="10">
        <f t="shared" ref="M81:M109" ca="1" si="27">J81-L81</f>
        <v>0</v>
      </c>
      <c r="N81" s="51"/>
    </row>
    <row r="82" spans="1:17" x14ac:dyDescent="0.3">
      <c r="A82" s="56" t="s">
        <v>257</v>
      </c>
      <c r="B82" s="187">
        <v>416209</v>
      </c>
      <c r="C82" s="57">
        <v>42334</v>
      </c>
      <c r="D82" s="57">
        <f t="shared" si="21"/>
        <v>42579</v>
      </c>
      <c r="E82" s="9">
        <f t="shared" si="22"/>
        <v>245</v>
      </c>
      <c r="F82" s="9">
        <v>35</v>
      </c>
      <c r="G82" s="9">
        <f t="shared" ca="1" si="23"/>
        <v>0</v>
      </c>
      <c r="H82" s="60">
        <v>350000000</v>
      </c>
      <c r="I82" s="61">
        <v>7.9500000000000001E-2</v>
      </c>
      <c r="J82" s="60">
        <f t="shared" si="24"/>
        <v>377825000</v>
      </c>
      <c r="K82" s="10">
        <f t="shared" ca="1" si="25"/>
        <v>0</v>
      </c>
      <c r="L82" s="10">
        <f t="shared" ca="1" si="26"/>
        <v>377825000</v>
      </c>
      <c r="M82" s="10">
        <f t="shared" ca="1" si="27"/>
        <v>0</v>
      </c>
      <c r="N82" s="38">
        <f ca="1">N80/7</f>
        <v>0</v>
      </c>
      <c r="P82">
        <f ca="1">O80/P78</f>
        <v>10.695644733464533</v>
      </c>
    </row>
    <row r="83" spans="1:17" x14ac:dyDescent="0.3">
      <c r="A83" s="56" t="s">
        <v>257</v>
      </c>
      <c r="B83" s="91"/>
      <c r="C83" s="57">
        <v>42334</v>
      </c>
      <c r="D83" s="57">
        <f t="shared" si="21"/>
        <v>42579</v>
      </c>
      <c r="E83" s="9">
        <f t="shared" si="22"/>
        <v>245</v>
      </c>
      <c r="F83" s="9">
        <v>35</v>
      </c>
      <c r="G83" s="9">
        <f t="shared" ca="1" si="23"/>
        <v>0</v>
      </c>
      <c r="H83" s="60">
        <v>700000000</v>
      </c>
      <c r="I83" s="61">
        <v>6.4500000000000002E-2</v>
      </c>
      <c r="J83" s="60">
        <f t="shared" si="24"/>
        <v>745150000</v>
      </c>
      <c r="K83" s="10">
        <f t="shared" ca="1" si="25"/>
        <v>0</v>
      </c>
      <c r="L83" s="10">
        <f t="shared" ca="1" si="26"/>
        <v>745150000</v>
      </c>
      <c r="M83" s="10">
        <f t="shared" ca="1" si="27"/>
        <v>0</v>
      </c>
    </row>
    <row r="84" spans="1:17" x14ac:dyDescent="0.3">
      <c r="A84" s="56" t="s">
        <v>259</v>
      </c>
      <c r="B84" s="187">
        <v>416210</v>
      </c>
      <c r="C84" s="57">
        <v>42334</v>
      </c>
      <c r="D84" s="57">
        <f t="shared" si="21"/>
        <v>42684</v>
      </c>
      <c r="E84" s="9">
        <f t="shared" si="22"/>
        <v>350</v>
      </c>
      <c r="F84" s="9">
        <v>50</v>
      </c>
      <c r="G84" s="9">
        <f t="shared" ca="1" si="23"/>
        <v>0</v>
      </c>
      <c r="H84" s="60">
        <v>500000000</v>
      </c>
      <c r="I84" s="61">
        <v>9.2999999999999999E-2</v>
      </c>
      <c r="J84" s="60">
        <f t="shared" si="24"/>
        <v>546500000</v>
      </c>
      <c r="K84" s="10">
        <f t="shared" ca="1" si="25"/>
        <v>0</v>
      </c>
      <c r="L84" s="10">
        <f t="shared" ca="1" si="26"/>
        <v>546500000</v>
      </c>
      <c r="M84" s="10">
        <f t="shared" ca="1" si="27"/>
        <v>0</v>
      </c>
      <c r="N84" s="38"/>
    </row>
    <row r="85" spans="1:17" x14ac:dyDescent="0.3">
      <c r="A85" s="56" t="s">
        <v>259</v>
      </c>
      <c r="B85" s="91"/>
      <c r="C85" s="57">
        <v>42334</v>
      </c>
      <c r="D85" s="57">
        <f t="shared" si="21"/>
        <v>42684</v>
      </c>
      <c r="E85" s="9">
        <f t="shared" si="22"/>
        <v>350</v>
      </c>
      <c r="F85" s="9">
        <v>50</v>
      </c>
      <c r="G85" s="9">
        <f t="shared" ca="1" si="23"/>
        <v>0</v>
      </c>
      <c r="H85" s="60">
        <v>1000000000</v>
      </c>
      <c r="I85" s="61">
        <v>7.2999999999999995E-2</v>
      </c>
      <c r="J85" s="60">
        <f t="shared" si="24"/>
        <v>1073000000</v>
      </c>
      <c r="K85" s="10">
        <f t="shared" ca="1" si="25"/>
        <v>0</v>
      </c>
      <c r="L85" s="10">
        <f t="shared" ca="1" si="26"/>
        <v>1073000000</v>
      </c>
      <c r="M85" s="10">
        <f t="shared" ca="1" si="27"/>
        <v>0</v>
      </c>
    </row>
    <row r="86" spans="1:17" x14ac:dyDescent="0.3">
      <c r="A86" s="56" t="s">
        <v>272</v>
      </c>
      <c r="B86" s="91">
        <v>416211</v>
      </c>
      <c r="C86" s="57">
        <v>42334</v>
      </c>
      <c r="D86" s="57">
        <f t="shared" si="21"/>
        <v>42649</v>
      </c>
      <c r="E86" s="9">
        <f t="shared" si="22"/>
        <v>315</v>
      </c>
      <c r="F86" s="9">
        <v>45</v>
      </c>
      <c r="G86" s="9">
        <f t="shared" ca="1" si="23"/>
        <v>0</v>
      </c>
      <c r="H86" s="60">
        <v>750000000</v>
      </c>
      <c r="I86" s="61">
        <v>0.17119999999999999</v>
      </c>
      <c r="J86" s="60">
        <f t="shared" si="24"/>
        <v>878400000</v>
      </c>
      <c r="K86" s="10">
        <f t="shared" ca="1" si="25"/>
        <v>0</v>
      </c>
      <c r="L86" s="10">
        <f t="shared" ca="1" si="26"/>
        <v>878400000</v>
      </c>
      <c r="M86" s="10">
        <f t="shared" ca="1" si="27"/>
        <v>0</v>
      </c>
    </row>
    <row r="87" spans="1:17" x14ac:dyDescent="0.3">
      <c r="A87" s="56" t="s">
        <v>272</v>
      </c>
      <c r="B87" s="91"/>
      <c r="C87" s="57">
        <v>42334</v>
      </c>
      <c r="D87" s="57">
        <f t="shared" si="21"/>
        <v>42649</v>
      </c>
      <c r="E87" s="9">
        <f t="shared" si="22"/>
        <v>315</v>
      </c>
      <c r="F87" s="9">
        <v>45</v>
      </c>
      <c r="G87" s="9">
        <f t="shared" ca="1" si="23"/>
        <v>0</v>
      </c>
      <c r="H87" s="60">
        <v>1500000000</v>
      </c>
      <c r="I87" s="61">
        <v>0.1462</v>
      </c>
      <c r="J87" s="60">
        <f t="shared" si="24"/>
        <v>1719300000</v>
      </c>
      <c r="K87" s="10">
        <f t="shared" ca="1" si="25"/>
        <v>0</v>
      </c>
      <c r="L87" s="10">
        <f t="shared" ca="1" si="26"/>
        <v>1719300000</v>
      </c>
      <c r="M87" s="10">
        <f t="shared" ca="1" si="27"/>
        <v>0</v>
      </c>
      <c r="N87" s="8">
        <f ca="1">N82*(45*7)</f>
        <v>0</v>
      </c>
    </row>
    <row r="88" spans="1:17" x14ac:dyDescent="0.3">
      <c r="A88" s="56" t="s">
        <v>273</v>
      </c>
      <c r="B88" s="91">
        <v>416220</v>
      </c>
      <c r="C88" s="57">
        <v>42334</v>
      </c>
      <c r="D88" s="57">
        <f t="shared" si="21"/>
        <v>42649</v>
      </c>
      <c r="E88" s="9">
        <f t="shared" si="22"/>
        <v>315</v>
      </c>
      <c r="F88" s="9">
        <v>45</v>
      </c>
      <c r="G88" s="9">
        <f t="shared" ca="1" si="23"/>
        <v>0</v>
      </c>
      <c r="H88" s="60">
        <v>1000000000</v>
      </c>
      <c r="I88" s="61">
        <v>0.19070000000000001</v>
      </c>
      <c r="J88" s="60">
        <f t="shared" si="24"/>
        <v>1190700000</v>
      </c>
      <c r="K88" s="10">
        <f t="shared" ca="1" si="25"/>
        <v>0</v>
      </c>
      <c r="L88" s="10">
        <f t="shared" ca="1" si="26"/>
        <v>1190700000</v>
      </c>
      <c r="M88" s="10">
        <f t="shared" ca="1" si="27"/>
        <v>0</v>
      </c>
      <c r="O88">
        <f>338520000/403000000</f>
        <v>0.84</v>
      </c>
    </row>
    <row r="89" spans="1:17" x14ac:dyDescent="0.3">
      <c r="A89" s="56" t="s">
        <v>273</v>
      </c>
      <c r="B89" s="91"/>
      <c r="C89" s="57">
        <v>42334</v>
      </c>
      <c r="D89" s="57">
        <f t="shared" si="21"/>
        <v>42649</v>
      </c>
      <c r="E89" s="9">
        <f t="shared" si="22"/>
        <v>315</v>
      </c>
      <c r="F89" s="9">
        <v>45</v>
      </c>
      <c r="G89" s="9">
        <f t="shared" ca="1" si="23"/>
        <v>0</v>
      </c>
      <c r="H89" s="60">
        <v>2000000000</v>
      </c>
      <c r="I89" s="61">
        <v>0.16070000000000001</v>
      </c>
      <c r="J89" s="60">
        <f t="shared" si="24"/>
        <v>2321400000</v>
      </c>
      <c r="K89" s="10">
        <f t="shared" ca="1" si="25"/>
        <v>0</v>
      </c>
      <c r="L89" s="10">
        <f t="shared" ca="1" si="26"/>
        <v>2321400000</v>
      </c>
      <c r="M89" s="10">
        <f t="shared" ca="1" si="27"/>
        <v>0</v>
      </c>
      <c r="Q89" s="8">
        <f>25*38000000</f>
        <v>950000000</v>
      </c>
    </row>
    <row r="90" spans="1:17" x14ac:dyDescent="0.3">
      <c r="A90" s="56"/>
      <c r="B90" s="91"/>
      <c r="C90" s="57"/>
      <c r="D90" s="57"/>
      <c r="E90" s="9">
        <f t="shared" si="22"/>
        <v>0</v>
      </c>
      <c r="F90" s="9"/>
      <c r="G90" s="9">
        <f t="shared" ca="1" si="23"/>
        <v>0</v>
      </c>
      <c r="H90" s="60"/>
      <c r="I90" s="61"/>
      <c r="J90" s="60">
        <f t="shared" si="24"/>
        <v>0</v>
      </c>
      <c r="K90" s="10">
        <f t="shared" ca="1" si="25"/>
        <v>0</v>
      </c>
      <c r="L90" s="10">
        <f t="shared" ca="1" si="26"/>
        <v>0</v>
      </c>
      <c r="M90" s="10">
        <f t="shared" ca="1" si="27"/>
        <v>0</v>
      </c>
    </row>
    <row r="91" spans="1:17" x14ac:dyDescent="0.3">
      <c r="A91" s="56"/>
      <c r="B91" s="91"/>
      <c r="C91" s="57"/>
      <c r="D91" s="57"/>
      <c r="E91" s="9">
        <f t="shared" si="22"/>
        <v>0</v>
      </c>
      <c r="F91" s="9"/>
      <c r="G91" s="9">
        <f t="shared" ca="1" si="23"/>
        <v>0</v>
      </c>
      <c r="H91" s="60"/>
      <c r="I91" s="61"/>
      <c r="J91" s="60">
        <f t="shared" si="24"/>
        <v>0</v>
      </c>
      <c r="K91" s="10">
        <f t="shared" ca="1" si="25"/>
        <v>0</v>
      </c>
      <c r="L91" s="10">
        <f t="shared" ca="1" si="26"/>
        <v>0</v>
      </c>
      <c r="M91" s="10">
        <f t="shared" ca="1" si="27"/>
        <v>0</v>
      </c>
    </row>
    <row r="92" spans="1:17" x14ac:dyDescent="0.3">
      <c r="A92" s="56"/>
      <c r="B92" s="91"/>
      <c r="C92" s="57"/>
      <c r="D92" s="57"/>
      <c r="E92" s="9">
        <f t="shared" si="22"/>
        <v>0</v>
      </c>
      <c r="F92" s="9"/>
      <c r="G92" s="9">
        <f t="shared" ca="1" si="23"/>
        <v>0</v>
      </c>
      <c r="H92" s="60"/>
      <c r="I92" s="61"/>
      <c r="J92" s="60">
        <f t="shared" si="24"/>
        <v>0</v>
      </c>
      <c r="K92" s="10">
        <f t="shared" ca="1" si="25"/>
        <v>0</v>
      </c>
      <c r="L92" s="10">
        <f t="shared" ca="1" si="26"/>
        <v>0</v>
      </c>
      <c r="M92" s="10">
        <f t="shared" ca="1" si="27"/>
        <v>0</v>
      </c>
    </row>
    <row r="93" spans="1:17" x14ac:dyDescent="0.3">
      <c r="A93" s="56"/>
      <c r="B93" s="91"/>
      <c r="C93" s="57"/>
      <c r="D93" s="57"/>
      <c r="E93" s="9">
        <f t="shared" si="22"/>
        <v>0</v>
      </c>
      <c r="F93" s="9"/>
      <c r="G93" s="9">
        <f t="shared" ca="1" si="23"/>
        <v>0</v>
      </c>
      <c r="H93" s="60"/>
      <c r="I93" s="61"/>
      <c r="J93" s="60">
        <f t="shared" si="24"/>
        <v>0</v>
      </c>
      <c r="K93" s="10">
        <f t="shared" ca="1" si="25"/>
        <v>0</v>
      </c>
      <c r="L93" s="10">
        <f t="shared" ca="1" si="26"/>
        <v>0</v>
      </c>
      <c r="M93" s="10">
        <f t="shared" ca="1" si="27"/>
        <v>0</v>
      </c>
    </row>
    <row r="94" spans="1:17" x14ac:dyDescent="0.3">
      <c r="A94" s="56"/>
      <c r="B94" s="91"/>
      <c r="C94" s="57"/>
      <c r="D94" s="57"/>
      <c r="E94" s="9">
        <f t="shared" si="22"/>
        <v>0</v>
      </c>
      <c r="F94" s="9"/>
      <c r="G94" s="9">
        <f t="shared" ca="1" si="23"/>
        <v>0</v>
      </c>
      <c r="H94" s="60"/>
      <c r="I94" s="61"/>
      <c r="J94" s="60">
        <f t="shared" si="24"/>
        <v>0</v>
      </c>
      <c r="K94" s="10">
        <f t="shared" ca="1" si="25"/>
        <v>0</v>
      </c>
      <c r="L94" s="10">
        <f t="shared" ca="1" si="26"/>
        <v>0</v>
      </c>
      <c r="M94" s="10">
        <f t="shared" ca="1" si="27"/>
        <v>0</v>
      </c>
    </row>
    <row r="95" spans="1:17" x14ac:dyDescent="0.3">
      <c r="A95" s="56"/>
      <c r="B95" s="91"/>
      <c r="C95" s="57"/>
      <c r="D95" s="57"/>
      <c r="E95" s="9">
        <f t="shared" si="22"/>
        <v>0</v>
      </c>
      <c r="F95" s="9"/>
      <c r="G95" s="9">
        <f t="shared" ca="1" si="23"/>
        <v>0</v>
      </c>
      <c r="H95" s="60"/>
      <c r="I95" s="61"/>
      <c r="J95" s="60">
        <f t="shared" si="24"/>
        <v>0</v>
      </c>
      <c r="K95" s="10">
        <f t="shared" ca="1" si="25"/>
        <v>0</v>
      </c>
      <c r="L95" s="10">
        <f t="shared" ca="1" si="26"/>
        <v>0</v>
      </c>
      <c r="M95" s="10">
        <f t="shared" ca="1" si="27"/>
        <v>0</v>
      </c>
    </row>
    <row r="96" spans="1:17" x14ac:dyDescent="0.3">
      <c r="A96" s="56"/>
      <c r="B96" s="91"/>
      <c r="C96" s="57"/>
      <c r="D96" s="57"/>
      <c r="E96" s="9">
        <f t="shared" si="22"/>
        <v>0</v>
      </c>
      <c r="F96" s="9"/>
      <c r="G96" s="9">
        <f t="shared" ca="1" si="23"/>
        <v>0</v>
      </c>
      <c r="H96" s="60"/>
      <c r="I96" s="61"/>
      <c r="J96" s="60">
        <f t="shared" si="24"/>
        <v>0</v>
      </c>
      <c r="K96" s="10">
        <f t="shared" ca="1" si="25"/>
        <v>0</v>
      </c>
      <c r="L96" s="10">
        <f t="shared" ca="1" si="26"/>
        <v>0</v>
      </c>
      <c r="M96" s="10">
        <f t="shared" ca="1" si="27"/>
        <v>0</v>
      </c>
    </row>
    <row r="97" spans="1:13" x14ac:dyDescent="0.3">
      <c r="A97" s="56"/>
      <c r="B97" s="91"/>
      <c r="C97" s="57"/>
      <c r="D97" s="57"/>
      <c r="E97" s="9">
        <f t="shared" si="22"/>
        <v>0</v>
      </c>
      <c r="F97" s="9"/>
      <c r="G97" s="9">
        <f t="shared" ca="1" si="23"/>
        <v>0</v>
      </c>
      <c r="H97" s="60"/>
      <c r="I97" s="61"/>
      <c r="J97" s="60">
        <f t="shared" si="24"/>
        <v>0</v>
      </c>
      <c r="K97" s="10">
        <f t="shared" ca="1" si="25"/>
        <v>0</v>
      </c>
      <c r="L97" s="10">
        <f t="shared" ca="1" si="26"/>
        <v>0</v>
      </c>
      <c r="M97" s="10">
        <f t="shared" ca="1" si="27"/>
        <v>0</v>
      </c>
    </row>
    <row r="98" spans="1:13" x14ac:dyDescent="0.3">
      <c r="A98" s="56"/>
      <c r="B98" s="91"/>
      <c r="C98" s="57"/>
      <c r="D98" s="57"/>
      <c r="E98" s="9">
        <f t="shared" si="22"/>
        <v>0</v>
      </c>
      <c r="F98" s="9"/>
      <c r="G98" s="9">
        <f t="shared" ca="1" si="23"/>
        <v>0</v>
      </c>
      <c r="H98" s="60"/>
      <c r="I98" s="61"/>
      <c r="J98" s="60">
        <f t="shared" si="24"/>
        <v>0</v>
      </c>
      <c r="K98" s="10">
        <f t="shared" ca="1" si="25"/>
        <v>0</v>
      </c>
      <c r="L98" s="10">
        <f t="shared" ca="1" si="26"/>
        <v>0</v>
      </c>
      <c r="M98" s="10">
        <f t="shared" ca="1" si="27"/>
        <v>0</v>
      </c>
    </row>
    <row r="99" spans="1:13" x14ac:dyDescent="0.3">
      <c r="A99" s="56"/>
      <c r="B99" s="91"/>
      <c r="C99" s="57"/>
      <c r="D99" s="57"/>
      <c r="E99" s="9">
        <f t="shared" si="22"/>
        <v>0</v>
      </c>
      <c r="F99" s="9"/>
      <c r="G99" s="9">
        <f t="shared" ca="1" si="23"/>
        <v>0</v>
      </c>
      <c r="H99" s="60"/>
      <c r="I99" s="61"/>
      <c r="J99" s="60">
        <f t="shared" si="24"/>
        <v>0</v>
      </c>
      <c r="K99" s="10">
        <f t="shared" ca="1" si="25"/>
        <v>0</v>
      </c>
      <c r="L99" s="10">
        <f t="shared" ca="1" si="26"/>
        <v>0</v>
      </c>
      <c r="M99" s="10">
        <f t="shared" ca="1" si="27"/>
        <v>0</v>
      </c>
    </row>
    <row r="100" spans="1:13" x14ac:dyDescent="0.3">
      <c r="A100" s="56"/>
      <c r="B100" s="91"/>
      <c r="C100" s="57"/>
      <c r="D100" s="57"/>
      <c r="E100" s="9">
        <f t="shared" si="22"/>
        <v>0</v>
      </c>
      <c r="F100" s="9"/>
      <c r="G100" s="9">
        <f t="shared" ca="1" si="23"/>
        <v>0</v>
      </c>
      <c r="H100" s="60"/>
      <c r="I100" s="61"/>
      <c r="J100" s="60">
        <f t="shared" si="24"/>
        <v>0</v>
      </c>
      <c r="K100" s="10">
        <f t="shared" ca="1" si="25"/>
        <v>0</v>
      </c>
      <c r="L100" s="10">
        <f t="shared" ca="1" si="26"/>
        <v>0</v>
      </c>
      <c r="M100" s="10">
        <f t="shared" ca="1" si="27"/>
        <v>0</v>
      </c>
    </row>
    <row r="101" spans="1:13" x14ac:dyDescent="0.3">
      <c r="A101" s="56"/>
      <c r="B101" s="91"/>
      <c r="C101" s="57"/>
      <c r="D101" s="57"/>
      <c r="E101" s="9">
        <f t="shared" si="22"/>
        <v>0</v>
      </c>
      <c r="F101" s="9"/>
      <c r="G101" s="9">
        <f t="shared" ca="1" si="23"/>
        <v>0</v>
      </c>
      <c r="H101" s="60"/>
      <c r="I101" s="61"/>
      <c r="J101" s="60">
        <f t="shared" si="24"/>
        <v>0</v>
      </c>
      <c r="K101" s="10">
        <f t="shared" ca="1" si="25"/>
        <v>0</v>
      </c>
      <c r="L101" s="10">
        <f t="shared" ca="1" si="26"/>
        <v>0</v>
      </c>
      <c r="M101" s="10">
        <f t="shared" ca="1" si="27"/>
        <v>0</v>
      </c>
    </row>
    <row r="102" spans="1:13" x14ac:dyDescent="0.3">
      <c r="A102" s="56"/>
      <c r="B102" s="91"/>
      <c r="C102" s="57"/>
      <c r="D102" s="57"/>
      <c r="E102" s="9">
        <f t="shared" si="22"/>
        <v>0</v>
      </c>
      <c r="F102" s="9"/>
      <c r="G102" s="9">
        <f t="shared" ca="1" si="23"/>
        <v>0</v>
      </c>
      <c r="H102" s="60"/>
      <c r="I102" s="61"/>
      <c r="J102" s="60">
        <f t="shared" si="24"/>
        <v>0</v>
      </c>
      <c r="K102" s="10">
        <f t="shared" ca="1" si="25"/>
        <v>0</v>
      </c>
      <c r="L102" s="10">
        <f t="shared" ca="1" si="26"/>
        <v>0</v>
      </c>
      <c r="M102" s="10">
        <f t="shared" ca="1" si="27"/>
        <v>0</v>
      </c>
    </row>
    <row r="103" spans="1:13" x14ac:dyDescent="0.3">
      <c r="A103" s="56"/>
      <c r="B103" s="91"/>
      <c r="C103" s="57"/>
      <c r="D103" s="57"/>
      <c r="E103" s="9">
        <f t="shared" si="22"/>
        <v>0</v>
      </c>
      <c r="F103" s="9"/>
      <c r="G103" s="9">
        <f t="shared" ca="1" si="23"/>
        <v>0</v>
      </c>
      <c r="H103" s="60"/>
      <c r="I103" s="61"/>
      <c r="J103" s="60">
        <f t="shared" si="24"/>
        <v>0</v>
      </c>
      <c r="K103" s="10">
        <f t="shared" ca="1" si="25"/>
        <v>0</v>
      </c>
      <c r="L103" s="10">
        <f t="shared" ca="1" si="26"/>
        <v>0</v>
      </c>
      <c r="M103" s="10">
        <f t="shared" ca="1" si="27"/>
        <v>0</v>
      </c>
    </row>
    <row r="104" spans="1:13" x14ac:dyDescent="0.3">
      <c r="A104" s="56"/>
      <c r="B104" s="91"/>
      <c r="C104" s="57"/>
      <c r="D104" s="57"/>
      <c r="E104" s="9">
        <f t="shared" si="22"/>
        <v>0</v>
      </c>
      <c r="F104" s="9"/>
      <c r="G104" s="9">
        <f t="shared" ca="1" si="23"/>
        <v>0</v>
      </c>
      <c r="H104" s="60"/>
      <c r="I104" s="61"/>
      <c r="J104" s="60">
        <f t="shared" si="24"/>
        <v>0</v>
      </c>
      <c r="K104" s="10">
        <f t="shared" ca="1" si="25"/>
        <v>0</v>
      </c>
      <c r="L104" s="10">
        <f t="shared" ca="1" si="26"/>
        <v>0</v>
      </c>
      <c r="M104" s="10">
        <f t="shared" ca="1" si="27"/>
        <v>0</v>
      </c>
    </row>
    <row r="105" spans="1:13" x14ac:dyDescent="0.3">
      <c r="A105" s="56"/>
      <c r="B105" s="91"/>
      <c r="C105" s="57"/>
      <c r="D105" s="57"/>
      <c r="E105" s="9">
        <f t="shared" si="22"/>
        <v>0</v>
      </c>
      <c r="F105" s="9"/>
      <c r="G105" s="9">
        <f t="shared" ca="1" si="23"/>
        <v>0</v>
      </c>
      <c r="H105" s="60"/>
      <c r="I105" s="61"/>
      <c r="J105" s="60">
        <f t="shared" si="24"/>
        <v>0</v>
      </c>
      <c r="K105" s="10">
        <f t="shared" ca="1" si="25"/>
        <v>0</v>
      </c>
      <c r="L105" s="10">
        <f t="shared" ca="1" si="26"/>
        <v>0</v>
      </c>
      <c r="M105" s="10">
        <f t="shared" ca="1" si="27"/>
        <v>0</v>
      </c>
    </row>
    <row r="106" spans="1:13" x14ac:dyDescent="0.3">
      <c r="A106" s="56"/>
      <c r="B106" s="91"/>
      <c r="C106" s="57"/>
      <c r="D106" s="57"/>
      <c r="E106" s="9">
        <f t="shared" si="22"/>
        <v>0</v>
      </c>
      <c r="F106" s="9"/>
      <c r="G106" s="9">
        <f t="shared" ca="1" si="23"/>
        <v>0</v>
      </c>
      <c r="H106" s="60"/>
      <c r="I106" s="61"/>
      <c r="J106" s="60">
        <f t="shared" si="24"/>
        <v>0</v>
      </c>
      <c r="K106" s="10">
        <f t="shared" ca="1" si="25"/>
        <v>0</v>
      </c>
      <c r="L106" s="10">
        <f t="shared" ca="1" si="26"/>
        <v>0</v>
      </c>
      <c r="M106" s="10">
        <f t="shared" ca="1" si="27"/>
        <v>0</v>
      </c>
    </row>
    <row r="107" spans="1:13" x14ac:dyDescent="0.3">
      <c r="A107" s="56"/>
      <c r="B107" s="91"/>
      <c r="C107" s="57"/>
      <c r="D107" s="57"/>
      <c r="E107" s="9">
        <f t="shared" si="22"/>
        <v>0</v>
      </c>
      <c r="F107" s="9"/>
      <c r="G107" s="9">
        <f t="shared" ca="1" si="23"/>
        <v>0</v>
      </c>
      <c r="H107" s="60"/>
      <c r="I107" s="61"/>
      <c r="J107" s="60">
        <f t="shared" si="24"/>
        <v>0</v>
      </c>
      <c r="K107" s="10">
        <f t="shared" ca="1" si="25"/>
        <v>0</v>
      </c>
      <c r="L107" s="10">
        <f t="shared" ca="1" si="26"/>
        <v>0</v>
      </c>
      <c r="M107" s="10">
        <f t="shared" ca="1" si="27"/>
        <v>0</v>
      </c>
    </row>
    <row r="108" spans="1:13" x14ac:dyDescent="0.3">
      <c r="A108" s="56"/>
      <c r="B108" s="91"/>
      <c r="C108" s="57"/>
      <c r="D108" s="57"/>
      <c r="E108" s="9">
        <f t="shared" si="22"/>
        <v>0</v>
      </c>
      <c r="F108" s="9"/>
      <c r="G108" s="9">
        <f t="shared" ca="1" si="23"/>
        <v>0</v>
      </c>
      <c r="H108" s="60"/>
      <c r="I108" s="61"/>
      <c r="J108" s="60">
        <f t="shared" si="24"/>
        <v>0</v>
      </c>
      <c r="K108" s="10">
        <f t="shared" ca="1" si="25"/>
        <v>0</v>
      </c>
      <c r="L108" s="10">
        <f t="shared" ca="1" si="26"/>
        <v>0</v>
      </c>
      <c r="M108" s="10">
        <f t="shared" ca="1" si="27"/>
        <v>0</v>
      </c>
    </row>
    <row r="109" spans="1:13" x14ac:dyDescent="0.3">
      <c r="A109" s="56"/>
      <c r="B109" s="91"/>
      <c r="C109" s="57"/>
      <c r="D109" s="57"/>
      <c r="E109" s="9">
        <f t="shared" si="22"/>
        <v>0</v>
      </c>
      <c r="F109" s="9"/>
      <c r="G109" s="9">
        <f t="shared" ca="1" si="23"/>
        <v>0</v>
      </c>
      <c r="H109" s="60"/>
      <c r="I109" s="61"/>
      <c r="J109" s="60">
        <f t="shared" si="24"/>
        <v>0</v>
      </c>
      <c r="K109" s="10">
        <f t="shared" ca="1" si="25"/>
        <v>0</v>
      </c>
      <c r="L109" s="10">
        <f t="shared" ca="1" si="26"/>
        <v>0</v>
      </c>
      <c r="M109" s="10">
        <f t="shared" ca="1" si="27"/>
        <v>0</v>
      </c>
    </row>
  </sheetData>
  <autoFilter ref="A4:M41" xr:uid="{00000000-0009-0000-0000-00000E000000}">
    <sortState xmlns:xlrd2="http://schemas.microsoft.com/office/spreadsheetml/2017/richdata2" ref="A5:M81">
      <sortCondition ref="C4:C41"/>
    </sortState>
  </autoFilter>
  <conditionalFormatting sqref="M41:M42 M46:M109">
    <cfRule type="cellIs" dxfId="251" priority="44" operator="lessThan">
      <formula>100</formula>
    </cfRule>
  </conditionalFormatting>
  <conditionalFormatting sqref="M40">
    <cfRule type="cellIs" dxfId="250" priority="43" operator="lessThan">
      <formula>100</formula>
    </cfRule>
  </conditionalFormatting>
  <conditionalFormatting sqref="M39">
    <cfRule type="cellIs" dxfId="249" priority="42" operator="lessThan">
      <formula>100</formula>
    </cfRule>
  </conditionalFormatting>
  <conditionalFormatting sqref="M38">
    <cfRule type="cellIs" dxfId="248" priority="41" operator="lessThan">
      <formula>100</formula>
    </cfRule>
  </conditionalFormatting>
  <conditionalFormatting sqref="M37">
    <cfRule type="cellIs" dxfId="247" priority="40" operator="lessThan">
      <formula>100</formula>
    </cfRule>
  </conditionalFormatting>
  <conditionalFormatting sqref="M36">
    <cfRule type="cellIs" dxfId="246" priority="39" operator="lessThan">
      <formula>100</formula>
    </cfRule>
  </conditionalFormatting>
  <conditionalFormatting sqref="M35">
    <cfRule type="cellIs" dxfId="245" priority="38" operator="lessThan">
      <formula>100</formula>
    </cfRule>
  </conditionalFormatting>
  <conditionalFormatting sqref="M34">
    <cfRule type="cellIs" dxfId="244" priority="37" operator="lessThan">
      <formula>100</formula>
    </cfRule>
  </conditionalFormatting>
  <conditionalFormatting sqref="M33">
    <cfRule type="cellIs" dxfId="243" priority="36" operator="lessThan">
      <formula>100</formula>
    </cfRule>
  </conditionalFormatting>
  <conditionalFormatting sqref="M32">
    <cfRule type="cellIs" dxfId="242" priority="35" operator="lessThan">
      <formula>100</formula>
    </cfRule>
  </conditionalFormatting>
  <conditionalFormatting sqref="M31">
    <cfRule type="cellIs" dxfId="241" priority="34" operator="lessThan">
      <formula>100</formula>
    </cfRule>
  </conditionalFormatting>
  <conditionalFormatting sqref="M30">
    <cfRule type="cellIs" dxfId="240" priority="33" operator="lessThan">
      <formula>100</formula>
    </cfRule>
  </conditionalFormatting>
  <conditionalFormatting sqref="M29">
    <cfRule type="cellIs" dxfId="239" priority="32" operator="lessThan">
      <formula>100</formula>
    </cfRule>
  </conditionalFormatting>
  <conditionalFormatting sqref="M28">
    <cfRule type="cellIs" dxfId="238" priority="31" operator="lessThan">
      <formula>100</formula>
    </cfRule>
  </conditionalFormatting>
  <conditionalFormatting sqref="M27">
    <cfRule type="cellIs" dxfId="237" priority="30" operator="lessThan">
      <formula>100</formula>
    </cfRule>
  </conditionalFormatting>
  <conditionalFormatting sqref="M26">
    <cfRule type="cellIs" dxfId="236" priority="29" operator="lessThan">
      <formula>100</formula>
    </cfRule>
  </conditionalFormatting>
  <conditionalFormatting sqref="M25">
    <cfRule type="cellIs" dxfId="235" priority="28" operator="lessThan">
      <formula>100</formula>
    </cfRule>
  </conditionalFormatting>
  <conditionalFormatting sqref="M24">
    <cfRule type="cellIs" dxfId="234" priority="27" operator="lessThan">
      <formula>100</formula>
    </cfRule>
  </conditionalFormatting>
  <conditionalFormatting sqref="M23">
    <cfRule type="cellIs" dxfId="233" priority="26" operator="lessThan">
      <formula>100</formula>
    </cfRule>
  </conditionalFormatting>
  <conditionalFormatting sqref="M22">
    <cfRule type="cellIs" dxfId="232" priority="25" operator="lessThan">
      <formula>100</formula>
    </cfRule>
  </conditionalFormatting>
  <conditionalFormatting sqref="M21">
    <cfRule type="cellIs" dxfId="231" priority="24" operator="lessThan">
      <formula>100</formula>
    </cfRule>
  </conditionalFormatting>
  <conditionalFormatting sqref="M20">
    <cfRule type="cellIs" dxfId="230" priority="23" operator="lessThan">
      <formula>100</formula>
    </cfRule>
  </conditionalFormatting>
  <conditionalFormatting sqref="M19">
    <cfRule type="cellIs" dxfId="229" priority="22" operator="lessThan">
      <formula>100</formula>
    </cfRule>
  </conditionalFormatting>
  <conditionalFormatting sqref="M18">
    <cfRule type="cellIs" dxfId="228" priority="21" operator="lessThan">
      <formula>100</formula>
    </cfRule>
  </conditionalFormatting>
  <conditionalFormatting sqref="M17">
    <cfRule type="cellIs" dxfId="227" priority="20" operator="lessThan">
      <formula>100</formula>
    </cfRule>
  </conditionalFormatting>
  <conditionalFormatting sqref="M16">
    <cfRule type="cellIs" dxfId="226" priority="19" operator="lessThan">
      <formula>100</formula>
    </cfRule>
  </conditionalFormatting>
  <conditionalFormatting sqref="M15">
    <cfRule type="cellIs" dxfId="225" priority="18" operator="lessThan">
      <formula>100</formula>
    </cfRule>
  </conditionalFormatting>
  <conditionalFormatting sqref="M14">
    <cfRule type="cellIs" dxfId="224" priority="17" operator="lessThan">
      <formula>100</formula>
    </cfRule>
  </conditionalFormatting>
  <conditionalFormatting sqref="M13">
    <cfRule type="cellIs" dxfId="223" priority="16" operator="lessThan">
      <formula>100</formula>
    </cfRule>
  </conditionalFormatting>
  <conditionalFormatting sqref="M12">
    <cfRule type="cellIs" dxfId="222" priority="15" operator="lessThan">
      <formula>100</formula>
    </cfRule>
  </conditionalFormatting>
  <conditionalFormatting sqref="M11">
    <cfRule type="cellIs" dxfId="221" priority="14" operator="lessThan">
      <formula>100</formula>
    </cfRule>
  </conditionalFormatting>
  <conditionalFormatting sqref="M10">
    <cfRule type="cellIs" dxfId="220" priority="13" operator="lessThan">
      <formula>100</formula>
    </cfRule>
  </conditionalFormatting>
  <conditionalFormatting sqref="M9">
    <cfRule type="cellIs" dxfId="219" priority="12" operator="lessThan">
      <formula>100</formula>
    </cfRule>
  </conditionalFormatting>
  <conditionalFormatting sqref="M8">
    <cfRule type="cellIs" dxfId="218" priority="11" operator="lessThan">
      <formula>100</formula>
    </cfRule>
  </conditionalFormatting>
  <conditionalFormatting sqref="M7">
    <cfRule type="cellIs" dxfId="217" priority="10" operator="lessThan">
      <formula>100</formula>
    </cfRule>
  </conditionalFormatting>
  <conditionalFormatting sqref="M6">
    <cfRule type="cellIs" dxfId="216" priority="9" operator="lessThan">
      <formula>100</formula>
    </cfRule>
  </conditionalFormatting>
  <conditionalFormatting sqref="M5">
    <cfRule type="cellIs" dxfId="215" priority="8" operator="lessThan">
      <formula>100</formula>
    </cfRule>
  </conditionalFormatting>
  <conditionalFormatting sqref="G5:G42 G46:G109">
    <cfRule type="cellIs" dxfId="214" priority="7" operator="lessThan">
      <formula>4</formula>
    </cfRule>
  </conditionalFormatting>
  <conditionalFormatting sqref="M43">
    <cfRule type="cellIs" dxfId="213" priority="6" operator="lessThan">
      <formula>100</formula>
    </cfRule>
  </conditionalFormatting>
  <conditionalFormatting sqref="G43">
    <cfRule type="cellIs" dxfId="212" priority="5" operator="lessThan">
      <formula>4</formula>
    </cfRule>
  </conditionalFormatting>
  <conditionalFormatting sqref="M44">
    <cfRule type="cellIs" dxfId="211" priority="4" operator="lessThan">
      <formula>100</formula>
    </cfRule>
  </conditionalFormatting>
  <conditionalFormatting sqref="G44">
    <cfRule type="cellIs" dxfId="210" priority="3" operator="lessThan">
      <formula>4</formula>
    </cfRule>
  </conditionalFormatting>
  <conditionalFormatting sqref="M45">
    <cfRule type="cellIs" dxfId="209" priority="2" operator="lessThan">
      <formula>100</formula>
    </cfRule>
  </conditionalFormatting>
  <conditionalFormatting sqref="G45">
    <cfRule type="cellIs" dxfId="208" priority="1" operator="lessThan">
      <formula>4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8"/>
  <dimension ref="A1:AV37"/>
  <sheetViews>
    <sheetView workbookViewId="0">
      <selection activeCell="A10" sqref="A10"/>
    </sheetView>
  </sheetViews>
  <sheetFormatPr baseColWidth="10" defaultColWidth="11.44140625" defaultRowHeight="14.4" x14ac:dyDescent="0.3"/>
  <cols>
    <col min="1" max="1" width="14.5546875" bestFit="1" customWidth="1"/>
    <col min="2" max="2" width="10.44140625" bestFit="1" customWidth="1"/>
    <col min="3" max="3" width="10.6640625" bestFit="1" customWidth="1"/>
    <col min="4" max="4" width="11" bestFit="1" customWidth="1"/>
    <col min="5" max="5" width="13.5546875" bestFit="1" customWidth="1"/>
    <col min="6" max="6" width="15.88671875" bestFit="1" customWidth="1"/>
    <col min="7" max="8" width="10.33203125" bestFit="1" customWidth="1"/>
    <col min="9" max="9" width="9.6640625" bestFit="1" customWidth="1"/>
    <col min="10" max="10" width="9.109375" bestFit="1" customWidth="1"/>
    <col min="11" max="11" width="9.5546875" bestFit="1" customWidth="1"/>
    <col min="12" max="12" width="1.6640625" customWidth="1"/>
    <col min="13" max="13" width="16.33203125" bestFit="1" customWidth="1"/>
    <col min="14" max="14" width="15.109375" bestFit="1" customWidth="1"/>
    <col min="15" max="15" width="10.44140625" bestFit="1" customWidth="1"/>
    <col min="16" max="16" width="1.6640625" customWidth="1"/>
    <col min="17" max="17" width="13.6640625" bestFit="1" customWidth="1"/>
    <col min="18" max="18" width="12.6640625" bestFit="1" customWidth="1"/>
    <col min="19" max="20" width="12.6640625" customWidth="1"/>
    <col min="21" max="21" width="1.6640625" customWidth="1"/>
    <col min="22" max="22" width="16.109375" bestFit="1" customWidth="1"/>
    <col min="23" max="23" width="17" bestFit="1" customWidth="1"/>
    <col min="24" max="24" width="17" customWidth="1"/>
    <col min="25" max="25" width="1.6640625" customWidth="1"/>
    <col min="26" max="27" width="16.109375" bestFit="1" customWidth="1"/>
    <col min="28" max="28" width="16.109375" customWidth="1"/>
    <col min="29" max="29" width="1.6640625" customWidth="1"/>
    <col min="30" max="31" width="12.6640625" bestFit="1" customWidth="1"/>
    <col min="32" max="32" width="12.6640625" customWidth="1"/>
    <col min="33" max="33" width="1.6640625" customWidth="1"/>
    <col min="34" max="34" width="13.6640625" bestFit="1" customWidth="1"/>
    <col min="35" max="35" width="12.6640625" bestFit="1" customWidth="1"/>
    <col min="36" max="36" width="12.6640625" customWidth="1"/>
    <col min="37" max="37" width="1.6640625" customWidth="1"/>
    <col min="38" max="40" width="13.33203125" customWidth="1"/>
    <col min="41" max="41" width="1.6640625" style="20" customWidth="1"/>
    <col min="42" max="44" width="13.33203125" customWidth="1"/>
    <col min="45" max="45" width="1.6640625" customWidth="1"/>
    <col min="46" max="46" width="12.109375" bestFit="1" customWidth="1"/>
    <col min="47" max="48" width="11.6640625" bestFit="1" customWidth="1"/>
  </cols>
  <sheetData>
    <row r="1" spans="1:48" x14ac:dyDescent="0.3">
      <c r="A1" t="s">
        <v>274</v>
      </c>
      <c r="AT1">
        <v>52</v>
      </c>
    </row>
    <row r="3" spans="1:48" x14ac:dyDescent="0.3">
      <c r="A3" s="240" t="s">
        <v>275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3"/>
      <c r="M3" s="240" t="s">
        <v>276</v>
      </c>
      <c r="N3" s="240"/>
      <c r="O3" s="240"/>
      <c r="P3" s="23"/>
      <c r="Q3" s="240" t="s">
        <v>277</v>
      </c>
      <c r="R3" s="240"/>
      <c r="S3" s="240"/>
      <c r="T3" s="240"/>
      <c r="U3" s="23"/>
      <c r="V3" s="240" t="s">
        <v>3</v>
      </c>
      <c r="W3" s="240"/>
      <c r="X3" s="240"/>
      <c r="Y3" s="23"/>
      <c r="Z3" s="240" t="s">
        <v>278</v>
      </c>
      <c r="AA3" s="240"/>
      <c r="AB3" s="240"/>
      <c r="AC3" s="24"/>
      <c r="AD3" s="240" t="s">
        <v>279</v>
      </c>
      <c r="AE3" s="240"/>
      <c r="AF3" s="240"/>
      <c r="AG3" s="24"/>
      <c r="AH3" s="240" t="s">
        <v>4</v>
      </c>
      <c r="AI3" s="240"/>
      <c r="AJ3" s="240"/>
      <c r="AK3" s="24"/>
      <c r="AL3" s="240" t="s">
        <v>280</v>
      </c>
      <c r="AM3" s="240"/>
      <c r="AN3" s="240"/>
      <c r="AO3" s="23"/>
      <c r="AP3" s="240" t="s">
        <v>281</v>
      </c>
      <c r="AQ3" s="240"/>
      <c r="AR3" s="240"/>
      <c r="AT3" s="241" t="s">
        <v>282</v>
      </c>
      <c r="AU3" s="241"/>
      <c r="AV3" s="241"/>
    </row>
    <row r="4" spans="1:48" s="22" customFormat="1" ht="43.2" x14ac:dyDescent="0.3">
      <c r="A4" s="18" t="s">
        <v>283</v>
      </c>
      <c r="B4" s="18" t="s">
        <v>284</v>
      </c>
      <c r="C4" s="18" t="s">
        <v>285</v>
      </c>
      <c r="D4" s="18" t="s">
        <v>286</v>
      </c>
      <c r="E4" s="19" t="s">
        <v>287</v>
      </c>
      <c r="F4" s="18" t="s">
        <v>31</v>
      </c>
      <c r="G4" s="19" t="s">
        <v>288</v>
      </c>
      <c r="H4" s="19" t="s">
        <v>289</v>
      </c>
      <c r="I4" s="19" t="s">
        <v>290</v>
      </c>
      <c r="J4" s="19" t="s">
        <v>291</v>
      </c>
      <c r="K4" s="18" t="s">
        <v>292</v>
      </c>
      <c r="L4" s="2"/>
      <c r="M4" s="19" t="s">
        <v>293</v>
      </c>
      <c r="N4" s="19" t="s">
        <v>294</v>
      </c>
      <c r="O4" s="19" t="s">
        <v>295</v>
      </c>
      <c r="P4" s="2"/>
      <c r="Q4" s="18" t="s">
        <v>296</v>
      </c>
      <c r="R4" s="18" t="s">
        <v>297</v>
      </c>
      <c r="S4" s="19" t="s">
        <v>298</v>
      </c>
      <c r="T4" s="19" t="s">
        <v>299</v>
      </c>
      <c r="U4" s="2"/>
      <c r="V4" s="19" t="s">
        <v>300</v>
      </c>
      <c r="W4" s="19" t="s">
        <v>301</v>
      </c>
      <c r="X4" s="19" t="s">
        <v>302</v>
      </c>
      <c r="Y4" s="2"/>
      <c r="Z4" s="19" t="s">
        <v>303</v>
      </c>
      <c r="AA4" s="19" t="s">
        <v>304</v>
      </c>
      <c r="AB4" s="19" t="s">
        <v>305</v>
      </c>
      <c r="AC4" s="2"/>
      <c r="AD4" s="19" t="s">
        <v>306</v>
      </c>
      <c r="AE4" s="19" t="s">
        <v>307</v>
      </c>
      <c r="AF4" s="19" t="s">
        <v>308</v>
      </c>
      <c r="AG4" s="2"/>
      <c r="AH4" s="18" t="s">
        <v>309</v>
      </c>
      <c r="AI4" s="18" t="s">
        <v>310</v>
      </c>
      <c r="AJ4" s="19" t="s">
        <v>311</v>
      </c>
      <c r="AK4" s="2"/>
      <c r="AL4" s="19" t="s">
        <v>312</v>
      </c>
      <c r="AM4" s="19" t="s">
        <v>313</v>
      </c>
      <c r="AN4" s="19" t="s">
        <v>314</v>
      </c>
      <c r="AO4" s="25"/>
      <c r="AP4" s="19" t="s">
        <v>312</v>
      </c>
      <c r="AQ4" s="19" t="s">
        <v>313</v>
      </c>
      <c r="AR4" s="19" t="s">
        <v>314</v>
      </c>
      <c r="AT4" s="19" t="s">
        <v>312</v>
      </c>
      <c r="AU4" s="19" t="s">
        <v>313</v>
      </c>
      <c r="AV4" s="19" t="s">
        <v>314</v>
      </c>
    </row>
    <row r="5" spans="1:48" x14ac:dyDescent="0.3">
      <c r="A5" t="s">
        <v>315</v>
      </c>
      <c r="B5" t="s">
        <v>316</v>
      </c>
      <c r="C5" s="1">
        <v>41568</v>
      </c>
      <c r="D5" s="1">
        <f ca="1">ROUNDDOWN(NOW(),0)</f>
        <v>43464</v>
      </c>
      <c r="E5" s="8">
        <f ca="1">ROUND(D5-C5,0)</f>
        <v>1896</v>
      </c>
      <c r="F5" s="8">
        <v>4101</v>
      </c>
      <c r="G5" s="8">
        <v>11508</v>
      </c>
      <c r="H5" s="8">
        <v>9774</v>
      </c>
      <c r="I5" s="8">
        <v>1</v>
      </c>
      <c r="J5" s="8">
        <v>14</v>
      </c>
      <c r="K5" s="8">
        <v>6</v>
      </c>
      <c r="M5" s="8">
        <f ca="1">W5*E5</f>
        <v>3036152016</v>
      </c>
      <c r="N5" s="8">
        <f ca="1">R5*E5</f>
        <v>2153294784</v>
      </c>
      <c r="O5" s="7">
        <f ca="1">N5/M5</f>
        <v>0.70921837004619859</v>
      </c>
      <c r="Q5" s="8">
        <f>V5-AH5</f>
        <v>7949928</v>
      </c>
      <c r="R5" s="8">
        <f>W5-AI5</f>
        <v>1135704</v>
      </c>
      <c r="S5" s="8">
        <f>R5/I5</f>
        <v>1135704</v>
      </c>
      <c r="T5" s="7">
        <f>R5/W5</f>
        <v>0.70921837004619859</v>
      </c>
      <c r="U5" s="8"/>
      <c r="V5" s="8">
        <f>Z5+AD5</f>
        <v>11209422</v>
      </c>
      <c r="W5" s="8">
        <f>AA5+AE5</f>
        <v>1601346</v>
      </c>
      <c r="X5" s="8">
        <f>W5/I5</f>
        <v>1601346</v>
      </c>
      <c r="Y5" s="8"/>
      <c r="Z5" s="8">
        <f>AA5*7</f>
        <v>9488402</v>
      </c>
      <c r="AA5" s="8">
        <v>1355486</v>
      </c>
      <c r="AB5" s="32">
        <f>W5/AA5</f>
        <v>1.1813814380967418</v>
      </c>
      <c r="AC5" s="8"/>
      <c r="AD5" s="8">
        <f>AE5*7</f>
        <v>1721020</v>
      </c>
      <c r="AE5" s="8">
        <v>245860</v>
      </c>
      <c r="AF5" s="32">
        <f>W5/AE5</f>
        <v>6.5132433092003579</v>
      </c>
      <c r="AG5" s="8"/>
      <c r="AH5" s="11">
        <f>AI5*7</f>
        <v>3259494</v>
      </c>
      <c r="AI5" s="11">
        <v>465642</v>
      </c>
      <c r="AJ5" s="29">
        <f>W5/AI5</f>
        <v>3.4390067906245569</v>
      </c>
      <c r="AK5" s="8"/>
      <c r="AL5" s="8">
        <v>2688</v>
      </c>
      <c r="AM5" s="8">
        <v>1400</v>
      </c>
      <c r="AN5" s="8">
        <v>588</v>
      </c>
      <c r="AO5" s="26"/>
      <c r="AP5" s="21">
        <f>ROUND((AL5/$J$5)/2,0)</f>
        <v>96</v>
      </c>
      <c r="AQ5" s="21">
        <f>(AM5/$J$5)/2</f>
        <v>50</v>
      </c>
      <c r="AR5" s="21">
        <f>(AN5/$J$5)/2</f>
        <v>21</v>
      </c>
      <c r="AT5" s="8">
        <f>(AL5*$AT$1)</f>
        <v>139776</v>
      </c>
      <c r="AU5" s="8">
        <f t="shared" ref="AU5:AU28" si="0">(AM5*$AT$1)</f>
        <v>72800</v>
      </c>
      <c r="AV5" s="8">
        <f t="shared" ref="AV5:AV28" si="1">(AN5*$AT$1)</f>
        <v>30576</v>
      </c>
    </row>
    <row r="6" spans="1:48" x14ac:dyDescent="0.3">
      <c r="A6" t="s">
        <v>315</v>
      </c>
      <c r="B6" t="s">
        <v>317</v>
      </c>
      <c r="C6" s="1">
        <v>41560</v>
      </c>
      <c r="D6" s="1">
        <f t="shared" ref="D6:D28" ca="1" si="2">ROUNDDOWN(NOW(),0)</f>
        <v>43464</v>
      </c>
      <c r="E6" s="8">
        <f t="shared" ref="E6:E28" ca="1" si="3">ROUND(D6-C6,0)</f>
        <v>1904</v>
      </c>
      <c r="F6" s="8">
        <v>9146</v>
      </c>
      <c r="G6" s="8">
        <v>11508</v>
      </c>
      <c r="H6" s="8">
        <v>14017</v>
      </c>
      <c r="I6" s="8">
        <v>4</v>
      </c>
      <c r="J6" s="8">
        <v>28</v>
      </c>
      <c r="K6" s="8">
        <v>7</v>
      </c>
      <c r="M6" s="8">
        <f t="shared" ref="M6:M28" ca="1" si="4">W6*E6</f>
        <v>10590095600</v>
      </c>
      <c r="N6" s="8">
        <f t="shared" ref="N6:N28" ca="1" si="5">R6*E6</f>
        <v>6636502432</v>
      </c>
      <c r="O6" s="7">
        <f t="shared" ref="O6:O29" ca="1" si="6">N6/M6</f>
        <v>0.62667068199082165</v>
      </c>
      <c r="Q6" s="8">
        <f t="shared" ref="Q6:Q28" si="7">V6-AH6</f>
        <v>24398906</v>
      </c>
      <c r="R6" s="8">
        <f t="shared" ref="R6:R28" si="8">W6-AI6</f>
        <v>3485558</v>
      </c>
      <c r="S6" s="8">
        <f t="shared" ref="S6:S29" si="9">R6/I6</f>
        <v>871389.5</v>
      </c>
      <c r="T6" s="7">
        <f t="shared" ref="T6:T29" si="10">R6/W6</f>
        <v>0.62667068199082165</v>
      </c>
      <c r="U6" s="8"/>
      <c r="V6" s="8">
        <f t="shared" ref="V6:V28" si="11">Z6+AD6</f>
        <v>38934175</v>
      </c>
      <c r="W6" s="8">
        <f t="shared" ref="W6:W28" si="12">AA6+AE6</f>
        <v>5562025</v>
      </c>
      <c r="X6" s="8">
        <f t="shared" ref="X6:X29" si="13">W6/I6</f>
        <v>1390506.25</v>
      </c>
      <c r="Y6" s="8"/>
      <c r="Z6" s="8">
        <f t="shared" ref="Z6:Z28" si="14">AA6*7</f>
        <v>35015533</v>
      </c>
      <c r="AA6" s="8">
        <v>5002219</v>
      </c>
      <c r="AB6" s="32">
        <f t="shared" ref="AB6:AB29" si="15">W6/AA6</f>
        <v>1.1119115336613612</v>
      </c>
      <c r="AC6" s="8"/>
      <c r="AD6" s="8">
        <f t="shared" ref="AD6:AD28" si="16">AE6*7</f>
        <v>3918642</v>
      </c>
      <c r="AE6" s="8">
        <v>559806</v>
      </c>
      <c r="AF6" s="32">
        <f t="shared" ref="AF6:AF29" si="17">W6/AE6</f>
        <v>9.9356294859290539</v>
      </c>
      <c r="AG6" s="8"/>
      <c r="AH6" s="10">
        <f t="shared" ref="AH6:AH28" si="18">AI6*7</f>
        <v>14535269</v>
      </c>
      <c r="AI6" s="10">
        <v>2076467</v>
      </c>
      <c r="AJ6" s="30">
        <f t="shared" ref="AJ6:AJ29" si="19">W6/AI6</f>
        <v>2.6786002378077765</v>
      </c>
      <c r="AK6" s="8"/>
      <c r="AL6" s="8">
        <v>5355</v>
      </c>
      <c r="AM6" s="8">
        <v>2786</v>
      </c>
      <c r="AN6" s="8">
        <v>1169</v>
      </c>
      <c r="AO6" s="26"/>
      <c r="AP6" s="21">
        <f t="shared" ref="AP6:AP28" si="20">ROUND((AL6/$J$5)/2,0)</f>
        <v>191</v>
      </c>
      <c r="AQ6" s="21">
        <f t="shared" ref="AQ6:AQ28" si="21">(AM6/$J$5)/2</f>
        <v>99.5</v>
      </c>
      <c r="AR6" s="21">
        <f t="shared" ref="AR6:AR28" si="22">(AN6/$J$5)/2</f>
        <v>41.75</v>
      </c>
      <c r="AT6" s="8">
        <f t="shared" ref="AT6:AT28" si="23">(AL6*$AT$1)</f>
        <v>278460</v>
      </c>
      <c r="AU6" s="8">
        <f t="shared" si="0"/>
        <v>144872</v>
      </c>
      <c r="AV6" s="8">
        <f t="shared" si="1"/>
        <v>60788</v>
      </c>
    </row>
    <row r="7" spans="1:48" x14ac:dyDescent="0.3">
      <c r="A7" t="s">
        <v>315</v>
      </c>
      <c r="B7" t="s">
        <v>318</v>
      </c>
      <c r="C7" s="1">
        <v>41557</v>
      </c>
      <c r="D7" s="1">
        <f t="shared" ca="1" si="2"/>
        <v>43464</v>
      </c>
      <c r="E7" s="8">
        <f t="shared" ca="1" si="3"/>
        <v>1907</v>
      </c>
      <c r="F7" s="8">
        <v>8803</v>
      </c>
      <c r="G7" s="8">
        <v>11508</v>
      </c>
      <c r="H7" s="8">
        <v>13019</v>
      </c>
      <c r="I7" s="8">
        <v>3</v>
      </c>
      <c r="J7" s="8">
        <v>21</v>
      </c>
      <c r="K7" s="8">
        <v>6</v>
      </c>
      <c r="M7" s="8">
        <f t="shared" ca="1" si="4"/>
        <v>8023830269</v>
      </c>
      <c r="N7" s="8">
        <f t="shared" ca="1" si="5"/>
        <v>5161049497</v>
      </c>
      <c r="O7" s="7">
        <f t="shared" ca="1" si="6"/>
        <v>0.64321518825487511</v>
      </c>
      <c r="Q7" s="8">
        <f t="shared" si="7"/>
        <v>18944597</v>
      </c>
      <c r="R7" s="8">
        <f t="shared" si="8"/>
        <v>2706371</v>
      </c>
      <c r="S7" s="8">
        <f t="shared" si="9"/>
        <v>902123.66666666663</v>
      </c>
      <c r="T7" s="7">
        <f t="shared" si="10"/>
        <v>0.64321518825487511</v>
      </c>
      <c r="U7" s="8"/>
      <c r="V7" s="8">
        <f t="shared" si="11"/>
        <v>29452969</v>
      </c>
      <c r="W7" s="8">
        <f t="shared" si="12"/>
        <v>4207567</v>
      </c>
      <c r="X7" s="8">
        <f t="shared" si="13"/>
        <v>1402522.3333333333</v>
      </c>
      <c r="Y7" s="8"/>
      <c r="Z7" s="8">
        <f t="shared" si="14"/>
        <v>26434016</v>
      </c>
      <c r="AA7" s="8">
        <v>3776288</v>
      </c>
      <c r="AB7" s="32">
        <f t="shared" si="15"/>
        <v>1.1142071261513953</v>
      </c>
      <c r="AC7" s="8"/>
      <c r="AD7" s="8">
        <f t="shared" si="16"/>
        <v>3018953</v>
      </c>
      <c r="AE7" s="8">
        <v>431279</v>
      </c>
      <c r="AF7" s="32">
        <f t="shared" si="17"/>
        <v>9.7560210443819422</v>
      </c>
      <c r="AG7" s="8"/>
      <c r="AH7" s="10">
        <f t="shared" si="18"/>
        <v>10508372</v>
      </c>
      <c r="AI7" s="10">
        <v>1501196</v>
      </c>
      <c r="AJ7" s="30">
        <f t="shared" si="19"/>
        <v>2.8028098929120513</v>
      </c>
      <c r="AK7" s="8"/>
      <c r="AL7" s="8">
        <v>4018</v>
      </c>
      <c r="AM7" s="8">
        <v>2086</v>
      </c>
      <c r="AN7" s="8">
        <v>875</v>
      </c>
      <c r="AO7" s="26"/>
      <c r="AP7" s="21">
        <f t="shared" si="20"/>
        <v>144</v>
      </c>
      <c r="AQ7" s="21">
        <f t="shared" si="21"/>
        <v>74.5</v>
      </c>
      <c r="AR7" s="21">
        <f t="shared" si="22"/>
        <v>31.25</v>
      </c>
      <c r="AT7" s="8">
        <f t="shared" si="23"/>
        <v>208936</v>
      </c>
      <c r="AU7" s="8">
        <f t="shared" si="0"/>
        <v>108472</v>
      </c>
      <c r="AV7" s="8">
        <f t="shared" si="1"/>
        <v>45500</v>
      </c>
    </row>
    <row r="8" spans="1:48" x14ac:dyDescent="0.3">
      <c r="A8" t="s">
        <v>315</v>
      </c>
      <c r="B8" t="s">
        <v>319</v>
      </c>
      <c r="C8" s="1">
        <v>41615</v>
      </c>
      <c r="D8" s="1">
        <f t="shared" ca="1" si="2"/>
        <v>43464</v>
      </c>
      <c r="E8" s="8">
        <f t="shared" ca="1" si="3"/>
        <v>1849</v>
      </c>
      <c r="F8" s="8">
        <v>9183</v>
      </c>
      <c r="G8" s="8">
        <v>11508</v>
      </c>
      <c r="H8" s="8">
        <v>14268</v>
      </c>
      <c r="I8" s="8">
        <v>3</v>
      </c>
      <c r="J8" s="8">
        <v>21</v>
      </c>
      <c r="K8" s="8">
        <v>8</v>
      </c>
      <c r="M8" s="8">
        <f t="shared" ca="1" si="4"/>
        <v>8340047628</v>
      </c>
      <c r="N8" s="8">
        <f t="shared" ca="1" si="5"/>
        <v>5435692049</v>
      </c>
      <c r="O8" s="7">
        <f t="shared" ca="1" si="6"/>
        <v>0.65175791451727183</v>
      </c>
      <c r="Q8" s="8">
        <f t="shared" si="7"/>
        <v>20578607</v>
      </c>
      <c r="R8" s="8">
        <f t="shared" si="8"/>
        <v>2939801</v>
      </c>
      <c r="S8" s="8">
        <f t="shared" si="9"/>
        <v>979933.66666666663</v>
      </c>
      <c r="T8" s="7">
        <f t="shared" si="10"/>
        <v>0.65175791451727183</v>
      </c>
      <c r="U8" s="8"/>
      <c r="V8" s="8">
        <f t="shared" si="11"/>
        <v>31574004</v>
      </c>
      <c r="W8" s="8">
        <f t="shared" si="12"/>
        <v>4510572</v>
      </c>
      <c r="X8" s="8">
        <f t="shared" si="13"/>
        <v>1503524</v>
      </c>
      <c r="Y8" s="8"/>
      <c r="Z8" s="8">
        <f t="shared" si="14"/>
        <v>28493808</v>
      </c>
      <c r="AA8" s="8">
        <v>4070544</v>
      </c>
      <c r="AB8" s="32">
        <f t="shared" si="15"/>
        <v>1.1081005388960297</v>
      </c>
      <c r="AC8" s="8"/>
      <c r="AD8" s="8">
        <f t="shared" si="16"/>
        <v>3080196</v>
      </c>
      <c r="AE8" s="8">
        <v>440028</v>
      </c>
      <c r="AF8" s="32">
        <f t="shared" si="17"/>
        <v>10.250647686056341</v>
      </c>
      <c r="AG8" s="8"/>
      <c r="AH8" s="10">
        <f t="shared" si="18"/>
        <v>10995397</v>
      </c>
      <c r="AI8" s="10">
        <v>1570771</v>
      </c>
      <c r="AJ8" s="30">
        <f t="shared" si="19"/>
        <v>2.8715656196861286</v>
      </c>
      <c r="AK8" s="8"/>
      <c r="AL8" s="8">
        <v>4032</v>
      </c>
      <c r="AM8" s="8">
        <v>2100</v>
      </c>
      <c r="AN8" s="8">
        <v>882</v>
      </c>
      <c r="AO8" s="26"/>
      <c r="AP8" s="21">
        <f t="shared" si="20"/>
        <v>144</v>
      </c>
      <c r="AQ8" s="21">
        <f t="shared" si="21"/>
        <v>75</v>
      </c>
      <c r="AR8" s="21">
        <f t="shared" si="22"/>
        <v>31.5</v>
      </c>
      <c r="AT8" s="8">
        <f t="shared" si="23"/>
        <v>209664</v>
      </c>
      <c r="AU8" s="8">
        <f t="shared" si="0"/>
        <v>109200</v>
      </c>
      <c r="AV8" s="8">
        <f t="shared" si="1"/>
        <v>45864</v>
      </c>
    </row>
    <row r="9" spans="1:48" x14ac:dyDescent="0.3">
      <c r="A9" t="s">
        <v>315</v>
      </c>
      <c r="B9" t="s">
        <v>320</v>
      </c>
      <c r="C9" s="1">
        <v>41557</v>
      </c>
      <c r="D9" s="1">
        <f t="shared" ca="1" si="2"/>
        <v>43464</v>
      </c>
      <c r="E9" s="8">
        <f t="shared" ca="1" si="3"/>
        <v>1907</v>
      </c>
      <c r="F9" s="8">
        <v>8657</v>
      </c>
      <c r="G9" s="8">
        <v>11508</v>
      </c>
      <c r="H9" s="8">
        <v>19619</v>
      </c>
      <c r="I9" s="8">
        <v>3</v>
      </c>
      <c r="J9" s="8">
        <v>21</v>
      </c>
      <c r="K9" s="8">
        <v>10</v>
      </c>
      <c r="M9" s="8">
        <f t="shared" ca="1" si="4"/>
        <v>8369613230</v>
      </c>
      <c r="N9" s="8">
        <f t="shared" ca="1" si="5"/>
        <v>5397086515</v>
      </c>
      <c r="O9" s="7">
        <f t="shared" ca="1" si="6"/>
        <v>0.64484300130556926</v>
      </c>
      <c r="Q9" s="8">
        <f t="shared" si="7"/>
        <v>19811015</v>
      </c>
      <c r="R9" s="8">
        <f t="shared" si="8"/>
        <v>2830145</v>
      </c>
      <c r="S9" s="8">
        <f t="shared" si="9"/>
        <v>943381.66666666663</v>
      </c>
      <c r="T9" s="7">
        <f t="shared" si="10"/>
        <v>0.64484300130556926</v>
      </c>
      <c r="U9" s="8"/>
      <c r="V9" s="8">
        <f t="shared" si="11"/>
        <v>30722230</v>
      </c>
      <c r="W9" s="8">
        <f t="shared" si="12"/>
        <v>4388890</v>
      </c>
      <c r="X9" s="8">
        <f t="shared" si="13"/>
        <v>1462963.3333333333</v>
      </c>
      <c r="Y9" s="8"/>
      <c r="Z9" s="8">
        <f t="shared" si="14"/>
        <v>27713112</v>
      </c>
      <c r="AA9" s="8">
        <v>3959016</v>
      </c>
      <c r="AB9" s="32">
        <f t="shared" si="15"/>
        <v>1.1085810211426275</v>
      </c>
      <c r="AC9" s="8"/>
      <c r="AD9" s="8">
        <f t="shared" si="16"/>
        <v>3009118</v>
      </c>
      <c r="AE9" s="8">
        <v>429874</v>
      </c>
      <c r="AF9" s="32">
        <f t="shared" si="17"/>
        <v>10.209712613463481</v>
      </c>
      <c r="AG9" s="8"/>
      <c r="AH9" s="10">
        <f t="shared" si="18"/>
        <v>10911215</v>
      </c>
      <c r="AI9" s="10">
        <v>1558745</v>
      </c>
      <c r="AJ9" s="30">
        <f t="shared" si="19"/>
        <v>2.8156561849436565</v>
      </c>
      <c r="AK9" s="8"/>
      <c r="AL9" s="8">
        <v>2866</v>
      </c>
      <c r="AM9" s="8">
        <v>1493</v>
      </c>
      <c r="AN9" s="8">
        <v>630</v>
      </c>
      <c r="AO9" s="26"/>
      <c r="AP9" s="21">
        <f t="shared" si="20"/>
        <v>102</v>
      </c>
      <c r="AQ9" s="21">
        <f t="shared" si="21"/>
        <v>53.321428571428569</v>
      </c>
      <c r="AR9" s="21">
        <f t="shared" si="22"/>
        <v>22.5</v>
      </c>
      <c r="AT9" s="8">
        <f t="shared" si="23"/>
        <v>149032</v>
      </c>
      <c r="AU9" s="8">
        <f t="shared" si="0"/>
        <v>77636</v>
      </c>
      <c r="AV9" s="8">
        <f t="shared" si="1"/>
        <v>32760</v>
      </c>
    </row>
    <row r="10" spans="1:48" x14ac:dyDescent="0.3">
      <c r="A10" t="s">
        <v>315</v>
      </c>
      <c r="B10" t="s">
        <v>321</v>
      </c>
      <c r="C10" s="1">
        <v>41648</v>
      </c>
      <c r="D10" s="1">
        <f t="shared" ca="1" si="2"/>
        <v>43464</v>
      </c>
      <c r="E10" s="8">
        <f t="shared" ca="1" si="3"/>
        <v>1816</v>
      </c>
      <c r="F10" s="8">
        <v>9205</v>
      </c>
      <c r="G10" s="8">
        <v>11508</v>
      </c>
      <c r="H10" s="8">
        <v>9205</v>
      </c>
      <c r="I10" s="8">
        <v>3</v>
      </c>
      <c r="J10" s="8">
        <v>21</v>
      </c>
      <c r="K10" s="8">
        <v>8</v>
      </c>
      <c r="M10" s="8">
        <f t="shared" ca="1" si="4"/>
        <v>8313023296</v>
      </c>
      <c r="N10" s="8">
        <f t="shared" ca="1" si="5"/>
        <v>5440343744</v>
      </c>
      <c r="O10" s="7">
        <f t="shared" ca="1" si="6"/>
        <v>0.65443624422630275</v>
      </c>
      <c r="Q10" s="8">
        <f t="shared" si="7"/>
        <v>20970488</v>
      </c>
      <c r="R10" s="8">
        <f t="shared" si="8"/>
        <v>2995784</v>
      </c>
      <c r="S10" s="8">
        <f t="shared" si="9"/>
        <v>998594.66666666663</v>
      </c>
      <c r="T10" s="7">
        <f t="shared" si="10"/>
        <v>0.65443624422630275</v>
      </c>
      <c r="U10" s="8"/>
      <c r="V10" s="8">
        <f t="shared" si="11"/>
        <v>32043592</v>
      </c>
      <c r="W10" s="8">
        <f t="shared" si="12"/>
        <v>4577656</v>
      </c>
      <c r="X10" s="8">
        <f t="shared" si="13"/>
        <v>1525885.3333333333</v>
      </c>
      <c r="Y10" s="8"/>
      <c r="Z10" s="8">
        <f t="shared" si="14"/>
        <v>28960442</v>
      </c>
      <c r="AA10" s="8">
        <v>4137206</v>
      </c>
      <c r="AB10" s="32">
        <f t="shared" si="15"/>
        <v>1.1064607370288064</v>
      </c>
      <c r="AC10" s="8"/>
      <c r="AD10" s="8">
        <f t="shared" si="16"/>
        <v>3083150</v>
      </c>
      <c r="AE10" s="8">
        <v>440450</v>
      </c>
      <c r="AF10" s="32">
        <f t="shared" si="17"/>
        <v>10.393134294471563</v>
      </c>
      <c r="AG10" s="8"/>
      <c r="AH10" s="10">
        <f t="shared" si="18"/>
        <v>11073104</v>
      </c>
      <c r="AI10" s="10">
        <v>1581872</v>
      </c>
      <c r="AJ10" s="30">
        <f t="shared" si="19"/>
        <v>2.8938220032973589</v>
      </c>
      <c r="AK10" s="8"/>
      <c r="AL10" s="8">
        <v>4032</v>
      </c>
      <c r="AM10" s="8">
        <v>2100</v>
      </c>
      <c r="AN10" s="8">
        <v>882</v>
      </c>
      <c r="AO10" s="26"/>
      <c r="AP10" s="21">
        <f t="shared" si="20"/>
        <v>144</v>
      </c>
      <c r="AQ10" s="21">
        <f t="shared" si="21"/>
        <v>75</v>
      </c>
      <c r="AR10" s="21">
        <f t="shared" si="22"/>
        <v>31.5</v>
      </c>
      <c r="AT10" s="8">
        <f t="shared" si="23"/>
        <v>209664</v>
      </c>
      <c r="AU10" s="8">
        <f t="shared" si="0"/>
        <v>109200</v>
      </c>
      <c r="AV10" s="8">
        <f t="shared" si="1"/>
        <v>45864</v>
      </c>
    </row>
    <row r="11" spans="1:48" x14ac:dyDescent="0.3">
      <c r="A11" t="s">
        <v>315</v>
      </c>
      <c r="B11" t="s">
        <v>322</v>
      </c>
      <c r="C11" s="1">
        <v>41557</v>
      </c>
      <c r="D11" s="1">
        <f t="shared" ca="1" si="2"/>
        <v>43464</v>
      </c>
      <c r="E11" s="8">
        <f ca="1">ROUND(D11-C11,0)</f>
        <v>1907</v>
      </c>
      <c r="F11" s="8">
        <v>8787</v>
      </c>
      <c r="G11" s="8">
        <v>11508</v>
      </c>
      <c r="H11" s="8">
        <v>8787</v>
      </c>
      <c r="I11" s="8">
        <v>4</v>
      </c>
      <c r="J11" s="8">
        <v>28</v>
      </c>
      <c r="K11" s="8">
        <v>10</v>
      </c>
      <c r="M11" s="8">
        <f t="shared" ca="1" si="4"/>
        <v>10700966498</v>
      </c>
      <c r="N11" s="8">
        <f t="shared" ca="1" si="5"/>
        <v>6709419077</v>
      </c>
      <c r="O11" s="7">
        <f t="shared" ca="1" si="6"/>
        <v>0.62699187762656616</v>
      </c>
      <c r="Q11" s="8">
        <f t="shared" si="7"/>
        <v>24628177</v>
      </c>
      <c r="R11" s="8">
        <f t="shared" si="8"/>
        <v>3518311</v>
      </c>
      <c r="S11" s="8">
        <f t="shared" si="9"/>
        <v>879577.75</v>
      </c>
      <c r="T11" s="7">
        <f t="shared" si="10"/>
        <v>0.62699187762656616</v>
      </c>
      <c r="U11" s="8"/>
      <c r="V11" s="8">
        <f t="shared" si="11"/>
        <v>39279898</v>
      </c>
      <c r="W11" s="8">
        <f t="shared" si="12"/>
        <v>5611414</v>
      </c>
      <c r="X11" s="8">
        <f t="shared" si="13"/>
        <v>1402853.5</v>
      </c>
      <c r="Y11" s="8"/>
      <c r="Z11" s="8">
        <f t="shared" si="14"/>
        <v>35211750</v>
      </c>
      <c r="AA11" s="8">
        <v>5030250</v>
      </c>
      <c r="AB11" s="32">
        <f t="shared" si="15"/>
        <v>1.1155338203866607</v>
      </c>
      <c r="AC11" s="8"/>
      <c r="AD11" s="8">
        <f t="shared" si="16"/>
        <v>4068148</v>
      </c>
      <c r="AE11" s="8">
        <v>581164</v>
      </c>
      <c r="AF11" s="32">
        <f t="shared" si="17"/>
        <v>9.6554741862882079</v>
      </c>
      <c r="AG11" s="8"/>
      <c r="AH11" s="10">
        <f t="shared" si="18"/>
        <v>14651721</v>
      </c>
      <c r="AI11" s="10">
        <v>2093103</v>
      </c>
      <c r="AJ11" s="30">
        <f t="shared" si="19"/>
        <v>2.6809067685632288</v>
      </c>
      <c r="AK11" s="8"/>
      <c r="AL11" s="8">
        <v>5236</v>
      </c>
      <c r="AM11" s="8">
        <v>2737</v>
      </c>
      <c r="AN11" s="8">
        <v>1155</v>
      </c>
      <c r="AO11" s="26"/>
      <c r="AP11" s="21">
        <f t="shared" si="20"/>
        <v>187</v>
      </c>
      <c r="AQ11" s="21">
        <f t="shared" si="21"/>
        <v>97.75</v>
      </c>
      <c r="AR11" s="21">
        <f t="shared" si="22"/>
        <v>41.25</v>
      </c>
      <c r="AT11" s="8">
        <f t="shared" si="23"/>
        <v>272272</v>
      </c>
      <c r="AU11" s="8">
        <f t="shared" si="0"/>
        <v>142324</v>
      </c>
      <c r="AV11" s="8">
        <f t="shared" si="1"/>
        <v>60060</v>
      </c>
    </row>
    <row r="12" spans="1:48" x14ac:dyDescent="0.3">
      <c r="A12" t="s">
        <v>315</v>
      </c>
      <c r="B12" t="s">
        <v>323</v>
      </c>
      <c r="C12" s="1">
        <v>41660</v>
      </c>
      <c r="D12" s="1">
        <f t="shared" ca="1" si="2"/>
        <v>43464</v>
      </c>
      <c r="E12" s="8">
        <f t="shared" ca="1" si="3"/>
        <v>1804</v>
      </c>
      <c r="F12" s="8">
        <v>9097</v>
      </c>
      <c r="G12" s="8">
        <v>11508</v>
      </c>
      <c r="H12" s="8">
        <v>16521</v>
      </c>
      <c r="I12" s="8">
        <v>3</v>
      </c>
      <c r="J12" s="8">
        <v>21</v>
      </c>
      <c r="K12" s="8">
        <v>8</v>
      </c>
      <c r="M12" s="8">
        <f t="shared" ca="1" si="4"/>
        <v>8328750496</v>
      </c>
      <c r="N12" s="8">
        <f t="shared" ca="1" si="5"/>
        <v>5470887972</v>
      </c>
      <c r="O12" s="7">
        <f t="shared" ca="1" si="6"/>
        <v>0.6568677948303856</v>
      </c>
      <c r="Q12" s="8">
        <f t="shared" si="7"/>
        <v>21228501</v>
      </c>
      <c r="R12" s="8">
        <f t="shared" si="8"/>
        <v>3032643</v>
      </c>
      <c r="S12" s="8">
        <f t="shared" si="9"/>
        <v>1010881</v>
      </c>
      <c r="T12" s="7">
        <f t="shared" si="10"/>
        <v>0.6568677948303856</v>
      </c>
      <c r="U12" s="8"/>
      <c r="V12" s="8">
        <f t="shared" si="11"/>
        <v>32317768</v>
      </c>
      <c r="W12" s="8">
        <f t="shared" si="12"/>
        <v>4616824</v>
      </c>
      <c r="X12" s="8">
        <f t="shared" si="13"/>
        <v>1538941.3333333333</v>
      </c>
      <c r="Y12" s="8"/>
      <c r="Z12" s="8">
        <f t="shared" si="14"/>
        <v>29249192</v>
      </c>
      <c r="AA12" s="8">
        <v>4178456</v>
      </c>
      <c r="AB12" s="32">
        <f t="shared" si="15"/>
        <v>1.104911479264111</v>
      </c>
      <c r="AC12" s="8"/>
      <c r="AD12" s="8">
        <f t="shared" si="16"/>
        <v>3068576</v>
      </c>
      <c r="AE12" s="8">
        <v>438368</v>
      </c>
      <c r="AF12" s="32">
        <f t="shared" si="17"/>
        <v>10.531845390174466</v>
      </c>
      <c r="AG12" s="8"/>
      <c r="AH12" s="10">
        <f t="shared" si="18"/>
        <v>11089267</v>
      </c>
      <c r="AI12" s="10">
        <v>1584181</v>
      </c>
      <c r="AJ12" s="30">
        <f t="shared" si="19"/>
        <v>2.914328602602859</v>
      </c>
      <c r="AK12" s="8"/>
      <c r="AL12" s="8">
        <v>4032</v>
      </c>
      <c r="AM12" s="8">
        <v>2100</v>
      </c>
      <c r="AN12" s="8">
        <v>882</v>
      </c>
      <c r="AO12" s="26"/>
      <c r="AP12" s="21">
        <f t="shared" si="20"/>
        <v>144</v>
      </c>
      <c r="AQ12" s="21">
        <f t="shared" si="21"/>
        <v>75</v>
      </c>
      <c r="AR12" s="21">
        <f t="shared" si="22"/>
        <v>31.5</v>
      </c>
      <c r="AT12" s="8">
        <f t="shared" si="23"/>
        <v>209664</v>
      </c>
      <c r="AU12" s="8">
        <f t="shared" si="0"/>
        <v>109200</v>
      </c>
      <c r="AV12" s="8">
        <f t="shared" si="1"/>
        <v>45864</v>
      </c>
    </row>
    <row r="13" spans="1:48" x14ac:dyDescent="0.3">
      <c r="A13" t="s">
        <v>315</v>
      </c>
      <c r="B13" t="s">
        <v>324</v>
      </c>
      <c r="C13" s="1">
        <v>41557</v>
      </c>
      <c r="D13" s="1">
        <f t="shared" ca="1" si="2"/>
        <v>43464</v>
      </c>
      <c r="E13" s="8">
        <f t="shared" ca="1" si="3"/>
        <v>1907</v>
      </c>
      <c r="F13" s="8">
        <v>9332</v>
      </c>
      <c r="G13" s="8">
        <v>11508</v>
      </c>
      <c r="H13" s="8">
        <v>26845</v>
      </c>
      <c r="I13" s="8">
        <v>3</v>
      </c>
      <c r="J13" s="8">
        <v>21</v>
      </c>
      <c r="K13" s="8">
        <v>10</v>
      </c>
      <c r="M13" s="8">
        <f t="shared" ca="1" si="4"/>
        <v>9046584881</v>
      </c>
      <c r="N13" s="8">
        <f t="shared" ca="1" si="5"/>
        <v>5750642408</v>
      </c>
      <c r="O13" s="7">
        <f t="shared" ca="1" si="6"/>
        <v>0.63566997752684884</v>
      </c>
      <c r="Q13" s="8">
        <f t="shared" si="7"/>
        <v>21108808</v>
      </c>
      <c r="R13" s="8">
        <f t="shared" si="8"/>
        <v>3015544</v>
      </c>
      <c r="S13" s="8">
        <f t="shared" si="9"/>
        <v>1005181.3333333334</v>
      </c>
      <c r="T13" s="7">
        <f t="shared" si="10"/>
        <v>0.63566997752684884</v>
      </c>
      <c r="U13" s="8"/>
      <c r="V13" s="8">
        <f t="shared" si="11"/>
        <v>33207181</v>
      </c>
      <c r="W13" s="8">
        <f t="shared" si="12"/>
        <v>4743883</v>
      </c>
      <c r="X13" s="8">
        <f t="shared" si="13"/>
        <v>1581294.3333333333</v>
      </c>
      <c r="Y13" s="8"/>
      <c r="Z13" s="8">
        <f t="shared" si="14"/>
        <v>30106860</v>
      </c>
      <c r="AA13" s="8">
        <v>4300980</v>
      </c>
      <c r="AB13" s="32">
        <f t="shared" si="15"/>
        <v>1.1029772284456101</v>
      </c>
      <c r="AC13" s="8"/>
      <c r="AD13" s="8">
        <f t="shared" si="16"/>
        <v>3100321</v>
      </c>
      <c r="AE13" s="8">
        <v>442903</v>
      </c>
      <c r="AF13" s="32">
        <f t="shared" si="17"/>
        <v>10.710884776124795</v>
      </c>
      <c r="AG13" s="8"/>
      <c r="AH13" s="10">
        <f t="shared" si="18"/>
        <v>12098373</v>
      </c>
      <c r="AI13" s="10">
        <v>1728339</v>
      </c>
      <c r="AJ13" s="30">
        <f t="shared" si="19"/>
        <v>2.7447641926728497</v>
      </c>
      <c r="AK13" s="8"/>
      <c r="AL13" s="8">
        <v>2667</v>
      </c>
      <c r="AM13" s="8">
        <v>1386</v>
      </c>
      <c r="AN13" s="8">
        <v>588</v>
      </c>
      <c r="AO13" s="26"/>
      <c r="AP13" s="21">
        <f t="shared" si="20"/>
        <v>95</v>
      </c>
      <c r="AQ13" s="21">
        <f t="shared" si="21"/>
        <v>49.5</v>
      </c>
      <c r="AR13" s="21">
        <f t="shared" si="22"/>
        <v>21</v>
      </c>
      <c r="AT13" s="8">
        <f t="shared" si="23"/>
        <v>138684</v>
      </c>
      <c r="AU13" s="8">
        <f t="shared" si="0"/>
        <v>72072</v>
      </c>
      <c r="AV13" s="8">
        <f t="shared" si="1"/>
        <v>30576</v>
      </c>
    </row>
    <row r="14" spans="1:48" x14ac:dyDescent="0.3">
      <c r="A14" t="s">
        <v>315</v>
      </c>
      <c r="B14" t="s">
        <v>325</v>
      </c>
      <c r="C14" s="1">
        <v>41615</v>
      </c>
      <c r="D14" s="1">
        <f t="shared" ca="1" si="2"/>
        <v>43464</v>
      </c>
      <c r="E14" s="8">
        <f t="shared" ca="1" si="3"/>
        <v>1849</v>
      </c>
      <c r="F14" s="8">
        <v>8656</v>
      </c>
      <c r="G14" s="8">
        <v>11508</v>
      </c>
      <c r="H14" s="8">
        <v>16402</v>
      </c>
      <c r="I14" s="8">
        <v>2</v>
      </c>
      <c r="J14" s="8">
        <v>14</v>
      </c>
      <c r="K14" s="8">
        <v>8</v>
      </c>
      <c r="M14" s="8">
        <f t="shared" ca="1" si="4"/>
        <v>5800105912</v>
      </c>
      <c r="N14" s="8">
        <f t="shared" ca="1" si="5"/>
        <v>3907863349</v>
      </c>
      <c r="O14" s="7">
        <f t="shared" ca="1" si="6"/>
        <v>0.67375723965917811</v>
      </c>
      <c r="Q14" s="8">
        <f t="shared" si="7"/>
        <v>14794507</v>
      </c>
      <c r="R14" s="8">
        <f t="shared" si="8"/>
        <v>2113501</v>
      </c>
      <c r="S14" s="8">
        <f t="shared" si="9"/>
        <v>1056750.5</v>
      </c>
      <c r="T14" s="7">
        <f t="shared" si="10"/>
        <v>0.67375723965917811</v>
      </c>
      <c r="U14" s="8"/>
      <c r="V14" s="8">
        <f t="shared" si="11"/>
        <v>21958216</v>
      </c>
      <c r="W14" s="8">
        <f t="shared" si="12"/>
        <v>3136888</v>
      </c>
      <c r="X14" s="8">
        <f t="shared" si="13"/>
        <v>1568444</v>
      </c>
      <c r="Y14" s="8"/>
      <c r="Z14" s="8">
        <f t="shared" si="14"/>
        <v>19790652</v>
      </c>
      <c r="AA14" s="8">
        <v>2827236</v>
      </c>
      <c r="AB14" s="32">
        <f t="shared" si="15"/>
        <v>1.1095246381978725</v>
      </c>
      <c r="AC14" s="8"/>
      <c r="AD14" s="8">
        <f t="shared" si="16"/>
        <v>2167564</v>
      </c>
      <c r="AE14" s="8">
        <v>309652</v>
      </c>
      <c r="AF14" s="32">
        <f t="shared" si="17"/>
        <v>10.130365700851279</v>
      </c>
      <c r="AG14" s="8"/>
      <c r="AH14" s="10">
        <f t="shared" si="18"/>
        <v>7163709</v>
      </c>
      <c r="AI14" s="10">
        <v>1023387</v>
      </c>
      <c r="AJ14" s="30">
        <f t="shared" si="19"/>
        <v>3.0652021180648181</v>
      </c>
      <c r="AK14" s="8"/>
      <c r="AL14" s="8">
        <v>2688</v>
      </c>
      <c r="AM14" s="8">
        <v>1400</v>
      </c>
      <c r="AN14" s="8">
        <v>588</v>
      </c>
      <c r="AO14" s="26"/>
      <c r="AP14" s="21">
        <f t="shared" si="20"/>
        <v>96</v>
      </c>
      <c r="AQ14" s="21">
        <f t="shared" si="21"/>
        <v>50</v>
      </c>
      <c r="AR14" s="21">
        <f t="shared" si="22"/>
        <v>21</v>
      </c>
      <c r="AT14" s="8">
        <f t="shared" si="23"/>
        <v>139776</v>
      </c>
      <c r="AU14" s="8">
        <f t="shared" si="0"/>
        <v>72800</v>
      </c>
      <c r="AV14" s="8">
        <f t="shared" si="1"/>
        <v>30576</v>
      </c>
    </row>
    <row r="15" spans="1:48" x14ac:dyDescent="0.3">
      <c r="A15" t="s">
        <v>315</v>
      </c>
      <c r="B15" t="s">
        <v>326</v>
      </c>
      <c r="C15" s="1">
        <v>41557</v>
      </c>
      <c r="D15" s="1">
        <f t="shared" ca="1" si="2"/>
        <v>43464</v>
      </c>
      <c r="E15" s="8">
        <f t="shared" ca="1" si="3"/>
        <v>1907</v>
      </c>
      <c r="F15" s="8">
        <v>8979</v>
      </c>
      <c r="G15" s="8">
        <v>11508</v>
      </c>
      <c r="H15" s="8">
        <v>19145</v>
      </c>
      <c r="I15" s="8">
        <v>4</v>
      </c>
      <c r="J15" s="8">
        <v>28</v>
      </c>
      <c r="K15" s="8">
        <v>10</v>
      </c>
      <c r="M15" s="8">
        <f t="shared" ca="1" si="4"/>
        <v>10730254204</v>
      </c>
      <c r="N15" s="8">
        <f t="shared" ca="1" si="5"/>
        <v>6760841332</v>
      </c>
      <c r="O15" s="7">
        <f t="shared" ca="1" si="6"/>
        <v>0.63007280195465531</v>
      </c>
      <c r="Q15" s="8">
        <f t="shared" si="7"/>
        <v>24816932</v>
      </c>
      <c r="R15" s="8">
        <f t="shared" si="8"/>
        <v>3545276</v>
      </c>
      <c r="S15" s="8">
        <f t="shared" si="9"/>
        <v>886319</v>
      </c>
      <c r="T15" s="7">
        <f t="shared" si="10"/>
        <v>0.63007280195465531</v>
      </c>
      <c r="U15" s="8"/>
      <c r="V15" s="8">
        <f t="shared" si="11"/>
        <v>39387404</v>
      </c>
      <c r="W15" s="8">
        <f t="shared" si="12"/>
        <v>5626772</v>
      </c>
      <c r="X15" s="8">
        <f t="shared" si="13"/>
        <v>1406693</v>
      </c>
      <c r="Y15" s="8"/>
      <c r="Z15" s="8">
        <f t="shared" si="14"/>
        <v>35532315</v>
      </c>
      <c r="AA15" s="8">
        <v>5076045</v>
      </c>
      <c r="AB15" s="32">
        <f t="shared" si="15"/>
        <v>1.1084952950574709</v>
      </c>
      <c r="AC15" s="8"/>
      <c r="AD15" s="8">
        <f t="shared" si="16"/>
        <v>3855089</v>
      </c>
      <c r="AE15" s="8">
        <v>550727</v>
      </c>
      <c r="AF15" s="32">
        <f t="shared" si="17"/>
        <v>10.216989542913277</v>
      </c>
      <c r="AG15" s="8"/>
      <c r="AH15" s="10">
        <f t="shared" si="18"/>
        <v>14570472</v>
      </c>
      <c r="AI15" s="10">
        <v>2081496</v>
      </c>
      <c r="AJ15" s="30">
        <f t="shared" si="19"/>
        <v>2.7032345966554825</v>
      </c>
      <c r="AK15" s="8"/>
      <c r="AL15" s="8">
        <v>5250</v>
      </c>
      <c r="AM15" s="8">
        <v>2737</v>
      </c>
      <c r="AN15" s="8">
        <v>1155</v>
      </c>
      <c r="AO15" s="26"/>
      <c r="AP15" s="21">
        <f t="shared" si="20"/>
        <v>188</v>
      </c>
      <c r="AQ15" s="21">
        <f t="shared" si="21"/>
        <v>97.75</v>
      </c>
      <c r="AR15" s="21">
        <f t="shared" si="22"/>
        <v>41.25</v>
      </c>
      <c r="AT15" s="8">
        <f t="shared" si="23"/>
        <v>273000</v>
      </c>
      <c r="AU15" s="8">
        <f t="shared" si="0"/>
        <v>142324</v>
      </c>
      <c r="AV15" s="8">
        <f t="shared" si="1"/>
        <v>60060</v>
      </c>
    </row>
    <row r="16" spans="1:48" x14ac:dyDescent="0.3">
      <c r="A16" t="s">
        <v>315</v>
      </c>
      <c r="B16" t="s">
        <v>327</v>
      </c>
      <c r="C16" s="1">
        <v>41683</v>
      </c>
      <c r="D16" s="1">
        <f t="shared" ca="1" si="2"/>
        <v>43464</v>
      </c>
      <c r="E16" s="8">
        <f t="shared" ca="1" si="3"/>
        <v>1781</v>
      </c>
      <c r="F16" s="8">
        <v>8229</v>
      </c>
      <c r="G16" s="8">
        <v>11508</v>
      </c>
      <c r="H16" s="8">
        <v>20821</v>
      </c>
      <c r="I16" s="8">
        <v>4</v>
      </c>
      <c r="J16" s="8">
        <v>28</v>
      </c>
      <c r="K16" s="8">
        <v>10</v>
      </c>
      <c r="M16" s="8">
        <f t="shared" ca="1" si="4"/>
        <v>9589103472</v>
      </c>
      <c r="N16" s="8">
        <f t="shared" ca="1" si="5"/>
        <v>6062828551</v>
      </c>
      <c r="O16" s="7">
        <f t="shared" ca="1" si="6"/>
        <v>0.63226229320638205</v>
      </c>
      <c r="Q16" s="8">
        <f t="shared" si="7"/>
        <v>23829197</v>
      </c>
      <c r="R16" s="8">
        <f t="shared" si="8"/>
        <v>3404171</v>
      </c>
      <c r="S16" s="8">
        <f t="shared" si="9"/>
        <v>851042.75</v>
      </c>
      <c r="T16" s="7">
        <f t="shared" si="10"/>
        <v>0.63226229320638205</v>
      </c>
      <c r="U16" s="8"/>
      <c r="V16" s="8">
        <f t="shared" si="11"/>
        <v>37688784</v>
      </c>
      <c r="W16" s="8">
        <f t="shared" si="12"/>
        <v>5384112</v>
      </c>
      <c r="X16" s="8">
        <f t="shared" si="13"/>
        <v>1346028</v>
      </c>
      <c r="Y16" s="8"/>
      <c r="Z16" s="8">
        <f t="shared" si="14"/>
        <v>33907356</v>
      </c>
      <c r="AA16" s="8">
        <v>4843908</v>
      </c>
      <c r="AB16" s="32">
        <f t="shared" si="15"/>
        <v>1.1115223493096895</v>
      </c>
      <c r="AC16" s="8"/>
      <c r="AD16" s="8">
        <f t="shared" si="16"/>
        <v>3781428</v>
      </c>
      <c r="AE16" s="8">
        <v>540204</v>
      </c>
      <c r="AF16" s="32">
        <f t="shared" si="17"/>
        <v>9.9668125374858381</v>
      </c>
      <c r="AG16" s="8"/>
      <c r="AH16" s="10">
        <f t="shared" si="18"/>
        <v>13859587</v>
      </c>
      <c r="AI16" s="10">
        <v>1979941</v>
      </c>
      <c r="AJ16" s="30">
        <f t="shared" si="19"/>
        <v>2.7193295153744481</v>
      </c>
      <c r="AK16" s="8"/>
      <c r="AL16" s="8">
        <v>5376</v>
      </c>
      <c r="AM16" s="8">
        <v>2800</v>
      </c>
      <c r="AN16" s="8">
        <v>1176</v>
      </c>
      <c r="AO16" s="26"/>
      <c r="AP16" s="21">
        <f t="shared" si="20"/>
        <v>192</v>
      </c>
      <c r="AQ16" s="21">
        <f t="shared" si="21"/>
        <v>100</v>
      </c>
      <c r="AR16" s="21">
        <f t="shared" si="22"/>
        <v>42</v>
      </c>
      <c r="AT16" s="8">
        <f t="shared" si="23"/>
        <v>279552</v>
      </c>
      <c r="AU16" s="8">
        <f t="shared" si="0"/>
        <v>145600</v>
      </c>
      <c r="AV16" s="8">
        <f t="shared" si="1"/>
        <v>61152</v>
      </c>
    </row>
    <row r="17" spans="1:48" x14ac:dyDescent="0.3">
      <c r="A17" t="s">
        <v>315</v>
      </c>
      <c r="B17" t="s">
        <v>328</v>
      </c>
      <c r="C17" s="1">
        <v>41557</v>
      </c>
      <c r="D17" s="1">
        <f t="shared" ca="1" si="2"/>
        <v>43464</v>
      </c>
      <c r="E17" s="8">
        <f t="shared" ca="1" si="3"/>
        <v>1907</v>
      </c>
      <c r="F17" s="8">
        <v>8185</v>
      </c>
      <c r="G17" s="8">
        <v>11508</v>
      </c>
      <c r="H17" s="8">
        <v>15917</v>
      </c>
      <c r="I17" s="8">
        <v>2</v>
      </c>
      <c r="J17" s="8">
        <v>14</v>
      </c>
      <c r="K17" s="8">
        <v>7</v>
      </c>
      <c r="M17" s="8">
        <f t="shared" ca="1" si="4"/>
        <v>5523589267</v>
      </c>
      <c r="N17" s="8">
        <f t="shared" ca="1" si="5"/>
        <v>3661506745</v>
      </c>
      <c r="O17" s="7">
        <f t="shared" ca="1" si="6"/>
        <v>0.6628854116426105</v>
      </c>
      <c r="Q17" s="8">
        <f t="shared" si="7"/>
        <v>13440245</v>
      </c>
      <c r="R17" s="8">
        <f t="shared" si="8"/>
        <v>1920035</v>
      </c>
      <c r="S17" s="8">
        <f t="shared" si="9"/>
        <v>960017.5</v>
      </c>
      <c r="T17" s="7">
        <f t="shared" si="10"/>
        <v>0.6628854116426105</v>
      </c>
      <c r="U17" s="8"/>
      <c r="V17" s="8">
        <f t="shared" si="11"/>
        <v>20275367</v>
      </c>
      <c r="W17" s="8">
        <f t="shared" si="12"/>
        <v>2896481</v>
      </c>
      <c r="X17" s="8">
        <f t="shared" si="13"/>
        <v>1448240.5</v>
      </c>
      <c r="Y17" s="8"/>
      <c r="Z17" s="8">
        <f t="shared" si="14"/>
        <v>18162970</v>
      </c>
      <c r="AA17" s="8">
        <v>2594710</v>
      </c>
      <c r="AB17" s="32">
        <f t="shared" si="15"/>
        <v>1.1163023998828385</v>
      </c>
      <c r="AC17" s="8"/>
      <c r="AD17" s="8">
        <f t="shared" si="16"/>
        <v>2112397</v>
      </c>
      <c r="AE17" s="8">
        <v>301771</v>
      </c>
      <c r="AF17" s="32">
        <f t="shared" si="17"/>
        <v>9.5982748507974591</v>
      </c>
      <c r="AG17" s="8"/>
      <c r="AH17" s="10">
        <f t="shared" si="18"/>
        <v>6835122</v>
      </c>
      <c r="AI17" s="10">
        <v>976446</v>
      </c>
      <c r="AJ17" s="30">
        <f t="shared" si="19"/>
        <v>2.9663504177394349</v>
      </c>
      <c r="AK17" s="8"/>
      <c r="AL17" s="8">
        <v>2674</v>
      </c>
      <c r="AM17" s="8">
        <v>1393</v>
      </c>
      <c r="AN17" s="8">
        <v>588</v>
      </c>
      <c r="AO17" s="26"/>
      <c r="AP17" s="21">
        <f t="shared" si="20"/>
        <v>96</v>
      </c>
      <c r="AQ17" s="21">
        <f t="shared" si="21"/>
        <v>49.75</v>
      </c>
      <c r="AR17" s="21">
        <f t="shared" si="22"/>
        <v>21</v>
      </c>
      <c r="AT17" s="8">
        <f t="shared" si="23"/>
        <v>139048</v>
      </c>
      <c r="AU17" s="8">
        <f t="shared" si="0"/>
        <v>72436</v>
      </c>
      <c r="AV17" s="8">
        <f t="shared" si="1"/>
        <v>30576</v>
      </c>
    </row>
    <row r="18" spans="1:48" x14ac:dyDescent="0.3">
      <c r="A18" t="s">
        <v>315</v>
      </c>
      <c r="B18" t="s">
        <v>329</v>
      </c>
      <c r="C18" s="1">
        <v>41557</v>
      </c>
      <c r="D18" s="1">
        <f t="shared" ca="1" si="2"/>
        <v>43464</v>
      </c>
      <c r="E18" s="8">
        <f t="shared" ca="1" si="3"/>
        <v>1907</v>
      </c>
      <c r="F18" s="8">
        <v>8895</v>
      </c>
      <c r="G18" s="8">
        <v>11508</v>
      </c>
      <c r="H18" s="8">
        <v>17762</v>
      </c>
      <c r="I18" s="8">
        <v>3</v>
      </c>
      <c r="J18" s="8">
        <v>21</v>
      </c>
      <c r="K18" s="8">
        <v>10</v>
      </c>
      <c r="M18" s="8">
        <f t="shared" ca="1" si="4"/>
        <v>8449188526</v>
      </c>
      <c r="N18" s="8">
        <f t="shared" ca="1" si="5"/>
        <v>5463251787</v>
      </c>
      <c r="O18" s="7">
        <f t="shared" ca="1" si="6"/>
        <v>0.64660076765814611</v>
      </c>
      <c r="Q18" s="8">
        <f t="shared" si="7"/>
        <v>20053887</v>
      </c>
      <c r="R18" s="8">
        <f t="shared" si="8"/>
        <v>2864841</v>
      </c>
      <c r="S18" s="8">
        <f t="shared" si="9"/>
        <v>954947</v>
      </c>
      <c r="T18" s="7">
        <f t="shared" si="10"/>
        <v>0.64660076765814611</v>
      </c>
      <c r="U18" s="8"/>
      <c r="V18" s="8">
        <f t="shared" si="11"/>
        <v>31014326</v>
      </c>
      <c r="W18" s="8">
        <f t="shared" si="12"/>
        <v>4430618</v>
      </c>
      <c r="X18" s="8">
        <f t="shared" si="13"/>
        <v>1476872.6666666667</v>
      </c>
      <c r="Y18" s="8"/>
      <c r="Z18" s="8">
        <f t="shared" si="14"/>
        <v>27983921</v>
      </c>
      <c r="AA18" s="8">
        <v>3997703</v>
      </c>
      <c r="AB18" s="32">
        <f t="shared" si="15"/>
        <v>1.1082909360700381</v>
      </c>
      <c r="AC18" s="8"/>
      <c r="AD18" s="8">
        <f t="shared" si="16"/>
        <v>3030405</v>
      </c>
      <c r="AE18" s="8">
        <v>432915</v>
      </c>
      <c r="AF18" s="32">
        <f t="shared" si="17"/>
        <v>10.234383193005556</v>
      </c>
      <c r="AG18" s="8"/>
      <c r="AH18" s="10">
        <f t="shared" si="18"/>
        <v>10960439</v>
      </c>
      <c r="AI18" s="10">
        <v>1565777</v>
      </c>
      <c r="AJ18" s="30">
        <f t="shared" si="19"/>
        <v>2.8296609287273986</v>
      </c>
      <c r="AK18" s="8"/>
      <c r="AL18" s="8">
        <v>4011</v>
      </c>
      <c r="AM18" s="8">
        <v>2086</v>
      </c>
      <c r="AN18" s="8">
        <v>875</v>
      </c>
      <c r="AO18" s="26"/>
      <c r="AP18" s="21">
        <f t="shared" si="20"/>
        <v>143</v>
      </c>
      <c r="AQ18" s="21">
        <f t="shared" si="21"/>
        <v>74.5</v>
      </c>
      <c r="AR18" s="21">
        <f t="shared" si="22"/>
        <v>31.25</v>
      </c>
      <c r="AT18" s="8">
        <f t="shared" si="23"/>
        <v>208572</v>
      </c>
      <c r="AU18" s="8">
        <f t="shared" si="0"/>
        <v>108472</v>
      </c>
      <c r="AV18" s="8">
        <f t="shared" si="1"/>
        <v>45500</v>
      </c>
    </row>
    <row r="19" spans="1:48" x14ac:dyDescent="0.3">
      <c r="A19" t="s">
        <v>315</v>
      </c>
      <c r="B19" t="s">
        <v>330</v>
      </c>
      <c r="C19" s="1">
        <v>41557</v>
      </c>
      <c r="D19" s="1">
        <f t="shared" ca="1" si="2"/>
        <v>43464</v>
      </c>
      <c r="E19" s="8">
        <f t="shared" ca="1" si="3"/>
        <v>1907</v>
      </c>
      <c r="F19" s="8">
        <v>9123</v>
      </c>
      <c r="G19" s="8">
        <v>11508</v>
      </c>
      <c r="H19" s="8">
        <v>17268</v>
      </c>
      <c r="I19" s="8">
        <v>2</v>
      </c>
      <c r="J19" s="8">
        <v>14</v>
      </c>
      <c r="K19" s="8">
        <v>10</v>
      </c>
      <c r="M19" s="8">
        <f t="shared" ca="1" si="4"/>
        <v>6062553235</v>
      </c>
      <c r="N19" s="8">
        <f t="shared" ca="1" si="5"/>
        <v>4004072597</v>
      </c>
      <c r="O19" s="7">
        <f t="shared" ca="1" si="6"/>
        <v>0.66045978349252388</v>
      </c>
      <c r="Q19" s="8">
        <f t="shared" si="7"/>
        <v>14697697</v>
      </c>
      <c r="R19" s="8">
        <f t="shared" si="8"/>
        <v>2099671</v>
      </c>
      <c r="S19" s="8">
        <f t="shared" si="9"/>
        <v>1049835.5</v>
      </c>
      <c r="T19" s="7">
        <f t="shared" si="10"/>
        <v>0.66045978349252388</v>
      </c>
      <c r="U19" s="8"/>
      <c r="V19" s="8">
        <f t="shared" si="11"/>
        <v>22253735</v>
      </c>
      <c r="W19" s="8">
        <f t="shared" si="12"/>
        <v>3179105</v>
      </c>
      <c r="X19" s="8">
        <f t="shared" si="13"/>
        <v>1589552.5</v>
      </c>
      <c r="Y19" s="8"/>
      <c r="Z19" s="8">
        <f t="shared" si="14"/>
        <v>20039341</v>
      </c>
      <c r="AA19" s="8">
        <v>2862763</v>
      </c>
      <c r="AB19" s="32">
        <f t="shared" si="15"/>
        <v>1.1105023363792252</v>
      </c>
      <c r="AC19" s="8"/>
      <c r="AD19" s="8">
        <f t="shared" si="16"/>
        <v>2214394</v>
      </c>
      <c r="AE19" s="8">
        <v>316342</v>
      </c>
      <c r="AF19" s="32">
        <f t="shared" si="17"/>
        <v>10.049582413969691</v>
      </c>
      <c r="AG19" s="8"/>
      <c r="AH19" s="10">
        <f t="shared" si="18"/>
        <v>7556038</v>
      </c>
      <c r="AI19" s="10">
        <v>1079434</v>
      </c>
      <c r="AJ19" s="30">
        <f t="shared" si="19"/>
        <v>2.9451592223331859</v>
      </c>
      <c r="AK19" s="8"/>
      <c r="AL19" s="8">
        <v>2674</v>
      </c>
      <c r="AM19" s="8">
        <v>1393</v>
      </c>
      <c r="AN19" s="8">
        <v>588</v>
      </c>
      <c r="AO19" s="26"/>
      <c r="AP19" s="21">
        <f t="shared" si="20"/>
        <v>96</v>
      </c>
      <c r="AQ19" s="21">
        <f t="shared" si="21"/>
        <v>49.75</v>
      </c>
      <c r="AR19" s="21">
        <f t="shared" si="22"/>
        <v>21</v>
      </c>
      <c r="AT19" s="8">
        <f t="shared" si="23"/>
        <v>139048</v>
      </c>
      <c r="AU19" s="8">
        <f t="shared" si="0"/>
        <v>72436</v>
      </c>
      <c r="AV19" s="8">
        <f t="shared" si="1"/>
        <v>30576</v>
      </c>
    </row>
    <row r="20" spans="1:48" x14ac:dyDescent="0.3">
      <c r="A20" t="s">
        <v>315</v>
      </c>
      <c r="B20" t="s">
        <v>331</v>
      </c>
      <c r="C20" s="1">
        <v>41557</v>
      </c>
      <c r="D20" s="1">
        <f t="shared" ca="1" si="2"/>
        <v>43464</v>
      </c>
      <c r="E20" s="8">
        <f t="shared" ca="1" si="3"/>
        <v>1907</v>
      </c>
      <c r="F20" s="8">
        <v>8931</v>
      </c>
      <c r="G20" s="8">
        <v>11508</v>
      </c>
      <c r="H20" s="8">
        <v>13939</v>
      </c>
      <c r="I20" s="8">
        <v>3</v>
      </c>
      <c r="J20" s="8">
        <v>21</v>
      </c>
      <c r="K20" s="8">
        <v>7</v>
      </c>
      <c r="M20" s="8">
        <f t="shared" ca="1" si="4"/>
        <v>8330517823</v>
      </c>
      <c r="N20" s="8">
        <f t="shared" ca="1" si="5"/>
        <v>5400694559</v>
      </c>
      <c r="O20" s="7">
        <f t="shared" ca="1" si="6"/>
        <v>0.64830238332712586</v>
      </c>
      <c r="Q20" s="8">
        <f t="shared" si="7"/>
        <v>19824259</v>
      </c>
      <c r="R20" s="8">
        <f t="shared" si="8"/>
        <v>2832037</v>
      </c>
      <c r="S20" s="8">
        <f t="shared" si="9"/>
        <v>944012.33333333337</v>
      </c>
      <c r="T20" s="7">
        <f t="shared" si="10"/>
        <v>0.64830238332712586</v>
      </c>
      <c r="U20" s="8"/>
      <c r="V20" s="8">
        <f t="shared" si="11"/>
        <v>30578723</v>
      </c>
      <c r="W20" s="8">
        <f t="shared" si="12"/>
        <v>4368389</v>
      </c>
      <c r="X20" s="8">
        <f t="shared" si="13"/>
        <v>1456129.6666666667</v>
      </c>
      <c r="Y20" s="8"/>
      <c r="Z20" s="8">
        <f t="shared" si="14"/>
        <v>27538518</v>
      </c>
      <c r="AA20" s="8">
        <v>3934074</v>
      </c>
      <c r="AB20" s="32">
        <f t="shared" si="15"/>
        <v>1.1103982792392821</v>
      </c>
      <c r="AC20" s="8"/>
      <c r="AD20" s="8">
        <f t="shared" si="16"/>
        <v>3040205</v>
      </c>
      <c r="AE20" s="8">
        <v>434315</v>
      </c>
      <c r="AF20" s="32">
        <f t="shared" si="17"/>
        <v>10.058112199670745</v>
      </c>
      <c r="AG20" s="8"/>
      <c r="AH20" s="10">
        <f t="shared" si="18"/>
        <v>10754464</v>
      </c>
      <c r="AI20" s="10">
        <v>1536352</v>
      </c>
      <c r="AJ20" s="30">
        <f t="shared" si="19"/>
        <v>2.8433516537876735</v>
      </c>
      <c r="AK20" s="8"/>
      <c r="AL20" s="8">
        <v>4018</v>
      </c>
      <c r="AM20" s="8">
        <v>2086</v>
      </c>
      <c r="AN20" s="8">
        <v>882</v>
      </c>
      <c r="AO20" s="26"/>
      <c r="AP20" s="21">
        <f t="shared" si="20"/>
        <v>144</v>
      </c>
      <c r="AQ20" s="21">
        <f t="shared" si="21"/>
        <v>74.5</v>
      </c>
      <c r="AR20" s="21">
        <f t="shared" si="22"/>
        <v>31.5</v>
      </c>
      <c r="AT20" s="8">
        <f t="shared" si="23"/>
        <v>208936</v>
      </c>
      <c r="AU20" s="8">
        <f t="shared" si="0"/>
        <v>108472</v>
      </c>
      <c r="AV20" s="8">
        <f t="shared" si="1"/>
        <v>45864</v>
      </c>
    </row>
    <row r="21" spans="1:48" x14ac:dyDescent="0.3">
      <c r="A21" t="s">
        <v>315</v>
      </c>
      <c r="B21" t="s">
        <v>332</v>
      </c>
      <c r="C21" s="1">
        <v>41557</v>
      </c>
      <c r="D21" s="1">
        <f t="shared" ca="1" si="2"/>
        <v>43464</v>
      </c>
      <c r="E21" s="8">
        <f t="shared" ca="1" si="3"/>
        <v>1907</v>
      </c>
      <c r="F21" s="8">
        <v>8966</v>
      </c>
      <c r="G21" s="8">
        <v>11508</v>
      </c>
      <c r="H21" s="8">
        <v>27699</v>
      </c>
      <c r="I21" s="8">
        <v>2</v>
      </c>
      <c r="J21" s="8">
        <v>14</v>
      </c>
      <c r="K21" s="8">
        <v>10</v>
      </c>
      <c r="M21" s="8">
        <f t="shared" ca="1" si="4"/>
        <v>6086713018</v>
      </c>
      <c r="N21" s="8">
        <f t="shared" ca="1" si="5"/>
        <v>3931318640</v>
      </c>
      <c r="O21" s="7">
        <f t="shared" ca="1" si="6"/>
        <v>0.64588532897379325</v>
      </c>
      <c r="Q21" s="8">
        <f t="shared" si="7"/>
        <v>14430640</v>
      </c>
      <c r="R21" s="8">
        <f t="shared" si="8"/>
        <v>2061520</v>
      </c>
      <c r="S21" s="8">
        <f t="shared" si="9"/>
        <v>1030760</v>
      </c>
      <c r="T21" s="7">
        <f t="shared" si="10"/>
        <v>0.64588532897379325</v>
      </c>
      <c r="U21" s="8"/>
      <c r="V21" s="8">
        <f t="shared" si="11"/>
        <v>22342418</v>
      </c>
      <c r="W21" s="8">
        <f t="shared" si="12"/>
        <v>3191774</v>
      </c>
      <c r="X21" s="8">
        <f t="shared" si="13"/>
        <v>1595887</v>
      </c>
      <c r="Y21" s="8"/>
      <c r="Z21" s="8">
        <f t="shared" si="14"/>
        <v>20147078</v>
      </c>
      <c r="AA21" s="8">
        <v>2878154</v>
      </c>
      <c r="AB21" s="32">
        <f t="shared" si="15"/>
        <v>1.108965677305662</v>
      </c>
      <c r="AC21" s="8"/>
      <c r="AD21" s="8">
        <f t="shared" si="16"/>
        <v>2195340</v>
      </c>
      <c r="AE21" s="8">
        <v>313620</v>
      </c>
      <c r="AF21" s="32">
        <f t="shared" si="17"/>
        <v>10.177201709074676</v>
      </c>
      <c r="AG21" s="8"/>
      <c r="AH21" s="10">
        <f t="shared" si="18"/>
        <v>7911778</v>
      </c>
      <c r="AI21" s="10">
        <v>1130254</v>
      </c>
      <c r="AJ21" s="30">
        <f t="shared" si="19"/>
        <v>2.8239439984286716</v>
      </c>
      <c r="AK21" s="8"/>
      <c r="AL21" s="8">
        <v>2674</v>
      </c>
      <c r="AM21" s="8">
        <v>1386</v>
      </c>
      <c r="AN21" s="8">
        <v>588</v>
      </c>
      <c r="AO21" s="26"/>
      <c r="AP21" s="21">
        <f t="shared" si="20"/>
        <v>96</v>
      </c>
      <c r="AQ21" s="21">
        <f t="shared" si="21"/>
        <v>49.5</v>
      </c>
      <c r="AR21" s="21">
        <f t="shared" si="22"/>
        <v>21</v>
      </c>
      <c r="AT21" s="8">
        <f t="shared" si="23"/>
        <v>139048</v>
      </c>
      <c r="AU21" s="8">
        <f t="shared" si="0"/>
        <v>72072</v>
      </c>
      <c r="AV21" s="8">
        <f t="shared" si="1"/>
        <v>30576</v>
      </c>
    </row>
    <row r="22" spans="1:48" x14ac:dyDescent="0.3">
      <c r="A22" t="s">
        <v>315</v>
      </c>
      <c r="B22" t="s">
        <v>333</v>
      </c>
      <c r="C22" s="1">
        <v>41692</v>
      </c>
      <c r="D22" s="1">
        <f t="shared" ca="1" si="2"/>
        <v>43464</v>
      </c>
      <c r="E22" s="8">
        <f t="shared" ca="1" si="3"/>
        <v>1772</v>
      </c>
      <c r="F22" s="8">
        <v>8694</v>
      </c>
      <c r="G22" s="8">
        <v>11508</v>
      </c>
      <c r="H22" s="8">
        <v>17881</v>
      </c>
      <c r="I22" s="8">
        <v>4</v>
      </c>
      <c r="J22" s="8">
        <v>28</v>
      </c>
      <c r="K22" s="8">
        <v>10</v>
      </c>
      <c r="M22" s="8">
        <f t="shared" ca="1" si="4"/>
        <v>9856918340</v>
      </c>
      <c r="N22" s="8">
        <f t="shared" ca="1" si="5"/>
        <v>6251922556</v>
      </c>
      <c r="O22" s="7">
        <f t="shared" ca="1" si="6"/>
        <v>0.63426745970181186</v>
      </c>
      <c r="Q22" s="8">
        <f t="shared" si="7"/>
        <v>24697211</v>
      </c>
      <c r="R22" s="8">
        <f t="shared" si="8"/>
        <v>3528173</v>
      </c>
      <c r="S22" s="8">
        <f t="shared" si="9"/>
        <v>882043.25</v>
      </c>
      <c r="T22" s="7">
        <f t="shared" si="10"/>
        <v>0.63426745970181186</v>
      </c>
      <c r="U22" s="8"/>
      <c r="V22" s="8">
        <f t="shared" si="11"/>
        <v>38938165</v>
      </c>
      <c r="W22" s="8">
        <f t="shared" si="12"/>
        <v>5562595</v>
      </c>
      <c r="X22" s="8">
        <f t="shared" si="13"/>
        <v>1390648.75</v>
      </c>
      <c r="Y22" s="8"/>
      <c r="Z22" s="8">
        <f t="shared" si="14"/>
        <v>35082628</v>
      </c>
      <c r="AA22" s="8">
        <v>5011804</v>
      </c>
      <c r="AB22" s="32">
        <f t="shared" si="15"/>
        <v>1.1098987510285718</v>
      </c>
      <c r="AC22" s="8"/>
      <c r="AD22" s="8">
        <f t="shared" si="16"/>
        <v>3855537</v>
      </c>
      <c r="AE22" s="8">
        <v>550791</v>
      </c>
      <c r="AF22" s="32">
        <f t="shared" si="17"/>
        <v>10.099284483588148</v>
      </c>
      <c r="AG22" s="8"/>
      <c r="AH22" s="10">
        <f t="shared" si="18"/>
        <v>14240954</v>
      </c>
      <c r="AI22" s="10">
        <v>2034422</v>
      </c>
      <c r="AJ22" s="30">
        <f t="shared" si="19"/>
        <v>2.7342385208181978</v>
      </c>
      <c r="AK22" s="8"/>
      <c r="AL22" s="8">
        <v>5369</v>
      </c>
      <c r="AM22" s="8">
        <v>2800</v>
      </c>
      <c r="AN22" s="8">
        <v>1176</v>
      </c>
      <c r="AO22" s="26"/>
      <c r="AP22" s="21">
        <f t="shared" si="20"/>
        <v>192</v>
      </c>
      <c r="AQ22" s="21">
        <f t="shared" si="21"/>
        <v>100</v>
      </c>
      <c r="AR22" s="21">
        <f t="shared" si="22"/>
        <v>42</v>
      </c>
      <c r="AT22" s="8">
        <f t="shared" si="23"/>
        <v>279188</v>
      </c>
      <c r="AU22" s="8">
        <f t="shared" si="0"/>
        <v>145600</v>
      </c>
      <c r="AV22" s="8">
        <f t="shared" si="1"/>
        <v>61152</v>
      </c>
    </row>
    <row r="23" spans="1:48" x14ac:dyDescent="0.3">
      <c r="A23" t="s">
        <v>315</v>
      </c>
      <c r="B23" t="s">
        <v>334</v>
      </c>
      <c r="C23" s="1">
        <v>41576</v>
      </c>
      <c r="D23" s="1">
        <f t="shared" ca="1" si="2"/>
        <v>43464</v>
      </c>
      <c r="E23" s="8">
        <f t="shared" ca="1" si="3"/>
        <v>1888</v>
      </c>
      <c r="F23" s="8">
        <v>8342</v>
      </c>
      <c r="G23" s="8">
        <v>11508</v>
      </c>
      <c r="H23" s="8">
        <v>17280</v>
      </c>
      <c r="I23" s="8">
        <v>2</v>
      </c>
      <c r="J23" s="8">
        <v>14</v>
      </c>
      <c r="K23" s="8">
        <v>10</v>
      </c>
      <c r="M23" s="8">
        <f t="shared" ca="1" si="4"/>
        <v>5554964224</v>
      </c>
      <c r="N23" s="8">
        <f t="shared" ca="1" si="5"/>
        <v>3665076224</v>
      </c>
      <c r="O23" s="7">
        <f t="shared" ca="1" si="6"/>
        <v>0.65978394751224234</v>
      </c>
      <c r="Q23" s="8">
        <f t="shared" si="7"/>
        <v>13588736</v>
      </c>
      <c r="R23" s="8">
        <f t="shared" si="8"/>
        <v>1941248</v>
      </c>
      <c r="S23" s="8">
        <f t="shared" si="9"/>
        <v>970624</v>
      </c>
      <c r="T23" s="7">
        <f t="shared" si="10"/>
        <v>0.65978394751224234</v>
      </c>
      <c r="U23" s="8"/>
      <c r="V23" s="8">
        <f t="shared" si="11"/>
        <v>20595736</v>
      </c>
      <c r="W23" s="8">
        <f t="shared" si="12"/>
        <v>2942248</v>
      </c>
      <c r="X23" s="8">
        <f t="shared" si="13"/>
        <v>1471124</v>
      </c>
      <c r="Y23" s="8"/>
      <c r="Z23" s="8">
        <f t="shared" si="14"/>
        <v>18466273</v>
      </c>
      <c r="AA23" s="8">
        <v>2638039</v>
      </c>
      <c r="AB23" s="32">
        <f t="shared" si="15"/>
        <v>1.1153163391443417</v>
      </c>
      <c r="AC23" s="8"/>
      <c r="AD23" s="8">
        <f t="shared" si="16"/>
        <v>2129463</v>
      </c>
      <c r="AE23" s="8">
        <v>304209</v>
      </c>
      <c r="AF23" s="32">
        <f t="shared" si="17"/>
        <v>9.6717980072910397</v>
      </c>
      <c r="AG23" s="8"/>
      <c r="AH23" s="10">
        <f t="shared" si="18"/>
        <v>7007000</v>
      </c>
      <c r="AI23" s="10">
        <v>1001000</v>
      </c>
      <c r="AJ23" s="30">
        <f t="shared" si="19"/>
        <v>2.9393086913086912</v>
      </c>
      <c r="AK23" s="8"/>
      <c r="AL23" s="8">
        <v>2674</v>
      </c>
      <c r="AM23" s="8">
        <v>1393</v>
      </c>
      <c r="AN23" s="8">
        <v>588</v>
      </c>
      <c r="AO23" s="26"/>
      <c r="AP23" s="21">
        <f t="shared" si="20"/>
        <v>96</v>
      </c>
      <c r="AQ23" s="21">
        <f t="shared" si="21"/>
        <v>49.75</v>
      </c>
      <c r="AR23" s="21">
        <f t="shared" si="22"/>
        <v>21</v>
      </c>
      <c r="AT23" s="8">
        <f t="shared" si="23"/>
        <v>139048</v>
      </c>
      <c r="AU23" s="8">
        <f t="shared" si="0"/>
        <v>72436</v>
      </c>
      <c r="AV23" s="8">
        <f t="shared" si="1"/>
        <v>30576</v>
      </c>
    </row>
    <row r="24" spans="1:48" x14ac:dyDescent="0.3">
      <c r="A24" t="s">
        <v>315</v>
      </c>
      <c r="B24" t="s">
        <v>335</v>
      </c>
      <c r="C24" s="1">
        <v>41557</v>
      </c>
      <c r="D24" s="1">
        <f t="shared" ca="1" si="2"/>
        <v>43464</v>
      </c>
      <c r="E24" s="8">
        <f t="shared" ca="1" si="3"/>
        <v>1907</v>
      </c>
      <c r="F24" s="8">
        <v>8617</v>
      </c>
      <c r="G24" s="8">
        <v>11508</v>
      </c>
      <c r="H24" s="8">
        <v>27514</v>
      </c>
      <c r="I24" s="8">
        <v>2</v>
      </c>
      <c r="J24" s="8">
        <v>14</v>
      </c>
      <c r="K24" s="8">
        <v>10</v>
      </c>
      <c r="M24" s="8">
        <f t="shared" ca="1" si="4"/>
        <v>5886155735</v>
      </c>
      <c r="N24" s="8">
        <f t="shared" ca="1" si="5"/>
        <v>3797683708</v>
      </c>
      <c r="O24" s="7">
        <f t="shared" ca="1" si="6"/>
        <v>0.64518913174831249</v>
      </c>
      <c r="Q24" s="8">
        <f t="shared" si="7"/>
        <v>13940108</v>
      </c>
      <c r="R24" s="8">
        <f t="shared" si="8"/>
        <v>1991444</v>
      </c>
      <c r="S24" s="8">
        <f t="shared" si="9"/>
        <v>995722</v>
      </c>
      <c r="T24" s="7">
        <f t="shared" si="10"/>
        <v>0.64518913174831249</v>
      </c>
      <c r="U24" s="8"/>
      <c r="V24" s="8">
        <f t="shared" si="11"/>
        <v>21606235</v>
      </c>
      <c r="W24" s="8">
        <f t="shared" si="12"/>
        <v>3086605</v>
      </c>
      <c r="X24" s="8">
        <f t="shared" si="13"/>
        <v>1543302.5</v>
      </c>
      <c r="Y24" s="8"/>
      <c r="Z24" s="8">
        <f t="shared" si="14"/>
        <v>19445881</v>
      </c>
      <c r="AA24" s="8">
        <v>2777983</v>
      </c>
      <c r="AB24" s="32">
        <f t="shared" si="15"/>
        <v>1.111095712248779</v>
      </c>
      <c r="AC24" s="8"/>
      <c r="AD24" s="8">
        <f t="shared" si="16"/>
        <v>2160354</v>
      </c>
      <c r="AE24" s="8">
        <v>308622</v>
      </c>
      <c r="AF24" s="32">
        <f t="shared" si="17"/>
        <v>10.001247480736954</v>
      </c>
      <c r="AG24" s="8"/>
      <c r="AH24" s="10">
        <f t="shared" si="18"/>
        <v>7666127</v>
      </c>
      <c r="AI24" s="10">
        <v>1095161</v>
      </c>
      <c r="AJ24" s="30">
        <f t="shared" si="19"/>
        <v>2.8184029562776614</v>
      </c>
      <c r="AK24" s="8"/>
      <c r="AL24" s="8">
        <v>2681</v>
      </c>
      <c r="AM24" s="8">
        <v>1393</v>
      </c>
      <c r="AN24" s="8">
        <v>588</v>
      </c>
      <c r="AO24" s="26"/>
      <c r="AP24" s="21">
        <f t="shared" si="20"/>
        <v>96</v>
      </c>
      <c r="AQ24" s="21">
        <f t="shared" si="21"/>
        <v>49.75</v>
      </c>
      <c r="AR24" s="21">
        <f t="shared" si="22"/>
        <v>21</v>
      </c>
      <c r="AT24" s="8">
        <f t="shared" si="23"/>
        <v>139412</v>
      </c>
      <c r="AU24" s="8">
        <f t="shared" si="0"/>
        <v>72436</v>
      </c>
      <c r="AV24" s="8">
        <f t="shared" si="1"/>
        <v>30576</v>
      </c>
    </row>
    <row r="25" spans="1:48" x14ac:dyDescent="0.3">
      <c r="A25" t="s">
        <v>315</v>
      </c>
      <c r="B25" t="s">
        <v>336</v>
      </c>
      <c r="C25" s="1">
        <v>41699</v>
      </c>
      <c r="D25" s="1">
        <f t="shared" ca="1" si="2"/>
        <v>43464</v>
      </c>
      <c r="E25" s="8">
        <f t="shared" ca="1" si="3"/>
        <v>1765</v>
      </c>
      <c r="F25" s="8">
        <v>9147</v>
      </c>
      <c r="G25" s="8">
        <v>11508</v>
      </c>
      <c r="H25" s="8">
        <v>13757</v>
      </c>
      <c r="I25" s="8">
        <v>4</v>
      </c>
      <c r="J25" s="8">
        <v>28</v>
      </c>
      <c r="K25" s="8">
        <v>6</v>
      </c>
      <c r="M25" s="8">
        <f t="shared" ca="1" si="4"/>
        <v>9658856600</v>
      </c>
      <c r="N25" s="8">
        <f t="shared" ca="1" si="5"/>
        <v>5998663140</v>
      </c>
      <c r="O25" s="7">
        <f t="shared" ca="1" si="6"/>
        <v>0.6210531316926271</v>
      </c>
      <c r="Q25" s="8">
        <f t="shared" si="7"/>
        <v>23790732</v>
      </c>
      <c r="R25" s="8">
        <f t="shared" si="8"/>
        <v>3398676</v>
      </c>
      <c r="S25" s="8">
        <f t="shared" si="9"/>
        <v>849669</v>
      </c>
      <c r="T25" s="7">
        <f t="shared" si="10"/>
        <v>0.6210531316926271</v>
      </c>
      <c r="U25" s="8"/>
      <c r="V25" s="8">
        <f t="shared" si="11"/>
        <v>38307080</v>
      </c>
      <c r="W25" s="8">
        <f t="shared" si="12"/>
        <v>5472440</v>
      </c>
      <c r="X25" s="8">
        <f t="shared" si="13"/>
        <v>1368110</v>
      </c>
      <c r="Y25" s="8"/>
      <c r="Z25" s="8">
        <f t="shared" si="14"/>
        <v>34377392</v>
      </c>
      <c r="AA25" s="8">
        <v>4911056</v>
      </c>
      <c r="AB25" s="32">
        <f t="shared" si="15"/>
        <v>1.1143102420334852</v>
      </c>
      <c r="AC25" s="8"/>
      <c r="AD25" s="8">
        <f t="shared" si="16"/>
        <v>3929688</v>
      </c>
      <c r="AE25" s="8">
        <v>561384</v>
      </c>
      <c r="AF25" s="32">
        <f t="shared" si="17"/>
        <v>9.7481224972567802</v>
      </c>
      <c r="AG25" s="8"/>
      <c r="AH25" s="10">
        <f t="shared" si="18"/>
        <v>14516348</v>
      </c>
      <c r="AI25" s="10">
        <v>2073764</v>
      </c>
      <c r="AJ25" s="30">
        <f t="shared" si="19"/>
        <v>2.6388923715524042</v>
      </c>
      <c r="AK25" s="8"/>
      <c r="AL25" s="8">
        <v>5376</v>
      </c>
      <c r="AM25" s="8">
        <v>2800</v>
      </c>
      <c r="AN25" s="8">
        <v>1176</v>
      </c>
      <c r="AO25" s="26"/>
      <c r="AP25" s="21">
        <f t="shared" si="20"/>
        <v>192</v>
      </c>
      <c r="AQ25" s="21">
        <f t="shared" si="21"/>
        <v>100</v>
      </c>
      <c r="AR25" s="21">
        <f t="shared" si="22"/>
        <v>42</v>
      </c>
      <c r="AT25" s="8">
        <f t="shared" si="23"/>
        <v>279552</v>
      </c>
      <c r="AU25" s="8">
        <f t="shared" si="0"/>
        <v>145600</v>
      </c>
      <c r="AV25" s="8">
        <f t="shared" si="1"/>
        <v>61152</v>
      </c>
    </row>
    <row r="26" spans="1:48" x14ac:dyDescent="0.3">
      <c r="A26" t="s">
        <v>315</v>
      </c>
      <c r="B26" t="s">
        <v>337</v>
      </c>
      <c r="C26" s="1">
        <v>41683</v>
      </c>
      <c r="D26" s="1">
        <f t="shared" ca="1" si="2"/>
        <v>43464</v>
      </c>
      <c r="E26" s="8">
        <f t="shared" ca="1" si="3"/>
        <v>1781</v>
      </c>
      <c r="F26" s="8">
        <v>8288</v>
      </c>
      <c r="G26" s="8">
        <v>11508</v>
      </c>
      <c r="H26" s="8">
        <v>22950</v>
      </c>
      <c r="I26" s="8">
        <v>4</v>
      </c>
      <c r="J26" s="8">
        <v>28</v>
      </c>
      <c r="K26" s="8">
        <v>8</v>
      </c>
      <c r="M26" s="8">
        <f t="shared" ca="1" si="4"/>
        <v>9723460331</v>
      </c>
      <c r="N26" s="8">
        <f t="shared" ca="1" si="5"/>
        <v>6131803119</v>
      </c>
      <c r="O26" s="7">
        <f t="shared" ca="1" si="6"/>
        <v>0.63061944104927314</v>
      </c>
      <c r="Q26" s="8">
        <f t="shared" si="7"/>
        <v>24100293</v>
      </c>
      <c r="R26" s="8">
        <f t="shared" si="8"/>
        <v>3442899</v>
      </c>
      <c r="S26" s="8">
        <f t="shared" si="9"/>
        <v>860724.75</v>
      </c>
      <c r="T26" s="7">
        <f t="shared" si="10"/>
        <v>0.63061944104927314</v>
      </c>
      <c r="U26" s="8"/>
      <c r="V26" s="8">
        <f t="shared" si="11"/>
        <v>38216857</v>
      </c>
      <c r="W26" s="8">
        <f t="shared" si="12"/>
        <v>5459551</v>
      </c>
      <c r="X26" s="8">
        <f t="shared" si="13"/>
        <v>1364887.75</v>
      </c>
      <c r="Y26" s="8"/>
      <c r="Z26" s="8">
        <f t="shared" si="14"/>
        <v>34426875</v>
      </c>
      <c r="AA26" s="8">
        <v>4918125</v>
      </c>
      <c r="AB26" s="32">
        <f t="shared" si="15"/>
        <v>1.1100878891854111</v>
      </c>
      <c r="AC26" s="8"/>
      <c r="AD26" s="8">
        <f t="shared" si="16"/>
        <v>3789982</v>
      </c>
      <c r="AE26" s="8">
        <v>541426</v>
      </c>
      <c r="AF26" s="32">
        <f t="shared" si="17"/>
        <v>10.083651320771445</v>
      </c>
      <c r="AG26" s="8"/>
      <c r="AH26" s="10">
        <f t="shared" si="18"/>
        <v>14116564</v>
      </c>
      <c r="AI26" s="10">
        <v>2016652</v>
      </c>
      <c r="AJ26" s="30">
        <f t="shared" si="19"/>
        <v>2.7072350608830873</v>
      </c>
      <c r="AK26" s="8"/>
      <c r="AL26" s="8">
        <v>5727</v>
      </c>
      <c r="AM26" s="8">
        <v>3000</v>
      </c>
      <c r="AN26" s="8">
        <v>1260</v>
      </c>
      <c r="AO26" s="26"/>
      <c r="AP26" s="21">
        <f t="shared" si="20"/>
        <v>205</v>
      </c>
      <c r="AQ26" s="21">
        <f t="shared" si="21"/>
        <v>107.14285714285714</v>
      </c>
      <c r="AR26" s="21">
        <f t="shared" si="22"/>
        <v>45</v>
      </c>
      <c r="AT26" s="8">
        <f t="shared" si="23"/>
        <v>297804</v>
      </c>
      <c r="AU26" s="8">
        <f t="shared" si="0"/>
        <v>156000</v>
      </c>
      <c r="AV26" s="8">
        <f t="shared" si="1"/>
        <v>65520</v>
      </c>
    </row>
    <row r="27" spans="1:48" x14ac:dyDescent="0.3">
      <c r="A27" t="s">
        <v>315</v>
      </c>
      <c r="B27" t="s">
        <v>338</v>
      </c>
      <c r="C27" s="1">
        <v>41557</v>
      </c>
      <c r="D27" s="1">
        <f t="shared" ca="1" si="2"/>
        <v>43464</v>
      </c>
      <c r="E27" s="8">
        <f t="shared" ca="1" si="3"/>
        <v>1907</v>
      </c>
      <c r="F27" s="8">
        <v>9082</v>
      </c>
      <c r="G27" s="8">
        <v>11508</v>
      </c>
      <c r="H27" s="8">
        <v>15085</v>
      </c>
      <c r="I27" s="8">
        <v>2</v>
      </c>
      <c r="J27" s="8">
        <v>14</v>
      </c>
      <c r="K27" s="8">
        <v>10</v>
      </c>
      <c r="M27" s="8">
        <f t="shared" ca="1" si="4"/>
        <v>5927303074</v>
      </c>
      <c r="N27" s="8">
        <f t="shared" ca="1" si="5"/>
        <v>3915784218</v>
      </c>
      <c r="O27" s="7">
        <f t="shared" ca="1" si="6"/>
        <v>0.66063505933693711</v>
      </c>
      <c r="Q27" s="8">
        <f t="shared" si="7"/>
        <v>14373618</v>
      </c>
      <c r="R27" s="8">
        <f t="shared" si="8"/>
        <v>2053374</v>
      </c>
      <c r="S27" s="8">
        <f t="shared" si="9"/>
        <v>1026687</v>
      </c>
      <c r="T27" s="7">
        <f t="shared" si="10"/>
        <v>0.66063505933693711</v>
      </c>
      <c r="U27" s="8"/>
      <c r="V27" s="8">
        <f t="shared" si="11"/>
        <v>21757274</v>
      </c>
      <c r="W27" s="8">
        <f t="shared" si="12"/>
        <v>3108182</v>
      </c>
      <c r="X27" s="8">
        <f t="shared" si="13"/>
        <v>1554091</v>
      </c>
      <c r="Y27" s="8"/>
      <c r="Z27" s="8">
        <f t="shared" si="14"/>
        <v>19549320</v>
      </c>
      <c r="AA27" s="8">
        <v>2792760</v>
      </c>
      <c r="AB27" s="32">
        <f t="shared" si="15"/>
        <v>1.1129427519729587</v>
      </c>
      <c r="AC27" s="8"/>
      <c r="AD27" s="8">
        <f t="shared" si="16"/>
        <v>2207954</v>
      </c>
      <c r="AE27" s="8">
        <v>315422</v>
      </c>
      <c r="AF27" s="32">
        <f t="shared" si="17"/>
        <v>9.8540431548845682</v>
      </c>
      <c r="AG27" s="8"/>
      <c r="AH27" s="10">
        <f t="shared" si="18"/>
        <v>7383656</v>
      </c>
      <c r="AI27" s="10">
        <v>1054808</v>
      </c>
      <c r="AJ27" s="30">
        <f t="shared" si="19"/>
        <v>2.9466803437213218</v>
      </c>
      <c r="AK27" s="8"/>
      <c r="AL27" s="8">
        <v>2674</v>
      </c>
      <c r="AM27" s="8">
        <v>1386</v>
      </c>
      <c r="AN27" s="8">
        <v>588</v>
      </c>
      <c r="AO27" s="26"/>
      <c r="AP27" s="21">
        <f t="shared" si="20"/>
        <v>96</v>
      </c>
      <c r="AQ27" s="21">
        <f t="shared" si="21"/>
        <v>49.5</v>
      </c>
      <c r="AR27" s="21">
        <f t="shared" si="22"/>
        <v>21</v>
      </c>
      <c r="AT27" s="8">
        <f t="shared" si="23"/>
        <v>139048</v>
      </c>
      <c r="AU27" s="8">
        <f t="shared" si="0"/>
        <v>72072</v>
      </c>
      <c r="AV27" s="8">
        <f t="shared" si="1"/>
        <v>30576</v>
      </c>
    </row>
    <row r="28" spans="1:48" x14ac:dyDescent="0.3">
      <c r="A28" t="s">
        <v>315</v>
      </c>
      <c r="B28" t="s">
        <v>339</v>
      </c>
      <c r="C28" s="1">
        <v>41581</v>
      </c>
      <c r="D28" s="1">
        <f t="shared" ca="1" si="2"/>
        <v>43464</v>
      </c>
      <c r="E28" s="8">
        <f t="shared" ca="1" si="3"/>
        <v>1883</v>
      </c>
      <c r="F28" s="8">
        <v>9146</v>
      </c>
      <c r="G28" s="8">
        <v>11508</v>
      </c>
      <c r="H28" s="8">
        <v>13373</v>
      </c>
      <c r="I28" s="8">
        <v>2</v>
      </c>
      <c r="J28" s="8">
        <v>14</v>
      </c>
      <c r="K28" s="8">
        <v>6</v>
      </c>
      <c r="M28" s="8">
        <f t="shared" ca="1" si="4"/>
        <v>5750237612</v>
      </c>
      <c r="N28" s="8">
        <f t="shared" ca="1" si="5"/>
        <v>3801245994</v>
      </c>
      <c r="O28" s="7">
        <f t="shared" ca="1" si="6"/>
        <v>0.66105894234132045</v>
      </c>
      <c r="Q28" s="8">
        <f t="shared" si="7"/>
        <v>14131026</v>
      </c>
      <c r="R28" s="8">
        <f t="shared" si="8"/>
        <v>2018718</v>
      </c>
      <c r="S28" s="8">
        <f t="shared" si="9"/>
        <v>1009359</v>
      </c>
      <c r="T28" s="7">
        <f t="shared" si="10"/>
        <v>0.66105894234132045</v>
      </c>
      <c r="U28" s="8"/>
      <c r="V28" s="8">
        <f t="shared" si="11"/>
        <v>21376348</v>
      </c>
      <c r="W28" s="8">
        <f t="shared" si="12"/>
        <v>3053764</v>
      </c>
      <c r="X28" s="8">
        <f t="shared" si="13"/>
        <v>1526882</v>
      </c>
      <c r="Y28" s="8"/>
      <c r="Z28" s="8">
        <f t="shared" si="14"/>
        <v>19177256</v>
      </c>
      <c r="AA28" s="8">
        <v>2739608</v>
      </c>
      <c r="AB28" s="32">
        <f t="shared" si="15"/>
        <v>1.1146718800645932</v>
      </c>
      <c r="AC28" s="8"/>
      <c r="AD28" s="8">
        <f t="shared" si="16"/>
        <v>2199092</v>
      </c>
      <c r="AE28" s="8">
        <v>314156</v>
      </c>
      <c r="AF28" s="32">
        <f t="shared" si="17"/>
        <v>9.7205337475649038</v>
      </c>
      <c r="AG28" s="8"/>
      <c r="AH28" s="12">
        <f t="shared" si="18"/>
        <v>7245322</v>
      </c>
      <c r="AI28" s="12">
        <v>1035046</v>
      </c>
      <c r="AJ28" s="31">
        <f t="shared" si="19"/>
        <v>2.9503654910023323</v>
      </c>
      <c r="AK28" s="8"/>
      <c r="AL28" s="8">
        <v>2618</v>
      </c>
      <c r="AM28" s="8">
        <v>1372</v>
      </c>
      <c r="AN28" s="8">
        <v>581</v>
      </c>
      <c r="AO28" s="26"/>
      <c r="AP28" s="21">
        <f t="shared" si="20"/>
        <v>94</v>
      </c>
      <c r="AQ28" s="21">
        <f t="shared" si="21"/>
        <v>49</v>
      </c>
      <c r="AR28" s="21">
        <f t="shared" si="22"/>
        <v>20.75</v>
      </c>
      <c r="AT28" s="8">
        <f t="shared" si="23"/>
        <v>136136</v>
      </c>
      <c r="AU28" s="8">
        <f t="shared" si="0"/>
        <v>71344</v>
      </c>
      <c r="AV28" s="8">
        <f t="shared" si="1"/>
        <v>30212</v>
      </c>
    </row>
    <row r="29" spans="1:48" x14ac:dyDescent="0.3">
      <c r="A29" s="17">
        <f>COUNTIF(A5:A28,"SFO")</f>
        <v>24</v>
      </c>
      <c r="B29" s="17"/>
      <c r="C29" s="17"/>
      <c r="D29" s="17"/>
      <c r="E29" s="17"/>
      <c r="F29" s="17">
        <f>SUM(F5:F28)</f>
        <v>207591</v>
      </c>
      <c r="G29" s="17">
        <f>SUM(G5:G28)</f>
        <v>276192</v>
      </c>
      <c r="H29" s="17">
        <f>SUM(H5:H28)</f>
        <v>408848</v>
      </c>
      <c r="I29" s="17">
        <f>SUM(I5:I28)</f>
        <v>69</v>
      </c>
      <c r="J29" s="17">
        <f>SUM(J5:J28)</f>
        <v>490</v>
      </c>
      <c r="K29" s="17">
        <v>10</v>
      </c>
      <c r="M29" s="17">
        <f ca="1">SUM(M5:M28)</f>
        <v>187678985287</v>
      </c>
      <c r="N29" s="17">
        <f ca="1">SUM(N5:N28)</f>
        <v>120909474997</v>
      </c>
      <c r="O29" s="37">
        <f t="shared" ca="1" si="6"/>
        <v>0.64423555366150553</v>
      </c>
      <c r="Q29" s="17">
        <f>SUM(Q5:Q28)</f>
        <v>454128115</v>
      </c>
      <c r="R29" s="17">
        <f>SUM(R5:R28)</f>
        <v>64875445</v>
      </c>
      <c r="S29" s="17">
        <f t="shared" si="9"/>
        <v>940223.8405797102</v>
      </c>
      <c r="T29" s="37">
        <f t="shared" si="10"/>
        <v>0.64411872112289137</v>
      </c>
      <c r="U29" s="8"/>
      <c r="V29" s="17">
        <f>SUM(V5:V28)</f>
        <v>705037907</v>
      </c>
      <c r="W29" s="17">
        <f>SUM(W5:W28)</f>
        <v>100719701</v>
      </c>
      <c r="X29" s="17">
        <f t="shared" si="13"/>
        <v>1459705.8115942029</v>
      </c>
      <c r="Y29" s="8"/>
      <c r="Z29" s="17">
        <f>SUM(Z5:Z28)</f>
        <v>634300891</v>
      </c>
      <c r="AA29" s="17">
        <f>SUM(AA5:AA28)</f>
        <v>90614413</v>
      </c>
      <c r="AB29" s="33">
        <f t="shared" si="15"/>
        <v>1.1115196541636263</v>
      </c>
      <c r="AC29" s="8"/>
      <c r="AD29" s="17">
        <f>SUM(AD5:AD28)</f>
        <v>70737016</v>
      </c>
      <c r="AE29" s="17">
        <f>SUM(AE5:AE28)</f>
        <v>10105288</v>
      </c>
      <c r="AF29" s="33">
        <f t="shared" si="17"/>
        <v>9.9670292425114457</v>
      </c>
      <c r="AG29" s="8"/>
      <c r="AH29" s="17">
        <f>SUM(AH5:AH28)</f>
        <v>250909792</v>
      </c>
      <c r="AI29" s="17">
        <f>SUM(AI5:AI28)</f>
        <v>35844256</v>
      </c>
      <c r="AJ29" s="28">
        <f t="shared" si="19"/>
        <v>2.8099258358159256</v>
      </c>
      <c r="AK29" s="8"/>
      <c r="AL29" s="17">
        <f>SUM(AL5:AL28)</f>
        <v>91410</v>
      </c>
      <c r="AM29" s="17">
        <f>SUM(AM5:AM28)</f>
        <v>47613</v>
      </c>
      <c r="AN29" s="17">
        <f>SUM(AN5:AN28)</f>
        <v>20048</v>
      </c>
      <c r="AO29" s="27"/>
      <c r="AP29" s="17">
        <f>SUM(AP5:AP28)</f>
        <v>3269</v>
      </c>
      <c r="AQ29" s="17">
        <f>SUM(AQ5:AQ28)</f>
        <v>1700.4642857142856</v>
      </c>
      <c r="AR29" s="17">
        <f>SUM(AR5:AR28)</f>
        <v>716</v>
      </c>
      <c r="AT29" s="17">
        <f>SUM(AT5:AT28)</f>
        <v>4753320</v>
      </c>
      <c r="AU29" s="17">
        <f>SUM(AU5:AU28)</f>
        <v>2475876</v>
      </c>
      <c r="AV29" s="17">
        <f>SUM(AV5:AV28)</f>
        <v>1042496</v>
      </c>
    </row>
    <row r="30" spans="1:48" x14ac:dyDescent="0.3">
      <c r="S30" s="21">
        <f>AVERAGE(S5:S28)</f>
        <v>960636.70138888899</v>
      </c>
      <c r="X30" s="21">
        <f>AVERAGE(X5:X28)</f>
        <v>1479863.7395833333</v>
      </c>
    </row>
    <row r="31" spans="1:48" x14ac:dyDescent="0.3">
      <c r="A31" s="240" t="s">
        <v>275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3"/>
      <c r="M31" s="240" t="s">
        <v>276</v>
      </c>
      <c r="N31" s="240"/>
      <c r="O31" s="240"/>
      <c r="P31" s="23"/>
      <c r="Q31" s="240" t="s">
        <v>277</v>
      </c>
      <c r="R31" s="240"/>
      <c r="S31" s="240"/>
      <c r="T31" s="240"/>
      <c r="U31" s="23"/>
      <c r="V31" s="240" t="s">
        <v>3</v>
      </c>
      <c r="W31" s="240"/>
      <c r="X31" s="240"/>
      <c r="Y31" s="23"/>
      <c r="Z31" s="240" t="s">
        <v>278</v>
      </c>
      <c r="AA31" s="240"/>
      <c r="AB31" s="240"/>
      <c r="AC31" s="24"/>
      <c r="AD31" s="240" t="s">
        <v>279</v>
      </c>
      <c r="AE31" s="240"/>
      <c r="AF31" s="240"/>
      <c r="AG31" s="24"/>
      <c r="AH31" s="240" t="s">
        <v>4</v>
      </c>
      <c r="AI31" s="240"/>
      <c r="AJ31" s="240"/>
      <c r="AK31" s="24"/>
      <c r="AL31" s="240" t="s">
        <v>280</v>
      </c>
      <c r="AM31" s="240"/>
      <c r="AN31" s="240"/>
      <c r="AO31" s="23"/>
      <c r="AP31" s="240" t="s">
        <v>281</v>
      </c>
      <c r="AQ31" s="240"/>
      <c r="AR31" s="240"/>
    </row>
    <row r="32" spans="1:48" ht="43.2" x14ac:dyDescent="0.3">
      <c r="A32" s="18" t="s">
        <v>283</v>
      </c>
      <c r="B32" s="18" t="s">
        <v>284</v>
      </c>
      <c r="C32" s="18" t="s">
        <v>285</v>
      </c>
      <c r="D32" s="18" t="s">
        <v>286</v>
      </c>
      <c r="E32" s="19" t="s">
        <v>287</v>
      </c>
      <c r="F32" s="18" t="s">
        <v>31</v>
      </c>
      <c r="G32" s="18"/>
      <c r="H32" s="18" t="s">
        <v>340</v>
      </c>
      <c r="I32" s="19" t="s">
        <v>290</v>
      </c>
      <c r="J32" s="19" t="s">
        <v>291</v>
      </c>
      <c r="K32" s="18" t="s">
        <v>292</v>
      </c>
      <c r="L32" s="2"/>
      <c r="M32" s="19" t="s">
        <v>293</v>
      </c>
      <c r="N32" s="19" t="s">
        <v>294</v>
      </c>
      <c r="O32" s="19" t="s">
        <v>295</v>
      </c>
      <c r="P32" s="2"/>
      <c r="Q32" s="18" t="s">
        <v>296</v>
      </c>
      <c r="R32" s="18" t="s">
        <v>297</v>
      </c>
      <c r="S32" s="19" t="s">
        <v>298</v>
      </c>
      <c r="T32" s="19" t="s">
        <v>299</v>
      </c>
      <c r="U32" s="2"/>
      <c r="V32" s="19" t="s">
        <v>300</v>
      </c>
      <c r="W32" s="19" t="s">
        <v>301</v>
      </c>
      <c r="X32" s="19" t="s">
        <v>302</v>
      </c>
      <c r="Y32" s="2"/>
      <c r="Z32" s="19" t="s">
        <v>303</v>
      </c>
      <c r="AA32" s="19" t="s">
        <v>304</v>
      </c>
      <c r="AB32" s="19" t="s">
        <v>305</v>
      </c>
      <c r="AC32" s="2"/>
      <c r="AD32" s="19" t="s">
        <v>306</v>
      </c>
      <c r="AE32" s="19" t="s">
        <v>307</v>
      </c>
      <c r="AF32" s="19" t="s">
        <v>308</v>
      </c>
      <c r="AG32" s="2"/>
      <c r="AH32" s="18" t="s">
        <v>309</v>
      </c>
      <c r="AI32" s="18" t="s">
        <v>310</v>
      </c>
      <c r="AJ32" s="19" t="s">
        <v>311</v>
      </c>
      <c r="AK32" s="2"/>
      <c r="AL32" s="19" t="s">
        <v>312</v>
      </c>
      <c r="AM32" s="19" t="s">
        <v>313</v>
      </c>
      <c r="AN32" s="19" t="s">
        <v>314</v>
      </c>
      <c r="AO32" s="25"/>
      <c r="AP32" s="19" t="s">
        <v>312</v>
      </c>
      <c r="AQ32" s="19" t="s">
        <v>313</v>
      </c>
      <c r="AR32" s="19" t="s">
        <v>314</v>
      </c>
    </row>
    <row r="33" spans="1:44" x14ac:dyDescent="0.3">
      <c r="A33" t="s">
        <v>341</v>
      </c>
      <c r="B33" t="s">
        <v>342</v>
      </c>
      <c r="C33" s="1">
        <v>41732</v>
      </c>
      <c r="D33" s="1">
        <f ca="1">ROUNDDOWN(NOW(),0)</f>
        <v>43464</v>
      </c>
      <c r="E33" s="8">
        <f ca="1">ROUND(D33-C33,0)</f>
        <v>1732</v>
      </c>
      <c r="F33" s="8">
        <v>7547</v>
      </c>
      <c r="G33" s="8"/>
      <c r="H33" s="8">
        <v>20999</v>
      </c>
      <c r="I33" s="8">
        <v>3</v>
      </c>
      <c r="J33" s="8">
        <v>21</v>
      </c>
      <c r="K33" s="8">
        <v>10</v>
      </c>
      <c r="M33" s="8">
        <f ca="1">W33*E33</f>
        <v>0</v>
      </c>
      <c r="N33" s="8">
        <f ca="1">R33*E33</f>
        <v>0</v>
      </c>
      <c r="O33" s="7" t="e">
        <f ca="1">N33/M33</f>
        <v>#DIV/0!</v>
      </c>
      <c r="Q33" s="8">
        <f t="shared" ref="Q33:R36" si="24">V33-AH33</f>
        <v>0</v>
      </c>
      <c r="R33" s="8">
        <f t="shared" si="24"/>
        <v>0</v>
      </c>
      <c r="S33" s="8">
        <f>R33/I33</f>
        <v>0</v>
      </c>
      <c r="T33" s="7" t="e">
        <f>R33/W33</f>
        <v>#DIV/0!</v>
      </c>
      <c r="U33" s="8"/>
      <c r="V33" s="8">
        <f t="shared" ref="V33:W36" si="25">Z33+AD33</f>
        <v>0</v>
      </c>
      <c r="W33" s="8">
        <f t="shared" si="25"/>
        <v>0</v>
      </c>
      <c r="X33" s="8">
        <f>W33/I33</f>
        <v>0</v>
      </c>
      <c r="Y33" s="8"/>
      <c r="Z33" s="8">
        <f>AA33*7</f>
        <v>0</v>
      </c>
      <c r="AA33" s="8"/>
      <c r="AB33" s="32" t="e">
        <f>W33/AA33</f>
        <v>#DIV/0!</v>
      </c>
      <c r="AC33" s="8"/>
      <c r="AD33" s="8">
        <f>AE33*7</f>
        <v>0</v>
      </c>
      <c r="AE33" s="8"/>
      <c r="AF33" s="32" t="e">
        <f>W33/AE33</f>
        <v>#DIV/0!</v>
      </c>
      <c r="AG33" s="8"/>
      <c r="AH33" s="12">
        <f>AI33*7</f>
        <v>0</v>
      </c>
      <c r="AI33" s="12"/>
      <c r="AJ33" s="31" t="e">
        <f>W33/AI33</f>
        <v>#DIV/0!</v>
      </c>
      <c r="AK33" s="8"/>
      <c r="AL33" s="8"/>
      <c r="AM33" s="8"/>
      <c r="AN33" s="8"/>
      <c r="AO33" s="26"/>
      <c r="AP33" s="21">
        <f>ROUND((AL33/$J$5)/2,0)</f>
        <v>0</v>
      </c>
      <c r="AQ33" s="21">
        <f t="shared" ref="AQ33:AR36" si="26">(AM33/$J$5)/2</f>
        <v>0</v>
      </c>
      <c r="AR33" s="21">
        <f t="shared" si="26"/>
        <v>0</v>
      </c>
    </row>
    <row r="34" spans="1:44" x14ac:dyDescent="0.3">
      <c r="A34" t="s">
        <v>341</v>
      </c>
      <c r="B34" t="s">
        <v>343</v>
      </c>
      <c r="C34" s="1">
        <v>41732</v>
      </c>
      <c r="D34" s="1">
        <f ca="1">ROUNDDOWN(NOW(),0)</f>
        <v>43464</v>
      </c>
      <c r="E34" s="8">
        <f ca="1">ROUND(D34-C34,0)</f>
        <v>1732</v>
      </c>
      <c r="F34" s="8">
        <v>7483</v>
      </c>
      <c r="G34" s="8"/>
      <c r="H34" s="8">
        <v>19802</v>
      </c>
      <c r="I34" s="8">
        <v>3</v>
      </c>
      <c r="J34" s="8">
        <v>21</v>
      </c>
      <c r="K34" s="8">
        <v>10</v>
      </c>
      <c r="M34" s="8">
        <f ca="1">W34*E34</f>
        <v>0</v>
      </c>
      <c r="N34" s="8">
        <f ca="1">R34*E34</f>
        <v>0</v>
      </c>
      <c r="O34" s="7" t="e">
        <f ca="1">N34/M34</f>
        <v>#DIV/0!</v>
      </c>
      <c r="Q34" s="8">
        <f t="shared" si="24"/>
        <v>0</v>
      </c>
      <c r="R34" s="8">
        <f t="shared" si="24"/>
        <v>0</v>
      </c>
      <c r="S34" s="8">
        <f>R34/I34</f>
        <v>0</v>
      </c>
      <c r="T34" s="7" t="e">
        <f>R34/W34</f>
        <v>#DIV/0!</v>
      </c>
      <c r="U34" s="8"/>
      <c r="V34" s="8">
        <f t="shared" si="25"/>
        <v>0</v>
      </c>
      <c r="W34" s="8">
        <f t="shared" si="25"/>
        <v>0</v>
      </c>
      <c r="X34" s="8">
        <f>W34/I34</f>
        <v>0</v>
      </c>
      <c r="Y34" s="8"/>
      <c r="Z34" s="8">
        <f>AA34*7</f>
        <v>0</v>
      </c>
      <c r="AA34" s="8"/>
      <c r="AB34" s="32" t="e">
        <f>W34/AA34</f>
        <v>#DIV/0!</v>
      </c>
      <c r="AC34" s="8"/>
      <c r="AD34" s="8">
        <f>AE34*7</f>
        <v>0</v>
      </c>
      <c r="AE34" s="8"/>
      <c r="AF34" s="32" t="e">
        <f>W34/AE34</f>
        <v>#DIV/0!</v>
      </c>
      <c r="AG34" s="8"/>
      <c r="AH34" s="12">
        <f>AI34*7</f>
        <v>0</v>
      </c>
      <c r="AI34" s="12"/>
      <c r="AJ34" s="31" t="e">
        <f>W34/AI34</f>
        <v>#DIV/0!</v>
      </c>
      <c r="AK34" s="8"/>
      <c r="AL34" s="8"/>
      <c r="AM34" s="8"/>
      <c r="AN34" s="8"/>
      <c r="AO34" s="26"/>
      <c r="AP34" s="21">
        <f>ROUND((AL34/$J$5)/2,0)</f>
        <v>0</v>
      </c>
      <c r="AQ34" s="21">
        <f t="shared" si="26"/>
        <v>0</v>
      </c>
      <c r="AR34" s="21">
        <f t="shared" si="26"/>
        <v>0</v>
      </c>
    </row>
    <row r="35" spans="1:44" x14ac:dyDescent="0.3">
      <c r="A35" t="s">
        <v>341</v>
      </c>
      <c r="B35" t="s">
        <v>344</v>
      </c>
      <c r="C35" s="1">
        <v>41732</v>
      </c>
      <c r="D35" s="1">
        <f ca="1">ROUNDDOWN(NOW(),0)</f>
        <v>43464</v>
      </c>
      <c r="E35" s="8">
        <f ca="1">ROUND(D35-C35,0)</f>
        <v>1732</v>
      </c>
      <c r="F35" s="8">
        <v>7502</v>
      </c>
      <c r="G35" s="8"/>
      <c r="H35" s="8">
        <v>17715</v>
      </c>
      <c r="I35" s="8">
        <v>3</v>
      </c>
      <c r="J35" s="8">
        <v>21</v>
      </c>
      <c r="K35" s="8">
        <v>10</v>
      </c>
      <c r="M35" s="8">
        <f ca="1">W35*E35</f>
        <v>0</v>
      </c>
      <c r="N35" s="8">
        <f ca="1">R35*E35</f>
        <v>0</v>
      </c>
      <c r="O35" s="7" t="e">
        <f ca="1">N35/M35</f>
        <v>#DIV/0!</v>
      </c>
      <c r="Q35" s="8">
        <f t="shared" si="24"/>
        <v>0</v>
      </c>
      <c r="R35" s="8">
        <f t="shared" si="24"/>
        <v>0</v>
      </c>
      <c r="S35" s="8">
        <f>R35/I35</f>
        <v>0</v>
      </c>
      <c r="T35" s="7" t="e">
        <f>R35/W35</f>
        <v>#DIV/0!</v>
      </c>
      <c r="U35" s="8"/>
      <c r="V35" s="8">
        <f t="shared" si="25"/>
        <v>0</v>
      </c>
      <c r="W35" s="8">
        <f t="shared" si="25"/>
        <v>0</v>
      </c>
      <c r="X35" s="8">
        <f>W35/I35</f>
        <v>0</v>
      </c>
      <c r="Y35" s="8"/>
      <c r="Z35" s="8">
        <f>AA35*7</f>
        <v>0</v>
      </c>
      <c r="AA35" s="8"/>
      <c r="AB35" s="32" t="e">
        <f>W35/AA35</f>
        <v>#DIV/0!</v>
      </c>
      <c r="AC35" s="8"/>
      <c r="AD35" s="8">
        <f>AE35*7</f>
        <v>0</v>
      </c>
      <c r="AE35" s="8"/>
      <c r="AF35" s="32" t="e">
        <f>W35/AE35</f>
        <v>#DIV/0!</v>
      </c>
      <c r="AG35" s="8"/>
      <c r="AH35" s="12">
        <f>AI35*7</f>
        <v>0</v>
      </c>
      <c r="AI35" s="12"/>
      <c r="AJ35" s="31" t="e">
        <f>W35/AI35</f>
        <v>#DIV/0!</v>
      </c>
      <c r="AK35" s="8"/>
      <c r="AL35" s="8"/>
      <c r="AM35" s="8"/>
      <c r="AN35" s="8"/>
      <c r="AO35" s="26"/>
      <c r="AP35" s="21">
        <f>ROUND((AL35/$J$5)/2,0)</f>
        <v>0</v>
      </c>
      <c r="AQ35" s="21">
        <f t="shared" si="26"/>
        <v>0</v>
      </c>
      <c r="AR35" s="21">
        <f t="shared" si="26"/>
        <v>0</v>
      </c>
    </row>
    <row r="36" spans="1:44" x14ac:dyDescent="0.3">
      <c r="A36" t="s">
        <v>341</v>
      </c>
      <c r="B36" t="s">
        <v>345</v>
      </c>
      <c r="C36" s="1">
        <v>41732</v>
      </c>
      <c r="D36" s="1">
        <f ca="1">ROUNDDOWN(NOW(),0)</f>
        <v>43464</v>
      </c>
      <c r="E36" s="8">
        <f ca="1">ROUND(D36-C36,0)</f>
        <v>1732</v>
      </c>
      <c r="F36" s="8">
        <v>6890</v>
      </c>
      <c r="G36" s="8"/>
      <c r="H36" s="8">
        <v>17655</v>
      </c>
      <c r="I36" s="8">
        <v>3</v>
      </c>
      <c r="J36" s="8">
        <v>21</v>
      </c>
      <c r="K36" s="8">
        <v>10</v>
      </c>
      <c r="M36" s="8">
        <f ca="1">W36*E36</f>
        <v>0</v>
      </c>
      <c r="N36" s="8">
        <f ca="1">R36*E36</f>
        <v>0</v>
      </c>
      <c r="O36" s="7" t="e">
        <f ca="1">N36/M36</f>
        <v>#DIV/0!</v>
      </c>
      <c r="Q36" s="8">
        <f t="shared" si="24"/>
        <v>0</v>
      </c>
      <c r="R36" s="8">
        <f t="shared" si="24"/>
        <v>0</v>
      </c>
      <c r="S36" s="8">
        <f>R36/I36</f>
        <v>0</v>
      </c>
      <c r="T36" s="7" t="e">
        <f>R36/W36</f>
        <v>#DIV/0!</v>
      </c>
      <c r="U36" s="8"/>
      <c r="V36" s="8">
        <f t="shared" si="25"/>
        <v>0</v>
      </c>
      <c r="W36" s="8">
        <f t="shared" si="25"/>
        <v>0</v>
      </c>
      <c r="X36" s="8">
        <f>W36/I36</f>
        <v>0</v>
      </c>
      <c r="Y36" s="8"/>
      <c r="Z36" s="8">
        <f>AA36*7</f>
        <v>0</v>
      </c>
      <c r="AA36" s="8"/>
      <c r="AB36" s="32" t="e">
        <f>W36/AA36</f>
        <v>#DIV/0!</v>
      </c>
      <c r="AC36" s="8"/>
      <c r="AD36" s="8">
        <f>AE36*7</f>
        <v>0</v>
      </c>
      <c r="AE36" s="8"/>
      <c r="AF36" s="32" t="e">
        <f>W36/AE36</f>
        <v>#DIV/0!</v>
      </c>
      <c r="AG36" s="8"/>
      <c r="AH36" s="12">
        <f>AI36*7</f>
        <v>0</v>
      </c>
      <c r="AI36" s="12"/>
      <c r="AJ36" s="31" t="e">
        <f>W36/AI36</f>
        <v>#DIV/0!</v>
      </c>
      <c r="AK36" s="8"/>
      <c r="AL36" s="8"/>
      <c r="AM36" s="8"/>
      <c r="AN36" s="8"/>
      <c r="AO36" s="26"/>
      <c r="AP36" s="21">
        <f>ROUND((AL36/$J$5)/2,0)</f>
        <v>0</v>
      </c>
      <c r="AQ36" s="21">
        <f t="shared" si="26"/>
        <v>0</v>
      </c>
      <c r="AR36" s="21">
        <f t="shared" si="26"/>
        <v>0</v>
      </c>
    </row>
    <row r="37" spans="1:44" x14ac:dyDescent="0.3">
      <c r="A37" s="17">
        <f>COUNTIF(A33:A33,"SFO")</f>
        <v>0</v>
      </c>
      <c r="B37" s="17"/>
      <c r="C37" s="17"/>
      <c r="D37" s="17"/>
      <c r="E37" s="17"/>
      <c r="F37" s="17">
        <f>SUM(F33:F36)</f>
        <v>29422</v>
      </c>
      <c r="G37" s="17"/>
      <c r="H37" s="17">
        <f>SUM(H33:H36)</f>
        <v>76171</v>
      </c>
      <c r="I37" s="17">
        <f>SUM(I33:I36)</f>
        <v>12</v>
      </c>
      <c r="J37" s="17">
        <f>SUM(J33:J36)</f>
        <v>84</v>
      </c>
      <c r="K37" s="17"/>
      <c r="M37" s="17">
        <f ca="1">SUM(M33:M36)</f>
        <v>0</v>
      </c>
      <c r="N37" s="17">
        <f ca="1">SUM(N33:N36)</f>
        <v>0</v>
      </c>
      <c r="O37" s="17" t="e">
        <f ca="1">SUM(O33:O36)</f>
        <v>#DIV/0!</v>
      </c>
      <c r="Q37" s="17">
        <f>SUM(Q33:Q36)</f>
        <v>0</v>
      </c>
      <c r="R37" s="17">
        <f>SUM(R33:R36)</f>
        <v>0</v>
      </c>
      <c r="S37" s="17">
        <f>SUM(S33:S36)</f>
        <v>0</v>
      </c>
      <c r="T37" s="37" t="e">
        <f>R37/W37</f>
        <v>#DIV/0!</v>
      </c>
      <c r="U37" s="8"/>
      <c r="V37" s="17">
        <f>SUM(V33:V36)</f>
        <v>0</v>
      </c>
      <c r="W37" s="17">
        <f>SUM(W33:W36)</f>
        <v>0</v>
      </c>
      <c r="X37" s="17">
        <f>SUM(X33:X36)</f>
        <v>0</v>
      </c>
      <c r="Y37" s="8"/>
      <c r="Z37" s="17">
        <f>SUM(Z33:Z36)</f>
        <v>0</v>
      </c>
      <c r="AA37" s="17">
        <f>SUM(AA33:AA36)</f>
        <v>0</v>
      </c>
      <c r="AB37" s="17" t="e">
        <f>SUM(AB33:AB36)</f>
        <v>#DIV/0!</v>
      </c>
      <c r="AC37" s="8"/>
      <c r="AD37" s="17">
        <f>SUM(AD33:AD36)</f>
        <v>0</v>
      </c>
      <c r="AE37" s="17">
        <f>SUM(AE33:AE36)</f>
        <v>0</v>
      </c>
      <c r="AF37" s="17" t="e">
        <f>SUM(AF33:AF36)</f>
        <v>#DIV/0!</v>
      </c>
      <c r="AG37" s="8"/>
      <c r="AH37" s="17">
        <f>SUM(AH33:AH36)</f>
        <v>0</v>
      </c>
      <c r="AI37" s="17">
        <f>SUM(AI33:AI36)</f>
        <v>0</v>
      </c>
      <c r="AJ37" s="28" t="e">
        <f>W37/AI37</f>
        <v>#DIV/0!</v>
      </c>
      <c r="AK37" s="8"/>
      <c r="AL37" s="17">
        <f>SUM(AL33:AL36)</f>
        <v>0</v>
      </c>
      <c r="AM37" s="17">
        <f>SUM(AM33:AM36)</f>
        <v>0</v>
      </c>
      <c r="AN37" s="17">
        <f>SUM(AN33:AN36)</f>
        <v>0</v>
      </c>
      <c r="AO37" s="27"/>
      <c r="AP37" s="17">
        <f>SUM(AP33:AP36)</f>
        <v>0</v>
      </c>
      <c r="AQ37" s="17">
        <f>SUM(AQ33:AQ36)</f>
        <v>0</v>
      </c>
      <c r="AR37" s="17">
        <f>SUM(AR33:AR36)</f>
        <v>0</v>
      </c>
    </row>
  </sheetData>
  <mergeCells count="19">
    <mergeCell ref="AT3:AV3"/>
    <mergeCell ref="AD31:AF31"/>
    <mergeCell ref="AH31:AJ31"/>
    <mergeCell ref="AL31:AN31"/>
    <mergeCell ref="AP31:AR31"/>
    <mergeCell ref="A31:K31"/>
    <mergeCell ref="M31:O31"/>
    <mergeCell ref="Q31:T31"/>
    <mergeCell ref="V31:X31"/>
    <mergeCell ref="Z31:AB31"/>
    <mergeCell ref="A3:K3"/>
    <mergeCell ref="AP3:AR3"/>
    <mergeCell ref="AH3:AJ3"/>
    <mergeCell ref="AD3:AF3"/>
    <mergeCell ref="Z3:AB3"/>
    <mergeCell ref="AL3:AN3"/>
    <mergeCell ref="Q3:T3"/>
    <mergeCell ref="V3:X3"/>
    <mergeCell ref="M3:O3"/>
  </mergeCells>
  <conditionalFormatting sqref="AJ5:AJ28">
    <cfRule type="aboveAverage" dxfId="207" priority="84"/>
  </conditionalFormatting>
  <conditionalFormatting sqref="AF5:AF28">
    <cfRule type="top10" dxfId="206" priority="83" bottom="1" rank="10"/>
  </conditionalFormatting>
  <conditionalFormatting sqref="AB5:AB28">
    <cfRule type="top10" dxfId="205" priority="82" bottom="1" rank="10"/>
  </conditionalFormatting>
  <conditionalFormatting sqref="X5:X28">
    <cfRule type="cellIs" dxfId="204" priority="77" operator="greaterThan">
      <formula>1550000</formula>
    </cfRule>
    <cfRule type="cellIs" dxfId="203" priority="80" operator="lessThan">
      <formula>1450000</formula>
    </cfRule>
  </conditionalFormatting>
  <conditionalFormatting sqref="S5:S28">
    <cfRule type="cellIs" dxfId="202" priority="76" operator="greaterThan">
      <formula>1000000</formula>
    </cfRule>
  </conditionalFormatting>
  <conditionalFormatting sqref="T5:T28">
    <cfRule type="top10" dxfId="201" priority="70" bottom="1" rank="1"/>
    <cfRule type="top10" dxfId="200" priority="71" rank="1"/>
    <cfRule type="top10" dxfId="199" priority="72" percent="1" rank="1"/>
    <cfRule type="top10" dxfId="198" priority="73" rank="1"/>
  </conditionalFormatting>
  <conditionalFormatting sqref="AJ33">
    <cfRule type="aboveAverage" dxfId="197" priority="69"/>
  </conditionalFormatting>
  <conditionalFormatting sqref="AF33">
    <cfRule type="top10" dxfId="196" priority="68" bottom="1" rank="10"/>
  </conditionalFormatting>
  <conditionalFormatting sqref="AB33">
    <cfRule type="top10" dxfId="195" priority="67" bottom="1" rank="10"/>
  </conditionalFormatting>
  <conditionalFormatting sqref="X33">
    <cfRule type="cellIs" dxfId="194" priority="64" operator="greaterThan">
      <formula>1550000</formula>
    </cfRule>
    <cfRule type="cellIs" dxfId="193" priority="66" operator="lessThan">
      <formula>1450000</formula>
    </cfRule>
  </conditionalFormatting>
  <conditionalFormatting sqref="S33">
    <cfRule type="cellIs" dxfId="192" priority="63" operator="greaterThan">
      <formula>1000000</formula>
    </cfRule>
  </conditionalFormatting>
  <conditionalFormatting sqref="T33">
    <cfRule type="top10" dxfId="191" priority="59" bottom="1" rank="1"/>
    <cfRule type="top10" dxfId="190" priority="60" rank="1"/>
    <cfRule type="top10" dxfId="189" priority="61" percent="1" rank="1"/>
    <cfRule type="top10" dxfId="188" priority="62" rank="1"/>
  </conditionalFormatting>
  <conditionalFormatting sqref="AJ34">
    <cfRule type="aboveAverage" dxfId="187" priority="35"/>
  </conditionalFormatting>
  <conditionalFormatting sqref="AF34">
    <cfRule type="top10" dxfId="186" priority="34" bottom="1" rank="10"/>
  </conditionalFormatting>
  <conditionalFormatting sqref="AB34">
    <cfRule type="top10" dxfId="185" priority="33" bottom="1" rank="10"/>
  </conditionalFormatting>
  <conditionalFormatting sqref="X34">
    <cfRule type="cellIs" dxfId="184" priority="30" operator="greaterThan">
      <formula>1550000</formula>
    </cfRule>
    <cfRule type="cellIs" dxfId="183" priority="32" operator="lessThan">
      <formula>1450000</formula>
    </cfRule>
  </conditionalFormatting>
  <conditionalFormatting sqref="S34">
    <cfRule type="cellIs" dxfId="182" priority="29" operator="greaterThan">
      <formula>1000000</formula>
    </cfRule>
  </conditionalFormatting>
  <conditionalFormatting sqref="T34">
    <cfRule type="top10" dxfId="181" priority="25" bottom="1" rank="1"/>
    <cfRule type="top10" dxfId="180" priority="26" rank="1"/>
    <cfRule type="top10" dxfId="179" priority="27" percent="1" rank="1"/>
    <cfRule type="top10" dxfId="178" priority="28" rank="1"/>
  </conditionalFormatting>
  <conditionalFormatting sqref="AJ35">
    <cfRule type="aboveAverage" dxfId="177" priority="24"/>
  </conditionalFormatting>
  <conditionalFormatting sqref="AF35">
    <cfRule type="top10" dxfId="176" priority="23" bottom="1" rank="10"/>
  </conditionalFormatting>
  <conditionalFormatting sqref="AB35">
    <cfRule type="top10" dxfId="175" priority="22" bottom="1" rank="10"/>
  </conditionalFormatting>
  <conditionalFormatting sqref="X35">
    <cfRule type="cellIs" dxfId="174" priority="19" operator="greaterThan">
      <formula>1550000</formula>
    </cfRule>
    <cfRule type="cellIs" dxfId="173" priority="21" operator="lessThan">
      <formula>1450000</formula>
    </cfRule>
  </conditionalFormatting>
  <conditionalFormatting sqref="S35">
    <cfRule type="cellIs" dxfId="172" priority="18" operator="greaterThan">
      <formula>1000000</formula>
    </cfRule>
  </conditionalFormatting>
  <conditionalFormatting sqref="T35">
    <cfRule type="top10" dxfId="171" priority="14" bottom="1" rank="1"/>
    <cfRule type="top10" dxfId="170" priority="15" rank="1"/>
    <cfRule type="top10" dxfId="169" priority="16" percent="1" rank="1"/>
    <cfRule type="top10" dxfId="168" priority="17" rank="1"/>
  </conditionalFormatting>
  <conditionalFormatting sqref="AJ36">
    <cfRule type="aboveAverage" dxfId="167" priority="11"/>
  </conditionalFormatting>
  <conditionalFormatting sqref="AF36">
    <cfRule type="top10" dxfId="166" priority="10" bottom="1" rank="10"/>
  </conditionalFormatting>
  <conditionalFormatting sqref="AB36">
    <cfRule type="top10" dxfId="165" priority="9" bottom="1" rank="10"/>
  </conditionalFormatting>
  <conditionalFormatting sqref="X36">
    <cfRule type="cellIs" dxfId="164" priority="7" operator="greaterThan">
      <formula>1550000</formula>
    </cfRule>
    <cfRule type="cellIs" dxfId="163" priority="8" operator="lessThan">
      <formula>1450000</formula>
    </cfRule>
  </conditionalFormatting>
  <conditionalFormatting sqref="S36">
    <cfRule type="cellIs" dxfId="162" priority="6" operator="greaterThan">
      <formula>1000000</formula>
    </cfRule>
  </conditionalFormatting>
  <conditionalFormatting sqref="T36">
    <cfRule type="top10" dxfId="161" priority="2" bottom="1" rank="1"/>
    <cfRule type="top10" dxfId="160" priority="3" rank="1"/>
    <cfRule type="top10" dxfId="159" priority="4" percent="1" rank="1"/>
    <cfRule type="top10" dxfId="158" priority="5" rank="1"/>
  </conditionalFormatting>
  <pageMargins left="0.7" right="0.7" top="0.75" bottom="0.75" header="0.3" footer="0.3"/>
  <pageSetup paperSize="9" orientation="portrait" horizontalDpi="360" verticalDpi="36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9"/>
  <dimension ref="A1:X71"/>
  <sheetViews>
    <sheetView topLeftCell="I43" zoomScale="80" zoomScaleNormal="80" workbookViewId="0">
      <selection activeCell="S48" sqref="S48"/>
    </sheetView>
  </sheetViews>
  <sheetFormatPr baseColWidth="10" defaultColWidth="11.44140625" defaultRowHeight="14.4" x14ac:dyDescent="0.3"/>
  <cols>
    <col min="1" max="1" width="36.6640625" bestFit="1" customWidth="1"/>
    <col min="2" max="2" width="16.6640625" bestFit="1" customWidth="1"/>
    <col min="3" max="3" width="20.33203125" bestFit="1" customWidth="1"/>
    <col min="4" max="4" width="19.6640625" bestFit="1" customWidth="1"/>
    <col min="5" max="5" width="18.44140625" bestFit="1" customWidth="1"/>
    <col min="6" max="6" width="17.44140625" bestFit="1" customWidth="1"/>
    <col min="7" max="9" width="16.33203125" bestFit="1" customWidth="1"/>
    <col min="10" max="10" width="18" bestFit="1" customWidth="1"/>
    <col min="11" max="11" width="20.44140625" style="189" bestFit="1" customWidth="1"/>
    <col min="12" max="12" width="21.6640625" bestFit="1" customWidth="1"/>
    <col min="13" max="13" width="23.109375" bestFit="1" customWidth="1"/>
    <col min="14" max="14" width="20.88671875" bestFit="1" customWidth="1"/>
    <col min="15" max="15" width="26" bestFit="1" customWidth="1"/>
    <col min="16" max="16" width="18.33203125" bestFit="1" customWidth="1"/>
    <col min="17" max="17" width="17.88671875" bestFit="1" customWidth="1"/>
    <col min="18" max="18" width="21" bestFit="1" customWidth="1"/>
    <col min="19" max="19" width="19.109375" bestFit="1" customWidth="1"/>
    <col min="20" max="20" width="15.33203125" bestFit="1" customWidth="1"/>
    <col min="21" max="21" width="25.44140625" bestFit="1" customWidth="1"/>
    <col min="22" max="22" width="19.33203125" bestFit="1" customWidth="1"/>
    <col min="23" max="23" width="28.109375" bestFit="1" customWidth="1"/>
    <col min="24" max="24" width="15" bestFit="1" customWidth="1"/>
  </cols>
  <sheetData>
    <row r="1" spans="1:16" x14ac:dyDescent="0.3">
      <c r="A1" s="5" t="s">
        <v>346</v>
      </c>
      <c r="B1" s="5" t="s">
        <v>347</v>
      </c>
      <c r="C1" s="64">
        <f ca="1">ROUNDDOWN(NOW(),0)</f>
        <v>43464</v>
      </c>
      <c r="D1" s="5" t="s">
        <v>348</v>
      </c>
      <c r="E1" s="63">
        <v>42127</v>
      </c>
      <c r="F1" s="36">
        <f ca="1">E1-C1+1</f>
        <v>-1336</v>
      </c>
      <c r="G1" s="5" t="s">
        <v>349</v>
      </c>
      <c r="H1" s="62">
        <v>0</v>
      </c>
      <c r="I1" s="5" t="s">
        <v>350</v>
      </c>
      <c r="J1" s="62">
        <v>0</v>
      </c>
      <c r="K1" s="62"/>
      <c r="L1" s="5" t="s">
        <v>351</v>
      </c>
      <c r="M1" s="36" t="e">
        <f ca="1">VLOOKUP(C1-1,#REF!,11,FALSE)*F1</f>
        <v>#REF!</v>
      </c>
    </row>
    <row r="2" spans="1:16" x14ac:dyDescent="0.3">
      <c r="A2" t="s">
        <v>352</v>
      </c>
      <c r="I2" t="s">
        <v>352</v>
      </c>
    </row>
    <row r="3" spans="1:16" x14ac:dyDescent="0.3">
      <c r="A3" s="68" t="s">
        <v>123</v>
      </c>
      <c r="B3" s="68" t="s">
        <v>124</v>
      </c>
      <c r="C3" s="69" t="s">
        <v>125</v>
      </c>
      <c r="D3" s="68" t="s">
        <v>126</v>
      </c>
      <c r="E3" s="68" t="s">
        <v>127</v>
      </c>
      <c r="F3" s="68" t="s">
        <v>128</v>
      </c>
      <c r="G3" s="68" t="s">
        <v>131</v>
      </c>
      <c r="I3" s="68" t="s">
        <v>123</v>
      </c>
      <c r="J3" s="68" t="s">
        <v>124</v>
      </c>
      <c r="K3" s="68"/>
      <c r="L3" s="69" t="s">
        <v>125</v>
      </c>
      <c r="M3" s="68" t="s">
        <v>126</v>
      </c>
      <c r="N3" s="68" t="s">
        <v>127</v>
      </c>
      <c r="O3" s="68" t="s">
        <v>128</v>
      </c>
      <c r="P3" s="68" t="s">
        <v>131</v>
      </c>
    </row>
    <row r="4" spans="1:16" x14ac:dyDescent="0.3">
      <c r="A4" t="s">
        <v>235</v>
      </c>
      <c r="B4" s="8" t="e">
        <f>VLOOKUP($A$4,Avions!$E$4:$N$89,2,FALSE)</f>
        <v>#N/A</v>
      </c>
      <c r="C4" t="e">
        <f>VLOOKUP($A$4,Avions!$E$4:$N$89,3,FALSE)</f>
        <v>#N/A</v>
      </c>
      <c r="D4" t="e">
        <f>VLOOKUP($A$4,Avions!$E$4:$N$89,4,FALSE)</f>
        <v>#N/A</v>
      </c>
      <c r="E4" t="e">
        <f>VLOOKUP($A$4,Avions!$E$4:$N$89,5,FALSE)</f>
        <v>#N/A</v>
      </c>
      <c r="F4" t="e">
        <f>VLOOKUP($A$4,Avions!$E$4:$N$89,6,FALSE)</f>
        <v>#N/A</v>
      </c>
      <c r="G4" s="8" t="e">
        <f>VLOOKUP($A$4,Avions!$E$4:$N$89,9,FALSE)</f>
        <v>#N/A</v>
      </c>
      <c r="I4" t="s">
        <v>215</v>
      </c>
      <c r="J4" s="8">
        <f>VLOOKUP($I$4,Avions!$E$4:$N$89,2,FALSE)</f>
        <v>0</v>
      </c>
      <c r="K4" s="8"/>
      <c r="L4">
        <f>VLOOKUP($I$4,Avions!$E$4:$N$89,3,FALSE)</f>
        <v>9630</v>
      </c>
      <c r="M4">
        <f>VLOOKUP($I$4,Avions!$E$4:$N$89,4,FALSE)</f>
        <v>5.27</v>
      </c>
      <c r="N4">
        <f>VLOOKUP($I$4,Avions!$E$4:$N$89,5,FALSE)</f>
        <v>850</v>
      </c>
      <c r="O4">
        <f>VLOOKUP($I$4,Avions!$E$4:$N$89,6,FALSE)</f>
        <v>275</v>
      </c>
      <c r="P4" s="8">
        <f>VLOOKUP($I$4,Avions!$E$4:$N$89,9,FALSE)</f>
        <v>0</v>
      </c>
    </row>
    <row r="5" spans="1:16" x14ac:dyDescent="0.3">
      <c r="A5" s="54" t="s">
        <v>353</v>
      </c>
      <c r="B5" s="54" t="s">
        <v>25</v>
      </c>
      <c r="C5" s="54" t="s">
        <v>354</v>
      </c>
      <c r="D5" s="54" t="s">
        <v>355</v>
      </c>
      <c r="E5" s="54" t="s">
        <v>356</v>
      </c>
      <c r="F5" s="54" t="s">
        <v>357</v>
      </c>
      <c r="G5" s="54" t="s">
        <v>358</v>
      </c>
      <c r="H5" s="54" t="s">
        <v>359</v>
      </c>
      <c r="I5" s="54" t="s">
        <v>360</v>
      </c>
      <c r="J5" s="54" t="s">
        <v>361</v>
      </c>
      <c r="K5" s="54"/>
      <c r="L5" s="54" t="s">
        <v>362</v>
      </c>
      <c r="M5" s="54" t="s">
        <v>363</v>
      </c>
    </row>
    <row r="6" spans="1:16" x14ac:dyDescent="0.3">
      <c r="A6" t="s">
        <v>220</v>
      </c>
      <c r="B6" s="8">
        <f>VLOOKUP(A6,Avions!E3:N89,9,FALSE)</f>
        <v>0</v>
      </c>
      <c r="C6" s="8">
        <v>2600000</v>
      </c>
      <c r="D6" s="8">
        <f t="shared" ref="D6:D13" si="0">E6*C6</f>
        <v>0</v>
      </c>
      <c r="E6" s="111">
        <v>0</v>
      </c>
      <c r="F6" s="45">
        <v>0</v>
      </c>
      <c r="G6" s="8">
        <f t="shared" ref="G6:G13" si="1">B6*E6</f>
        <v>0</v>
      </c>
      <c r="H6" s="8">
        <f>G6-(G6*F6)</f>
        <v>0</v>
      </c>
      <c r="I6" s="6">
        <v>0.1</v>
      </c>
      <c r="J6" s="8">
        <f>H6*I6</f>
        <v>0</v>
      </c>
      <c r="K6" s="8"/>
      <c r="L6" s="21">
        <f>H6-J6</f>
        <v>0</v>
      </c>
      <c r="M6" s="21" t="e">
        <f ca="1">($H$1+$J$1+$M$1)-L6</f>
        <v>#REF!</v>
      </c>
    </row>
    <row r="7" spans="1:16" x14ac:dyDescent="0.3">
      <c r="A7" t="s">
        <v>224</v>
      </c>
      <c r="B7" s="8">
        <f>IFERROR(VLOOKUP(A7,Avions!E4:N94,9,FALSE),0)</f>
        <v>0</v>
      </c>
      <c r="C7" s="8">
        <v>2800000</v>
      </c>
      <c r="D7" s="8">
        <f t="shared" si="0"/>
        <v>0</v>
      </c>
      <c r="E7" s="111">
        <v>0</v>
      </c>
      <c r="F7" s="45">
        <v>0</v>
      </c>
      <c r="G7" s="8">
        <f t="shared" si="1"/>
        <v>0</v>
      </c>
      <c r="H7" s="8">
        <f>G7-(G7*F7)</f>
        <v>0</v>
      </c>
      <c r="I7" s="6">
        <v>0.1</v>
      </c>
      <c r="J7" s="8">
        <f>H7*I7</f>
        <v>0</v>
      </c>
      <c r="K7" s="8"/>
      <c r="L7" s="21">
        <f>H7-J7</f>
        <v>0</v>
      </c>
      <c r="M7" s="21" t="e">
        <f ca="1">M6-L7</f>
        <v>#REF!</v>
      </c>
    </row>
    <row r="8" spans="1:16" x14ac:dyDescent="0.3">
      <c r="A8" t="s">
        <v>230</v>
      </c>
      <c r="B8" s="8">
        <f>IFERROR(VLOOKUP(A8,Avions!E5:N90,9,FALSE),0)</f>
        <v>0</v>
      </c>
      <c r="C8" s="8">
        <v>3000000</v>
      </c>
      <c r="D8" s="8">
        <f t="shared" si="0"/>
        <v>0</v>
      </c>
      <c r="E8" s="111">
        <v>0</v>
      </c>
      <c r="F8" s="45">
        <v>0</v>
      </c>
      <c r="G8" s="8">
        <f t="shared" si="1"/>
        <v>0</v>
      </c>
      <c r="H8" s="8">
        <f>G8-(G8*F8)</f>
        <v>0</v>
      </c>
      <c r="I8" s="6">
        <v>0</v>
      </c>
      <c r="J8" s="8">
        <f>H8*I8</f>
        <v>0</v>
      </c>
      <c r="K8" s="8"/>
      <c r="L8" s="21">
        <f>H8-J8</f>
        <v>0</v>
      </c>
      <c r="M8" s="21" t="e">
        <f ca="1">M7-L8</f>
        <v>#REF!</v>
      </c>
    </row>
    <row r="9" spans="1:16" x14ac:dyDescent="0.3">
      <c r="A9" t="s">
        <v>235</v>
      </c>
      <c r="B9" s="8">
        <f>IFERROR(VLOOKUP(A9,Avions!E6:N90,9,FALSE),0)</f>
        <v>0</v>
      </c>
      <c r="C9" s="8">
        <v>5000000</v>
      </c>
      <c r="D9" s="8">
        <f t="shared" si="0"/>
        <v>0</v>
      </c>
      <c r="E9" s="111">
        <v>0</v>
      </c>
      <c r="F9" s="45">
        <v>0</v>
      </c>
      <c r="G9" s="8">
        <f t="shared" si="1"/>
        <v>0</v>
      </c>
      <c r="H9" s="8">
        <f>G9-(G9*F9)</f>
        <v>0</v>
      </c>
      <c r="I9" s="6">
        <v>0.1</v>
      </c>
      <c r="J9" s="8">
        <f>H9*I9</f>
        <v>0</v>
      </c>
      <c r="K9" s="8"/>
      <c r="L9" s="21">
        <f>H9-J9</f>
        <v>0</v>
      </c>
      <c r="M9" s="21" t="e">
        <f ca="1">M8-L9</f>
        <v>#REF!</v>
      </c>
    </row>
    <row r="10" spans="1:16" x14ac:dyDescent="0.3">
      <c r="A10" t="s">
        <v>234</v>
      </c>
      <c r="B10" s="8">
        <f>IFERROR(VLOOKUP(A10,Avions!E7:N94,9,FALSE),0)</f>
        <v>0</v>
      </c>
      <c r="C10" s="8">
        <v>4500000</v>
      </c>
      <c r="D10" s="8">
        <f t="shared" si="0"/>
        <v>0</v>
      </c>
      <c r="E10" s="111">
        <v>0</v>
      </c>
      <c r="F10" s="45">
        <v>0</v>
      </c>
      <c r="G10" s="8">
        <f t="shared" si="1"/>
        <v>0</v>
      </c>
      <c r="H10" s="8">
        <f t="shared" ref="H10:H13" si="2">G10-(G10*F10)</f>
        <v>0</v>
      </c>
      <c r="I10" s="6">
        <v>0</v>
      </c>
      <c r="J10" s="8">
        <f t="shared" ref="J10:J13" si="3">H10*I10</f>
        <v>0</v>
      </c>
      <c r="K10" s="8"/>
      <c r="L10" s="21">
        <f t="shared" ref="L10:L13" si="4">H10-J10</f>
        <v>0</v>
      </c>
      <c r="M10" s="21" t="e">
        <f t="shared" ref="M10:M13" ca="1" si="5">M9-L10</f>
        <v>#REF!</v>
      </c>
    </row>
    <row r="11" spans="1:16" x14ac:dyDescent="0.3">
      <c r="A11" t="s">
        <v>232</v>
      </c>
      <c r="B11" s="8">
        <f>IFERROR(VLOOKUP(A11,Avions!E8:N95,9,FALSE),0)</f>
        <v>0</v>
      </c>
      <c r="C11" s="8">
        <v>4500000</v>
      </c>
      <c r="D11" s="8">
        <f t="shared" si="0"/>
        <v>0</v>
      </c>
      <c r="E11" s="111">
        <v>0</v>
      </c>
      <c r="F11" s="45">
        <v>0</v>
      </c>
      <c r="G11" s="8">
        <f t="shared" si="1"/>
        <v>0</v>
      </c>
      <c r="H11" s="8">
        <f t="shared" si="2"/>
        <v>0</v>
      </c>
      <c r="I11" s="6">
        <v>0.1</v>
      </c>
      <c r="J11" s="8">
        <f t="shared" si="3"/>
        <v>0</v>
      </c>
      <c r="K11" s="8"/>
      <c r="L11" s="21">
        <f t="shared" si="4"/>
        <v>0</v>
      </c>
      <c r="M11" s="21" t="e">
        <f t="shared" ca="1" si="5"/>
        <v>#REF!</v>
      </c>
    </row>
    <row r="12" spans="1:16" x14ac:dyDescent="0.3">
      <c r="A12" t="s">
        <v>233</v>
      </c>
      <c r="B12" s="8">
        <f>IFERROR(VLOOKUP(A12,Avions!E9:N96,9,FALSE),0)</f>
        <v>0</v>
      </c>
      <c r="C12" s="8">
        <v>3800000</v>
      </c>
      <c r="D12" s="8">
        <f t="shared" si="0"/>
        <v>0</v>
      </c>
      <c r="E12" s="111">
        <v>0</v>
      </c>
      <c r="F12" s="45">
        <v>0</v>
      </c>
      <c r="G12" s="8">
        <f t="shared" si="1"/>
        <v>0</v>
      </c>
      <c r="H12" s="8">
        <f t="shared" si="2"/>
        <v>0</v>
      </c>
      <c r="I12" s="6">
        <v>0</v>
      </c>
      <c r="J12" s="8">
        <f t="shared" si="3"/>
        <v>0</v>
      </c>
      <c r="K12" s="8"/>
      <c r="L12" s="21">
        <f t="shared" si="4"/>
        <v>0</v>
      </c>
      <c r="M12" s="21" t="e">
        <f t="shared" ca="1" si="5"/>
        <v>#REF!</v>
      </c>
    </row>
    <row r="13" spans="1:16" x14ac:dyDescent="0.3">
      <c r="A13" t="s">
        <v>215</v>
      </c>
      <c r="B13" s="8">
        <f>IFERROR(VLOOKUP(A13,Avions!E10:N97,9,FALSE),0)</f>
        <v>0</v>
      </c>
      <c r="C13" s="8">
        <v>1700000</v>
      </c>
      <c r="D13" s="8">
        <f t="shared" si="0"/>
        <v>0</v>
      </c>
      <c r="E13" s="111">
        <v>0</v>
      </c>
      <c r="F13" s="45">
        <v>0</v>
      </c>
      <c r="G13" s="8">
        <f t="shared" si="1"/>
        <v>0</v>
      </c>
      <c r="H13" s="8">
        <f t="shared" si="2"/>
        <v>0</v>
      </c>
      <c r="I13" s="6">
        <v>0</v>
      </c>
      <c r="J13" s="8">
        <f t="shared" si="3"/>
        <v>0</v>
      </c>
      <c r="K13" s="8"/>
      <c r="L13" s="21">
        <f t="shared" si="4"/>
        <v>0</v>
      </c>
      <c r="M13" s="21" t="e">
        <f t="shared" ca="1" si="5"/>
        <v>#REF!</v>
      </c>
    </row>
    <row r="14" spans="1:16" x14ac:dyDescent="0.3">
      <c r="A14" s="54" t="s">
        <v>97</v>
      </c>
      <c r="B14" s="36">
        <f>SUM(B6:B9)</f>
        <v>0</v>
      </c>
      <c r="C14" s="36"/>
      <c r="D14" s="36">
        <f>SUM(D6:D13)</f>
        <v>0</v>
      </c>
      <c r="E14" s="36">
        <f>SUM(E6:E13)</f>
        <v>0</v>
      </c>
      <c r="F14" s="54"/>
      <c r="G14" s="36">
        <f>SUM(G6:G13)</f>
        <v>0</v>
      </c>
      <c r="H14" s="36">
        <f>SUM(H6:H13)</f>
        <v>0</v>
      </c>
      <c r="I14" s="65"/>
      <c r="J14" s="36">
        <f>SUM(J6:J13)</f>
        <v>0</v>
      </c>
      <c r="K14" s="36"/>
      <c r="L14" s="36">
        <f>SUM(L6:L13)</f>
        <v>0</v>
      </c>
      <c r="M14" s="36" t="e">
        <f ca="1">M13</f>
        <v>#REF!</v>
      </c>
    </row>
    <row r="15" spans="1:16" x14ac:dyDescent="0.3">
      <c r="B15" s="8"/>
      <c r="D15" s="8"/>
    </row>
    <row r="16" spans="1:16" x14ac:dyDescent="0.3">
      <c r="A16" s="20"/>
      <c r="B16" s="26"/>
      <c r="C16" s="20"/>
      <c r="D16" s="20"/>
      <c r="E16" s="20"/>
    </row>
    <row r="17" spans="1:24" x14ac:dyDescent="0.3">
      <c r="A17" s="20"/>
      <c r="B17" s="26"/>
      <c r="C17" s="20"/>
      <c r="D17" s="20"/>
      <c r="E17" s="20"/>
    </row>
    <row r="18" spans="1:24" x14ac:dyDescent="0.3">
      <c r="A18" s="54" t="s">
        <v>353</v>
      </c>
      <c r="B18" s="54" t="s">
        <v>25</v>
      </c>
      <c r="C18" s="54" t="s">
        <v>354</v>
      </c>
      <c r="D18" s="54" t="s">
        <v>355</v>
      </c>
      <c r="E18" s="54" t="s">
        <v>356</v>
      </c>
    </row>
    <row r="19" spans="1:24" x14ac:dyDescent="0.3">
      <c r="A19" t="s">
        <v>224</v>
      </c>
      <c r="B19" s="8">
        <f>VLOOKUP(A19,Avions!E16:N103,9,FALSE)</f>
        <v>0</v>
      </c>
      <c r="C19" s="8">
        <v>2800000</v>
      </c>
      <c r="D19" s="8">
        <f>E19*C19</f>
        <v>0</v>
      </c>
      <c r="E19" s="111">
        <v>0</v>
      </c>
    </row>
    <row r="20" spans="1:24" x14ac:dyDescent="0.3">
      <c r="A20" t="s">
        <v>235</v>
      </c>
      <c r="B20" s="8">
        <f>IFERROR(VLOOKUP(A20,Avions!E17:N104,9,FALSE),0)</f>
        <v>0</v>
      </c>
      <c r="C20" s="8">
        <v>5000000</v>
      </c>
      <c r="D20" s="8">
        <f t="shared" ref="D20" si="6">E20*C20</f>
        <v>0</v>
      </c>
      <c r="E20" s="111">
        <v>0</v>
      </c>
    </row>
    <row r="21" spans="1:24" x14ac:dyDescent="0.3">
      <c r="A21" s="54" t="s">
        <v>97</v>
      </c>
      <c r="B21" s="36">
        <f>SUM(B19:B20)</f>
        <v>0</v>
      </c>
      <c r="C21" s="36"/>
      <c r="D21" s="36">
        <f>SUM(D19:D20)</f>
        <v>0</v>
      </c>
      <c r="E21" s="36">
        <f>SUM(E19:E20)</f>
        <v>0</v>
      </c>
    </row>
    <row r="22" spans="1:24" x14ac:dyDescent="0.3">
      <c r="A22" t="s">
        <v>364</v>
      </c>
      <c r="B22" s="21"/>
      <c r="C22" s="21"/>
      <c r="N22" s="202"/>
      <c r="P22" s="38"/>
    </row>
    <row r="23" spans="1:24" x14ac:dyDescent="0.3">
      <c r="A23" s="87" t="s">
        <v>365</v>
      </c>
      <c r="B23" t="s">
        <v>366</v>
      </c>
      <c r="C23" t="s">
        <v>367</v>
      </c>
      <c r="D23" t="s">
        <v>368</v>
      </c>
      <c r="E23" s="38" t="s">
        <v>6</v>
      </c>
      <c r="F23" t="s">
        <v>369</v>
      </c>
      <c r="T23" t="s">
        <v>1095</v>
      </c>
      <c r="U23" t="s">
        <v>1094</v>
      </c>
      <c r="W23" t="s">
        <v>1093</v>
      </c>
    </row>
    <row r="24" spans="1:24" x14ac:dyDescent="0.3">
      <c r="A24" s="8" t="e">
        <f ca="1">VLOOKUP(C1-1,#REF!,12,FALSE)</f>
        <v>#REF!</v>
      </c>
      <c r="B24" s="8" t="e">
        <f ca="1">Impôts!K4</f>
        <v>#REF!</v>
      </c>
      <c r="C24" s="8" t="e">
        <f ca="1">VLOOKUP(C1-1,#REF!,11,FALSE)</f>
        <v>#REF!</v>
      </c>
      <c r="D24" s="8" t="e">
        <f ca="1">VLOOKUP(C1-1,#REF!,5,FALSE)</f>
        <v>#REF!</v>
      </c>
      <c r="E24" s="8" t="e">
        <f ca="1">VLOOKUP(C1-1,#REF!,9,FALSE)</f>
        <v>#REF!</v>
      </c>
      <c r="F24" s="8">
        <v>0</v>
      </c>
      <c r="H24" t="s">
        <v>1044</v>
      </c>
      <c r="O24" s="8"/>
      <c r="P24" s="8"/>
      <c r="Q24" s="8"/>
      <c r="R24" s="8"/>
      <c r="S24" s="8"/>
      <c r="T24" s="73">
        <v>1.05</v>
      </c>
      <c r="U24" s="21" t="e">
        <f ca="1">S28-U28</f>
        <v>#REF!</v>
      </c>
      <c r="W24">
        <v>0.06</v>
      </c>
    </row>
    <row r="25" spans="1:24" x14ac:dyDescent="0.3">
      <c r="J25" s="21"/>
      <c r="K25" s="21"/>
    </row>
    <row r="26" spans="1:24" x14ac:dyDescent="0.3">
      <c r="A26" s="87" t="s">
        <v>1036</v>
      </c>
      <c r="B26" s="189" t="s">
        <v>366</v>
      </c>
      <c r="C26" s="189" t="s">
        <v>367</v>
      </c>
      <c r="D26" s="189" t="s">
        <v>368</v>
      </c>
      <c r="E26" s="38" t="s">
        <v>6</v>
      </c>
      <c r="F26" s="189" t="s">
        <v>369</v>
      </c>
      <c r="I26" s="131" t="s">
        <v>1047</v>
      </c>
      <c r="J26" s="131" t="s">
        <v>1</v>
      </c>
      <c r="K26" s="199" t="s">
        <v>22</v>
      </c>
      <c r="L26" s="199" t="s">
        <v>5</v>
      </c>
      <c r="M26" s="199" t="s">
        <v>1089</v>
      </c>
      <c r="N26" s="199" t="s">
        <v>1088</v>
      </c>
      <c r="O26" s="199" t="s">
        <v>1090</v>
      </c>
      <c r="P26" s="199" t="s">
        <v>255</v>
      </c>
      <c r="Q26" s="199" t="s">
        <v>237</v>
      </c>
      <c r="R26" s="131" t="s">
        <v>1045</v>
      </c>
      <c r="S26" s="131" t="s">
        <v>1046</v>
      </c>
      <c r="T26" s="131"/>
      <c r="U26" s="131" t="s">
        <v>1091</v>
      </c>
      <c r="W26" s="131" t="s">
        <v>1092</v>
      </c>
    </row>
    <row r="27" spans="1:24" s="189" customFormat="1" x14ac:dyDescent="0.3">
      <c r="A27" s="8" t="e">
        <f ca="1">D27-(F27/7)-(B27/7)-(E27/7)-C27</f>
        <v>#REF!</v>
      </c>
      <c r="B27" s="8" t="e">
        <f ca="1">B24</f>
        <v>#REF!</v>
      </c>
      <c r="C27" s="8" t="e">
        <f ca="1">VLOOKUP(C1-1,#REF!,11,FALSE)</f>
        <v>#REF!</v>
      </c>
      <c r="D27" s="8" t="e">
        <f ca="1">VLOOKUP(C1-1,#REF!,5,FALSE)</f>
        <v>#REF!</v>
      </c>
      <c r="E27" s="8" t="e">
        <f ca="1">VLOOKUP(C1-1,#REF!,9,FALSE)</f>
        <v>#REF!</v>
      </c>
      <c r="F27" s="8">
        <f ca="1">F30</f>
        <v>0</v>
      </c>
      <c r="H27" s="189" t="str">
        <f ca="1">TEXT(J27,"jjjj")</f>
        <v>samedi</v>
      </c>
      <c r="I27" s="131" t="str">
        <f>"J - 1"</f>
        <v>J - 1</v>
      </c>
      <c r="J27" s="1">
        <f ca="1">ROUNDDOWN(NOW(),0)-1</f>
        <v>43463</v>
      </c>
      <c r="K27" s="8" t="e">
        <f ca="1">VLOOKUP(J27,#REF!,12,FALSE)</f>
        <v>#REF!</v>
      </c>
      <c r="L27" s="8" t="e">
        <f ca="1">VLOOKUP(J27,#REF!,7,FALSE)</f>
        <v>#REF!</v>
      </c>
      <c r="M27" s="8" t="e">
        <f ca="1">VLOOKUP(J27,#REF!,5,FALSE)</f>
        <v>#REF!</v>
      </c>
      <c r="N27" s="8" t="e">
        <f ca="1">VLOOKUP(J27,#REF!,4,FALSE)</f>
        <v>#REF!</v>
      </c>
      <c r="O27" s="8" t="e">
        <f ca="1">VLOOKUP(J27,#REF!,11,FALSE)</f>
        <v>#REF!</v>
      </c>
      <c r="P27" s="8" t="e">
        <f ca="1">VLOOKUP(J27,#REF!,6,FALSE)</f>
        <v>#REF!</v>
      </c>
      <c r="Q27" s="8" t="e">
        <f ca="1">VLOOKUP(J27,#REF!,10,FALSE)</f>
        <v>#REF!</v>
      </c>
      <c r="R27" s="8" t="e">
        <f ca="1">1713154075-K27</f>
        <v>#REF!</v>
      </c>
      <c r="S27" s="8" t="e">
        <f ca="1">K27</f>
        <v>#REF!</v>
      </c>
      <c r="T27" s="8"/>
      <c r="U27" s="8" t="e">
        <f ca="1">S27*$T$24</f>
        <v>#REF!</v>
      </c>
      <c r="W27" s="8" t="e">
        <f ca="1">SUMIF(H27:H57,H27,R27:R57)</f>
        <v>#REF!</v>
      </c>
      <c r="X27" s="21" t="e">
        <f ca="1">(W27*W24)/30</f>
        <v>#REF!</v>
      </c>
    </row>
    <row r="28" spans="1:24" s="189" customFormat="1" x14ac:dyDescent="0.3">
      <c r="H28" s="189" t="str">
        <f t="shared" ref="H28:H57" ca="1" si="7">TEXT(J28,"jjjj")</f>
        <v>dimanche</v>
      </c>
      <c r="I28" s="131" t="str">
        <f>"J - 0"</f>
        <v>J - 0</v>
      </c>
      <c r="J28" s="1">
        <f ca="1">J27+1</f>
        <v>43464</v>
      </c>
      <c r="K28" s="8" t="e">
        <f ca="1">S28</f>
        <v>#REF!</v>
      </c>
      <c r="L28" s="8" t="e">
        <f ca="1">VLOOKUP(J28,#REF!,7,FALSE)</f>
        <v>#REF!</v>
      </c>
      <c r="M28" s="8" t="e">
        <f ca="1">M27</f>
        <v>#REF!</v>
      </c>
      <c r="N28" s="8" t="e">
        <f t="shared" ref="N28:O43" ca="1" si="8">N27</f>
        <v>#REF!</v>
      </c>
      <c r="O28" s="8" t="e">
        <f t="shared" ca="1" si="8"/>
        <v>#REF!</v>
      </c>
      <c r="P28" s="8" t="e">
        <f ca="1">P27</f>
        <v>#REF!</v>
      </c>
      <c r="Q28" s="8" t="e">
        <f ca="1">Q27</f>
        <v>#REF!</v>
      </c>
      <c r="R28" s="8" t="e">
        <f t="shared" ref="R28:R57" ca="1" si="9">R27+K27</f>
        <v>#REF!</v>
      </c>
      <c r="S28" s="8" t="e">
        <f ca="1">M27-O27-(P27/7)-(Q27/7)-(L28/7)</f>
        <v>#REF!</v>
      </c>
      <c r="T28" s="8"/>
      <c r="U28" s="8" t="e">
        <f t="shared" ref="U28:U57" ca="1" si="10">S28*$T$24</f>
        <v>#REF!</v>
      </c>
    </row>
    <row r="29" spans="1:24" x14ac:dyDescent="0.3">
      <c r="A29" s="88" t="s">
        <v>370</v>
      </c>
      <c r="B29" s="88" t="s">
        <v>371</v>
      </c>
      <c r="C29" s="88" t="s">
        <v>372</v>
      </c>
      <c r="D29" s="88" t="s">
        <v>373</v>
      </c>
      <c r="E29" s="88" t="s">
        <v>374</v>
      </c>
      <c r="F29" s="88" t="s">
        <v>375</v>
      </c>
      <c r="G29" s="88" t="s">
        <v>376</v>
      </c>
      <c r="H29" s="189" t="str">
        <f t="shared" ca="1" si="7"/>
        <v>lundi</v>
      </c>
      <c r="I29" s="131" t="str">
        <f>"J + " &amp; 1</f>
        <v>J + 1</v>
      </c>
      <c r="J29" s="1">
        <f t="shared" ref="J29:J57" ca="1" si="11">J28+1</f>
        <v>43465</v>
      </c>
      <c r="K29" s="8" t="e">
        <f t="shared" ref="K29:K57" ca="1" si="12">K28</f>
        <v>#REF!</v>
      </c>
      <c r="L29" s="8" t="e">
        <f ca="1">VLOOKUP(J29,#REF!,7,FALSE)</f>
        <v>#REF!</v>
      </c>
      <c r="M29" s="8" t="e">
        <f t="shared" ref="M29:M33" ca="1" si="13">M28</f>
        <v>#REF!</v>
      </c>
      <c r="N29" s="8" t="e">
        <f t="shared" ca="1" si="8"/>
        <v>#REF!</v>
      </c>
      <c r="O29" s="8" t="e">
        <f t="shared" ca="1" si="8"/>
        <v>#REF!</v>
      </c>
      <c r="P29" s="8" t="e">
        <f t="shared" ref="P29:P56" ca="1" si="14">P28</f>
        <v>#REF!</v>
      </c>
      <c r="Q29" s="8" t="e">
        <f t="shared" ref="Q29:Q57" ca="1" si="15">Q28</f>
        <v>#REF!</v>
      </c>
      <c r="R29" s="8" t="e">
        <f t="shared" ca="1" si="9"/>
        <v>#REF!</v>
      </c>
      <c r="S29" s="8" t="e">
        <f t="shared" ref="S29:S57" ca="1" si="16">M28-O28-(P28/7)-(Q28/7)-(L29/7)</f>
        <v>#REF!</v>
      </c>
      <c r="T29" s="8"/>
      <c r="U29" s="8" t="e">
        <f t="shared" ca="1" si="10"/>
        <v>#REF!</v>
      </c>
    </row>
    <row r="30" spans="1:24" x14ac:dyDescent="0.3">
      <c r="A30" s="89" t="e">
        <f ca="1">D30-(F30/7)-(B30/7)-(E30/7)-C30</f>
        <v>#REF!</v>
      </c>
      <c r="B30" s="89" t="e">
        <f ca="1">Impôts!K5</f>
        <v>#REF!</v>
      </c>
      <c r="C30" s="89" t="e">
        <f ca="1">IF(E14=0,C24,D30*(AVERAGE(#REF!)))</f>
        <v>#REF!</v>
      </c>
      <c r="D30" s="89" t="e">
        <f ca="1">D24+(D14/(AVERAGE(#REF!)+1))+(D21/((AVERAGE(#REF!)+1)))</f>
        <v>#REF!</v>
      </c>
      <c r="E30" s="89">
        <v>0</v>
      </c>
      <c r="F30" s="89">
        <f ca="1">F24+G30</f>
        <v>0</v>
      </c>
      <c r="G30" s="89">
        <f ca="1">SUM(Emprunts!N73:N81)</f>
        <v>0</v>
      </c>
      <c r="H30" s="189" t="str">
        <f t="shared" ca="1" si="7"/>
        <v>mardi</v>
      </c>
      <c r="I30" s="131" t="str">
        <f>"J + " &amp; 2</f>
        <v>J + 2</v>
      </c>
      <c r="J30" s="1">
        <f t="shared" ca="1" si="11"/>
        <v>43466</v>
      </c>
      <c r="K30" s="8" t="e">
        <f t="shared" ca="1" si="12"/>
        <v>#REF!</v>
      </c>
      <c r="L30" s="8" t="e">
        <f ca="1">VLOOKUP(J30,#REF!,7,FALSE)</f>
        <v>#REF!</v>
      </c>
      <c r="M30" s="8" t="e">
        <f t="shared" ca="1" si="13"/>
        <v>#REF!</v>
      </c>
      <c r="N30" s="8" t="e">
        <f t="shared" ca="1" si="8"/>
        <v>#REF!</v>
      </c>
      <c r="O30" s="8" t="e">
        <f t="shared" ca="1" si="8"/>
        <v>#REF!</v>
      </c>
      <c r="P30" s="8" t="e">
        <f t="shared" ca="1" si="14"/>
        <v>#REF!</v>
      </c>
      <c r="Q30" s="8" t="e">
        <f t="shared" ca="1" si="15"/>
        <v>#REF!</v>
      </c>
      <c r="R30" s="8" t="e">
        <f t="shared" ca="1" si="9"/>
        <v>#REF!</v>
      </c>
      <c r="S30" s="8" t="e">
        <f t="shared" ca="1" si="16"/>
        <v>#REF!</v>
      </c>
      <c r="T30" s="8"/>
      <c r="U30" s="8" t="e">
        <f t="shared" ca="1" si="10"/>
        <v>#REF!</v>
      </c>
    </row>
    <row r="31" spans="1:24" x14ac:dyDescent="0.3">
      <c r="E31" s="21"/>
      <c r="H31" s="189" t="str">
        <f t="shared" ca="1" si="7"/>
        <v>mercredi</v>
      </c>
      <c r="I31" s="131" t="str">
        <f>"J + " &amp; 3</f>
        <v>J + 3</v>
      </c>
      <c r="J31" s="1">
        <f t="shared" ca="1" si="11"/>
        <v>43467</v>
      </c>
      <c r="K31" s="8" t="e">
        <f t="shared" ca="1" si="12"/>
        <v>#REF!</v>
      </c>
      <c r="L31" s="8" t="e">
        <f ca="1">VLOOKUP(J31,#REF!,7,FALSE)</f>
        <v>#REF!</v>
      </c>
      <c r="M31" s="8" t="e">
        <f t="shared" ca="1" si="13"/>
        <v>#REF!</v>
      </c>
      <c r="N31" s="8" t="e">
        <f t="shared" ca="1" si="8"/>
        <v>#REF!</v>
      </c>
      <c r="O31" s="8" t="e">
        <f t="shared" ca="1" si="8"/>
        <v>#REF!</v>
      </c>
      <c r="P31" s="8" t="e">
        <f t="shared" ca="1" si="14"/>
        <v>#REF!</v>
      </c>
      <c r="Q31" s="8" t="e">
        <f t="shared" ca="1" si="15"/>
        <v>#REF!</v>
      </c>
      <c r="R31" s="8" t="e">
        <f t="shared" ca="1" si="9"/>
        <v>#REF!</v>
      </c>
      <c r="S31" s="8" t="e">
        <f t="shared" ca="1" si="16"/>
        <v>#REF!</v>
      </c>
      <c r="T31" s="8"/>
      <c r="U31" s="8" t="e">
        <f t="shared" ca="1" si="10"/>
        <v>#REF!</v>
      </c>
    </row>
    <row r="32" spans="1:24" x14ac:dyDescent="0.3">
      <c r="C32" s="8"/>
      <c r="H32" s="189" t="str">
        <f t="shared" ca="1" si="7"/>
        <v>jeudi</v>
      </c>
      <c r="I32" s="131" t="str">
        <f>"J + " &amp; 4</f>
        <v>J + 4</v>
      </c>
      <c r="J32" s="1">
        <f t="shared" ca="1" si="11"/>
        <v>43468</v>
      </c>
      <c r="K32" s="8" t="e">
        <f t="shared" ca="1" si="12"/>
        <v>#REF!</v>
      </c>
      <c r="L32" s="8" t="e">
        <f ca="1">VLOOKUP(J32,#REF!,7,FALSE)</f>
        <v>#REF!</v>
      </c>
      <c r="M32" s="8" t="e">
        <f t="shared" ca="1" si="13"/>
        <v>#REF!</v>
      </c>
      <c r="N32" s="8" t="e">
        <f t="shared" ca="1" si="8"/>
        <v>#REF!</v>
      </c>
      <c r="O32" s="8" t="e">
        <f t="shared" ca="1" si="8"/>
        <v>#REF!</v>
      </c>
      <c r="P32" s="8" t="e">
        <f t="shared" ca="1" si="14"/>
        <v>#REF!</v>
      </c>
      <c r="Q32" s="8" t="e">
        <f t="shared" ca="1" si="15"/>
        <v>#REF!</v>
      </c>
      <c r="R32" s="8" t="e">
        <f t="shared" ca="1" si="9"/>
        <v>#REF!</v>
      </c>
      <c r="S32" s="8" t="e">
        <f t="shared" ca="1" si="16"/>
        <v>#REF!</v>
      </c>
      <c r="T32" s="8"/>
      <c r="U32" s="8" t="e">
        <f t="shared" ca="1" si="10"/>
        <v>#REF!</v>
      </c>
    </row>
    <row r="33" spans="3:21" x14ac:dyDescent="0.3">
      <c r="H33" s="189" t="str">
        <f t="shared" ca="1" si="7"/>
        <v>vendredi</v>
      </c>
      <c r="I33" s="131" t="str">
        <f>"J + " &amp; 5</f>
        <v>J + 5</v>
      </c>
      <c r="J33" s="1">
        <f t="shared" ca="1" si="11"/>
        <v>43469</v>
      </c>
      <c r="K33" s="8" t="e">
        <f t="shared" ca="1" si="12"/>
        <v>#REF!</v>
      </c>
      <c r="L33" s="8" t="e">
        <f ca="1">VLOOKUP(J33,#REF!,7,FALSE)</f>
        <v>#REF!</v>
      </c>
      <c r="M33" s="8" t="e">
        <f t="shared" ca="1" si="13"/>
        <v>#REF!</v>
      </c>
      <c r="N33" s="8" t="e">
        <f t="shared" ca="1" si="8"/>
        <v>#REF!</v>
      </c>
      <c r="O33" s="8" t="e">
        <f t="shared" ca="1" si="8"/>
        <v>#REF!</v>
      </c>
      <c r="P33" s="8" t="e">
        <f t="shared" ca="1" si="14"/>
        <v>#REF!</v>
      </c>
      <c r="Q33" s="8" t="e">
        <f t="shared" ca="1" si="15"/>
        <v>#REF!</v>
      </c>
      <c r="R33" s="8" t="e">
        <f t="shared" ca="1" si="9"/>
        <v>#REF!</v>
      </c>
      <c r="S33" s="8" t="e">
        <f t="shared" ca="1" si="16"/>
        <v>#REF!</v>
      </c>
      <c r="T33" s="8"/>
      <c r="U33" s="8" t="e">
        <f t="shared" ca="1" si="10"/>
        <v>#REF!</v>
      </c>
    </row>
    <row r="34" spans="3:21" x14ac:dyDescent="0.3">
      <c r="G34" s="6"/>
      <c r="H34" s="189" t="str">
        <f t="shared" ca="1" si="7"/>
        <v>samedi</v>
      </c>
      <c r="I34" s="131" t="str">
        <f>"J + " &amp; 6</f>
        <v>J + 6</v>
      </c>
      <c r="J34" s="1">
        <f t="shared" ca="1" si="11"/>
        <v>43470</v>
      </c>
      <c r="K34" s="8" t="e">
        <f t="shared" ca="1" si="12"/>
        <v>#REF!</v>
      </c>
      <c r="L34" s="8" t="e">
        <f ca="1">Impôts!$K$10</f>
        <v>#REF!</v>
      </c>
      <c r="M34" s="8" t="e">
        <f ca="1">M33+(R34*0.0132)</f>
        <v>#REF!</v>
      </c>
      <c r="N34" s="8" t="e">
        <f ca="1">N33+((M34-M33)*0.19)</f>
        <v>#REF!</v>
      </c>
      <c r="O34" s="8" t="e">
        <f ca="1">O33+((M34-M33)*0.14)</f>
        <v>#REF!</v>
      </c>
      <c r="P34" s="8" t="e">
        <f t="shared" ca="1" si="14"/>
        <v>#REF!</v>
      </c>
      <c r="Q34" s="8" t="e">
        <f t="shared" ca="1" si="15"/>
        <v>#REF!</v>
      </c>
      <c r="R34" s="8" t="e">
        <f t="shared" ca="1" si="9"/>
        <v>#REF!</v>
      </c>
      <c r="S34" s="8" t="e">
        <f ca="1">M33-O33-(P33/7)-(Q33/7)-(L33/7)</f>
        <v>#REF!</v>
      </c>
      <c r="T34" s="8"/>
      <c r="U34" s="8" t="e">
        <f t="shared" ca="1" si="10"/>
        <v>#REF!</v>
      </c>
    </row>
    <row r="35" spans="3:21" x14ac:dyDescent="0.3">
      <c r="H35" s="189" t="str">
        <f t="shared" ca="1" si="7"/>
        <v>dimanche</v>
      </c>
      <c r="I35" s="131" t="str">
        <f>"J + " &amp; 7</f>
        <v>J + 7</v>
      </c>
      <c r="J35" s="1">
        <f t="shared" ca="1" si="11"/>
        <v>43471</v>
      </c>
      <c r="K35" s="8" t="e">
        <f t="shared" ca="1" si="12"/>
        <v>#REF!</v>
      </c>
      <c r="L35" s="8" t="e">
        <f ca="1">Impôts!$K$10</f>
        <v>#REF!</v>
      </c>
      <c r="M35" s="8" t="e">
        <f ca="1">M34</f>
        <v>#REF!</v>
      </c>
      <c r="N35" s="8" t="e">
        <f ca="1">N34</f>
        <v>#REF!</v>
      </c>
      <c r="O35" s="8" t="e">
        <f t="shared" ca="1" si="8"/>
        <v>#REF!</v>
      </c>
      <c r="P35" s="8" t="e">
        <f t="shared" ca="1" si="14"/>
        <v>#REF!</v>
      </c>
      <c r="Q35" s="8" t="e">
        <f t="shared" ca="1" si="15"/>
        <v>#REF!</v>
      </c>
      <c r="R35" s="8" t="e">
        <f ca="1">K27</f>
        <v>#REF!</v>
      </c>
      <c r="S35" s="8" t="e">
        <f ca="1">M34-O34-(P34/7)-(Q34/7)-(L34/7)</f>
        <v>#REF!</v>
      </c>
      <c r="T35" s="8"/>
      <c r="U35" s="8" t="e">
        <f t="shared" ca="1" si="10"/>
        <v>#REF!</v>
      </c>
    </row>
    <row r="36" spans="3:21" x14ac:dyDescent="0.3">
      <c r="C36" s="8"/>
      <c r="E36" s="38"/>
      <c r="H36" s="189" t="str">
        <f t="shared" ca="1" si="7"/>
        <v>lundi</v>
      </c>
      <c r="I36" s="131" t="str">
        <f>"J + " &amp; 8</f>
        <v>J + 8</v>
      </c>
      <c r="J36" s="1">
        <f t="shared" ca="1" si="11"/>
        <v>43472</v>
      </c>
      <c r="K36" s="8" t="e">
        <f t="shared" ca="1" si="12"/>
        <v>#REF!</v>
      </c>
      <c r="L36" s="8" t="e">
        <f ca="1">Impôts!$K$10</f>
        <v>#REF!</v>
      </c>
      <c r="M36" s="8" t="e">
        <f t="shared" ref="M36:N40" ca="1" si="17">M35</f>
        <v>#REF!</v>
      </c>
      <c r="N36" s="8" t="e">
        <f t="shared" ca="1" si="17"/>
        <v>#REF!</v>
      </c>
      <c r="O36" s="8" t="e">
        <f t="shared" ca="1" si="8"/>
        <v>#REF!</v>
      </c>
      <c r="P36" s="8" t="e">
        <f t="shared" ca="1" si="14"/>
        <v>#REF!</v>
      </c>
      <c r="Q36" s="8" t="e">
        <f t="shared" ca="1" si="15"/>
        <v>#REF!</v>
      </c>
      <c r="R36" s="8" t="e">
        <f t="shared" ca="1" si="9"/>
        <v>#REF!</v>
      </c>
      <c r="S36" s="8" t="e">
        <f t="shared" ca="1" si="16"/>
        <v>#REF!</v>
      </c>
      <c r="T36" s="8"/>
      <c r="U36" s="8" t="e">
        <f t="shared" ca="1" si="10"/>
        <v>#REF!</v>
      </c>
    </row>
    <row r="37" spans="3:21" x14ac:dyDescent="0.3">
      <c r="H37" s="189" t="str">
        <f t="shared" ca="1" si="7"/>
        <v>mardi</v>
      </c>
      <c r="I37" s="131" t="str">
        <f>"J + " &amp; 9</f>
        <v>J + 9</v>
      </c>
      <c r="J37" s="1">
        <f t="shared" ca="1" si="11"/>
        <v>43473</v>
      </c>
      <c r="K37" s="8" t="e">
        <f t="shared" ca="1" si="12"/>
        <v>#REF!</v>
      </c>
      <c r="L37" s="8" t="e">
        <f ca="1">Impôts!$K$10</f>
        <v>#REF!</v>
      </c>
      <c r="M37" s="8" t="e">
        <f t="shared" ca="1" si="17"/>
        <v>#REF!</v>
      </c>
      <c r="N37" s="8" t="e">
        <f t="shared" ca="1" si="17"/>
        <v>#REF!</v>
      </c>
      <c r="O37" s="8" t="e">
        <f t="shared" ca="1" si="8"/>
        <v>#REF!</v>
      </c>
      <c r="P37" s="8" t="e">
        <f t="shared" ca="1" si="14"/>
        <v>#REF!</v>
      </c>
      <c r="Q37" s="8" t="e">
        <f t="shared" ca="1" si="15"/>
        <v>#REF!</v>
      </c>
      <c r="R37" s="8" t="e">
        <f t="shared" ca="1" si="9"/>
        <v>#REF!</v>
      </c>
      <c r="S37" s="8" t="e">
        <f t="shared" ca="1" si="16"/>
        <v>#REF!</v>
      </c>
      <c r="T37" s="8"/>
      <c r="U37" s="8" t="e">
        <f t="shared" ca="1" si="10"/>
        <v>#REF!</v>
      </c>
    </row>
    <row r="38" spans="3:21" x14ac:dyDescent="0.3">
      <c r="C38" s="8"/>
      <c r="H38" s="189" t="str">
        <f t="shared" ca="1" si="7"/>
        <v>mercredi</v>
      </c>
      <c r="I38" s="131" t="str">
        <f>"J + " &amp; 10</f>
        <v>J + 10</v>
      </c>
      <c r="J38" s="1">
        <f t="shared" ca="1" si="11"/>
        <v>43474</v>
      </c>
      <c r="K38" s="8" t="e">
        <f t="shared" ca="1" si="12"/>
        <v>#REF!</v>
      </c>
      <c r="L38" s="8" t="e">
        <f ca="1">Impôts!$K$10</f>
        <v>#REF!</v>
      </c>
      <c r="M38" s="8" t="e">
        <f t="shared" ca="1" si="17"/>
        <v>#REF!</v>
      </c>
      <c r="N38" s="8" t="e">
        <f t="shared" ca="1" si="17"/>
        <v>#REF!</v>
      </c>
      <c r="O38" s="8" t="e">
        <f t="shared" ca="1" si="8"/>
        <v>#REF!</v>
      </c>
      <c r="P38" s="8" t="e">
        <f t="shared" ca="1" si="14"/>
        <v>#REF!</v>
      </c>
      <c r="Q38" s="8" t="e">
        <f t="shared" ca="1" si="15"/>
        <v>#REF!</v>
      </c>
      <c r="R38" s="8" t="e">
        <f t="shared" ca="1" si="9"/>
        <v>#REF!</v>
      </c>
      <c r="S38" s="8" t="e">
        <f t="shared" ca="1" si="16"/>
        <v>#REF!</v>
      </c>
      <c r="T38" s="8"/>
      <c r="U38" s="8" t="e">
        <f t="shared" ca="1" si="10"/>
        <v>#REF!</v>
      </c>
    </row>
    <row r="39" spans="3:21" x14ac:dyDescent="0.3">
      <c r="H39" s="189" t="str">
        <f t="shared" ca="1" si="7"/>
        <v>jeudi</v>
      </c>
      <c r="I39" s="131" t="str">
        <f>"J + " &amp; 11</f>
        <v>J + 11</v>
      </c>
      <c r="J39" s="1">
        <f t="shared" ca="1" si="11"/>
        <v>43475</v>
      </c>
      <c r="K39" s="8" t="e">
        <f t="shared" ca="1" si="12"/>
        <v>#REF!</v>
      </c>
      <c r="L39" s="8" t="e">
        <f ca="1">Impôts!$K$10</f>
        <v>#REF!</v>
      </c>
      <c r="M39" s="8" t="e">
        <f t="shared" ca="1" si="17"/>
        <v>#REF!</v>
      </c>
      <c r="N39" s="8" t="e">
        <f t="shared" ca="1" si="17"/>
        <v>#REF!</v>
      </c>
      <c r="O39" s="8" t="e">
        <f t="shared" ca="1" si="8"/>
        <v>#REF!</v>
      </c>
      <c r="P39" s="8" t="e">
        <f t="shared" ca="1" si="14"/>
        <v>#REF!</v>
      </c>
      <c r="Q39" s="8" t="e">
        <f t="shared" ca="1" si="15"/>
        <v>#REF!</v>
      </c>
      <c r="R39" s="8" t="e">
        <f t="shared" ca="1" si="9"/>
        <v>#REF!</v>
      </c>
      <c r="S39" s="8" t="e">
        <f t="shared" ca="1" si="16"/>
        <v>#REF!</v>
      </c>
      <c r="T39" s="8"/>
      <c r="U39" s="8" t="e">
        <f t="shared" ca="1" si="10"/>
        <v>#REF!</v>
      </c>
    </row>
    <row r="40" spans="3:21" x14ac:dyDescent="0.3">
      <c r="H40" s="189" t="str">
        <f t="shared" ca="1" si="7"/>
        <v>vendredi</v>
      </c>
      <c r="I40" s="131" t="str">
        <f>"J + " &amp; 12</f>
        <v>J + 12</v>
      </c>
      <c r="J40" s="1">
        <f t="shared" ca="1" si="11"/>
        <v>43476</v>
      </c>
      <c r="K40" s="8" t="e">
        <f t="shared" ca="1" si="12"/>
        <v>#REF!</v>
      </c>
      <c r="L40" s="8" t="e">
        <f ca="1">Impôts!$K$10</f>
        <v>#REF!</v>
      </c>
      <c r="M40" s="8" t="e">
        <f t="shared" ca="1" si="17"/>
        <v>#REF!</v>
      </c>
      <c r="N40" s="8" t="e">
        <f t="shared" ca="1" si="17"/>
        <v>#REF!</v>
      </c>
      <c r="O40" s="8" t="e">
        <f t="shared" ca="1" si="8"/>
        <v>#REF!</v>
      </c>
      <c r="P40" s="8" t="e">
        <f t="shared" ca="1" si="14"/>
        <v>#REF!</v>
      </c>
      <c r="Q40" s="8" t="e">
        <f t="shared" ca="1" si="15"/>
        <v>#REF!</v>
      </c>
      <c r="R40" s="8" t="e">
        <f t="shared" ca="1" si="9"/>
        <v>#REF!</v>
      </c>
      <c r="S40" s="8" t="e">
        <f t="shared" ca="1" si="16"/>
        <v>#REF!</v>
      </c>
      <c r="T40" s="8"/>
      <c r="U40" s="8" t="e">
        <f t="shared" ca="1" si="10"/>
        <v>#REF!</v>
      </c>
    </row>
    <row r="41" spans="3:21" x14ac:dyDescent="0.3">
      <c r="H41" s="189" t="str">
        <f t="shared" ca="1" si="7"/>
        <v>samedi</v>
      </c>
      <c r="I41" s="131" t="str">
        <f>"J + " &amp; 13</f>
        <v>J + 13</v>
      </c>
      <c r="J41" s="1">
        <f t="shared" ca="1" si="11"/>
        <v>43477</v>
      </c>
      <c r="K41" s="8" t="e">
        <f t="shared" ca="1" si="12"/>
        <v>#REF!</v>
      </c>
      <c r="L41" s="8" t="e">
        <f ca="1">Impôts!$K$11</f>
        <v>#REF!</v>
      </c>
      <c r="M41" s="8" t="e">
        <f ca="1">M40+(R41*0.0132)</f>
        <v>#REF!</v>
      </c>
      <c r="N41" s="8" t="e">
        <f ca="1">N40+((M41-M40)*0.19)</f>
        <v>#REF!</v>
      </c>
      <c r="O41" s="8" t="e">
        <f ca="1">O40+((M41-M40)*0.14)</f>
        <v>#REF!</v>
      </c>
      <c r="P41" s="8" t="e">
        <f t="shared" ca="1" si="14"/>
        <v>#REF!</v>
      </c>
      <c r="Q41" s="8" t="e">
        <f t="shared" ca="1" si="15"/>
        <v>#REF!</v>
      </c>
      <c r="R41" s="8" t="e">
        <f t="shared" ca="1" si="9"/>
        <v>#REF!</v>
      </c>
      <c r="S41" s="8" t="e">
        <f t="shared" ca="1" si="16"/>
        <v>#REF!</v>
      </c>
      <c r="T41" s="8"/>
      <c r="U41" s="8" t="e">
        <f t="shared" ca="1" si="10"/>
        <v>#REF!</v>
      </c>
    </row>
    <row r="42" spans="3:21" x14ac:dyDescent="0.3">
      <c r="H42" s="189" t="str">
        <f t="shared" ca="1" si="7"/>
        <v>dimanche</v>
      </c>
      <c r="I42" s="131" t="str">
        <f>"J + " &amp; 14</f>
        <v>J + 14</v>
      </c>
      <c r="J42" s="1">
        <f t="shared" ca="1" si="11"/>
        <v>43478</v>
      </c>
      <c r="K42" s="8" t="e">
        <f t="shared" ca="1" si="12"/>
        <v>#REF!</v>
      </c>
      <c r="L42" s="8" t="e">
        <f ca="1">Impôts!$K$11</f>
        <v>#REF!</v>
      </c>
      <c r="M42" s="8" t="e">
        <f ca="1">M41</f>
        <v>#REF!</v>
      </c>
      <c r="N42" s="8" t="e">
        <f t="shared" ca="1" si="8"/>
        <v>#REF!</v>
      </c>
      <c r="O42" s="8" t="e">
        <f t="shared" ca="1" si="8"/>
        <v>#REF!</v>
      </c>
      <c r="P42" s="8" t="e">
        <f t="shared" ca="1" si="14"/>
        <v>#REF!</v>
      </c>
      <c r="Q42" s="8" t="e">
        <f t="shared" ca="1" si="15"/>
        <v>#REF!</v>
      </c>
      <c r="R42" s="8" t="e">
        <f ca="1">K27</f>
        <v>#REF!</v>
      </c>
      <c r="S42" s="8" t="e">
        <f t="shared" ca="1" si="16"/>
        <v>#REF!</v>
      </c>
      <c r="T42" s="8"/>
      <c r="U42" s="8" t="e">
        <f t="shared" ca="1" si="10"/>
        <v>#REF!</v>
      </c>
    </row>
    <row r="43" spans="3:21" x14ac:dyDescent="0.3">
      <c r="H43" s="189" t="str">
        <f t="shared" ca="1" si="7"/>
        <v>lundi</v>
      </c>
      <c r="I43" s="131" t="str">
        <f>"J + " &amp; 15</f>
        <v>J + 15</v>
      </c>
      <c r="J43" s="1">
        <f t="shared" ca="1" si="11"/>
        <v>43479</v>
      </c>
      <c r="K43" s="8" t="e">
        <f t="shared" ca="1" si="12"/>
        <v>#REF!</v>
      </c>
      <c r="L43" s="8" t="e">
        <f ca="1">Impôts!$K$11</f>
        <v>#REF!</v>
      </c>
      <c r="M43" s="8" t="e">
        <f t="shared" ref="M43:M57" ca="1" si="18">M42</f>
        <v>#REF!</v>
      </c>
      <c r="N43" s="8" t="e">
        <f t="shared" ca="1" si="8"/>
        <v>#REF!</v>
      </c>
      <c r="O43" s="8" t="e">
        <f t="shared" ca="1" si="8"/>
        <v>#REF!</v>
      </c>
      <c r="P43" s="8" t="e">
        <f t="shared" ca="1" si="14"/>
        <v>#REF!</v>
      </c>
      <c r="Q43" s="8" t="e">
        <f t="shared" ca="1" si="15"/>
        <v>#REF!</v>
      </c>
      <c r="R43" s="8" t="e">
        <f t="shared" ca="1" si="9"/>
        <v>#REF!</v>
      </c>
      <c r="S43" s="8" t="e">
        <f t="shared" ca="1" si="16"/>
        <v>#REF!</v>
      </c>
      <c r="T43" s="8"/>
      <c r="U43" s="8" t="e">
        <f t="shared" ca="1" si="10"/>
        <v>#REF!</v>
      </c>
    </row>
    <row r="44" spans="3:21" x14ac:dyDescent="0.3">
      <c r="H44" s="189" t="str">
        <f t="shared" ca="1" si="7"/>
        <v>mardi</v>
      </c>
      <c r="I44" s="131" t="str">
        <f>"J + " &amp; 16</f>
        <v>J + 16</v>
      </c>
      <c r="J44" s="1">
        <f t="shared" ca="1" si="11"/>
        <v>43480</v>
      </c>
      <c r="K44" s="8" t="e">
        <f t="shared" ca="1" si="12"/>
        <v>#REF!</v>
      </c>
      <c r="L44" s="8" t="e">
        <f ca="1">Impôts!$K$11</f>
        <v>#REF!</v>
      </c>
      <c r="M44" s="8" t="e">
        <f t="shared" ca="1" si="18"/>
        <v>#REF!</v>
      </c>
      <c r="N44" s="8" t="e">
        <f t="shared" ref="N44:N57" ca="1" si="19">N43</f>
        <v>#REF!</v>
      </c>
      <c r="O44" s="8" t="e">
        <f t="shared" ref="O44:O57" ca="1" si="20">O43</f>
        <v>#REF!</v>
      </c>
      <c r="P44" s="8" t="e">
        <f t="shared" ca="1" si="14"/>
        <v>#REF!</v>
      </c>
      <c r="Q44" s="8" t="e">
        <f t="shared" ca="1" si="15"/>
        <v>#REF!</v>
      </c>
      <c r="R44" s="8" t="e">
        <f t="shared" ca="1" si="9"/>
        <v>#REF!</v>
      </c>
      <c r="S44" s="8" t="e">
        <f t="shared" ca="1" si="16"/>
        <v>#REF!</v>
      </c>
      <c r="T44" s="8"/>
      <c r="U44" s="8" t="e">
        <f t="shared" ca="1" si="10"/>
        <v>#REF!</v>
      </c>
    </row>
    <row r="45" spans="3:21" x14ac:dyDescent="0.3">
      <c r="H45" s="189" t="str">
        <f t="shared" ca="1" si="7"/>
        <v>mercredi</v>
      </c>
      <c r="I45" s="131" t="str">
        <f>"J + " &amp; 17</f>
        <v>J + 17</v>
      </c>
      <c r="J45" s="1">
        <f t="shared" ca="1" si="11"/>
        <v>43481</v>
      </c>
      <c r="K45" s="8" t="e">
        <f t="shared" ca="1" si="12"/>
        <v>#REF!</v>
      </c>
      <c r="L45" s="8" t="e">
        <f ca="1">Impôts!$K$11</f>
        <v>#REF!</v>
      </c>
      <c r="M45" s="8" t="e">
        <f t="shared" ca="1" si="18"/>
        <v>#REF!</v>
      </c>
      <c r="N45" s="8" t="e">
        <f t="shared" ca="1" si="19"/>
        <v>#REF!</v>
      </c>
      <c r="O45" s="8" t="e">
        <f t="shared" ca="1" si="20"/>
        <v>#REF!</v>
      </c>
      <c r="P45" s="8" t="e">
        <f t="shared" ca="1" si="14"/>
        <v>#REF!</v>
      </c>
      <c r="Q45" s="8" t="e">
        <f t="shared" ca="1" si="15"/>
        <v>#REF!</v>
      </c>
      <c r="R45" s="8" t="e">
        <f t="shared" ca="1" si="9"/>
        <v>#REF!</v>
      </c>
      <c r="S45" s="8" t="e">
        <f t="shared" ca="1" si="16"/>
        <v>#REF!</v>
      </c>
      <c r="T45" s="8"/>
      <c r="U45" s="8" t="e">
        <f t="shared" ca="1" si="10"/>
        <v>#REF!</v>
      </c>
    </row>
    <row r="46" spans="3:21" x14ac:dyDescent="0.3">
      <c r="H46" s="189" t="str">
        <f t="shared" ca="1" si="7"/>
        <v>jeudi</v>
      </c>
      <c r="I46" s="131" t="str">
        <f>"J + " &amp; 18</f>
        <v>J + 18</v>
      </c>
      <c r="J46" s="1">
        <f t="shared" ca="1" si="11"/>
        <v>43482</v>
      </c>
      <c r="K46" s="8" t="e">
        <f t="shared" ca="1" si="12"/>
        <v>#REF!</v>
      </c>
      <c r="L46" s="8" t="e">
        <f ca="1">Impôts!$K$11</f>
        <v>#REF!</v>
      </c>
      <c r="M46" s="8" t="e">
        <f t="shared" ca="1" si="18"/>
        <v>#REF!</v>
      </c>
      <c r="N46" s="8" t="e">
        <f t="shared" ca="1" si="19"/>
        <v>#REF!</v>
      </c>
      <c r="O46" s="8" t="e">
        <f t="shared" ca="1" si="20"/>
        <v>#REF!</v>
      </c>
      <c r="P46" s="8" t="e">
        <f t="shared" ca="1" si="14"/>
        <v>#REF!</v>
      </c>
      <c r="Q46" s="8" t="e">
        <f t="shared" ca="1" si="15"/>
        <v>#REF!</v>
      </c>
      <c r="R46" s="8" t="e">
        <f t="shared" ca="1" si="9"/>
        <v>#REF!</v>
      </c>
      <c r="S46" s="8" t="e">
        <f t="shared" ca="1" si="16"/>
        <v>#REF!</v>
      </c>
      <c r="T46" s="8"/>
      <c r="U46" s="8" t="e">
        <f t="shared" ca="1" si="10"/>
        <v>#REF!</v>
      </c>
    </row>
    <row r="47" spans="3:21" x14ac:dyDescent="0.3">
      <c r="H47" s="189" t="str">
        <f t="shared" ca="1" si="7"/>
        <v>vendredi</v>
      </c>
      <c r="I47" s="131" t="str">
        <f>"J + " &amp; 19</f>
        <v>J + 19</v>
      </c>
      <c r="J47" s="1">
        <f t="shared" ca="1" si="11"/>
        <v>43483</v>
      </c>
      <c r="K47" s="8" t="e">
        <f t="shared" ca="1" si="12"/>
        <v>#REF!</v>
      </c>
      <c r="L47" s="8" t="e">
        <f ca="1">Impôts!$K$11</f>
        <v>#REF!</v>
      </c>
      <c r="M47" s="8" t="e">
        <f t="shared" ca="1" si="18"/>
        <v>#REF!</v>
      </c>
      <c r="N47" s="8" t="e">
        <f t="shared" ca="1" si="19"/>
        <v>#REF!</v>
      </c>
      <c r="O47" s="8" t="e">
        <f t="shared" ca="1" si="20"/>
        <v>#REF!</v>
      </c>
      <c r="P47" s="8" t="e">
        <f t="shared" ca="1" si="14"/>
        <v>#REF!</v>
      </c>
      <c r="Q47" s="8" t="e">
        <f t="shared" ca="1" si="15"/>
        <v>#REF!</v>
      </c>
      <c r="R47" s="8" t="e">
        <f t="shared" ca="1" si="9"/>
        <v>#REF!</v>
      </c>
      <c r="S47" s="8" t="e">
        <f t="shared" ca="1" si="16"/>
        <v>#REF!</v>
      </c>
      <c r="T47" s="8"/>
      <c r="U47" s="8" t="e">
        <f t="shared" ca="1" si="10"/>
        <v>#REF!</v>
      </c>
    </row>
    <row r="48" spans="3:21" x14ac:dyDescent="0.3">
      <c r="H48" s="189" t="str">
        <f t="shared" ca="1" si="7"/>
        <v>samedi</v>
      </c>
      <c r="I48" s="131" t="str">
        <f>"J + " &amp; 20</f>
        <v>J + 20</v>
      </c>
      <c r="J48" s="1">
        <f t="shared" ca="1" si="11"/>
        <v>43484</v>
      </c>
      <c r="K48" s="8" t="e">
        <f t="shared" ca="1" si="12"/>
        <v>#REF!</v>
      </c>
      <c r="L48" s="8" t="e">
        <f ca="1">Impôts!$K$12</f>
        <v>#REF!</v>
      </c>
      <c r="M48" s="8" t="e">
        <f ca="1">M47+(R48*0.0132)</f>
        <v>#REF!</v>
      </c>
      <c r="N48" s="8" t="e">
        <f ca="1">N47+((M48-M47)*0.19)</f>
        <v>#REF!</v>
      </c>
      <c r="O48" s="8" t="e">
        <f ca="1">O47+((M48-M47)*0.14)</f>
        <v>#REF!</v>
      </c>
      <c r="P48" s="8" t="e">
        <f t="shared" ca="1" si="14"/>
        <v>#REF!</v>
      </c>
      <c r="Q48" s="8" t="e">
        <f t="shared" ca="1" si="15"/>
        <v>#REF!</v>
      </c>
      <c r="R48" s="8" t="e">
        <f t="shared" ca="1" si="9"/>
        <v>#REF!</v>
      </c>
      <c r="S48" s="8" t="e">
        <f t="shared" ca="1" si="16"/>
        <v>#REF!</v>
      </c>
      <c r="T48" s="8"/>
      <c r="U48" s="8" t="e">
        <f t="shared" ca="1" si="10"/>
        <v>#REF!</v>
      </c>
    </row>
    <row r="49" spans="8:21" x14ac:dyDescent="0.3">
      <c r="H49" s="189" t="str">
        <f t="shared" ca="1" si="7"/>
        <v>dimanche</v>
      </c>
      <c r="I49" s="131" t="str">
        <f>"J + " &amp; 21</f>
        <v>J + 21</v>
      </c>
      <c r="J49" s="1">
        <f t="shared" ca="1" si="11"/>
        <v>43485</v>
      </c>
      <c r="K49" s="8" t="e">
        <f t="shared" ca="1" si="12"/>
        <v>#REF!</v>
      </c>
      <c r="L49" s="8" t="e">
        <f ca="1">Impôts!$K$12</f>
        <v>#REF!</v>
      </c>
      <c r="M49" s="8" t="e">
        <f t="shared" ca="1" si="18"/>
        <v>#REF!</v>
      </c>
      <c r="N49" s="8" t="e">
        <f t="shared" ca="1" si="19"/>
        <v>#REF!</v>
      </c>
      <c r="O49" s="8" t="e">
        <f t="shared" ca="1" si="20"/>
        <v>#REF!</v>
      </c>
      <c r="P49" s="8" t="e">
        <f t="shared" ca="1" si="14"/>
        <v>#REF!</v>
      </c>
      <c r="Q49" s="8" t="e">
        <f t="shared" ca="1" si="15"/>
        <v>#REF!</v>
      </c>
      <c r="R49" s="8" t="e">
        <f ca="1">K34</f>
        <v>#REF!</v>
      </c>
      <c r="S49" s="8" t="e">
        <f t="shared" ca="1" si="16"/>
        <v>#REF!</v>
      </c>
      <c r="T49" s="8"/>
      <c r="U49" s="8" t="e">
        <f t="shared" ca="1" si="10"/>
        <v>#REF!</v>
      </c>
    </row>
    <row r="50" spans="8:21" x14ac:dyDescent="0.3">
      <c r="H50" s="189" t="str">
        <f t="shared" ca="1" si="7"/>
        <v>lundi</v>
      </c>
      <c r="I50" s="131" t="str">
        <f>"J + " &amp; 22</f>
        <v>J + 22</v>
      </c>
      <c r="J50" s="1">
        <f t="shared" ca="1" si="11"/>
        <v>43486</v>
      </c>
      <c r="K50" s="8" t="e">
        <f t="shared" ca="1" si="12"/>
        <v>#REF!</v>
      </c>
      <c r="L50" s="8" t="e">
        <f ca="1">Impôts!$K$12</f>
        <v>#REF!</v>
      </c>
      <c r="M50" s="8" t="e">
        <f t="shared" ca="1" si="18"/>
        <v>#REF!</v>
      </c>
      <c r="N50" s="8" t="e">
        <f t="shared" ca="1" si="19"/>
        <v>#REF!</v>
      </c>
      <c r="O50" s="8" t="e">
        <f t="shared" ca="1" si="20"/>
        <v>#REF!</v>
      </c>
      <c r="P50" s="8" t="e">
        <f t="shared" ca="1" si="14"/>
        <v>#REF!</v>
      </c>
      <c r="Q50" s="8" t="e">
        <f t="shared" ca="1" si="15"/>
        <v>#REF!</v>
      </c>
      <c r="R50" s="8" t="e">
        <f t="shared" ca="1" si="9"/>
        <v>#REF!</v>
      </c>
      <c r="S50" s="8" t="e">
        <f t="shared" ca="1" si="16"/>
        <v>#REF!</v>
      </c>
      <c r="T50" s="8"/>
      <c r="U50" s="8" t="e">
        <f t="shared" ca="1" si="10"/>
        <v>#REF!</v>
      </c>
    </row>
    <row r="51" spans="8:21" x14ac:dyDescent="0.3">
      <c r="H51" s="189" t="str">
        <f t="shared" ca="1" si="7"/>
        <v>mardi</v>
      </c>
      <c r="I51" s="131" t="str">
        <f>"J + " &amp; 23</f>
        <v>J + 23</v>
      </c>
      <c r="J51" s="1">
        <f t="shared" ca="1" si="11"/>
        <v>43487</v>
      </c>
      <c r="K51" s="8" t="e">
        <f t="shared" ca="1" si="12"/>
        <v>#REF!</v>
      </c>
      <c r="L51" s="8" t="e">
        <f ca="1">Impôts!$K$12</f>
        <v>#REF!</v>
      </c>
      <c r="M51" s="8" t="e">
        <f t="shared" ca="1" si="18"/>
        <v>#REF!</v>
      </c>
      <c r="N51" s="8" t="e">
        <f t="shared" ca="1" si="19"/>
        <v>#REF!</v>
      </c>
      <c r="O51" s="8" t="e">
        <f t="shared" ca="1" si="20"/>
        <v>#REF!</v>
      </c>
      <c r="P51" s="8" t="e">
        <f t="shared" ca="1" si="14"/>
        <v>#REF!</v>
      </c>
      <c r="Q51" s="8" t="e">
        <f t="shared" ca="1" si="15"/>
        <v>#REF!</v>
      </c>
      <c r="R51" s="8" t="e">
        <f t="shared" ca="1" si="9"/>
        <v>#REF!</v>
      </c>
      <c r="S51" s="8" t="e">
        <f t="shared" ca="1" si="16"/>
        <v>#REF!</v>
      </c>
      <c r="T51" s="8"/>
      <c r="U51" s="8" t="e">
        <f t="shared" ca="1" si="10"/>
        <v>#REF!</v>
      </c>
    </row>
    <row r="52" spans="8:21" x14ac:dyDescent="0.3">
      <c r="H52" s="189" t="str">
        <f t="shared" ca="1" si="7"/>
        <v>mercredi</v>
      </c>
      <c r="I52" s="131" t="str">
        <f>"J + " &amp; 24</f>
        <v>J + 24</v>
      </c>
      <c r="J52" s="1">
        <f t="shared" ca="1" si="11"/>
        <v>43488</v>
      </c>
      <c r="K52" s="8" t="e">
        <f t="shared" ca="1" si="12"/>
        <v>#REF!</v>
      </c>
      <c r="L52" s="8" t="e">
        <f ca="1">Impôts!$K$12</f>
        <v>#REF!</v>
      </c>
      <c r="M52" s="8" t="e">
        <f t="shared" ca="1" si="18"/>
        <v>#REF!</v>
      </c>
      <c r="N52" s="8" t="e">
        <f t="shared" ca="1" si="19"/>
        <v>#REF!</v>
      </c>
      <c r="O52" s="8" t="e">
        <f t="shared" ca="1" si="20"/>
        <v>#REF!</v>
      </c>
      <c r="P52" s="8" t="e">
        <f t="shared" ca="1" si="14"/>
        <v>#REF!</v>
      </c>
      <c r="Q52" s="8" t="e">
        <f t="shared" ca="1" si="15"/>
        <v>#REF!</v>
      </c>
      <c r="R52" s="8" t="e">
        <f t="shared" ca="1" si="9"/>
        <v>#REF!</v>
      </c>
      <c r="S52" s="8" t="e">
        <f t="shared" ca="1" si="16"/>
        <v>#REF!</v>
      </c>
      <c r="T52" s="8"/>
      <c r="U52" s="8" t="e">
        <f t="shared" ca="1" si="10"/>
        <v>#REF!</v>
      </c>
    </row>
    <row r="53" spans="8:21" x14ac:dyDescent="0.3">
      <c r="H53" s="189" t="str">
        <f t="shared" ca="1" si="7"/>
        <v>jeudi</v>
      </c>
      <c r="I53" s="131" t="str">
        <f>"J + " &amp; 25</f>
        <v>J + 25</v>
      </c>
      <c r="J53" s="1">
        <f t="shared" ca="1" si="11"/>
        <v>43489</v>
      </c>
      <c r="K53" s="8" t="e">
        <f t="shared" ca="1" si="12"/>
        <v>#REF!</v>
      </c>
      <c r="L53" s="8" t="e">
        <f ca="1">Impôts!$K$12</f>
        <v>#REF!</v>
      </c>
      <c r="M53" s="8" t="e">
        <f t="shared" ca="1" si="18"/>
        <v>#REF!</v>
      </c>
      <c r="N53" s="8" t="e">
        <f t="shared" ca="1" si="19"/>
        <v>#REF!</v>
      </c>
      <c r="O53" s="8" t="e">
        <f t="shared" ca="1" si="20"/>
        <v>#REF!</v>
      </c>
      <c r="P53" s="8" t="e">
        <f t="shared" ca="1" si="14"/>
        <v>#REF!</v>
      </c>
      <c r="Q53" s="8" t="e">
        <f t="shared" ca="1" si="15"/>
        <v>#REF!</v>
      </c>
      <c r="R53" s="8" t="e">
        <f t="shared" ca="1" si="9"/>
        <v>#REF!</v>
      </c>
      <c r="S53" s="8" t="e">
        <f t="shared" ca="1" si="16"/>
        <v>#REF!</v>
      </c>
      <c r="T53" s="8"/>
      <c r="U53" s="8" t="e">
        <f t="shared" ca="1" si="10"/>
        <v>#REF!</v>
      </c>
    </row>
    <row r="54" spans="8:21" x14ac:dyDescent="0.3">
      <c r="H54" s="189" t="str">
        <f t="shared" ca="1" si="7"/>
        <v>vendredi</v>
      </c>
      <c r="I54" s="131" t="str">
        <f>"J + " &amp; 26</f>
        <v>J + 26</v>
      </c>
      <c r="J54" s="1">
        <f t="shared" ca="1" si="11"/>
        <v>43490</v>
      </c>
      <c r="K54" s="8" t="e">
        <f t="shared" ca="1" si="12"/>
        <v>#REF!</v>
      </c>
      <c r="L54" s="8" t="e">
        <f ca="1">Impôts!$K$12</f>
        <v>#REF!</v>
      </c>
      <c r="M54" s="8" t="e">
        <f t="shared" ca="1" si="18"/>
        <v>#REF!</v>
      </c>
      <c r="N54" s="8" t="e">
        <f t="shared" ca="1" si="19"/>
        <v>#REF!</v>
      </c>
      <c r="O54" s="8" t="e">
        <f t="shared" ca="1" si="20"/>
        <v>#REF!</v>
      </c>
      <c r="P54" s="8" t="e">
        <f t="shared" ca="1" si="14"/>
        <v>#REF!</v>
      </c>
      <c r="Q54" s="8" t="e">
        <f t="shared" ca="1" si="15"/>
        <v>#REF!</v>
      </c>
      <c r="R54" s="8" t="e">
        <f t="shared" ca="1" si="9"/>
        <v>#REF!</v>
      </c>
      <c r="S54" s="8" t="e">
        <f t="shared" ca="1" si="16"/>
        <v>#REF!</v>
      </c>
      <c r="T54" s="8"/>
      <c r="U54" s="8" t="e">
        <f t="shared" ca="1" si="10"/>
        <v>#REF!</v>
      </c>
    </row>
    <row r="55" spans="8:21" x14ac:dyDescent="0.3">
      <c r="H55" s="189" t="str">
        <f t="shared" ca="1" si="7"/>
        <v>samedi</v>
      </c>
      <c r="I55" s="131" t="str">
        <f>"J + " &amp; 27</f>
        <v>J + 27</v>
      </c>
      <c r="J55" s="1">
        <f t="shared" ca="1" si="11"/>
        <v>43491</v>
      </c>
      <c r="K55" s="8" t="e">
        <f t="shared" ca="1" si="12"/>
        <v>#REF!</v>
      </c>
      <c r="L55" s="8" t="e">
        <f ca="1">Impôts!$K$12</f>
        <v>#REF!</v>
      </c>
      <c r="M55" s="8" t="e">
        <f ca="1">M54+(R55*0.0132)</f>
        <v>#REF!</v>
      </c>
      <c r="N55" s="8" t="e">
        <f ca="1">N54+((M55-M54)*0.19)</f>
        <v>#REF!</v>
      </c>
      <c r="O55" s="8" t="e">
        <f ca="1">O54+((M55-M54)*0.14)</f>
        <v>#REF!</v>
      </c>
      <c r="P55" s="8" t="e">
        <f t="shared" ca="1" si="14"/>
        <v>#REF!</v>
      </c>
      <c r="Q55" s="8" t="e">
        <f t="shared" ca="1" si="15"/>
        <v>#REF!</v>
      </c>
      <c r="R55" s="8" t="e">
        <f t="shared" ca="1" si="9"/>
        <v>#REF!</v>
      </c>
      <c r="S55" s="8" t="e">
        <f t="shared" ca="1" si="16"/>
        <v>#REF!</v>
      </c>
      <c r="T55" s="8"/>
      <c r="U55" s="8" t="e">
        <f t="shared" ca="1" si="10"/>
        <v>#REF!</v>
      </c>
    </row>
    <row r="56" spans="8:21" x14ac:dyDescent="0.3">
      <c r="H56" s="189" t="str">
        <f t="shared" ca="1" si="7"/>
        <v>dimanche</v>
      </c>
      <c r="I56" s="131" t="str">
        <f>"J + " &amp; 28</f>
        <v>J + 28</v>
      </c>
      <c r="J56" s="1">
        <f t="shared" ca="1" si="11"/>
        <v>43492</v>
      </c>
      <c r="K56" s="8" t="e">
        <f t="shared" ca="1" si="12"/>
        <v>#REF!</v>
      </c>
      <c r="L56" s="8" t="e">
        <f ca="1">Impôts!$K$12</f>
        <v>#REF!</v>
      </c>
      <c r="M56" s="8" t="e">
        <f t="shared" ca="1" si="18"/>
        <v>#REF!</v>
      </c>
      <c r="N56" s="8" t="e">
        <f t="shared" ca="1" si="19"/>
        <v>#REF!</v>
      </c>
      <c r="O56" s="8" t="e">
        <f t="shared" ca="1" si="20"/>
        <v>#REF!</v>
      </c>
      <c r="P56" s="8" t="e">
        <f t="shared" ca="1" si="14"/>
        <v>#REF!</v>
      </c>
      <c r="Q56" s="8" t="e">
        <f t="shared" ca="1" si="15"/>
        <v>#REF!</v>
      </c>
      <c r="R56" s="8" t="e">
        <f ca="1">K41</f>
        <v>#REF!</v>
      </c>
      <c r="S56" s="8" t="e">
        <f t="shared" ca="1" si="16"/>
        <v>#REF!</v>
      </c>
      <c r="T56" s="8"/>
      <c r="U56" s="8" t="e">
        <f t="shared" ca="1" si="10"/>
        <v>#REF!</v>
      </c>
    </row>
    <row r="57" spans="8:21" x14ac:dyDescent="0.3">
      <c r="H57" s="189" t="str">
        <f t="shared" ca="1" si="7"/>
        <v>lundi</v>
      </c>
      <c r="I57" s="131" t="str">
        <f>"J + " &amp; 29</f>
        <v>J + 29</v>
      </c>
      <c r="J57" s="1">
        <f t="shared" ca="1" si="11"/>
        <v>43493</v>
      </c>
      <c r="K57" s="8" t="e">
        <f t="shared" ca="1" si="12"/>
        <v>#REF!</v>
      </c>
      <c r="L57" s="8" t="e">
        <f ca="1">Impôts!$K$12</f>
        <v>#REF!</v>
      </c>
      <c r="M57" s="8" t="e">
        <f t="shared" ca="1" si="18"/>
        <v>#REF!</v>
      </c>
      <c r="N57" s="8" t="e">
        <f t="shared" ca="1" si="19"/>
        <v>#REF!</v>
      </c>
      <c r="O57" s="8" t="e">
        <f t="shared" ca="1" si="20"/>
        <v>#REF!</v>
      </c>
      <c r="P57" s="8" t="e">
        <f ca="1">VLOOKUP(J57,#REF!,6,FALSE)</f>
        <v>#REF!</v>
      </c>
      <c r="Q57" s="8" t="e">
        <f t="shared" ca="1" si="15"/>
        <v>#REF!</v>
      </c>
      <c r="R57" s="8" t="e">
        <f t="shared" ca="1" si="9"/>
        <v>#REF!</v>
      </c>
      <c r="S57" s="8" t="e">
        <f t="shared" ca="1" si="16"/>
        <v>#REF!</v>
      </c>
      <c r="T57" s="8"/>
      <c r="U57" s="8" t="e">
        <f t="shared" ca="1" si="10"/>
        <v>#REF!</v>
      </c>
    </row>
    <row r="58" spans="8:21" x14ac:dyDescent="0.3">
      <c r="I58" s="1"/>
    </row>
    <row r="59" spans="8:21" x14ac:dyDescent="0.3">
      <c r="I59" s="1"/>
    </row>
    <row r="60" spans="8:21" x14ac:dyDescent="0.3">
      <c r="I60" s="1"/>
    </row>
    <row r="61" spans="8:21" x14ac:dyDescent="0.3">
      <c r="I61" s="1"/>
    </row>
    <row r="62" spans="8:21" x14ac:dyDescent="0.3">
      <c r="I62" s="1"/>
    </row>
    <row r="63" spans="8:21" x14ac:dyDescent="0.3">
      <c r="I63" s="1"/>
    </row>
    <row r="64" spans="8:21" x14ac:dyDescent="0.3">
      <c r="I64" s="1"/>
    </row>
    <row r="65" spans="9:9" x14ac:dyDescent="0.3">
      <c r="I65" s="1"/>
    </row>
    <row r="66" spans="9:9" x14ac:dyDescent="0.3">
      <c r="I66" s="1"/>
    </row>
    <row r="67" spans="9:9" x14ac:dyDescent="0.3">
      <c r="I67" s="1"/>
    </row>
    <row r="68" spans="9:9" x14ac:dyDescent="0.3">
      <c r="I68" s="1"/>
    </row>
    <row r="69" spans="9:9" x14ac:dyDescent="0.3">
      <c r="I69" s="1"/>
    </row>
    <row r="70" spans="9:9" x14ac:dyDescent="0.3">
      <c r="I70" s="1"/>
    </row>
    <row r="71" spans="9:9" x14ac:dyDescent="0.3">
      <c r="I71" s="1"/>
    </row>
  </sheetData>
  <conditionalFormatting sqref="M6:M7">
    <cfRule type="cellIs" dxfId="157" priority="6" operator="lessThan">
      <formula>0</formula>
    </cfRule>
  </conditionalFormatting>
  <conditionalFormatting sqref="M8">
    <cfRule type="cellIs" dxfId="156" priority="5" operator="lessThan">
      <formula>0</formula>
    </cfRule>
  </conditionalFormatting>
  <conditionalFormatting sqref="M9">
    <cfRule type="cellIs" dxfId="155" priority="4" operator="lessThan">
      <formula>0</formula>
    </cfRule>
  </conditionalFormatting>
  <conditionalFormatting sqref="M10:M13">
    <cfRule type="cellIs" dxfId="154" priority="3" operator="lessThan">
      <formula>0</formula>
    </cfRule>
  </conditionalFormatting>
  <conditionalFormatting sqref="H27:I57">
    <cfRule type="cellIs" dxfId="153" priority="1" operator="equal">
      <formula>"lundi"</formula>
    </cfRule>
  </conditionalFormatting>
  <dataValidations disablePrompts="1" count="1">
    <dataValidation type="list" allowBlank="1" showInputMessage="1" showErrorMessage="1" sqref="I4 A4 A6:A13 A19:A20" xr:uid="{00000000-0002-0000-1000-000000000000}">
      <formula1>Nom_Avion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9"/>
  <dimension ref="A1:Z1000"/>
  <sheetViews>
    <sheetView zoomScale="70" zoomScaleNormal="70" workbookViewId="0">
      <selection activeCell="E27" sqref="E27"/>
    </sheetView>
  </sheetViews>
  <sheetFormatPr baseColWidth="10" defaultColWidth="11.44140625" defaultRowHeight="14.4" x14ac:dyDescent="0.3"/>
  <cols>
    <col min="1" max="1" width="28.5546875" customWidth="1"/>
    <col min="2" max="2" width="16.44140625" customWidth="1"/>
    <col min="3" max="5" width="14.88671875" customWidth="1"/>
    <col min="6" max="6" width="15.88671875" customWidth="1"/>
    <col min="7" max="8" width="14.88671875" customWidth="1"/>
    <col min="11" max="11" width="19.5546875" bestFit="1" customWidth="1"/>
    <col min="14" max="14" width="16.33203125" style="206" bestFit="1" customWidth="1"/>
    <col min="15" max="15" width="16.6640625" style="235" bestFit="1" customWidth="1"/>
    <col min="16" max="16" width="17.44140625" style="235" bestFit="1" customWidth="1"/>
    <col min="17" max="17" width="11.5546875" style="206" bestFit="1" customWidth="1"/>
    <col min="18" max="18" width="17.44140625" style="206" bestFit="1" customWidth="1"/>
    <col min="19" max="19" width="15" style="206" bestFit="1" customWidth="1"/>
    <col min="20" max="21" width="13.88671875" style="206" bestFit="1" customWidth="1"/>
    <col min="22" max="22" width="13.88671875" style="207" customWidth="1"/>
    <col min="23" max="23" width="27.33203125" customWidth="1"/>
    <col min="24" max="24" width="29.109375" customWidth="1"/>
    <col min="25" max="25" width="19.109375" customWidth="1"/>
    <col min="26" max="26" width="25.88671875" customWidth="1"/>
    <col min="27" max="34" width="7" customWidth="1"/>
    <col min="35" max="72" width="8" customWidth="1"/>
    <col min="73" max="73" width="12.5546875" bestFit="1" customWidth="1"/>
  </cols>
  <sheetData>
    <row r="1" spans="1:11" x14ac:dyDescent="0.3">
      <c r="A1" t="s">
        <v>377</v>
      </c>
    </row>
    <row r="3" spans="1:11" x14ac:dyDescent="0.3">
      <c r="A3" s="113">
        <v>42615.62400462963</v>
      </c>
    </row>
    <row r="5" spans="1:11" x14ac:dyDescent="0.3">
      <c r="A5" t="s">
        <v>378</v>
      </c>
    </row>
    <row r="6" spans="1:11" x14ac:dyDescent="0.3">
      <c r="K6" s="73"/>
    </row>
    <row r="7" spans="1:11" x14ac:dyDescent="0.3">
      <c r="A7" t="s">
        <v>68</v>
      </c>
    </row>
    <row r="9" spans="1:11" x14ac:dyDescent="0.3">
      <c r="A9" t="s">
        <v>379</v>
      </c>
    </row>
    <row r="10" spans="1:11" x14ac:dyDescent="0.3">
      <c r="A10" t="s">
        <v>1160</v>
      </c>
    </row>
    <row r="11" spans="1:11" x14ac:dyDescent="0.3">
      <c r="A11" t="s">
        <v>380</v>
      </c>
    </row>
    <row r="12" spans="1:11" x14ac:dyDescent="0.3">
      <c r="A12" t="s">
        <v>1099</v>
      </c>
    </row>
    <row r="13" spans="1:11" x14ac:dyDescent="0.3">
      <c r="A13" t="s">
        <v>381</v>
      </c>
    </row>
    <row r="14" spans="1:11" x14ac:dyDescent="0.3">
      <c r="A14" t="s">
        <v>382</v>
      </c>
    </row>
    <row r="15" spans="1:11" x14ac:dyDescent="0.3">
      <c r="A15" t="s">
        <v>383</v>
      </c>
    </row>
    <row r="16" spans="1:11" x14ac:dyDescent="0.3">
      <c r="A16" t="s">
        <v>1161</v>
      </c>
    </row>
    <row r="17" spans="1:22" x14ac:dyDescent="0.3">
      <c r="A17" t="s">
        <v>1484</v>
      </c>
    </row>
    <row r="18" spans="1:22" x14ac:dyDescent="0.3">
      <c r="A18" t="s">
        <v>1584</v>
      </c>
    </row>
    <row r="19" spans="1:22" x14ac:dyDescent="0.3">
      <c r="A19" t="s">
        <v>384</v>
      </c>
    </row>
    <row r="20" spans="1:22" x14ac:dyDescent="0.3">
      <c r="A20" t="s">
        <v>385</v>
      </c>
    </row>
    <row r="21" spans="1:22" x14ac:dyDescent="0.3">
      <c r="A21" t="s">
        <v>386</v>
      </c>
    </row>
    <row r="22" spans="1:22" x14ac:dyDescent="0.3">
      <c r="A22" t="s">
        <v>387</v>
      </c>
    </row>
    <row r="23" spans="1:22" x14ac:dyDescent="0.3">
      <c r="A23" t="s">
        <v>388</v>
      </c>
    </row>
    <row r="24" spans="1:22" x14ac:dyDescent="0.3">
      <c r="A24" s="1">
        <v>42609</v>
      </c>
    </row>
    <row r="25" spans="1:22" x14ac:dyDescent="0.3">
      <c r="A25" t="s">
        <v>389</v>
      </c>
      <c r="K25" t="s">
        <v>398</v>
      </c>
      <c r="L25" t="s">
        <v>399</v>
      </c>
      <c r="M25" s="76" t="s">
        <v>30</v>
      </c>
      <c r="N25" s="26" t="s">
        <v>400</v>
      </c>
      <c r="O25" s="235" t="s">
        <v>4</v>
      </c>
      <c r="P25" s="235" t="s">
        <v>901</v>
      </c>
      <c r="R25" s="235" t="s">
        <v>32</v>
      </c>
      <c r="S25" s="235" t="s">
        <v>710</v>
      </c>
      <c r="T25" s="235" t="s">
        <v>711</v>
      </c>
      <c r="U25" s="235" t="s">
        <v>35</v>
      </c>
      <c r="V25" s="236" t="s">
        <v>1328</v>
      </c>
    </row>
    <row r="26" spans="1:22" x14ac:dyDescent="0.3">
      <c r="A26" s="1">
        <v>42610</v>
      </c>
      <c r="J26" s="185" t="str">
        <f t="shared" ref="J26:J39" si="0">IFERROR(IF(FIND("Liste des vols",A26),LEN(A26),""),"")</f>
        <v/>
      </c>
      <c r="K26" s="185" t="str">
        <f t="shared" ref="K26:K39" si="1">IF(J26="","",LEFT(A26,3))</f>
        <v/>
      </c>
      <c r="L26" s="185" t="str">
        <f t="shared" ref="L26:L39" si="2">IF(K26&lt;&gt;"",MID(A26,7,3),"")</f>
        <v/>
      </c>
      <c r="M26" s="76" t="str">
        <f t="shared" ref="M26:M39" si="3">IF(K26&lt;&gt;"",CONCATENATE(K26,"/",L26),"")</f>
        <v/>
      </c>
      <c r="N26" s="26">
        <f t="shared" ref="N26:N39" si="4">IF(J26=29,VALUE(LEFT(F26,LEN(F26)-2)),0)</f>
        <v>0</v>
      </c>
      <c r="O26" s="235">
        <f t="shared" ref="O26:O39" si="5">IF(J26=29,-VALUE(G26),0)</f>
        <v>0</v>
      </c>
      <c r="P26" s="235">
        <f t="shared" ref="P26:P37" si="6">IF(J26=29,VALUE(LEFT(H26,LEN(H26)-2)),0)</f>
        <v>0</v>
      </c>
      <c r="Q26" s="206">
        <f t="shared" ref="Q26:Q39" si="7">IFERROR(VALUE(LEFT(RIGHT(A26,LEN(A26)-11),LEN(A26)-28)),0)</f>
        <v>0</v>
      </c>
      <c r="R26" s="206">
        <f>IF($J26=29,VALUE(LEFT(B26,LEN(B26)-2)),0)</f>
        <v>0</v>
      </c>
      <c r="S26" s="206">
        <f t="shared" ref="S26:U26" si="8">IF($J26=29,VALUE(LEFT(C26,LEN(C26)-2)),0)</f>
        <v>0</v>
      </c>
      <c r="T26" s="206">
        <f t="shared" si="8"/>
        <v>0</v>
      </c>
      <c r="U26" s="206">
        <f t="shared" si="8"/>
        <v>0</v>
      </c>
      <c r="V26" s="207" t="str">
        <f>IFERROR(N26/SUM(R26:U26),"")</f>
        <v/>
      </c>
    </row>
    <row r="27" spans="1:22" x14ac:dyDescent="0.3">
      <c r="A27" t="s">
        <v>390</v>
      </c>
      <c r="J27" s="185" t="str">
        <f t="shared" si="0"/>
        <v/>
      </c>
      <c r="K27" s="185" t="str">
        <f t="shared" si="1"/>
        <v/>
      </c>
      <c r="L27" s="185" t="str">
        <f t="shared" si="2"/>
        <v/>
      </c>
      <c r="M27" s="76" t="str">
        <f t="shared" si="3"/>
        <v/>
      </c>
      <c r="N27" s="26">
        <f t="shared" si="4"/>
        <v>0</v>
      </c>
      <c r="O27" s="235">
        <f t="shared" si="5"/>
        <v>0</v>
      </c>
      <c r="P27" s="235">
        <f t="shared" si="6"/>
        <v>0</v>
      </c>
      <c r="Q27" s="206">
        <f t="shared" si="7"/>
        <v>0</v>
      </c>
      <c r="R27" s="206">
        <f t="shared" ref="R27:R90" si="9">IF($J27=29,VALUE(LEFT(B27,LEN(B27)-2)),0)</f>
        <v>0</v>
      </c>
      <c r="S27" s="206">
        <f t="shared" ref="S27:S90" si="10">IF($J27=29,VALUE(LEFT(C27,LEN(C27)-2)),0)</f>
        <v>0</v>
      </c>
      <c r="T27" s="206">
        <f t="shared" ref="T27:U90" si="11">IF($J27=29,VALUE(LEFT(D27,LEN(D27)-2)),0)</f>
        <v>0</v>
      </c>
      <c r="U27" s="206">
        <f t="shared" si="11"/>
        <v>0</v>
      </c>
      <c r="V27" s="207" t="str">
        <f t="shared" ref="V27:V90" si="12">IFERROR(N27/SUM(R27:U27),"")</f>
        <v/>
      </c>
    </row>
    <row r="28" spans="1:22" x14ac:dyDescent="0.3">
      <c r="A28" s="1">
        <v>42611</v>
      </c>
      <c r="J28" s="185" t="str">
        <f t="shared" si="0"/>
        <v/>
      </c>
      <c r="K28" s="185" t="str">
        <f t="shared" si="1"/>
        <v/>
      </c>
      <c r="L28" s="185" t="str">
        <f t="shared" si="2"/>
        <v/>
      </c>
      <c r="M28" s="76" t="str">
        <f t="shared" si="3"/>
        <v/>
      </c>
      <c r="N28" s="26">
        <f t="shared" si="4"/>
        <v>0</v>
      </c>
      <c r="O28" s="235">
        <f t="shared" si="5"/>
        <v>0</v>
      </c>
      <c r="P28" s="235">
        <f t="shared" si="6"/>
        <v>0</v>
      </c>
      <c r="Q28" s="206">
        <f t="shared" si="7"/>
        <v>0</v>
      </c>
      <c r="R28" s="206">
        <f t="shared" si="9"/>
        <v>0</v>
      </c>
      <c r="S28" s="206">
        <f t="shared" si="10"/>
        <v>0</v>
      </c>
      <c r="T28" s="206">
        <f t="shared" si="11"/>
        <v>0</v>
      </c>
      <c r="U28" s="206">
        <f t="shared" si="11"/>
        <v>0</v>
      </c>
      <c r="V28" s="207" t="str">
        <f t="shared" si="12"/>
        <v/>
      </c>
    </row>
    <row r="29" spans="1:22" x14ac:dyDescent="0.3">
      <c r="A29" t="s">
        <v>391</v>
      </c>
      <c r="J29" s="185" t="str">
        <f t="shared" si="0"/>
        <v/>
      </c>
      <c r="K29" s="185" t="str">
        <f t="shared" si="1"/>
        <v/>
      </c>
      <c r="L29" s="185" t="str">
        <f t="shared" si="2"/>
        <v/>
      </c>
      <c r="M29" s="76" t="str">
        <f t="shared" si="3"/>
        <v/>
      </c>
      <c r="N29" s="26">
        <f t="shared" si="4"/>
        <v>0</v>
      </c>
      <c r="O29" s="235">
        <f t="shared" si="5"/>
        <v>0</v>
      </c>
      <c r="P29" s="235">
        <f t="shared" si="6"/>
        <v>0</v>
      </c>
      <c r="Q29" s="206">
        <f t="shared" si="7"/>
        <v>0</v>
      </c>
      <c r="R29" s="206">
        <f t="shared" si="9"/>
        <v>0</v>
      </c>
      <c r="S29" s="206">
        <f t="shared" si="10"/>
        <v>0</v>
      </c>
      <c r="T29" s="206">
        <f t="shared" si="11"/>
        <v>0</v>
      </c>
      <c r="U29" s="206">
        <f t="shared" si="11"/>
        <v>0</v>
      </c>
      <c r="V29" s="207" t="str">
        <f t="shared" si="12"/>
        <v/>
      </c>
    </row>
    <row r="30" spans="1:22" x14ac:dyDescent="0.3">
      <c r="A30" s="1">
        <v>42612</v>
      </c>
      <c r="J30" s="185" t="str">
        <f t="shared" si="0"/>
        <v/>
      </c>
      <c r="K30" s="185" t="str">
        <f t="shared" si="1"/>
        <v/>
      </c>
      <c r="L30" s="185" t="str">
        <f t="shared" si="2"/>
        <v/>
      </c>
      <c r="M30" s="76" t="str">
        <f t="shared" si="3"/>
        <v/>
      </c>
      <c r="N30" s="26">
        <f t="shared" si="4"/>
        <v>0</v>
      </c>
      <c r="O30" s="235">
        <f t="shared" si="5"/>
        <v>0</v>
      </c>
      <c r="P30" s="235">
        <f t="shared" si="6"/>
        <v>0</v>
      </c>
      <c r="Q30" s="206">
        <f t="shared" si="7"/>
        <v>0</v>
      </c>
      <c r="R30" s="206">
        <f t="shared" si="9"/>
        <v>0</v>
      </c>
      <c r="S30" s="206">
        <f t="shared" si="10"/>
        <v>0</v>
      </c>
      <c r="T30" s="206">
        <f t="shared" si="11"/>
        <v>0</v>
      </c>
      <c r="U30" s="206">
        <f t="shared" si="11"/>
        <v>0</v>
      </c>
      <c r="V30" s="207" t="str">
        <f t="shared" si="12"/>
        <v/>
      </c>
    </row>
    <row r="31" spans="1:22" x14ac:dyDescent="0.3">
      <c r="A31" t="s">
        <v>392</v>
      </c>
      <c r="J31" s="185" t="str">
        <f t="shared" si="0"/>
        <v/>
      </c>
      <c r="K31" s="185" t="str">
        <f t="shared" si="1"/>
        <v/>
      </c>
      <c r="L31" s="185" t="str">
        <f t="shared" si="2"/>
        <v/>
      </c>
      <c r="M31" s="76" t="str">
        <f t="shared" si="3"/>
        <v/>
      </c>
      <c r="N31" s="26">
        <f t="shared" si="4"/>
        <v>0</v>
      </c>
      <c r="O31" s="235">
        <f t="shared" si="5"/>
        <v>0</v>
      </c>
      <c r="P31" s="235">
        <f t="shared" si="6"/>
        <v>0</v>
      </c>
      <c r="Q31" s="206">
        <f t="shared" si="7"/>
        <v>0</v>
      </c>
      <c r="R31" s="206">
        <f t="shared" si="9"/>
        <v>0</v>
      </c>
      <c r="S31" s="206">
        <f t="shared" si="10"/>
        <v>0</v>
      </c>
      <c r="T31" s="206">
        <f t="shared" si="11"/>
        <v>0</v>
      </c>
      <c r="U31" s="206">
        <f t="shared" si="11"/>
        <v>0</v>
      </c>
      <c r="V31" s="207" t="str">
        <f t="shared" si="12"/>
        <v/>
      </c>
    </row>
    <row r="32" spans="1:22" x14ac:dyDescent="0.3">
      <c r="A32" s="1">
        <v>42613</v>
      </c>
      <c r="J32" s="185" t="str">
        <f t="shared" si="0"/>
        <v/>
      </c>
      <c r="K32" s="185" t="str">
        <f t="shared" si="1"/>
        <v/>
      </c>
      <c r="L32" s="185" t="str">
        <f t="shared" si="2"/>
        <v/>
      </c>
      <c r="M32" s="76" t="str">
        <f t="shared" si="3"/>
        <v/>
      </c>
      <c r="N32" s="26">
        <f t="shared" si="4"/>
        <v>0</v>
      </c>
      <c r="O32" s="235">
        <f t="shared" si="5"/>
        <v>0</v>
      </c>
      <c r="P32" s="235">
        <f t="shared" si="6"/>
        <v>0</v>
      </c>
      <c r="Q32" s="206">
        <f t="shared" si="7"/>
        <v>0</v>
      </c>
      <c r="R32" s="206">
        <f t="shared" si="9"/>
        <v>0</v>
      </c>
      <c r="S32" s="206">
        <f t="shared" si="10"/>
        <v>0</v>
      </c>
      <c r="T32" s="206">
        <f t="shared" si="11"/>
        <v>0</v>
      </c>
      <c r="U32" s="206">
        <f t="shared" si="11"/>
        <v>0</v>
      </c>
      <c r="V32" s="207" t="str">
        <f t="shared" si="12"/>
        <v/>
      </c>
    </row>
    <row r="33" spans="1:26" x14ac:dyDescent="0.3">
      <c r="A33" t="s">
        <v>393</v>
      </c>
      <c r="J33" s="185" t="str">
        <f t="shared" si="0"/>
        <v/>
      </c>
      <c r="K33" s="185" t="str">
        <f t="shared" si="1"/>
        <v/>
      </c>
      <c r="L33" s="185" t="str">
        <f t="shared" si="2"/>
        <v/>
      </c>
      <c r="M33" s="76" t="str">
        <f t="shared" si="3"/>
        <v/>
      </c>
      <c r="N33" s="26">
        <f t="shared" si="4"/>
        <v>0</v>
      </c>
      <c r="O33" s="235">
        <f t="shared" si="5"/>
        <v>0</v>
      </c>
      <c r="P33" s="235">
        <f t="shared" si="6"/>
        <v>0</v>
      </c>
      <c r="Q33" s="206">
        <f t="shared" si="7"/>
        <v>0</v>
      </c>
      <c r="R33" s="206">
        <f t="shared" si="9"/>
        <v>0</v>
      </c>
      <c r="S33" s="206">
        <f t="shared" si="10"/>
        <v>0</v>
      </c>
      <c r="T33" s="206">
        <f t="shared" si="11"/>
        <v>0</v>
      </c>
      <c r="U33" s="206">
        <f t="shared" si="11"/>
        <v>0</v>
      </c>
      <c r="V33" s="207" t="str">
        <f t="shared" si="12"/>
        <v/>
      </c>
    </row>
    <row r="34" spans="1:26" x14ac:dyDescent="0.3">
      <c r="A34" s="1">
        <v>42614</v>
      </c>
      <c r="J34" s="185" t="str">
        <f t="shared" si="0"/>
        <v/>
      </c>
      <c r="K34" s="185" t="str">
        <f t="shared" si="1"/>
        <v/>
      </c>
      <c r="L34" s="185" t="str">
        <f t="shared" si="2"/>
        <v/>
      </c>
      <c r="M34" s="76" t="str">
        <f t="shared" si="3"/>
        <v/>
      </c>
      <c r="N34" s="26">
        <f t="shared" si="4"/>
        <v>0</v>
      </c>
      <c r="O34" s="235">
        <f t="shared" si="5"/>
        <v>0</v>
      </c>
      <c r="P34" s="235">
        <f t="shared" si="6"/>
        <v>0</v>
      </c>
      <c r="Q34" s="206">
        <f t="shared" si="7"/>
        <v>0</v>
      </c>
      <c r="R34" s="206">
        <f t="shared" si="9"/>
        <v>0</v>
      </c>
      <c r="S34" s="206">
        <f t="shared" si="10"/>
        <v>0</v>
      </c>
      <c r="T34" s="206">
        <f t="shared" si="11"/>
        <v>0</v>
      </c>
      <c r="U34" s="206">
        <f t="shared" si="11"/>
        <v>0</v>
      </c>
      <c r="V34" s="207" t="str">
        <f t="shared" si="12"/>
        <v/>
      </c>
    </row>
    <row r="35" spans="1:26" x14ac:dyDescent="0.3">
      <c r="A35" t="s">
        <v>394</v>
      </c>
      <c r="J35" s="185" t="str">
        <f t="shared" si="0"/>
        <v/>
      </c>
      <c r="K35" s="185" t="str">
        <f t="shared" si="1"/>
        <v/>
      </c>
      <c r="L35" s="185" t="str">
        <f t="shared" si="2"/>
        <v/>
      </c>
      <c r="M35" s="76" t="str">
        <f t="shared" si="3"/>
        <v/>
      </c>
      <c r="N35" s="26">
        <f t="shared" si="4"/>
        <v>0</v>
      </c>
      <c r="O35" s="235">
        <f t="shared" si="5"/>
        <v>0</v>
      </c>
      <c r="P35" s="235">
        <f t="shared" si="6"/>
        <v>0</v>
      </c>
      <c r="Q35" s="206">
        <f t="shared" si="7"/>
        <v>0</v>
      </c>
      <c r="R35" s="206">
        <f t="shared" si="9"/>
        <v>0</v>
      </c>
      <c r="S35" s="206">
        <f t="shared" si="10"/>
        <v>0</v>
      </c>
      <c r="T35" s="206">
        <f t="shared" si="11"/>
        <v>0</v>
      </c>
      <c r="U35" s="206">
        <f t="shared" si="11"/>
        <v>0</v>
      </c>
      <c r="V35" s="207" t="str">
        <f t="shared" si="12"/>
        <v/>
      </c>
    </row>
    <row r="36" spans="1:26" x14ac:dyDescent="0.3">
      <c r="A36" s="1">
        <v>42615</v>
      </c>
      <c r="J36" s="185" t="str">
        <f t="shared" si="0"/>
        <v/>
      </c>
      <c r="K36" s="185" t="str">
        <f t="shared" si="1"/>
        <v/>
      </c>
      <c r="L36" s="185" t="str">
        <f t="shared" si="2"/>
        <v/>
      </c>
      <c r="M36" s="76" t="str">
        <f t="shared" si="3"/>
        <v/>
      </c>
      <c r="N36" s="26">
        <f t="shared" si="4"/>
        <v>0</v>
      </c>
      <c r="O36" s="235">
        <f t="shared" si="5"/>
        <v>0</v>
      </c>
      <c r="P36" s="235">
        <f t="shared" si="6"/>
        <v>0</v>
      </c>
      <c r="Q36" s="206">
        <f t="shared" si="7"/>
        <v>0</v>
      </c>
      <c r="R36" s="206">
        <f t="shared" si="9"/>
        <v>0</v>
      </c>
      <c r="S36" s="206">
        <f t="shared" si="10"/>
        <v>0</v>
      </c>
      <c r="T36" s="206">
        <f t="shared" si="11"/>
        <v>0</v>
      </c>
      <c r="U36" s="206">
        <f t="shared" si="11"/>
        <v>0</v>
      </c>
      <c r="V36" s="207" t="str">
        <f t="shared" si="12"/>
        <v/>
      </c>
    </row>
    <row r="37" spans="1:26" x14ac:dyDescent="0.3">
      <c r="A37" t="s">
        <v>30</v>
      </c>
      <c r="B37" t="s">
        <v>395</v>
      </c>
      <c r="C37" t="s">
        <v>33</v>
      </c>
      <c r="D37" t="s">
        <v>34</v>
      </c>
      <c r="E37" t="s">
        <v>35</v>
      </c>
      <c r="F37" t="s">
        <v>396</v>
      </c>
      <c r="G37" t="s">
        <v>4</v>
      </c>
      <c r="H37" t="s">
        <v>397</v>
      </c>
      <c r="J37" s="185" t="str">
        <f t="shared" si="0"/>
        <v/>
      </c>
      <c r="K37" s="185" t="str">
        <f t="shared" si="1"/>
        <v/>
      </c>
      <c r="L37" s="185" t="str">
        <f t="shared" si="2"/>
        <v/>
      </c>
      <c r="M37" s="76" t="str">
        <f t="shared" si="3"/>
        <v/>
      </c>
      <c r="N37" s="26">
        <f t="shared" si="4"/>
        <v>0</v>
      </c>
      <c r="O37" s="235">
        <f t="shared" si="5"/>
        <v>0</v>
      </c>
      <c r="P37" s="235">
        <f t="shared" si="6"/>
        <v>0</v>
      </c>
      <c r="Q37" s="206">
        <f t="shared" si="7"/>
        <v>0</v>
      </c>
      <c r="R37" s="206">
        <f t="shared" si="9"/>
        <v>0</v>
      </c>
      <c r="S37" s="206">
        <f t="shared" si="10"/>
        <v>0</v>
      </c>
      <c r="T37" s="206">
        <f t="shared" si="11"/>
        <v>0</v>
      </c>
      <c r="U37" s="206">
        <f t="shared" si="11"/>
        <v>0</v>
      </c>
      <c r="V37" s="207" t="str">
        <f t="shared" si="12"/>
        <v/>
      </c>
      <c r="W37" s="74" t="s">
        <v>901</v>
      </c>
      <c r="X37" s="75">
        <v>0</v>
      </c>
    </row>
    <row r="38" spans="1:26" x14ac:dyDescent="0.3">
      <c r="A38" s="1" t="s">
        <v>1466</v>
      </c>
      <c r="B38" t="s">
        <v>1467</v>
      </c>
      <c r="C38" t="s">
        <v>404</v>
      </c>
      <c r="D38" t="s">
        <v>404</v>
      </c>
      <c r="E38" t="s">
        <v>1468</v>
      </c>
      <c r="F38" t="s">
        <v>1469</v>
      </c>
      <c r="G38" s="77">
        <v>-2293818</v>
      </c>
      <c r="H38" t="s">
        <v>1470</v>
      </c>
      <c r="J38" s="185">
        <f t="shared" si="0"/>
        <v>29</v>
      </c>
      <c r="K38" s="185" t="str">
        <f t="shared" si="1"/>
        <v>FNA</v>
      </c>
      <c r="L38" s="185" t="str">
        <f t="shared" si="2"/>
        <v>BLR</v>
      </c>
      <c r="M38" s="76" t="str">
        <f t="shared" si="3"/>
        <v>FNA/BLR</v>
      </c>
      <c r="N38" s="26">
        <f t="shared" si="4"/>
        <v>1167478</v>
      </c>
      <c r="O38" s="235">
        <f t="shared" si="5"/>
        <v>2293818</v>
      </c>
      <c r="P38" s="235">
        <f>IF(J38=29,VALUE(LEFT(H38,LEN(H38)-2)),0)</f>
        <v>12941080</v>
      </c>
      <c r="Q38" s="206">
        <f t="shared" si="7"/>
        <v>3</v>
      </c>
      <c r="R38" s="206">
        <f t="shared" si="9"/>
        <v>13967820</v>
      </c>
      <c r="S38" s="206">
        <f t="shared" si="10"/>
        <v>0</v>
      </c>
      <c r="T38" s="206">
        <f t="shared" si="11"/>
        <v>0</v>
      </c>
      <c r="U38" s="206">
        <f t="shared" si="11"/>
        <v>99600</v>
      </c>
      <c r="V38" s="207">
        <f t="shared" si="12"/>
        <v>8.2991621775705848E-2</v>
      </c>
    </row>
    <row r="39" spans="1:26" x14ac:dyDescent="0.3">
      <c r="A39" t="s">
        <v>1471</v>
      </c>
      <c r="B39" t="s">
        <v>1485</v>
      </c>
      <c r="C39" t="s">
        <v>404</v>
      </c>
      <c r="D39" t="s">
        <v>404</v>
      </c>
      <c r="E39" t="s">
        <v>1468</v>
      </c>
      <c r="F39" t="s">
        <v>1486</v>
      </c>
      <c r="G39" s="77">
        <v>-2204926</v>
      </c>
      <c r="H39" t="s">
        <v>1487</v>
      </c>
      <c r="J39" s="185">
        <f t="shared" si="0"/>
        <v>29</v>
      </c>
      <c r="K39" s="185" t="str">
        <f t="shared" si="1"/>
        <v>FNA</v>
      </c>
      <c r="L39" s="185" t="str">
        <f t="shared" si="2"/>
        <v>HYD</v>
      </c>
      <c r="M39" s="76" t="str">
        <f t="shared" si="3"/>
        <v>FNA/HYD</v>
      </c>
      <c r="N39" s="26">
        <f t="shared" si="4"/>
        <v>1143524</v>
      </c>
      <c r="O39" s="235">
        <f t="shared" si="5"/>
        <v>2204926</v>
      </c>
      <c r="P39" s="235">
        <f t="shared" ref="P39:P44" si="13">IF(J39=29,VALUE(LEFT(H39,LEN(H39)-2)),0)</f>
        <v>12588046</v>
      </c>
      <c r="Q39" s="206">
        <f t="shared" si="7"/>
        <v>3</v>
      </c>
      <c r="R39" s="206">
        <f t="shared" si="9"/>
        <v>13549848</v>
      </c>
      <c r="S39" s="206">
        <f t="shared" si="10"/>
        <v>0</v>
      </c>
      <c r="T39" s="206">
        <f t="shared" si="11"/>
        <v>0</v>
      </c>
      <c r="U39" s="206">
        <f t="shared" si="11"/>
        <v>99600</v>
      </c>
      <c r="V39" s="207">
        <f t="shared" si="12"/>
        <v>8.3778039961762557E-2</v>
      </c>
      <c r="W39" s="74" t="s">
        <v>401</v>
      </c>
      <c r="X39" s="204" t="s">
        <v>402</v>
      </c>
      <c r="Y39" s="204" t="s">
        <v>403</v>
      </c>
      <c r="Z39" s="204" t="s">
        <v>902</v>
      </c>
    </row>
    <row r="40" spans="1:26" x14ac:dyDescent="0.3">
      <c r="A40" s="1" t="s">
        <v>1472</v>
      </c>
      <c r="B40" t="s">
        <v>1488</v>
      </c>
      <c r="C40" t="s">
        <v>404</v>
      </c>
      <c r="D40" t="s">
        <v>404</v>
      </c>
      <c r="E40" t="s">
        <v>1473</v>
      </c>
      <c r="F40" t="s">
        <v>1489</v>
      </c>
      <c r="G40" s="77">
        <v>-2325279</v>
      </c>
      <c r="H40" t="s">
        <v>1490</v>
      </c>
      <c r="J40">
        <f>IFERROR(IF(FIND("Liste des vols",A40),LEN(A40),""),"")</f>
        <v>29</v>
      </c>
      <c r="K40" t="str">
        <f>IF(J40="","",LEFT(A40,3))</f>
        <v>BOG</v>
      </c>
      <c r="L40" t="str">
        <f>IF(K40&lt;&gt;"",MID(A40,7,3),"")</f>
        <v>KAN</v>
      </c>
      <c r="M40" s="76" t="str">
        <f>IF(K40&lt;&gt;"",CONCATENATE(K40,"/",L40),"")</f>
        <v>BOG/KAN</v>
      </c>
      <c r="N40" s="26">
        <f>IF(J40=29,VALUE(LEFT(F40,LEN(F40)-2)),0)</f>
        <v>1279882</v>
      </c>
      <c r="O40" s="235">
        <f>IF(J40=29,-VALUE(G40),0)</f>
        <v>2325279</v>
      </c>
      <c r="P40" s="235">
        <f t="shared" si="13"/>
        <v>13027735</v>
      </c>
      <c r="Q40" s="206">
        <f>IFERROR(VALUE(LEFT(RIGHT(A40,LEN(A40)-11),LEN(A40)-28)),0)</f>
        <v>3</v>
      </c>
      <c r="R40" s="206">
        <f t="shared" si="9"/>
        <v>13963932</v>
      </c>
      <c r="S40" s="206">
        <f t="shared" si="10"/>
        <v>0</v>
      </c>
      <c r="T40" s="206">
        <f t="shared" si="11"/>
        <v>0</v>
      </c>
      <c r="U40" s="206">
        <f t="shared" si="11"/>
        <v>109200</v>
      </c>
      <c r="V40" s="207">
        <f t="shared" si="12"/>
        <v>9.0945071786436738E-2</v>
      </c>
      <c r="W40" s="75"/>
      <c r="X40" s="39">
        <v>0</v>
      </c>
      <c r="Y40" s="39">
        <v>0</v>
      </c>
      <c r="Z40" s="39">
        <v>0</v>
      </c>
    </row>
    <row r="41" spans="1:26" x14ac:dyDescent="0.3">
      <c r="A41" t="s">
        <v>1474</v>
      </c>
      <c r="B41" t="s">
        <v>1491</v>
      </c>
      <c r="C41" t="s">
        <v>404</v>
      </c>
      <c r="D41" t="s">
        <v>404</v>
      </c>
      <c r="E41" t="s">
        <v>1475</v>
      </c>
      <c r="F41" t="s">
        <v>1492</v>
      </c>
      <c r="G41" s="77">
        <v>-2189240</v>
      </c>
      <c r="H41" t="s">
        <v>1493</v>
      </c>
      <c r="J41">
        <f t="shared" ref="J41:J44" si="14">IFERROR(IF(FIND("Liste des vols",A41),LEN(A41),""),"")</f>
        <v>29</v>
      </c>
      <c r="K41" t="str">
        <f t="shared" ref="K41:K44" si="15">IF(J41="","",LEFT(A41,3))</f>
        <v>BOG</v>
      </c>
      <c r="L41" t="str">
        <f t="shared" ref="L41:L44" si="16">IF(K41&lt;&gt;"",MID(A41,7,3),"")</f>
        <v>ABV</v>
      </c>
      <c r="M41" s="76" t="str">
        <f t="shared" ref="M41:M44" si="17">IF(K41&lt;&gt;"",CONCATENATE(K41,"/",L41),"")</f>
        <v>BOG/ABV</v>
      </c>
      <c r="N41" s="26">
        <f t="shared" ref="N41:N44" si="18">IF(J41=29,VALUE(LEFT(F41,LEN(F41)-2)),0)</f>
        <v>1234733</v>
      </c>
      <c r="O41" s="235">
        <f t="shared" ref="O41:O44" si="19">IF(J41=29,-VALUE(G41),0)</f>
        <v>2189240</v>
      </c>
      <c r="P41" s="235">
        <f t="shared" si="13"/>
        <v>12289363</v>
      </c>
      <c r="Q41" s="206">
        <f t="shared" ref="Q41:Q44" si="20">IFERROR(VALUE(LEFT(RIGHT(A41,LEN(A41)-11),LEN(A41)-28)),0)</f>
        <v>3</v>
      </c>
      <c r="R41" s="206">
        <f t="shared" si="9"/>
        <v>13136070</v>
      </c>
      <c r="S41" s="206">
        <f t="shared" si="10"/>
        <v>0</v>
      </c>
      <c r="T41" s="206">
        <f t="shared" si="11"/>
        <v>0</v>
      </c>
      <c r="U41" s="206">
        <f t="shared" si="11"/>
        <v>107800</v>
      </c>
      <c r="V41" s="207">
        <f t="shared" si="12"/>
        <v>9.3230528538863641E-2</v>
      </c>
    </row>
    <row r="42" spans="1:26" x14ac:dyDescent="0.3">
      <c r="A42" s="1" t="s">
        <v>1476</v>
      </c>
      <c r="B42" t="s">
        <v>1494</v>
      </c>
      <c r="C42" t="s">
        <v>404</v>
      </c>
      <c r="D42" t="s">
        <v>404</v>
      </c>
      <c r="E42" t="s">
        <v>1477</v>
      </c>
      <c r="F42" t="s">
        <v>1495</v>
      </c>
      <c r="G42" s="77">
        <v>-1933303</v>
      </c>
      <c r="H42" t="s">
        <v>1496</v>
      </c>
      <c r="J42">
        <f t="shared" si="14"/>
        <v>29</v>
      </c>
      <c r="K42" t="str">
        <f t="shared" si="15"/>
        <v>BOG</v>
      </c>
      <c r="L42" t="str">
        <f t="shared" si="16"/>
        <v>PHC</v>
      </c>
      <c r="M42" s="76" t="str">
        <f t="shared" si="17"/>
        <v>BOG/PHC</v>
      </c>
      <c r="N42" s="26">
        <f t="shared" si="18"/>
        <v>1077649</v>
      </c>
      <c r="O42" s="235">
        <f t="shared" si="19"/>
        <v>1933303</v>
      </c>
      <c r="P42" s="235">
        <f t="shared" si="13"/>
        <v>10987857</v>
      </c>
      <c r="Q42" s="206">
        <f t="shared" si="20"/>
        <v>3</v>
      </c>
      <c r="R42" s="206">
        <f t="shared" si="9"/>
        <v>11753511</v>
      </c>
      <c r="S42" s="206">
        <f t="shared" si="10"/>
        <v>0</v>
      </c>
      <c r="T42" s="206">
        <f t="shared" si="11"/>
        <v>0</v>
      </c>
      <c r="U42" s="206">
        <f t="shared" si="11"/>
        <v>90000</v>
      </c>
      <c r="V42" s="207">
        <f t="shared" si="12"/>
        <v>9.0990669911988092E-2</v>
      </c>
    </row>
    <row r="43" spans="1:26" x14ac:dyDescent="0.3">
      <c r="A43" t="s">
        <v>1478</v>
      </c>
      <c r="B43" t="s">
        <v>1497</v>
      </c>
      <c r="C43" t="s">
        <v>404</v>
      </c>
      <c r="D43" t="s">
        <v>404</v>
      </c>
      <c r="E43" t="s">
        <v>1479</v>
      </c>
      <c r="F43" t="s">
        <v>1498</v>
      </c>
      <c r="G43" s="77">
        <v>-2196100</v>
      </c>
      <c r="H43" t="s">
        <v>1499</v>
      </c>
      <c r="J43">
        <f t="shared" si="14"/>
        <v>29</v>
      </c>
      <c r="K43" t="str">
        <f t="shared" si="15"/>
        <v>BOG</v>
      </c>
      <c r="L43" t="str">
        <f t="shared" si="16"/>
        <v>LOS</v>
      </c>
      <c r="M43" s="76" t="str">
        <f t="shared" si="17"/>
        <v>BOG/LOS</v>
      </c>
      <c r="N43" s="26">
        <f t="shared" si="18"/>
        <v>1256042</v>
      </c>
      <c r="O43" s="235">
        <f t="shared" si="19"/>
        <v>2196100</v>
      </c>
      <c r="P43" s="235">
        <f t="shared" si="13"/>
        <v>12298822</v>
      </c>
      <c r="Q43" s="206">
        <f t="shared" si="20"/>
        <v>3</v>
      </c>
      <c r="R43" s="206">
        <f t="shared" si="9"/>
        <v>13135980</v>
      </c>
      <c r="S43" s="206">
        <f t="shared" si="10"/>
        <v>0</v>
      </c>
      <c r="T43" s="206">
        <f t="shared" si="11"/>
        <v>0</v>
      </c>
      <c r="U43" s="206">
        <f t="shared" si="11"/>
        <v>102900</v>
      </c>
      <c r="V43" s="207">
        <f t="shared" si="12"/>
        <v>9.4875246244395292E-2</v>
      </c>
    </row>
    <row r="44" spans="1:26" x14ac:dyDescent="0.3">
      <c r="A44" t="s">
        <v>1480</v>
      </c>
      <c r="B44" t="s">
        <v>1500</v>
      </c>
      <c r="C44" t="s">
        <v>404</v>
      </c>
      <c r="D44" t="s">
        <v>404</v>
      </c>
      <c r="E44" t="s">
        <v>1481</v>
      </c>
      <c r="F44" t="s">
        <v>1501</v>
      </c>
      <c r="G44" s="77">
        <v>-2114977</v>
      </c>
      <c r="H44" t="s">
        <v>1502</v>
      </c>
      <c r="J44">
        <f t="shared" si="14"/>
        <v>29</v>
      </c>
      <c r="K44" t="str">
        <f t="shared" si="15"/>
        <v>BOG</v>
      </c>
      <c r="L44" t="str">
        <f t="shared" si="16"/>
        <v>NDJ</v>
      </c>
      <c r="M44" s="76" t="str">
        <f t="shared" si="17"/>
        <v>BOG/NDJ</v>
      </c>
      <c r="N44" s="26">
        <f t="shared" si="18"/>
        <v>1105917</v>
      </c>
      <c r="O44" s="235">
        <f t="shared" si="19"/>
        <v>2114977</v>
      </c>
      <c r="P44" s="235">
        <f t="shared" si="13"/>
        <v>11916353</v>
      </c>
      <c r="Q44" s="206">
        <f t="shared" si="20"/>
        <v>3</v>
      </c>
      <c r="R44" s="206">
        <f t="shared" si="9"/>
        <v>12825513</v>
      </c>
      <c r="S44" s="206">
        <f t="shared" si="10"/>
        <v>0</v>
      </c>
      <c r="T44" s="206">
        <f t="shared" si="11"/>
        <v>0</v>
      </c>
      <c r="U44" s="206">
        <f t="shared" si="11"/>
        <v>99900</v>
      </c>
      <c r="V44" s="207">
        <f t="shared" si="12"/>
        <v>8.5561443955407851E-2</v>
      </c>
    </row>
    <row r="45" spans="1:26" x14ac:dyDescent="0.3">
      <c r="A45" t="s">
        <v>1482</v>
      </c>
      <c r="B45" t="s">
        <v>1503</v>
      </c>
      <c r="C45" t="s">
        <v>404</v>
      </c>
      <c r="D45" t="s">
        <v>404</v>
      </c>
      <c r="E45" t="s">
        <v>1483</v>
      </c>
      <c r="F45" t="s">
        <v>1504</v>
      </c>
      <c r="G45" s="77">
        <v>-2193403</v>
      </c>
      <c r="H45" t="s">
        <v>1505</v>
      </c>
      <c r="J45" s="185">
        <f t="shared" ref="J45:J108" si="21">IFERROR(IF(FIND("Liste des vols",A45),LEN(A45),""),"")</f>
        <v>29</v>
      </c>
      <c r="K45" s="185" t="str">
        <f t="shared" ref="K45:K108" si="22">IF(J45="","",LEFT(A45,3))</f>
        <v>BOG</v>
      </c>
      <c r="L45" s="185" t="str">
        <f t="shared" ref="L45:L108" si="23">IF(K45&lt;&gt;"",MID(A45,7,3),"")</f>
        <v>LAD</v>
      </c>
      <c r="M45" s="76" t="str">
        <f t="shared" ref="M45:M108" si="24">IF(K45&lt;&gt;"",CONCATENATE(K45,"/",L45),"")</f>
        <v>BOG/LAD</v>
      </c>
      <c r="N45" s="26">
        <f t="shared" ref="N45:N108" si="25">IF(J45=29,VALUE(LEFT(F45,LEN(F45)-2)),0)</f>
        <v>1133789</v>
      </c>
      <c r="O45" s="235">
        <f t="shared" ref="O45:O108" si="26">IF(J45=29,-VALUE(G45),0)</f>
        <v>2193403</v>
      </c>
      <c r="P45" s="235">
        <f t="shared" ref="P45:P108" si="27">IF(J45=29,VALUE(LEFT(H45,LEN(H45)-2)),0)</f>
        <v>12319540</v>
      </c>
      <c r="Q45" s="206">
        <f t="shared" ref="Q45:Q108" si="28">IFERROR(VALUE(LEFT(RIGHT(A45,LEN(A45)-11),LEN(A45)-28)),0)</f>
        <v>3</v>
      </c>
      <c r="R45" s="206">
        <f t="shared" si="9"/>
        <v>13308930</v>
      </c>
      <c r="S45" s="206">
        <f t="shared" si="10"/>
        <v>0</v>
      </c>
      <c r="T45" s="206">
        <f t="shared" si="11"/>
        <v>0</v>
      </c>
      <c r="U45" s="206">
        <f t="shared" si="11"/>
        <v>70224</v>
      </c>
      <c r="V45" s="207">
        <f t="shared" si="12"/>
        <v>8.4742951609645872E-2</v>
      </c>
    </row>
    <row r="46" spans="1:26" x14ac:dyDescent="0.3">
      <c r="A46" t="s">
        <v>1295</v>
      </c>
      <c r="B46" t="s">
        <v>1506</v>
      </c>
      <c r="C46" t="s">
        <v>404</v>
      </c>
      <c r="D46" t="s">
        <v>404</v>
      </c>
      <c r="E46" t="s">
        <v>1296</v>
      </c>
      <c r="F46" t="s">
        <v>1507</v>
      </c>
      <c r="G46" s="77">
        <v>-2484114</v>
      </c>
      <c r="H46" t="s">
        <v>1508</v>
      </c>
      <c r="J46" s="185">
        <f t="shared" si="21"/>
        <v>29</v>
      </c>
      <c r="K46" s="185" t="str">
        <f t="shared" si="22"/>
        <v>BOM</v>
      </c>
      <c r="L46" s="185" t="str">
        <f t="shared" si="23"/>
        <v>ROB</v>
      </c>
      <c r="M46" s="76" t="str">
        <f t="shared" si="24"/>
        <v>BOM/ROB</v>
      </c>
      <c r="N46" s="26">
        <f t="shared" si="25"/>
        <v>1364198</v>
      </c>
      <c r="O46" s="235">
        <f t="shared" si="26"/>
        <v>2484114</v>
      </c>
      <c r="P46" s="235">
        <f t="shared" si="27"/>
        <v>13986695</v>
      </c>
      <c r="Q46" s="206">
        <f t="shared" si="28"/>
        <v>3</v>
      </c>
      <c r="R46" s="206">
        <f t="shared" si="9"/>
        <v>14985011</v>
      </c>
      <c r="S46" s="206">
        <f t="shared" si="10"/>
        <v>0</v>
      </c>
      <c r="T46" s="206">
        <f t="shared" si="11"/>
        <v>0</v>
      </c>
      <c r="U46" s="206">
        <f t="shared" si="11"/>
        <v>121600</v>
      </c>
      <c r="V46" s="207">
        <f t="shared" si="12"/>
        <v>9.0304701696495654E-2</v>
      </c>
    </row>
    <row r="47" spans="1:26" x14ac:dyDescent="0.3">
      <c r="A47" t="s">
        <v>1409</v>
      </c>
      <c r="B47" t="s">
        <v>1509</v>
      </c>
      <c r="C47" t="s">
        <v>1410</v>
      </c>
      <c r="D47" t="s">
        <v>404</v>
      </c>
      <c r="E47" t="s">
        <v>1411</v>
      </c>
      <c r="F47" t="s">
        <v>1510</v>
      </c>
      <c r="G47" s="77">
        <v>-2540496</v>
      </c>
      <c r="H47" t="s">
        <v>1511</v>
      </c>
      <c r="J47" s="185">
        <f t="shared" si="21"/>
        <v>29</v>
      </c>
      <c r="K47" s="185" t="str">
        <f t="shared" si="22"/>
        <v>WDH</v>
      </c>
      <c r="L47" s="185" t="str">
        <f t="shared" si="23"/>
        <v>DMK</v>
      </c>
      <c r="M47" s="76" t="str">
        <f t="shared" si="24"/>
        <v>WDH/DMK</v>
      </c>
      <c r="N47" s="26">
        <f t="shared" si="25"/>
        <v>1330462</v>
      </c>
      <c r="O47" s="235">
        <f t="shared" si="26"/>
        <v>2540496</v>
      </c>
      <c r="P47" s="235">
        <f t="shared" si="27"/>
        <v>13636498</v>
      </c>
      <c r="Q47" s="206">
        <f t="shared" si="28"/>
        <v>3</v>
      </c>
      <c r="R47" s="206">
        <f t="shared" si="9"/>
        <v>13762332</v>
      </c>
      <c r="S47" s="206">
        <f t="shared" si="10"/>
        <v>876200</v>
      </c>
      <c r="T47" s="206">
        <f t="shared" si="11"/>
        <v>0</v>
      </c>
      <c r="U47" s="206">
        <f t="shared" si="11"/>
        <v>208000</v>
      </c>
      <c r="V47" s="207">
        <f t="shared" si="12"/>
        <v>8.9614328787355868E-2</v>
      </c>
    </row>
    <row r="48" spans="1:26" x14ac:dyDescent="0.3">
      <c r="A48" t="s">
        <v>1412</v>
      </c>
      <c r="B48" t="s">
        <v>1512</v>
      </c>
      <c r="C48" t="s">
        <v>1413</v>
      </c>
      <c r="D48" t="s">
        <v>404</v>
      </c>
      <c r="E48" t="s">
        <v>1414</v>
      </c>
      <c r="F48" t="s">
        <v>1513</v>
      </c>
      <c r="G48" s="77">
        <v>-2558498</v>
      </c>
      <c r="H48" t="s">
        <v>1514</v>
      </c>
      <c r="J48" s="185">
        <f t="shared" si="21"/>
        <v>29</v>
      </c>
      <c r="K48" s="185" t="str">
        <f t="shared" si="22"/>
        <v>WDH</v>
      </c>
      <c r="L48" s="185" t="str">
        <f t="shared" si="23"/>
        <v>BKK</v>
      </c>
      <c r="M48" s="76" t="str">
        <f t="shared" si="24"/>
        <v>WDH/BKK</v>
      </c>
      <c r="N48" s="26">
        <f t="shared" si="25"/>
        <v>1233553</v>
      </c>
      <c r="O48" s="235">
        <f t="shared" si="26"/>
        <v>2558498</v>
      </c>
      <c r="P48" s="235">
        <f t="shared" si="27"/>
        <v>13593968</v>
      </c>
      <c r="Q48" s="206">
        <f t="shared" si="28"/>
        <v>3</v>
      </c>
      <c r="R48" s="206">
        <f t="shared" si="9"/>
        <v>14007045</v>
      </c>
      <c r="S48" s="206">
        <f t="shared" si="10"/>
        <v>762468</v>
      </c>
      <c r="T48" s="206">
        <f t="shared" si="11"/>
        <v>0</v>
      </c>
      <c r="U48" s="206">
        <f t="shared" si="11"/>
        <v>149400</v>
      </c>
      <c r="V48" s="207">
        <f t="shared" si="12"/>
        <v>8.2683838963334658E-2</v>
      </c>
    </row>
    <row r="49" spans="1:22" x14ac:dyDescent="0.3">
      <c r="A49" t="s">
        <v>1389</v>
      </c>
      <c r="B49" t="s">
        <v>1515</v>
      </c>
      <c r="C49" t="s">
        <v>404</v>
      </c>
      <c r="D49" t="s">
        <v>404</v>
      </c>
      <c r="E49" t="s">
        <v>1390</v>
      </c>
      <c r="F49" t="s">
        <v>1516</v>
      </c>
      <c r="G49" s="77">
        <v>-2648583</v>
      </c>
      <c r="H49" t="s">
        <v>1517</v>
      </c>
      <c r="J49" s="185">
        <f t="shared" si="21"/>
        <v>29</v>
      </c>
      <c r="K49" s="185" t="str">
        <f t="shared" si="22"/>
        <v>DEL</v>
      </c>
      <c r="L49" s="185" t="str">
        <f t="shared" si="23"/>
        <v>CPT</v>
      </c>
      <c r="M49" s="76" t="str">
        <f t="shared" si="24"/>
        <v>DEL/CPT</v>
      </c>
      <c r="N49" s="26">
        <f t="shared" si="25"/>
        <v>1382384</v>
      </c>
      <c r="O49" s="235">
        <f t="shared" si="26"/>
        <v>2648583</v>
      </c>
      <c r="P49" s="235">
        <f t="shared" si="27"/>
        <v>14880495</v>
      </c>
      <c r="Q49" s="206">
        <f t="shared" si="28"/>
        <v>3</v>
      </c>
      <c r="R49" s="206">
        <f t="shared" si="9"/>
        <v>16034694</v>
      </c>
      <c r="S49" s="206">
        <f t="shared" si="10"/>
        <v>0</v>
      </c>
      <c r="T49" s="206">
        <f t="shared" si="11"/>
        <v>0</v>
      </c>
      <c r="U49" s="206">
        <f t="shared" si="11"/>
        <v>112000</v>
      </c>
      <c r="V49" s="207">
        <f t="shared" si="12"/>
        <v>8.5614058209067437E-2</v>
      </c>
    </row>
    <row r="50" spans="1:22" x14ac:dyDescent="0.3">
      <c r="A50" t="s">
        <v>1392</v>
      </c>
      <c r="B50" t="s">
        <v>1518</v>
      </c>
      <c r="C50" t="s">
        <v>404</v>
      </c>
      <c r="D50" t="s">
        <v>404</v>
      </c>
      <c r="E50" t="s">
        <v>1390</v>
      </c>
      <c r="F50" t="s">
        <v>1519</v>
      </c>
      <c r="G50" s="77">
        <v>-2650089</v>
      </c>
      <c r="H50" t="s">
        <v>1520</v>
      </c>
      <c r="J50" s="185">
        <f t="shared" si="21"/>
        <v>29</v>
      </c>
      <c r="K50" s="185" t="str">
        <f t="shared" si="22"/>
        <v>DEL</v>
      </c>
      <c r="L50" s="185" t="str">
        <f t="shared" si="23"/>
        <v>NKC</v>
      </c>
      <c r="M50" s="76" t="str">
        <f t="shared" si="24"/>
        <v>DEL/NKC</v>
      </c>
      <c r="N50" s="26">
        <f t="shared" si="25"/>
        <v>1384785</v>
      </c>
      <c r="O50" s="235">
        <f t="shared" si="26"/>
        <v>2650089</v>
      </c>
      <c r="P50" s="235">
        <f t="shared" si="27"/>
        <v>15270358</v>
      </c>
      <c r="Q50" s="206">
        <f t="shared" si="28"/>
        <v>3</v>
      </c>
      <c r="R50" s="206">
        <f t="shared" si="9"/>
        <v>16423662</v>
      </c>
      <c r="S50" s="206">
        <f t="shared" si="10"/>
        <v>0</v>
      </c>
      <c r="T50" s="206">
        <f t="shared" si="11"/>
        <v>0</v>
      </c>
      <c r="U50" s="206">
        <f t="shared" si="11"/>
        <v>112000</v>
      </c>
      <c r="V50" s="207">
        <f t="shared" si="12"/>
        <v>8.3745361993973991E-2</v>
      </c>
    </row>
    <row r="51" spans="1:22" x14ac:dyDescent="0.3">
      <c r="A51" t="s">
        <v>1334</v>
      </c>
      <c r="B51" t="s">
        <v>1521</v>
      </c>
      <c r="C51" t="s">
        <v>404</v>
      </c>
      <c r="D51" t="s">
        <v>404</v>
      </c>
      <c r="E51" t="s">
        <v>1335</v>
      </c>
      <c r="F51" t="s">
        <v>1522</v>
      </c>
      <c r="G51" s="77">
        <v>-2606201</v>
      </c>
      <c r="H51" t="s">
        <v>1523</v>
      </c>
      <c r="J51" s="185">
        <f t="shared" si="21"/>
        <v>29</v>
      </c>
      <c r="K51" s="185" t="str">
        <f t="shared" si="22"/>
        <v>DEL</v>
      </c>
      <c r="L51" s="185" t="str">
        <f t="shared" si="23"/>
        <v>ROB</v>
      </c>
      <c r="M51" s="76" t="str">
        <f t="shared" si="24"/>
        <v>DEL/ROB</v>
      </c>
      <c r="N51" s="26">
        <f t="shared" si="25"/>
        <v>1307298</v>
      </c>
      <c r="O51" s="235">
        <f t="shared" si="26"/>
        <v>2606201</v>
      </c>
      <c r="P51" s="235">
        <f t="shared" si="27"/>
        <v>14451165</v>
      </c>
      <c r="Q51" s="206">
        <f t="shared" si="28"/>
        <v>3</v>
      </c>
      <c r="R51" s="206">
        <f t="shared" si="9"/>
        <v>15646068</v>
      </c>
      <c r="S51" s="206">
        <f t="shared" si="10"/>
        <v>0</v>
      </c>
      <c r="T51" s="206">
        <f t="shared" si="11"/>
        <v>0</v>
      </c>
      <c r="U51" s="206">
        <f t="shared" si="11"/>
        <v>104000</v>
      </c>
      <c r="V51" s="207">
        <f t="shared" si="12"/>
        <v>8.3002689258230511E-2</v>
      </c>
    </row>
    <row r="52" spans="1:22" x14ac:dyDescent="0.3">
      <c r="A52" t="s">
        <v>1298</v>
      </c>
      <c r="B52" t="s">
        <v>1299</v>
      </c>
      <c r="C52" t="s">
        <v>404</v>
      </c>
      <c r="D52" t="s">
        <v>404</v>
      </c>
      <c r="E52" t="s">
        <v>1300</v>
      </c>
      <c r="F52" t="s">
        <v>1301</v>
      </c>
      <c r="G52" s="77">
        <v>-2720883</v>
      </c>
      <c r="H52" t="s">
        <v>1302</v>
      </c>
      <c r="J52" s="185">
        <f t="shared" si="21"/>
        <v>29</v>
      </c>
      <c r="K52" s="185" t="str">
        <f t="shared" si="22"/>
        <v>DEL</v>
      </c>
      <c r="L52" s="185" t="str">
        <f t="shared" si="23"/>
        <v>CKY</v>
      </c>
      <c r="M52" s="76" t="str">
        <f t="shared" si="24"/>
        <v>DEL/CKY</v>
      </c>
      <c r="N52" s="26">
        <f t="shared" si="25"/>
        <v>1317408</v>
      </c>
      <c r="O52" s="235">
        <f t="shared" si="26"/>
        <v>2720883</v>
      </c>
      <c r="P52" s="235">
        <f t="shared" si="27"/>
        <v>15054771</v>
      </c>
      <c r="Q52" s="206">
        <f t="shared" si="28"/>
        <v>3</v>
      </c>
      <c r="R52" s="206">
        <f t="shared" si="9"/>
        <v>16362246</v>
      </c>
      <c r="S52" s="206">
        <f t="shared" si="10"/>
        <v>0</v>
      </c>
      <c r="T52" s="206">
        <f t="shared" si="11"/>
        <v>0</v>
      </c>
      <c r="U52" s="206">
        <f t="shared" si="11"/>
        <v>96000</v>
      </c>
      <c r="V52" s="207">
        <f t="shared" si="12"/>
        <v>8.0045467785570826E-2</v>
      </c>
    </row>
    <row r="53" spans="1:22" x14ac:dyDescent="0.3">
      <c r="A53" t="s">
        <v>1337</v>
      </c>
      <c r="B53" t="s">
        <v>1524</v>
      </c>
      <c r="C53" t="s">
        <v>404</v>
      </c>
      <c r="D53" t="s">
        <v>404</v>
      </c>
      <c r="E53" t="s">
        <v>1338</v>
      </c>
      <c r="F53" t="s">
        <v>1525</v>
      </c>
      <c r="G53" s="77">
        <v>-2724616</v>
      </c>
      <c r="H53" t="s">
        <v>1526</v>
      </c>
      <c r="J53" s="185">
        <f t="shared" si="21"/>
        <v>29</v>
      </c>
      <c r="K53" s="185" t="str">
        <f t="shared" si="22"/>
        <v>DEL</v>
      </c>
      <c r="L53" s="185" t="str">
        <f t="shared" si="23"/>
        <v>FNA</v>
      </c>
      <c r="M53" s="76" t="str">
        <f t="shared" si="24"/>
        <v>DEL/FNA</v>
      </c>
      <c r="N53" s="26">
        <f t="shared" si="25"/>
        <v>1415097</v>
      </c>
      <c r="O53" s="235">
        <f t="shared" si="26"/>
        <v>2724616</v>
      </c>
      <c r="P53" s="235">
        <f t="shared" si="27"/>
        <v>15385447</v>
      </c>
      <c r="Q53" s="206">
        <f t="shared" si="28"/>
        <v>3</v>
      </c>
      <c r="R53" s="206">
        <f t="shared" si="9"/>
        <v>16566966</v>
      </c>
      <c r="S53" s="206">
        <f t="shared" si="10"/>
        <v>0</v>
      </c>
      <c r="T53" s="206">
        <f t="shared" si="11"/>
        <v>0</v>
      </c>
      <c r="U53" s="206">
        <f t="shared" si="11"/>
        <v>128000</v>
      </c>
      <c r="V53" s="207">
        <f t="shared" si="12"/>
        <v>8.4761897688201346E-2</v>
      </c>
    </row>
    <row r="54" spans="1:22" x14ac:dyDescent="0.3">
      <c r="A54" t="s">
        <v>1303</v>
      </c>
      <c r="B54" t="s">
        <v>1527</v>
      </c>
      <c r="C54" t="s">
        <v>404</v>
      </c>
      <c r="D54" t="s">
        <v>404</v>
      </c>
      <c r="E54" t="s">
        <v>1304</v>
      </c>
      <c r="F54" t="s">
        <v>1528</v>
      </c>
      <c r="G54" s="77">
        <v>-2633133</v>
      </c>
      <c r="H54" t="s">
        <v>1529</v>
      </c>
      <c r="J54" s="185">
        <f t="shared" si="21"/>
        <v>29</v>
      </c>
      <c r="K54" s="185" t="str">
        <f t="shared" si="22"/>
        <v>DEL</v>
      </c>
      <c r="L54" s="185" t="str">
        <f t="shared" si="23"/>
        <v>OXB</v>
      </c>
      <c r="M54" s="76" t="str">
        <f t="shared" si="24"/>
        <v>DEL/OXB</v>
      </c>
      <c r="N54" s="26">
        <f t="shared" si="25"/>
        <v>1378999</v>
      </c>
      <c r="O54" s="235">
        <f t="shared" si="26"/>
        <v>2633133</v>
      </c>
      <c r="P54" s="235">
        <f t="shared" si="27"/>
        <v>14621822</v>
      </c>
      <c r="Q54" s="206">
        <f t="shared" si="28"/>
        <v>3</v>
      </c>
      <c r="R54" s="206">
        <f t="shared" si="9"/>
        <v>15739956</v>
      </c>
      <c r="S54" s="206">
        <f t="shared" si="10"/>
        <v>0</v>
      </c>
      <c r="T54" s="206">
        <f t="shared" si="11"/>
        <v>0</v>
      </c>
      <c r="U54" s="206">
        <f t="shared" si="11"/>
        <v>136000</v>
      </c>
      <c r="V54" s="207">
        <f t="shared" si="12"/>
        <v>8.6860847938857982E-2</v>
      </c>
    </row>
    <row r="55" spans="1:22" x14ac:dyDescent="0.3">
      <c r="A55" t="s">
        <v>1306</v>
      </c>
      <c r="B55" t="s">
        <v>1530</v>
      </c>
      <c r="C55" t="s">
        <v>404</v>
      </c>
      <c r="D55" t="s">
        <v>404</v>
      </c>
      <c r="E55" t="s">
        <v>1307</v>
      </c>
      <c r="F55" t="s">
        <v>1531</v>
      </c>
      <c r="G55" s="77">
        <v>-2754195</v>
      </c>
      <c r="H55" t="s">
        <v>1532</v>
      </c>
      <c r="J55" s="185">
        <f t="shared" si="21"/>
        <v>29</v>
      </c>
      <c r="K55" s="185" t="str">
        <f t="shared" si="22"/>
        <v>DEL</v>
      </c>
      <c r="L55" s="185" t="str">
        <f t="shared" si="23"/>
        <v>DKR</v>
      </c>
      <c r="M55" s="76" t="str">
        <f t="shared" si="24"/>
        <v>DEL/DKR</v>
      </c>
      <c r="N55" s="26">
        <f t="shared" si="25"/>
        <v>1418976</v>
      </c>
      <c r="O55" s="235">
        <f t="shared" si="26"/>
        <v>2754195</v>
      </c>
      <c r="P55" s="235">
        <f t="shared" si="27"/>
        <v>15771633</v>
      </c>
      <c r="Q55" s="206">
        <f t="shared" si="28"/>
        <v>3</v>
      </c>
      <c r="R55" s="206">
        <f t="shared" si="9"/>
        <v>16961052</v>
      </c>
      <c r="S55" s="206">
        <f t="shared" si="10"/>
        <v>0</v>
      </c>
      <c r="T55" s="206">
        <f t="shared" si="11"/>
        <v>0</v>
      </c>
      <c r="U55" s="206">
        <f t="shared" si="11"/>
        <v>145800</v>
      </c>
      <c r="V55" s="207">
        <f t="shared" si="12"/>
        <v>8.2947815296467164E-2</v>
      </c>
    </row>
    <row r="56" spans="1:22" x14ac:dyDescent="0.3">
      <c r="A56" t="s">
        <v>1309</v>
      </c>
      <c r="B56" t="s">
        <v>1533</v>
      </c>
      <c r="C56" t="s">
        <v>404</v>
      </c>
      <c r="D56" t="s">
        <v>404</v>
      </c>
      <c r="E56" t="s">
        <v>1310</v>
      </c>
      <c r="F56" t="s">
        <v>1534</v>
      </c>
      <c r="G56" s="77">
        <v>-2750082</v>
      </c>
      <c r="H56" t="s">
        <v>1535</v>
      </c>
      <c r="J56" s="185">
        <f t="shared" si="21"/>
        <v>29</v>
      </c>
      <c r="K56" s="185" t="str">
        <f t="shared" si="22"/>
        <v>DEL</v>
      </c>
      <c r="L56" s="185" t="str">
        <f t="shared" si="23"/>
        <v>BJL</v>
      </c>
      <c r="M56" s="76" t="str">
        <f t="shared" si="24"/>
        <v>DEL/BJL</v>
      </c>
      <c r="N56" s="26">
        <f t="shared" si="25"/>
        <v>1418769</v>
      </c>
      <c r="O56" s="235">
        <f t="shared" si="26"/>
        <v>2750082</v>
      </c>
      <c r="P56" s="235">
        <f t="shared" si="27"/>
        <v>15314355</v>
      </c>
      <c r="Q56" s="206">
        <f t="shared" si="28"/>
        <v>3</v>
      </c>
      <c r="R56" s="206">
        <f t="shared" si="9"/>
        <v>16510668</v>
      </c>
      <c r="S56" s="206">
        <f t="shared" si="10"/>
        <v>0</v>
      </c>
      <c r="T56" s="206">
        <f t="shared" si="11"/>
        <v>0</v>
      </c>
      <c r="U56" s="206">
        <f t="shared" si="11"/>
        <v>135000</v>
      </c>
      <c r="V56" s="207">
        <f t="shared" si="12"/>
        <v>8.5233527425874409E-2</v>
      </c>
    </row>
    <row r="57" spans="1:22" x14ac:dyDescent="0.3">
      <c r="A57" t="s">
        <v>1312</v>
      </c>
      <c r="B57" t="s">
        <v>1313</v>
      </c>
      <c r="C57" t="s">
        <v>404</v>
      </c>
      <c r="D57" t="s">
        <v>404</v>
      </c>
      <c r="E57" t="s">
        <v>1314</v>
      </c>
      <c r="F57" t="s">
        <v>1315</v>
      </c>
      <c r="G57" s="77">
        <v>-2627085</v>
      </c>
      <c r="H57" t="s">
        <v>1316</v>
      </c>
      <c r="J57" s="185">
        <f t="shared" si="21"/>
        <v>29</v>
      </c>
      <c r="K57" s="185" t="str">
        <f t="shared" si="22"/>
        <v>BOM</v>
      </c>
      <c r="L57" s="185" t="str">
        <f t="shared" si="23"/>
        <v>FNA</v>
      </c>
      <c r="M57" s="76" t="str">
        <f t="shared" si="24"/>
        <v>BOM/FNA</v>
      </c>
      <c r="N57" s="26">
        <f t="shared" si="25"/>
        <v>1403121</v>
      </c>
      <c r="O57" s="235">
        <f t="shared" si="26"/>
        <v>2627085</v>
      </c>
      <c r="P57" s="235">
        <f t="shared" si="27"/>
        <v>14954448</v>
      </c>
      <c r="Q57" s="206">
        <f t="shared" si="28"/>
        <v>3</v>
      </c>
      <c r="R57" s="206">
        <f t="shared" si="9"/>
        <v>16039812</v>
      </c>
      <c r="S57" s="206">
        <f t="shared" si="10"/>
        <v>0</v>
      </c>
      <c r="T57" s="206">
        <f t="shared" si="11"/>
        <v>0</v>
      </c>
      <c r="U57" s="206">
        <f t="shared" si="11"/>
        <v>138600</v>
      </c>
      <c r="V57" s="207">
        <f t="shared" si="12"/>
        <v>8.6727980471754576E-2</v>
      </c>
    </row>
    <row r="58" spans="1:22" x14ac:dyDescent="0.3">
      <c r="A58" t="s">
        <v>1317</v>
      </c>
      <c r="B58" t="s">
        <v>1536</v>
      </c>
      <c r="C58" t="s">
        <v>404</v>
      </c>
      <c r="D58" t="s">
        <v>404</v>
      </c>
      <c r="E58" t="s">
        <v>1318</v>
      </c>
      <c r="F58" t="s">
        <v>1537</v>
      </c>
      <c r="G58" s="77">
        <v>-2589925</v>
      </c>
      <c r="H58" t="s">
        <v>1538</v>
      </c>
      <c r="J58" s="185">
        <f t="shared" si="21"/>
        <v>29</v>
      </c>
      <c r="K58" s="185" t="str">
        <f t="shared" si="22"/>
        <v>BOM</v>
      </c>
      <c r="L58" s="185" t="str">
        <f t="shared" si="23"/>
        <v>NKC</v>
      </c>
      <c r="M58" s="76" t="str">
        <f t="shared" si="24"/>
        <v>BOM/NKC</v>
      </c>
      <c r="N58" s="26">
        <f t="shared" si="25"/>
        <v>1306323</v>
      </c>
      <c r="O58" s="235">
        <f t="shared" si="26"/>
        <v>2589925</v>
      </c>
      <c r="P58" s="235">
        <f t="shared" si="27"/>
        <v>15030405</v>
      </c>
      <c r="Q58" s="206">
        <f t="shared" si="28"/>
        <v>3</v>
      </c>
      <c r="R58" s="206">
        <f t="shared" si="9"/>
        <v>16226007</v>
      </c>
      <c r="S58" s="206">
        <f t="shared" si="10"/>
        <v>0</v>
      </c>
      <c r="T58" s="206">
        <f t="shared" si="11"/>
        <v>0</v>
      </c>
      <c r="U58" s="206">
        <f t="shared" si="11"/>
        <v>88000</v>
      </c>
      <c r="V58" s="207">
        <f t="shared" si="12"/>
        <v>8.0073705987744145E-2</v>
      </c>
    </row>
    <row r="59" spans="1:22" x14ac:dyDescent="0.3">
      <c r="A59" t="s">
        <v>1320</v>
      </c>
      <c r="B59" t="s">
        <v>1539</v>
      </c>
      <c r="C59" t="s">
        <v>404</v>
      </c>
      <c r="D59" t="s">
        <v>404</v>
      </c>
      <c r="E59" t="s">
        <v>1321</v>
      </c>
      <c r="F59" t="s">
        <v>1540</v>
      </c>
      <c r="G59" s="77">
        <v>-2673147</v>
      </c>
      <c r="H59" t="s">
        <v>1541</v>
      </c>
      <c r="J59" s="185">
        <f t="shared" si="21"/>
        <v>29</v>
      </c>
      <c r="K59" s="185" t="str">
        <f t="shared" si="22"/>
        <v>BOM</v>
      </c>
      <c r="L59" s="185" t="str">
        <f t="shared" si="23"/>
        <v>BJL</v>
      </c>
      <c r="M59" s="76" t="str">
        <f t="shared" si="24"/>
        <v>BOM/BJL</v>
      </c>
      <c r="N59" s="26">
        <f t="shared" si="25"/>
        <v>1410775</v>
      </c>
      <c r="O59" s="235">
        <f t="shared" si="26"/>
        <v>2673147</v>
      </c>
      <c r="P59" s="235">
        <f t="shared" si="27"/>
        <v>15046765</v>
      </c>
      <c r="Q59" s="206">
        <f t="shared" si="28"/>
        <v>3</v>
      </c>
      <c r="R59" s="206">
        <f t="shared" si="9"/>
        <v>16174837</v>
      </c>
      <c r="S59" s="206">
        <f t="shared" si="10"/>
        <v>0</v>
      </c>
      <c r="T59" s="206">
        <f t="shared" si="11"/>
        <v>0</v>
      </c>
      <c r="U59" s="206">
        <f t="shared" si="11"/>
        <v>134300</v>
      </c>
      <c r="V59" s="207">
        <f t="shared" si="12"/>
        <v>8.6502124545277906E-2</v>
      </c>
    </row>
    <row r="60" spans="1:22" x14ac:dyDescent="0.3">
      <c r="A60" s="204" t="s">
        <v>1323</v>
      </c>
      <c r="B60" s="204" t="s">
        <v>1542</v>
      </c>
      <c r="C60" s="204" t="s">
        <v>404</v>
      </c>
      <c r="D60" s="204" t="s">
        <v>404</v>
      </c>
      <c r="E60" s="204" t="s">
        <v>1314</v>
      </c>
      <c r="F60" s="204" t="s">
        <v>1543</v>
      </c>
      <c r="G60" s="77">
        <v>-2640528</v>
      </c>
      <c r="H60" s="204" t="s">
        <v>1544</v>
      </c>
      <c r="J60" s="185">
        <f t="shared" si="21"/>
        <v>29</v>
      </c>
      <c r="K60" s="185" t="str">
        <f t="shared" si="22"/>
        <v>BOM</v>
      </c>
      <c r="L60" s="185" t="str">
        <f t="shared" si="23"/>
        <v>CKY</v>
      </c>
      <c r="M60" s="76" t="str">
        <f t="shared" si="24"/>
        <v>BOM/CKY</v>
      </c>
      <c r="N60" s="26">
        <f t="shared" si="25"/>
        <v>1403538</v>
      </c>
      <c r="O60" s="235">
        <f t="shared" si="26"/>
        <v>2640528</v>
      </c>
      <c r="P60" s="235">
        <f t="shared" si="27"/>
        <v>14782764</v>
      </c>
      <c r="Q60" s="206">
        <f t="shared" si="28"/>
        <v>3</v>
      </c>
      <c r="R60" s="206">
        <f t="shared" si="9"/>
        <v>15881154</v>
      </c>
      <c r="S60" s="206">
        <f t="shared" si="10"/>
        <v>0</v>
      </c>
      <c r="T60" s="206">
        <f t="shared" si="11"/>
        <v>0</v>
      </c>
      <c r="U60" s="206">
        <f t="shared" si="11"/>
        <v>138600</v>
      </c>
      <c r="V60" s="207">
        <f t="shared" si="12"/>
        <v>8.7612955854378283E-2</v>
      </c>
    </row>
    <row r="61" spans="1:22" x14ac:dyDescent="0.3">
      <c r="A61" s="1" t="s">
        <v>1228</v>
      </c>
      <c r="B61" s="204" t="s">
        <v>1229</v>
      </c>
      <c r="C61" s="204" t="s">
        <v>1230</v>
      </c>
      <c r="D61" s="204" t="s">
        <v>1231</v>
      </c>
      <c r="E61" s="204" t="s">
        <v>1232</v>
      </c>
      <c r="F61" s="204" t="s">
        <v>1233</v>
      </c>
      <c r="G61" s="77">
        <v>-2515163</v>
      </c>
      <c r="H61" s="204" t="s">
        <v>1234</v>
      </c>
      <c r="J61" s="185">
        <f t="shared" si="21"/>
        <v>29</v>
      </c>
      <c r="K61" s="185" t="str">
        <f t="shared" si="22"/>
        <v>BOM</v>
      </c>
      <c r="L61" s="185" t="str">
        <f t="shared" si="23"/>
        <v>OXB</v>
      </c>
      <c r="M61" s="76" t="str">
        <f t="shared" si="24"/>
        <v>BOM/OXB</v>
      </c>
      <c r="N61" s="26">
        <f t="shared" si="25"/>
        <v>1249758</v>
      </c>
      <c r="O61" s="235">
        <f t="shared" si="26"/>
        <v>2515163</v>
      </c>
      <c r="P61" s="235">
        <f t="shared" si="27"/>
        <v>13938289</v>
      </c>
      <c r="Q61" s="206">
        <f t="shared" si="28"/>
        <v>3</v>
      </c>
      <c r="R61" s="206">
        <f t="shared" si="9"/>
        <v>14531088</v>
      </c>
      <c r="S61" s="206">
        <f t="shared" si="10"/>
        <v>356286</v>
      </c>
      <c r="T61" s="206">
        <f t="shared" si="11"/>
        <v>24732</v>
      </c>
      <c r="U61" s="206">
        <f t="shared" si="11"/>
        <v>291588</v>
      </c>
      <c r="V61" s="207">
        <f t="shared" si="12"/>
        <v>8.2200944060042247E-2</v>
      </c>
    </row>
    <row r="62" spans="1:22" x14ac:dyDescent="0.3">
      <c r="A62" s="204" t="s">
        <v>1216</v>
      </c>
      <c r="B62" s="204" t="s">
        <v>1217</v>
      </c>
      <c r="C62" s="204" t="s">
        <v>1545</v>
      </c>
      <c r="D62" s="204" t="s">
        <v>1218</v>
      </c>
      <c r="E62" s="204" t="s">
        <v>1219</v>
      </c>
      <c r="F62" s="204" t="s">
        <v>1546</v>
      </c>
      <c r="G62" s="77">
        <v>-3304801</v>
      </c>
      <c r="H62" s="204" t="s">
        <v>1547</v>
      </c>
      <c r="J62" s="185">
        <f t="shared" si="21"/>
        <v>29</v>
      </c>
      <c r="K62" s="185" t="str">
        <f t="shared" si="22"/>
        <v>BOM</v>
      </c>
      <c r="L62" s="185" t="str">
        <f t="shared" si="23"/>
        <v>DKR</v>
      </c>
      <c r="M62" s="76" t="str">
        <f t="shared" si="24"/>
        <v>BOM/DKR</v>
      </c>
      <c r="N62" s="26">
        <f t="shared" si="25"/>
        <v>1737509</v>
      </c>
      <c r="O62" s="235">
        <f t="shared" si="26"/>
        <v>3304801</v>
      </c>
      <c r="P62" s="235">
        <f t="shared" si="27"/>
        <v>15943166</v>
      </c>
      <c r="Q62" s="206">
        <f t="shared" si="28"/>
        <v>4</v>
      </c>
      <c r="R62" s="206">
        <f t="shared" si="9"/>
        <v>16524660</v>
      </c>
      <c r="S62" s="206">
        <f t="shared" si="10"/>
        <v>536850</v>
      </c>
      <c r="T62" s="206">
        <f t="shared" si="11"/>
        <v>47808</v>
      </c>
      <c r="U62" s="206">
        <f t="shared" si="11"/>
        <v>401140</v>
      </c>
      <c r="V62" s="207">
        <f t="shared" si="12"/>
        <v>9.9226930557727272E-2</v>
      </c>
    </row>
    <row r="63" spans="1:22" x14ac:dyDescent="0.3">
      <c r="A63" s="1" t="s">
        <v>1423</v>
      </c>
      <c r="B63" s="204" t="s">
        <v>1424</v>
      </c>
      <c r="C63" s="204" t="s">
        <v>404</v>
      </c>
      <c r="D63" s="204" t="s">
        <v>404</v>
      </c>
      <c r="E63" s="204" t="s">
        <v>1425</v>
      </c>
      <c r="F63" s="204" t="s">
        <v>1426</v>
      </c>
      <c r="G63" s="77">
        <v>-2577354</v>
      </c>
      <c r="H63" s="204" t="s">
        <v>1427</v>
      </c>
      <c r="J63" s="185">
        <f t="shared" si="21"/>
        <v>29</v>
      </c>
      <c r="K63" s="185" t="str">
        <f t="shared" si="22"/>
        <v>LOS</v>
      </c>
      <c r="L63" s="185" t="str">
        <f t="shared" si="23"/>
        <v>CCU</v>
      </c>
      <c r="M63" s="76" t="str">
        <f t="shared" si="24"/>
        <v>LOS/CCU</v>
      </c>
      <c r="N63" s="26">
        <f t="shared" si="25"/>
        <v>1400598</v>
      </c>
      <c r="O63" s="235">
        <f t="shared" si="26"/>
        <v>2577354</v>
      </c>
      <c r="P63" s="235">
        <f t="shared" si="27"/>
        <v>14779850</v>
      </c>
      <c r="Q63" s="206">
        <f t="shared" si="28"/>
        <v>3</v>
      </c>
      <c r="R63" s="206">
        <f t="shared" si="9"/>
        <v>15824856</v>
      </c>
      <c r="S63" s="206">
        <f t="shared" si="10"/>
        <v>0</v>
      </c>
      <c r="T63" s="206">
        <f t="shared" si="11"/>
        <v>0</v>
      </c>
      <c r="U63" s="206">
        <f t="shared" si="11"/>
        <v>131750</v>
      </c>
      <c r="V63" s="207">
        <f t="shared" si="12"/>
        <v>8.7775432946078882E-2</v>
      </c>
    </row>
    <row r="64" spans="1:22" x14ac:dyDescent="0.3">
      <c r="A64" s="204" t="s">
        <v>1142</v>
      </c>
      <c r="B64" s="204"/>
      <c r="C64" s="204"/>
      <c r="D64" s="204"/>
      <c r="E64" s="204"/>
      <c r="F64" s="204"/>
      <c r="G64" s="77"/>
      <c r="H64" s="204"/>
      <c r="J64" s="185" t="str">
        <f t="shared" si="21"/>
        <v/>
      </c>
      <c r="K64" s="185" t="str">
        <f t="shared" si="22"/>
        <v/>
      </c>
      <c r="L64" s="185" t="str">
        <f t="shared" si="23"/>
        <v/>
      </c>
      <c r="M64" s="76" t="str">
        <f t="shared" si="24"/>
        <v/>
      </c>
      <c r="N64" s="26">
        <f t="shared" si="25"/>
        <v>0</v>
      </c>
      <c r="O64" s="235">
        <f t="shared" si="26"/>
        <v>0</v>
      </c>
      <c r="P64" s="235">
        <f t="shared" si="27"/>
        <v>0</v>
      </c>
      <c r="Q64" s="206">
        <f t="shared" si="28"/>
        <v>0</v>
      </c>
      <c r="R64" s="206">
        <f t="shared" si="9"/>
        <v>0</v>
      </c>
      <c r="S64" s="206">
        <f t="shared" si="10"/>
        <v>0</v>
      </c>
      <c r="T64" s="206">
        <f t="shared" si="11"/>
        <v>0</v>
      </c>
      <c r="U64" s="206">
        <f t="shared" si="11"/>
        <v>0</v>
      </c>
      <c r="V64" s="207" t="str">
        <f t="shared" si="12"/>
        <v/>
      </c>
    </row>
    <row r="65" spans="1:22" x14ac:dyDescent="0.3">
      <c r="A65" s="1"/>
      <c r="B65" s="204"/>
      <c r="C65" s="204"/>
      <c r="D65" s="204"/>
      <c r="E65" s="204"/>
      <c r="F65" s="204"/>
      <c r="G65" s="77"/>
      <c r="H65" s="204"/>
      <c r="J65" s="185" t="str">
        <f t="shared" si="21"/>
        <v/>
      </c>
      <c r="K65" s="185" t="str">
        <f t="shared" si="22"/>
        <v/>
      </c>
      <c r="L65" s="185" t="str">
        <f t="shared" si="23"/>
        <v/>
      </c>
      <c r="M65" s="76" t="str">
        <f t="shared" si="24"/>
        <v/>
      </c>
      <c r="N65" s="26">
        <f t="shared" si="25"/>
        <v>0</v>
      </c>
      <c r="O65" s="235">
        <f t="shared" si="26"/>
        <v>0</v>
      </c>
      <c r="P65" s="235">
        <f t="shared" si="27"/>
        <v>0</v>
      </c>
      <c r="Q65" s="206">
        <f t="shared" si="28"/>
        <v>0</v>
      </c>
      <c r="R65" s="206">
        <f t="shared" si="9"/>
        <v>0</v>
      </c>
      <c r="S65" s="206">
        <f t="shared" si="10"/>
        <v>0</v>
      </c>
      <c r="T65" s="206">
        <f t="shared" si="11"/>
        <v>0</v>
      </c>
      <c r="U65" s="206">
        <f t="shared" si="11"/>
        <v>0</v>
      </c>
      <c r="V65" s="207" t="str">
        <f t="shared" si="12"/>
        <v/>
      </c>
    </row>
    <row r="66" spans="1:22" x14ac:dyDescent="0.3">
      <c r="A66" s="204" t="s">
        <v>405</v>
      </c>
      <c r="B66" s="204"/>
      <c r="C66" s="204"/>
      <c r="D66" s="204"/>
      <c r="E66" s="204"/>
      <c r="F66" s="204"/>
      <c r="G66" s="77"/>
      <c r="H66" s="204"/>
      <c r="J66" s="185" t="str">
        <f t="shared" si="21"/>
        <v/>
      </c>
      <c r="K66" s="185" t="str">
        <f t="shared" si="22"/>
        <v/>
      </c>
      <c r="L66" s="185" t="str">
        <f t="shared" si="23"/>
        <v/>
      </c>
      <c r="M66" s="76" t="str">
        <f t="shared" si="24"/>
        <v/>
      </c>
      <c r="N66" s="26">
        <f t="shared" si="25"/>
        <v>0</v>
      </c>
      <c r="O66" s="235">
        <f t="shared" si="26"/>
        <v>0</v>
      </c>
      <c r="P66" s="235">
        <f t="shared" si="27"/>
        <v>0</v>
      </c>
      <c r="Q66" s="206">
        <f t="shared" si="28"/>
        <v>0</v>
      </c>
      <c r="R66" s="206">
        <f t="shared" si="9"/>
        <v>0</v>
      </c>
      <c r="S66" s="206">
        <f t="shared" si="10"/>
        <v>0</v>
      </c>
      <c r="T66" s="206">
        <f t="shared" si="11"/>
        <v>0</v>
      </c>
      <c r="U66" s="206">
        <f t="shared" si="11"/>
        <v>0</v>
      </c>
      <c r="V66" s="207" t="str">
        <f t="shared" si="12"/>
        <v/>
      </c>
    </row>
    <row r="67" spans="1:22" x14ac:dyDescent="0.3">
      <c r="A67" s="1" t="s">
        <v>735</v>
      </c>
      <c r="B67" s="204"/>
      <c r="C67" s="204"/>
      <c r="D67" s="204"/>
      <c r="E67" s="204"/>
      <c r="F67" s="204"/>
      <c r="G67" s="77"/>
      <c r="H67" s="204"/>
      <c r="J67" s="185" t="str">
        <f t="shared" si="21"/>
        <v/>
      </c>
      <c r="K67" s="185" t="str">
        <f t="shared" si="22"/>
        <v/>
      </c>
      <c r="L67" s="185" t="str">
        <f t="shared" si="23"/>
        <v/>
      </c>
      <c r="M67" s="76" t="str">
        <f t="shared" si="24"/>
        <v/>
      </c>
      <c r="N67" s="26">
        <f t="shared" si="25"/>
        <v>0</v>
      </c>
      <c r="O67" s="235">
        <f t="shared" si="26"/>
        <v>0</v>
      </c>
      <c r="P67" s="235">
        <f t="shared" si="27"/>
        <v>0</v>
      </c>
      <c r="Q67" s="206">
        <f t="shared" si="28"/>
        <v>0</v>
      </c>
      <c r="R67" s="206">
        <f t="shared" si="9"/>
        <v>0</v>
      </c>
      <c r="S67" s="206">
        <f t="shared" si="10"/>
        <v>0</v>
      </c>
      <c r="T67" s="206">
        <f t="shared" si="11"/>
        <v>0</v>
      </c>
      <c r="U67" s="206">
        <f t="shared" si="11"/>
        <v>0</v>
      </c>
      <c r="V67" s="207" t="str">
        <f t="shared" si="12"/>
        <v/>
      </c>
    </row>
    <row r="68" spans="1:22" x14ac:dyDescent="0.3">
      <c r="A68" s="204" t="s">
        <v>1585</v>
      </c>
      <c r="B68" s="204"/>
      <c r="C68" s="204"/>
      <c r="D68" s="204"/>
      <c r="E68" s="204"/>
      <c r="F68" s="204"/>
      <c r="G68" s="77"/>
      <c r="H68" s="204"/>
      <c r="J68" s="185" t="str">
        <f t="shared" si="21"/>
        <v/>
      </c>
      <c r="K68" s="185" t="str">
        <f t="shared" si="22"/>
        <v/>
      </c>
      <c r="L68" s="185" t="str">
        <f t="shared" si="23"/>
        <v/>
      </c>
      <c r="M68" s="76" t="str">
        <f t="shared" si="24"/>
        <v/>
      </c>
      <c r="N68" s="26">
        <f t="shared" si="25"/>
        <v>0</v>
      </c>
      <c r="O68" s="235">
        <f t="shared" si="26"/>
        <v>0</v>
      </c>
      <c r="P68" s="235">
        <f t="shared" si="27"/>
        <v>0</v>
      </c>
      <c r="Q68" s="206">
        <f t="shared" si="28"/>
        <v>0</v>
      </c>
      <c r="R68" s="206">
        <f t="shared" si="9"/>
        <v>0</v>
      </c>
      <c r="S68" s="206">
        <f t="shared" si="10"/>
        <v>0</v>
      </c>
      <c r="T68" s="206">
        <f t="shared" si="11"/>
        <v>0</v>
      </c>
      <c r="U68" s="206">
        <f t="shared" si="11"/>
        <v>0</v>
      </c>
      <c r="V68" s="207" t="str">
        <f t="shared" si="12"/>
        <v/>
      </c>
    </row>
    <row r="69" spans="1:22" x14ac:dyDescent="0.3">
      <c r="A69" s="1" t="s">
        <v>1548</v>
      </c>
      <c r="B69" s="204"/>
      <c r="C69" s="204"/>
      <c r="D69" s="204"/>
      <c r="E69" s="204"/>
      <c r="F69" s="204"/>
      <c r="G69" s="77"/>
      <c r="H69" s="204"/>
      <c r="J69" s="185" t="str">
        <f t="shared" si="21"/>
        <v/>
      </c>
      <c r="K69" s="185" t="str">
        <f t="shared" si="22"/>
        <v/>
      </c>
      <c r="L69" s="185" t="str">
        <f t="shared" si="23"/>
        <v/>
      </c>
      <c r="M69" s="76" t="str">
        <f t="shared" si="24"/>
        <v/>
      </c>
      <c r="N69" s="26">
        <f t="shared" si="25"/>
        <v>0</v>
      </c>
      <c r="O69" s="235">
        <f t="shared" si="26"/>
        <v>0</v>
      </c>
      <c r="P69" s="235">
        <f t="shared" si="27"/>
        <v>0</v>
      </c>
      <c r="Q69" s="206">
        <f t="shared" si="28"/>
        <v>0</v>
      </c>
      <c r="R69" s="206">
        <f t="shared" si="9"/>
        <v>0</v>
      </c>
      <c r="S69" s="206">
        <f t="shared" si="10"/>
        <v>0</v>
      </c>
      <c r="T69" s="206">
        <f t="shared" si="11"/>
        <v>0</v>
      </c>
      <c r="U69" s="206">
        <f t="shared" si="11"/>
        <v>0</v>
      </c>
      <c r="V69" s="207" t="str">
        <f t="shared" si="12"/>
        <v/>
      </c>
    </row>
    <row r="70" spans="1:22" x14ac:dyDescent="0.3">
      <c r="A70" s="204" t="s">
        <v>406</v>
      </c>
      <c r="B70" s="204"/>
      <c r="C70" s="204"/>
      <c r="D70" s="204"/>
      <c r="E70" s="204"/>
      <c r="F70" s="204"/>
      <c r="G70" s="77"/>
      <c r="H70" s="204"/>
      <c r="J70" s="185" t="str">
        <f t="shared" si="21"/>
        <v/>
      </c>
      <c r="K70" s="185" t="str">
        <f t="shared" si="22"/>
        <v/>
      </c>
      <c r="L70" s="185" t="str">
        <f t="shared" si="23"/>
        <v/>
      </c>
      <c r="M70" s="76" t="str">
        <f t="shared" si="24"/>
        <v/>
      </c>
      <c r="N70" s="26">
        <f t="shared" si="25"/>
        <v>0</v>
      </c>
      <c r="O70" s="235">
        <f t="shared" si="26"/>
        <v>0</v>
      </c>
      <c r="P70" s="235">
        <f t="shared" si="27"/>
        <v>0</v>
      </c>
      <c r="Q70" s="206">
        <f t="shared" si="28"/>
        <v>0</v>
      </c>
      <c r="R70" s="206">
        <f t="shared" si="9"/>
        <v>0</v>
      </c>
      <c r="S70" s="206">
        <f t="shared" si="10"/>
        <v>0</v>
      </c>
      <c r="T70" s="206">
        <f t="shared" si="11"/>
        <v>0</v>
      </c>
      <c r="U70" s="206">
        <f t="shared" si="11"/>
        <v>0</v>
      </c>
      <c r="V70" s="207" t="str">
        <f t="shared" si="12"/>
        <v/>
      </c>
    </row>
    <row r="71" spans="1:22" x14ac:dyDescent="0.3">
      <c r="A71" s="1" t="s">
        <v>407</v>
      </c>
      <c r="B71" s="204"/>
      <c r="C71" s="204"/>
      <c r="D71" s="204"/>
      <c r="E71" s="204"/>
      <c r="F71" s="204"/>
      <c r="G71" s="77"/>
      <c r="H71" s="204"/>
      <c r="J71" s="185" t="str">
        <f t="shared" si="21"/>
        <v/>
      </c>
      <c r="K71" s="185" t="str">
        <f t="shared" si="22"/>
        <v/>
      </c>
      <c r="L71" s="185" t="str">
        <f t="shared" si="23"/>
        <v/>
      </c>
      <c r="M71" s="76" t="str">
        <f t="shared" si="24"/>
        <v/>
      </c>
      <c r="N71" s="26">
        <f t="shared" si="25"/>
        <v>0</v>
      </c>
      <c r="O71" s="235">
        <f t="shared" si="26"/>
        <v>0</v>
      </c>
      <c r="P71" s="235">
        <f t="shared" si="27"/>
        <v>0</v>
      </c>
      <c r="Q71" s="206">
        <f t="shared" si="28"/>
        <v>0</v>
      </c>
      <c r="R71" s="206">
        <f t="shared" si="9"/>
        <v>0</v>
      </c>
      <c r="S71" s="206">
        <f t="shared" si="10"/>
        <v>0</v>
      </c>
      <c r="T71" s="206">
        <f t="shared" si="11"/>
        <v>0</v>
      </c>
      <c r="U71" s="206">
        <f t="shared" si="11"/>
        <v>0</v>
      </c>
      <c r="V71" s="207" t="str">
        <f t="shared" si="12"/>
        <v/>
      </c>
    </row>
    <row r="72" spans="1:22" x14ac:dyDescent="0.3">
      <c r="A72" s="204" t="s">
        <v>408</v>
      </c>
      <c r="B72" s="204"/>
      <c r="C72" s="204"/>
      <c r="D72" s="204"/>
      <c r="E72" s="204"/>
      <c r="F72" s="204"/>
      <c r="G72" s="77"/>
      <c r="H72" s="204"/>
      <c r="J72" s="185" t="str">
        <f t="shared" si="21"/>
        <v/>
      </c>
      <c r="K72" s="185" t="str">
        <f t="shared" si="22"/>
        <v/>
      </c>
      <c r="L72" s="185" t="str">
        <f t="shared" si="23"/>
        <v/>
      </c>
      <c r="M72" s="76" t="str">
        <f t="shared" si="24"/>
        <v/>
      </c>
      <c r="N72" s="26">
        <f t="shared" si="25"/>
        <v>0</v>
      </c>
      <c r="O72" s="235">
        <f t="shared" si="26"/>
        <v>0</v>
      </c>
      <c r="P72" s="235">
        <f t="shared" si="27"/>
        <v>0</v>
      </c>
      <c r="Q72" s="206">
        <f t="shared" si="28"/>
        <v>0</v>
      </c>
      <c r="R72" s="206">
        <f t="shared" si="9"/>
        <v>0</v>
      </c>
      <c r="S72" s="206">
        <f t="shared" si="10"/>
        <v>0</v>
      </c>
      <c r="T72" s="206">
        <f t="shared" si="11"/>
        <v>0</v>
      </c>
      <c r="U72" s="206">
        <f t="shared" si="11"/>
        <v>0</v>
      </c>
      <c r="V72" s="207" t="str">
        <f t="shared" si="12"/>
        <v/>
      </c>
    </row>
    <row r="73" spans="1:22" x14ac:dyDescent="0.3">
      <c r="A73" s="1" t="s">
        <v>409</v>
      </c>
      <c r="B73" s="204"/>
      <c r="C73" s="204"/>
      <c r="D73" s="204"/>
      <c r="E73" s="204"/>
      <c r="F73" s="204"/>
      <c r="G73" s="77"/>
      <c r="H73" s="204"/>
      <c r="J73" s="185" t="str">
        <f t="shared" si="21"/>
        <v/>
      </c>
      <c r="K73" s="185" t="str">
        <f t="shared" si="22"/>
        <v/>
      </c>
      <c r="L73" s="185" t="str">
        <f t="shared" si="23"/>
        <v/>
      </c>
      <c r="M73" s="76" t="str">
        <f t="shared" si="24"/>
        <v/>
      </c>
      <c r="N73" s="26">
        <f t="shared" si="25"/>
        <v>0</v>
      </c>
      <c r="O73" s="235">
        <f t="shared" si="26"/>
        <v>0</v>
      </c>
      <c r="P73" s="235">
        <f t="shared" si="27"/>
        <v>0</v>
      </c>
      <c r="Q73" s="206">
        <f t="shared" si="28"/>
        <v>0</v>
      </c>
      <c r="R73" s="206">
        <f t="shared" si="9"/>
        <v>0</v>
      </c>
      <c r="S73" s="206">
        <f t="shared" si="10"/>
        <v>0</v>
      </c>
      <c r="T73" s="206">
        <f t="shared" si="11"/>
        <v>0</v>
      </c>
      <c r="U73" s="206">
        <f t="shared" si="11"/>
        <v>0</v>
      </c>
      <c r="V73" s="207" t="str">
        <f t="shared" si="12"/>
        <v/>
      </c>
    </row>
    <row r="74" spans="1:22" x14ac:dyDescent="0.3">
      <c r="A74" s="204" t="s">
        <v>410</v>
      </c>
      <c r="B74" s="204"/>
      <c r="C74" s="204"/>
      <c r="D74" s="204"/>
      <c r="E74" s="204"/>
      <c r="F74" s="204"/>
      <c r="G74" s="77"/>
      <c r="H74" s="204"/>
      <c r="J74" s="185" t="str">
        <f t="shared" si="21"/>
        <v/>
      </c>
      <c r="K74" s="185" t="str">
        <f t="shared" si="22"/>
        <v/>
      </c>
      <c r="L74" s="185" t="str">
        <f t="shared" si="23"/>
        <v/>
      </c>
      <c r="M74" s="76" t="str">
        <f t="shared" si="24"/>
        <v/>
      </c>
      <c r="N74" s="26">
        <f t="shared" si="25"/>
        <v>0</v>
      </c>
      <c r="O74" s="235">
        <f t="shared" si="26"/>
        <v>0</v>
      </c>
      <c r="P74" s="235">
        <f t="shared" si="27"/>
        <v>0</v>
      </c>
      <c r="Q74" s="206">
        <f t="shared" si="28"/>
        <v>0</v>
      </c>
      <c r="R74" s="206">
        <f t="shared" si="9"/>
        <v>0</v>
      </c>
      <c r="S74" s="206">
        <f t="shared" si="10"/>
        <v>0</v>
      </c>
      <c r="T74" s="206">
        <f t="shared" si="11"/>
        <v>0</v>
      </c>
      <c r="U74" s="206">
        <f t="shared" si="11"/>
        <v>0</v>
      </c>
      <c r="V74" s="207" t="str">
        <f t="shared" si="12"/>
        <v/>
      </c>
    </row>
    <row r="75" spans="1:22" x14ac:dyDescent="0.3">
      <c r="A75" t="s">
        <v>411</v>
      </c>
      <c r="G75" s="77"/>
      <c r="J75" s="185" t="str">
        <f t="shared" si="21"/>
        <v/>
      </c>
      <c r="K75" s="185" t="str">
        <f t="shared" si="22"/>
        <v/>
      </c>
      <c r="L75" s="185" t="str">
        <f t="shared" si="23"/>
        <v/>
      </c>
      <c r="M75" s="76" t="str">
        <f t="shared" si="24"/>
        <v/>
      </c>
      <c r="N75" s="26">
        <f t="shared" si="25"/>
        <v>0</v>
      </c>
      <c r="O75" s="235">
        <f t="shared" si="26"/>
        <v>0</v>
      </c>
      <c r="P75" s="235">
        <f t="shared" si="27"/>
        <v>0</v>
      </c>
      <c r="Q75" s="206">
        <f t="shared" si="28"/>
        <v>0</v>
      </c>
      <c r="R75" s="206">
        <f t="shared" si="9"/>
        <v>0</v>
      </c>
      <c r="S75" s="206">
        <f t="shared" si="10"/>
        <v>0</v>
      </c>
      <c r="T75" s="206">
        <f t="shared" si="11"/>
        <v>0</v>
      </c>
      <c r="U75" s="206">
        <f t="shared" si="11"/>
        <v>0</v>
      </c>
      <c r="V75" s="207" t="str">
        <f t="shared" si="12"/>
        <v/>
      </c>
    </row>
    <row r="76" spans="1:22" x14ac:dyDescent="0.3">
      <c r="A76" t="s">
        <v>412</v>
      </c>
      <c r="G76" s="77"/>
      <c r="J76" s="185" t="str">
        <f t="shared" si="21"/>
        <v/>
      </c>
      <c r="K76" s="185" t="str">
        <f t="shared" si="22"/>
        <v/>
      </c>
      <c r="L76" s="185" t="str">
        <f t="shared" si="23"/>
        <v/>
      </c>
      <c r="M76" s="76" t="str">
        <f t="shared" si="24"/>
        <v/>
      </c>
      <c r="N76" s="26">
        <f t="shared" si="25"/>
        <v>0</v>
      </c>
      <c r="O76" s="235">
        <f t="shared" si="26"/>
        <v>0</v>
      </c>
      <c r="P76" s="235">
        <f t="shared" si="27"/>
        <v>0</v>
      </c>
      <c r="Q76" s="206">
        <f t="shared" si="28"/>
        <v>0</v>
      </c>
      <c r="R76" s="206">
        <f t="shared" si="9"/>
        <v>0</v>
      </c>
      <c r="S76" s="206">
        <f t="shared" si="10"/>
        <v>0</v>
      </c>
      <c r="T76" s="206">
        <f t="shared" si="11"/>
        <v>0</v>
      </c>
      <c r="U76" s="206">
        <f t="shared" si="11"/>
        <v>0</v>
      </c>
      <c r="V76" s="207" t="str">
        <f t="shared" si="12"/>
        <v/>
      </c>
    </row>
    <row r="77" spans="1:22" x14ac:dyDescent="0.3">
      <c r="A77" t="s">
        <v>405</v>
      </c>
      <c r="G77" s="77"/>
      <c r="J77" s="185" t="str">
        <f t="shared" si="21"/>
        <v/>
      </c>
      <c r="K77" s="185" t="str">
        <f t="shared" si="22"/>
        <v/>
      </c>
      <c r="L77" s="185" t="str">
        <f t="shared" si="23"/>
        <v/>
      </c>
      <c r="M77" s="76" t="str">
        <f t="shared" si="24"/>
        <v/>
      </c>
      <c r="N77" s="26">
        <f t="shared" si="25"/>
        <v>0</v>
      </c>
      <c r="O77" s="235">
        <f t="shared" si="26"/>
        <v>0</v>
      </c>
      <c r="P77" s="235">
        <f t="shared" si="27"/>
        <v>0</v>
      </c>
      <c r="Q77" s="206">
        <f t="shared" si="28"/>
        <v>0</v>
      </c>
      <c r="R77" s="206">
        <f t="shared" si="9"/>
        <v>0</v>
      </c>
      <c r="S77" s="206">
        <f t="shared" si="10"/>
        <v>0</v>
      </c>
      <c r="T77" s="206">
        <f t="shared" si="11"/>
        <v>0</v>
      </c>
      <c r="U77" s="206">
        <f t="shared" si="11"/>
        <v>0</v>
      </c>
      <c r="V77" s="207" t="str">
        <f t="shared" si="12"/>
        <v/>
      </c>
    </row>
    <row r="78" spans="1:22" x14ac:dyDescent="0.3">
      <c r="A78" t="s">
        <v>413</v>
      </c>
      <c r="G78" s="77"/>
      <c r="J78" s="185" t="str">
        <f t="shared" si="21"/>
        <v/>
      </c>
      <c r="K78" s="185" t="str">
        <f t="shared" si="22"/>
        <v/>
      </c>
      <c r="L78" s="185" t="str">
        <f t="shared" si="23"/>
        <v/>
      </c>
      <c r="M78" s="76" t="str">
        <f t="shared" si="24"/>
        <v/>
      </c>
      <c r="N78" s="26">
        <f t="shared" si="25"/>
        <v>0</v>
      </c>
      <c r="O78" s="235">
        <f t="shared" si="26"/>
        <v>0</v>
      </c>
      <c r="P78" s="235">
        <f t="shared" si="27"/>
        <v>0</v>
      </c>
      <c r="Q78" s="206">
        <f t="shared" si="28"/>
        <v>0</v>
      </c>
      <c r="R78" s="206">
        <f t="shared" si="9"/>
        <v>0</v>
      </c>
      <c r="S78" s="206">
        <f t="shared" si="10"/>
        <v>0</v>
      </c>
      <c r="T78" s="206">
        <f t="shared" si="11"/>
        <v>0</v>
      </c>
      <c r="U78" s="206">
        <f t="shared" si="11"/>
        <v>0</v>
      </c>
      <c r="V78" s="207" t="str">
        <f t="shared" si="12"/>
        <v/>
      </c>
    </row>
    <row r="79" spans="1:22" x14ac:dyDescent="0.3">
      <c r="A79" t="s">
        <v>414</v>
      </c>
      <c r="G79" s="77"/>
      <c r="J79" s="185" t="str">
        <f t="shared" si="21"/>
        <v/>
      </c>
      <c r="K79" s="185" t="str">
        <f t="shared" si="22"/>
        <v/>
      </c>
      <c r="L79" s="185" t="str">
        <f t="shared" si="23"/>
        <v/>
      </c>
      <c r="M79" s="76" t="str">
        <f t="shared" si="24"/>
        <v/>
      </c>
      <c r="N79" s="26">
        <f t="shared" si="25"/>
        <v>0</v>
      </c>
      <c r="O79" s="235">
        <f t="shared" si="26"/>
        <v>0</v>
      </c>
      <c r="P79" s="235">
        <f t="shared" si="27"/>
        <v>0</v>
      </c>
      <c r="Q79" s="206">
        <f t="shared" si="28"/>
        <v>0</v>
      </c>
      <c r="R79" s="206">
        <f t="shared" si="9"/>
        <v>0</v>
      </c>
      <c r="S79" s="206">
        <f t="shared" si="10"/>
        <v>0</v>
      </c>
      <c r="T79" s="206">
        <f t="shared" si="11"/>
        <v>0</v>
      </c>
      <c r="U79" s="206">
        <f t="shared" si="11"/>
        <v>0</v>
      </c>
      <c r="V79" s="207" t="str">
        <f t="shared" si="12"/>
        <v/>
      </c>
    </row>
    <row r="80" spans="1:22" x14ac:dyDescent="0.3">
      <c r="A80" t="s">
        <v>415</v>
      </c>
      <c r="G80" s="77"/>
      <c r="J80" s="185" t="str">
        <f t="shared" si="21"/>
        <v/>
      </c>
      <c r="K80" s="185" t="str">
        <f t="shared" si="22"/>
        <v/>
      </c>
      <c r="L80" s="185" t="str">
        <f t="shared" si="23"/>
        <v/>
      </c>
      <c r="M80" s="76" t="str">
        <f t="shared" si="24"/>
        <v/>
      </c>
      <c r="N80" s="26">
        <f t="shared" si="25"/>
        <v>0</v>
      </c>
      <c r="O80" s="235">
        <f t="shared" si="26"/>
        <v>0</v>
      </c>
      <c r="P80" s="235">
        <f t="shared" si="27"/>
        <v>0</v>
      </c>
      <c r="Q80" s="206">
        <f t="shared" si="28"/>
        <v>0</v>
      </c>
      <c r="R80" s="206">
        <f t="shared" si="9"/>
        <v>0</v>
      </c>
      <c r="S80" s="206">
        <f t="shared" si="10"/>
        <v>0</v>
      </c>
      <c r="T80" s="206">
        <f t="shared" si="11"/>
        <v>0</v>
      </c>
      <c r="U80" s="206">
        <f t="shared" si="11"/>
        <v>0</v>
      </c>
      <c r="V80" s="207" t="str">
        <f t="shared" si="12"/>
        <v/>
      </c>
    </row>
    <row r="81" spans="1:22" x14ac:dyDescent="0.3">
      <c r="B81" t="s">
        <v>3</v>
      </c>
      <c r="C81" t="s">
        <v>416</v>
      </c>
      <c r="D81" t="s">
        <v>417</v>
      </c>
      <c r="E81" t="s">
        <v>418</v>
      </c>
      <c r="F81" t="s">
        <v>419</v>
      </c>
      <c r="G81" s="77" t="s">
        <v>420</v>
      </c>
      <c r="H81" t="s">
        <v>97</v>
      </c>
      <c r="J81" s="185" t="str">
        <f t="shared" si="21"/>
        <v/>
      </c>
      <c r="K81" s="185" t="str">
        <f t="shared" si="22"/>
        <v/>
      </c>
      <c r="L81" s="185" t="str">
        <f t="shared" si="23"/>
        <v/>
      </c>
      <c r="M81" s="76" t="str">
        <f t="shared" si="24"/>
        <v/>
      </c>
      <c r="N81" s="26">
        <f t="shared" si="25"/>
        <v>0</v>
      </c>
      <c r="O81" s="235">
        <f t="shared" si="26"/>
        <v>0</v>
      </c>
      <c r="P81" s="235">
        <f t="shared" si="27"/>
        <v>0</v>
      </c>
      <c r="Q81" s="206">
        <f t="shared" si="28"/>
        <v>0</v>
      </c>
      <c r="R81" s="206">
        <f t="shared" si="9"/>
        <v>0</v>
      </c>
      <c r="S81" s="206">
        <f t="shared" si="10"/>
        <v>0</v>
      </c>
      <c r="T81" s="206">
        <f t="shared" si="11"/>
        <v>0</v>
      </c>
      <c r="U81" s="206">
        <f t="shared" si="11"/>
        <v>0</v>
      </c>
      <c r="V81" s="207" t="str">
        <f t="shared" si="12"/>
        <v/>
      </c>
    </row>
    <row r="82" spans="1:22" x14ac:dyDescent="0.3">
      <c r="A82" t="s">
        <v>421</v>
      </c>
      <c r="B82" t="s">
        <v>422</v>
      </c>
      <c r="C82" t="s">
        <v>422</v>
      </c>
      <c r="D82" t="s">
        <v>422</v>
      </c>
      <c r="E82" t="s">
        <v>422</v>
      </c>
      <c r="F82" t="s">
        <v>422</v>
      </c>
      <c r="G82" s="77" t="s">
        <v>422</v>
      </c>
      <c r="H82" t="s">
        <v>422</v>
      </c>
      <c r="J82" s="185" t="str">
        <f t="shared" si="21"/>
        <v/>
      </c>
      <c r="K82" s="185" t="str">
        <f t="shared" si="22"/>
        <v/>
      </c>
      <c r="L82" s="185" t="str">
        <f t="shared" si="23"/>
        <v/>
      </c>
      <c r="M82" s="76" t="str">
        <f t="shared" si="24"/>
        <v/>
      </c>
      <c r="N82" s="26">
        <f t="shared" si="25"/>
        <v>0</v>
      </c>
      <c r="O82" s="235">
        <f t="shared" si="26"/>
        <v>0</v>
      </c>
      <c r="P82" s="235">
        <f t="shared" si="27"/>
        <v>0</v>
      </c>
      <c r="Q82" s="206">
        <f t="shared" si="28"/>
        <v>0</v>
      </c>
      <c r="R82" s="206">
        <f t="shared" si="9"/>
        <v>0</v>
      </c>
      <c r="S82" s="206">
        <f t="shared" si="10"/>
        <v>0</v>
      </c>
      <c r="T82" s="206">
        <f t="shared" si="11"/>
        <v>0</v>
      </c>
      <c r="U82" s="206">
        <f t="shared" si="11"/>
        <v>0</v>
      </c>
      <c r="V82" s="207" t="str">
        <f t="shared" si="12"/>
        <v/>
      </c>
    </row>
    <row r="83" spans="1:22" x14ac:dyDescent="0.3">
      <c r="A83" t="s">
        <v>394</v>
      </c>
      <c r="B83" t="s">
        <v>422</v>
      </c>
      <c r="C83" t="s">
        <v>422</v>
      </c>
      <c r="D83" t="s">
        <v>422</v>
      </c>
      <c r="E83" t="s">
        <v>422</v>
      </c>
      <c r="F83" t="s">
        <v>422</v>
      </c>
      <c r="G83" s="77" t="s">
        <v>422</v>
      </c>
      <c r="H83" t="s">
        <v>422</v>
      </c>
      <c r="J83" s="185" t="str">
        <f t="shared" si="21"/>
        <v/>
      </c>
      <c r="K83" s="185" t="str">
        <f t="shared" si="22"/>
        <v/>
      </c>
      <c r="L83" s="185" t="str">
        <f t="shared" si="23"/>
        <v/>
      </c>
      <c r="M83" s="76" t="str">
        <f t="shared" si="24"/>
        <v/>
      </c>
      <c r="N83" s="26">
        <f t="shared" si="25"/>
        <v>0</v>
      </c>
      <c r="O83" s="235">
        <f t="shared" si="26"/>
        <v>0</v>
      </c>
      <c r="P83" s="235">
        <f t="shared" si="27"/>
        <v>0</v>
      </c>
      <c r="Q83" s="206">
        <f t="shared" si="28"/>
        <v>0</v>
      </c>
      <c r="R83" s="206">
        <f t="shared" si="9"/>
        <v>0</v>
      </c>
      <c r="S83" s="206">
        <f t="shared" si="10"/>
        <v>0</v>
      </c>
      <c r="T83" s="206">
        <f t="shared" si="11"/>
        <v>0</v>
      </c>
      <c r="U83" s="206">
        <f t="shared" si="11"/>
        <v>0</v>
      </c>
      <c r="V83" s="207" t="str">
        <f t="shared" si="12"/>
        <v/>
      </c>
    </row>
    <row r="84" spans="1:22" x14ac:dyDescent="0.3">
      <c r="A84" t="s">
        <v>423</v>
      </c>
      <c r="B84" t="s">
        <v>422</v>
      </c>
      <c r="C84" t="s">
        <v>422</v>
      </c>
      <c r="D84" t="s">
        <v>422</v>
      </c>
      <c r="E84" t="s">
        <v>422</v>
      </c>
      <c r="F84" t="s">
        <v>422</v>
      </c>
      <c r="G84" s="77" t="s">
        <v>424</v>
      </c>
      <c r="H84" t="s">
        <v>422</v>
      </c>
      <c r="J84" s="185" t="str">
        <f t="shared" si="21"/>
        <v/>
      </c>
      <c r="K84" s="185" t="str">
        <f t="shared" si="22"/>
        <v/>
      </c>
      <c r="L84" s="185" t="str">
        <f t="shared" si="23"/>
        <v/>
      </c>
      <c r="M84" s="76" t="str">
        <f t="shared" si="24"/>
        <v/>
      </c>
      <c r="N84" s="26">
        <f t="shared" si="25"/>
        <v>0</v>
      </c>
      <c r="O84" s="235">
        <f t="shared" si="26"/>
        <v>0</v>
      </c>
      <c r="P84" s="235">
        <f t="shared" si="27"/>
        <v>0</v>
      </c>
      <c r="Q84" s="206">
        <f t="shared" si="28"/>
        <v>0</v>
      </c>
      <c r="R84" s="206">
        <f t="shared" si="9"/>
        <v>0</v>
      </c>
      <c r="S84" s="206">
        <f t="shared" si="10"/>
        <v>0</v>
      </c>
      <c r="T84" s="206">
        <f t="shared" si="11"/>
        <v>0</v>
      </c>
      <c r="U84" s="206">
        <f t="shared" si="11"/>
        <v>0</v>
      </c>
      <c r="V84" s="207" t="str">
        <f t="shared" si="12"/>
        <v/>
      </c>
    </row>
    <row r="85" spans="1:22" x14ac:dyDescent="0.3">
      <c r="A85" t="s">
        <v>425</v>
      </c>
      <c r="G85" s="77"/>
      <c r="J85" s="185" t="str">
        <f t="shared" si="21"/>
        <v/>
      </c>
      <c r="K85" s="185" t="str">
        <f t="shared" si="22"/>
        <v/>
      </c>
      <c r="L85" s="185" t="str">
        <f t="shared" si="23"/>
        <v/>
      </c>
      <c r="M85" s="76" t="str">
        <f t="shared" si="24"/>
        <v/>
      </c>
      <c r="N85" s="26">
        <f t="shared" si="25"/>
        <v>0</v>
      </c>
      <c r="O85" s="235">
        <f t="shared" si="26"/>
        <v>0</v>
      </c>
      <c r="P85" s="235">
        <f t="shared" si="27"/>
        <v>0</v>
      </c>
      <c r="Q85" s="206">
        <f t="shared" si="28"/>
        <v>0</v>
      </c>
      <c r="R85" s="206">
        <f t="shared" si="9"/>
        <v>0</v>
      </c>
      <c r="S85" s="206">
        <f t="shared" si="10"/>
        <v>0</v>
      </c>
      <c r="T85" s="206">
        <f t="shared" si="11"/>
        <v>0</v>
      </c>
      <c r="U85" s="206">
        <f t="shared" si="11"/>
        <v>0</v>
      </c>
      <c r="V85" s="207" t="str">
        <f t="shared" si="12"/>
        <v/>
      </c>
    </row>
    <row r="86" spans="1:22" x14ac:dyDescent="0.3">
      <c r="G86" s="77"/>
      <c r="J86" s="185" t="str">
        <f t="shared" si="21"/>
        <v/>
      </c>
      <c r="K86" s="185" t="str">
        <f t="shared" si="22"/>
        <v/>
      </c>
      <c r="L86" s="185" t="str">
        <f t="shared" si="23"/>
        <v/>
      </c>
      <c r="M86" s="76" t="str">
        <f t="shared" si="24"/>
        <v/>
      </c>
      <c r="N86" s="26">
        <f t="shared" si="25"/>
        <v>0</v>
      </c>
      <c r="O86" s="235">
        <f t="shared" si="26"/>
        <v>0</v>
      </c>
      <c r="P86" s="235">
        <f t="shared" si="27"/>
        <v>0</v>
      </c>
      <c r="Q86" s="206">
        <f t="shared" si="28"/>
        <v>0</v>
      </c>
      <c r="R86" s="206">
        <f t="shared" si="9"/>
        <v>0</v>
      </c>
      <c r="S86" s="206">
        <f t="shared" si="10"/>
        <v>0</v>
      </c>
      <c r="T86" s="206">
        <f t="shared" si="11"/>
        <v>0</v>
      </c>
      <c r="U86" s="206">
        <f t="shared" si="11"/>
        <v>0</v>
      </c>
      <c r="V86" s="207" t="str">
        <f t="shared" si="12"/>
        <v/>
      </c>
    </row>
    <row r="87" spans="1:22" x14ac:dyDescent="0.3">
      <c r="G87" s="77"/>
      <c r="J87" s="185" t="str">
        <f t="shared" si="21"/>
        <v/>
      </c>
      <c r="K87" s="185" t="str">
        <f t="shared" si="22"/>
        <v/>
      </c>
      <c r="L87" s="185" t="str">
        <f t="shared" si="23"/>
        <v/>
      </c>
      <c r="M87" s="76" t="str">
        <f t="shared" si="24"/>
        <v/>
      </c>
      <c r="N87" s="26">
        <f t="shared" si="25"/>
        <v>0</v>
      </c>
      <c r="O87" s="235">
        <f t="shared" si="26"/>
        <v>0</v>
      </c>
      <c r="P87" s="235">
        <f t="shared" si="27"/>
        <v>0</v>
      </c>
      <c r="Q87" s="206">
        <f t="shared" si="28"/>
        <v>0</v>
      </c>
      <c r="R87" s="206">
        <f t="shared" si="9"/>
        <v>0</v>
      </c>
      <c r="S87" s="206">
        <f t="shared" si="10"/>
        <v>0</v>
      </c>
      <c r="T87" s="206">
        <f t="shared" si="11"/>
        <v>0</v>
      </c>
      <c r="U87" s="206">
        <f t="shared" si="11"/>
        <v>0</v>
      </c>
      <c r="V87" s="207" t="str">
        <f t="shared" si="12"/>
        <v/>
      </c>
    </row>
    <row r="88" spans="1:22" x14ac:dyDescent="0.3">
      <c r="G88" s="77"/>
      <c r="J88" s="185" t="str">
        <f t="shared" si="21"/>
        <v/>
      </c>
      <c r="K88" s="185" t="str">
        <f t="shared" si="22"/>
        <v/>
      </c>
      <c r="L88" s="185" t="str">
        <f t="shared" si="23"/>
        <v/>
      </c>
      <c r="M88" s="76" t="str">
        <f t="shared" si="24"/>
        <v/>
      </c>
      <c r="N88" s="26">
        <f t="shared" si="25"/>
        <v>0</v>
      </c>
      <c r="O88" s="235">
        <f t="shared" si="26"/>
        <v>0</v>
      </c>
      <c r="P88" s="235">
        <f t="shared" si="27"/>
        <v>0</v>
      </c>
      <c r="Q88" s="206">
        <f t="shared" si="28"/>
        <v>0</v>
      </c>
      <c r="R88" s="206">
        <f t="shared" si="9"/>
        <v>0</v>
      </c>
      <c r="S88" s="206">
        <f t="shared" si="10"/>
        <v>0</v>
      </c>
      <c r="T88" s="206">
        <f t="shared" si="11"/>
        <v>0</v>
      </c>
      <c r="U88" s="206">
        <f t="shared" si="11"/>
        <v>0</v>
      </c>
      <c r="V88" s="207" t="str">
        <f t="shared" si="12"/>
        <v/>
      </c>
    </row>
    <row r="89" spans="1:22" x14ac:dyDescent="0.3">
      <c r="G89" s="77"/>
      <c r="J89" s="185" t="str">
        <f t="shared" si="21"/>
        <v/>
      </c>
      <c r="K89" s="185" t="str">
        <f t="shared" si="22"/>
        <v/>
      </c>
      <c r="L89" s="185" t="str">
        <f t="shared" si="23"/>
        <v/>
      </c>
      <c r="M89" s="76" t="str">
        <f t="shared" si="24"/>
        <v/>
      </c>
      <c r="N89" s="26">
        <f t="shared" si="25"/>
        <v>0</v>
      </c>
      <c r="O89" s="235">
        <f t="shared" si="26"/>
        <v>0</v>
      </c>
      <c r="P89" s="235">
        <f t="shared" si="27"/>
        <v>0</v>
      </c>
      <c r="Q89" s="206">
        <f t="shared" si="28"/>
        <v>0</v>
      </c>
      <c r="R89" s="206">
        <f t="shared" si="9"/>
        <v>0</v>
      </c>
      <c r="S89" s="206">
        <f t="shared" si="10"/>
        <v>0</v>
      </c>
      <c r="T89" s="206">
        <f t="shared" si="11"/>
        <v>0</v>
      </c>
      <c r="U89" s="206">
        <f t="shared" si="11"/>
        <v>0</v>
      </c>
      <c r="V89" s="207" t="str">
        <f t="shared" si="12"/>
        <v/>
      </c>
    </row>
    <row r="90" spans="1:22" x14ac:dyDescent="0.3">
      <c r="G90" s="77"/>
      <c r="J90" s="185" t="str">
        <f t="shared" si="21"/>
        <v/>
      </c>
      <c r="K90" s="185" t="str">
        <f t="shared" si="22"/>
        <v/>
      </c>
      <c r="L90" s="185" t="str">
        <f t="shared" si="23"/>
        <v/>
      </c>
      <c r="M90" s="76" t="str">
        <f t="shared" si="24"/>
        <v/>
      </c>
      <c r="N90" s="26">
        <f t="shared" si="25"/>
        <v>0</v>
      </c>
      <c r="O90" s="235">
        <f t="shared" si="26"/>
        <v>0</v>
      </c>
      <c r="P90" s="235">
        <f t="shared" si="27"/>
        <v>0</v>
      </c>
      <c r="Q90" s="206">
        <f t="shared" si="28"/>
        <v>0</v>
      </c>
      <c r="R90" s="206">
        <f t="shared" si="9"/>
        <v>0</v>
      </c>
      <c r="S90" s="206">
        <f t="shared" si="10"/>
        <v>0</v>
      </c>
      <c r="T90" s="206">
        <f t="shared" si="11"/>
        <v>0</v>
      </c>
      <c r="U90" s="206">
        <f t="shared" si="11"/>
        <v>0</v>
      </c>
      <c r="V90" s="207" t="str">
        <f t="shared" si="12"/>
        <v/>
      </c>
    </row>
    <row r="91" spans="1:22" x14ac:dyDescent="0.3">
      <c r="G91" s="77"/>
      <c r="J91" s="185" t="str">
        <f t="shared" si="21"/>
        <v/>
      </c>
      <c r="K91" s="185" t="str">
        <f t="shared" si="22"/>
        <v/>
      </c>
      <c r="L91" s="185" t="str">
        <f t="shared" si="23"/>
        <v/>
      </c>
      <c r="M91" s="76" t="str">
        <f t="shared" si="24"/>
        <v/>
      </c>
      <c r="N91" s="26">
        <f t="shared" si="25"/>
        <v>0</v>
      </c>
      <c r="O91" s="235">
        <f t="shared" si="26"/>
        <v>0</v>
      </c>
      <c r="P91" s="235">
        <f t="shared" si="27"/>
        <v>0</v>
      </c>
      <c r="Q91" s="206">
        <f t="shared" si="28"/>
        <v>0</v>
      </c>
      <c r="R91" s="206">
        <f t="shared" ref="R91:R154" si="29">IF($J91=29,VALUE(LEFT(B91,LEN(B91)-2)),0)</f>
        <v>0</v>
      </c>
      <c r="S91" s="206">
        <f t="shared" ref="S91:S154" si="30">IF($J91=29,VALUE(LEFT(C91,LEN(C91)-2)),0)</f>
        <v>0</v>
      </c>
      <c r="T91" s="206">
        <f t="shared" ref="T91:U154" si="31">IF($J91=29,VALUE(LEFT(D91,LEN(D91)-2)),0)</f>
        <v>0</v>
      </c>
      <c r="U91" s="206">
        <f t="shared" si="31"/>
        <v>0</v>
      </c>
      <c r="V91" s="207" t="str">
        <f t="shared" ref="V91:V154" si="32">IFERROR(N91/SUM(R91:U91),"")</f>
        <v/>
      </c>
    </row>
    <row r="92" spans="1:22" x14ac:dyDescent="0.3">
      <c r="G92" s="77"/>
      <c r="J92" s="185" t="str">
        <f t="shared" si="21"/>
        <v/>
      </c>
      <c r="K92" s="185" t="str">
        <f t="shared" si="22"/>
        <v/>
      </c>
      <c r="L92" s="185" t="str">
        <f t="shared" si="23"/>
        <v/>
      </c>
      <c r="M92" s="76" t="str">
        <f t="shared" si="24"/>
        <v/>
      </c>
      <c r="N92" s="26">
        <f t="shared" si="25"/>
        <v>0</v>
      </c>
      <c r="O92" s="235">
        <f t="shared" si="26"/>
        <v>0</v>
      </c>
      <c r="P92" s="235">
        <f t="shared" si="27"/>
        <v>0</v>
      </c>
      <c r="Q92" s="206">
        <f t="shared" si="28"/>
        <v>0</v>
      </c>
      <c r="R92" s="206">
        <f t="shared" si="29"/>
        <v>0</v>
      </c>
      <c r="S92" s="206">
        <f t="shared" si="30"/>
        <v>0</v>
      </c>
      <c r="T92" s="206">
        <f t="shared" si="31"/>
        <v>0</v>
      </c>
      <c r="U92" s="206">
        <f t="shared" si="31"/>
        <v>0</v>
      </c>
      <c r="V92" s="207" t="str">
        <f t="shared" si="32"/>
        <v/>
      </c>
    </row>
    <row r="93" spans="1:22" x14ac:dyDescent="0.3">
      <c r="G93" s="77"/>
      <c r="J93" s="185" t="str">
        <f t="shared" si="21"/>
        <v/>
      </c>
      <c r="K93" s="185" t="str">
        <f t="shared" si="22"/>
        <v/>
      </c>
      <c r="L93" s="185" t="str">
        <f t="shared" si="23"/>
        <v/>
      </c>
      <c r="M93" s="76" t="str">
        <f t="shared" si="24"/>
        <v/>
      </c>
      <c r="N93" s="26">
        <f t="shared" si="25"/>
        <v>0</v>
      </c>
      <c r="O93" s="235">
        <f t="shared" si="26"/>
        <v>0</v>
      </c>
      <c r="P93" s="235">
        <f t="shared" si="27"/>
        <v>0</v>
      </c>
      <c r="Q93" s="206">
        <f t="shared" si="28"/>
        <v>0</v>
      </c>
      <c r="R93" s="206">
        <f t="shared" si="29"/>
        <v>0</v>
      </c>
      <c r="S93" s="206">
        <f t="shared" si="30"/>
        <v>0</v>
      </c>
      <c r="T93" s="206">
        <f t="shared" si="31"/>
        <v>0</v>
      </c>
      <c r="U93" s="206">
        <f t="shared" si="31"/>
        <v>0</v>
      </c>
      <c r="V93" s="207" t="str">
        <f t="shared" si="32"/>
        <v/>
      </c>
    </row>
    <row r="94" spans="1:22" x14ac:dyDescent="0.3">
      <c r="G94" s="77"/>
      <c r="J94" s="185" t="str">
        <f t="shared" si="21"/>
        <v/>
      </c>
      <c r="K94" s="185" t="str">
        <f t="shared" si="22"/>
        <v/>
      </c>
      <c r="L94" s="185" t="str">
        <f t="shared" si="23"/>
        <v/>
      </c>
      <c r="M94" s="76" t="str">
        <f t="shared" si="24"/>
        <v/>
      </c>
      <c r="N94" s="26">
        <f t="shared" si="25"/>
        <v>0</v>
      </c>
      <c r="O94" s="235">
        <f t="shared" si="26"/>
        <v>0</v>
      </c>
      <c r="P94" s="235">
        <f t="shared" si="27"/>
        <v>0</v>
      </c>
      <c r="Q94" s="206">
        <f t="shared" si="28"/>
        <v>0</v>
      </c>
      <c r="R94" s="206">
        <f t="shared" si="29"/>
        <v>0</v>
      </c>
      <c r="S94" s="206">
        <f t="shared" si="30"/>
        <v>0</v>
      </c>
      <c r="T94" s="206">
        <f t="shared" si="31"/>
        <v>0</v>
      </c>
      <c r="U94" s="206">
        <f t="shared" si="31"/>
        <v>0</v>
      </c>
      <c r="V94" s="207" t="str">
        <f t="shared" si="32"/>
        <v/>
      </c>
    </row>
    <row r="95" spans="1:22" x14ac:dyDescent="0.3">
      <c r="G95" s="77"/>
      <c r="J95" s="185" t="str">
        <f t="shared" si="21"/>
        <v/>
      </c>
      <c r="K95" s="185" t="str">
        <f t="shared" si="22"/>
        <v/>
      </c>
      <c r="L95" s="185" t="str">
        <f t="shared" si="23"/>
        <v/>
      </c>
      <c r="M95" s="76" t="str">
        <f t="shared" si="24"/>
        <v/>
      </c>
      <c r="N95" s="26">
        <f t="shared" si="25"/>
        <v>0</v>
      </c>
      <c r="O95" s="235">
        <f t="shared" si="26"/>
        <v>0</v>
      </c>
      <c r="P95" s="235">
        <f t="shared" si="27"/>
        <v>0</v>
      </c>
      <c r="Q95" s="206">
        <f t="shared" si="28"/>
        <v>0</v>
      </c>
      <c r="R95" s="206">
        <f t="shared" si="29"/>
        <v>0</v>
      </c>
      <c r="S95" s="206">
        <f t="shared" si="30"/>
        <v>0</v>
      </c>
      <c r="T95" s="206">
        <f t="shared" si="31"/>
        <v>0</v>
      </c>
      <c r="U95" s="206">
        <f t="shared" si="31"/>
        <v>0</v>
      </c>
      <c r="V95" s="207" t="str">
        <f t="shared" si="32"/>
        <v/>
      </c>
    </row>
    <row r="96" spans="1:22" x14ac:dyDescent="0.3">
      <c r="G96" s="77"/>
      <c r="J96" s="185" t="str">
        <f t="shared" si="21"/>
        <v/>
      </c>
      <c r="K96" s="185" t="str">
        <f t="shared" si="22"/>
        <v/>
      </c>
      <c r="L96" s="185" t="str">
        <f t="shared" si="23"/>
        <v/>
      </c>
      <c r="M96" s="76" t="str">
        <f t="shared" si="24"/>
        <v/>
      </c>
      <c r="N96" s="26">
        <f t="shared" si="25"/>
        <v>0</v>
      </c>
      <c r="O96" s="235">
        <f t="shared" si="26"/>
        <v>0</v>
      </c>
      <c r="P96" s="235">
        <f t="shared" si="27"/>
        <v>0</v>
      </c>
      <c r="Q96" s="206">
        <f t="shared" si="28"/>
        <v>0</v>
      </c>
      <c r="R96" s="206">
        <f t="shared" si="29"/>
        <v>0</v>
      </c>
      <c r="S96" s="206">
        <f t="shared" si="30"/>
        <v>0</v>
      </c>
      <c r="T96" s="206">
        <f t="shared" si="31"/>
        <v>0</v>
      </c>
      <c r="U96" s="206">
        <f t="shared" si="31"/>
        <v>0</v>
      </c>
      <c r="V96" s="207" t="str">
        <f t="shared" si="32"/>
        <v/>
      </c>
    </row>
    <row r="97" spans="7:22" x14ac:dyDescent="0.3">
      <c r="G97" s="77"/>
      <c r="J97" s="185" t="str">
        <f t="shared" si="21"/>
        <v/>
      </c>
      <c r="K97" s="185" t="str">
        <f t="shared" si="22"/>
        <v/>
      </c>
      <c r="L97" s="185" t="str">
        <f t="shared" si="23"/>
        <v/>
      </c>
      <c r="M97" s="76" t="str">
        <f t="shared" si="24"/>
        <v/>
      </c>
      <c r="N97" s="26">
        <f t="shared" si="25"/>
        <v>0</v>
      </c>
      <c r="O97" s="235">
        <f t="shared" si="26"/>
        <v>0</v>
      </c>
      <c r="P97" s="235">
        <f t="shared" si="27"/>
        <v>0</v>
      </c>
      <c r="Q97" s="206">
        <f t="shared" si="28"/>
        <v>0</v>
      </c>
      <c r="R97" s="206">
        <f t="shared" si="29"/>
        <v>0</v>
      </c>
      <c r="S97" s="206">
        <f t="shared" si="30"/>
        <v>0</v>
      </c>
      <c r="T97" s="206">
        <f t="shared" si="31"/>
        <v>0</v>
      </c>
      <c r="U97" s="206">
        <f t="shared" si="31"/>
        <v>0</v>
      </c>
      <c r="V97" s="207" t="str">
        <f t="shared" si="32"/>
        <v/>
      </c>
    </row>
    <row r="98" spans="7:22" x14ac:dyDescent="0.3">
      <c r="G98" s="77"/>
      <c r="J98" s="185" t="str">
        <f t="shared" si="21"/>
        <v/>
      </c>
      <c r="K98" s="185" t="str">
        <f t="shared" si="22"/>
        <v/>
      </c>
      <c r="L98" s="185" t="str">
        <f t="shared" si="23"/>
        <v/>
      </c>
      <c r="M98" s="76" t="str">
        <f t="shared" si="24"/>
        <v/>
      </c>
      <c r="N98" s="26">
        <f t="shared" si="25"/>
        <v>0</v>
      </c>
      <c r="O98" s="235">
        <f t="shared" si="26"/>
        <v>0</v>
      </c>
      <c r="P98" s="235">
        <f t="shared" si="27"/>
        <v>0</v>
      </c>
      <c r="Q98" s="206">
        <f t="shared" si="28"/>
        <v>0</v>
      </c>
      <c r="R98" s="206">
        <f t="shared" si="29"/>
        <v>0</v>
      </c>
      <c r="S98" s="206">
        <f t="shared" si="30"/>
        <v>0</v>
      </c>
      <c r="T98" s="206">
        <f t="shared" si="31"/>
        <v>0</v>
      </c>
      <c r="U98" s="206">
        <f t="shared" si="31"/>
        <v>0</v>
      </c>
      <c r="V98" s="207" t="str">
        <f t="shared" si="32"/>
        <v/>
      </c>
    </row>
    <row r="99" spans="7:22" x14ac:dyDescent="0.3">
      <c r="G99" s="77"/>
      <c r="J99" s="185" t="str">
        <f t="shared" si="21"/>
        <v/>
      </c>
      <c r="K99" s="185" t="str">
        <f t="shared" si="22"/>
        <v/>
      </c>
      <c r="L99" s="185" t="str">
        <f t="shared" si="23"/>
        <v/>
      </c>
      <c r="M99" s="76" t="str">
        <f t="shared" si="24"/>
        <v/>
      </c>
      <c r="N99" s="26">
        <f t="shared" si="25"/>
        <v>0</v>
      </c>
      <c r="O99" s="235">
        <f t="shared" si="26"/>
        <v>0</v>
      </c>
      <c r="P99" s="235">
        <f t="shared" si="27"/>
        <v>0</v>
      </c>
      <c r="Q99" s="206">
        <f t="shared" si="28"/>
        <v>0</v>
      </c>
      <c r="R99" s="206">
        <f t="shared" si="29"/>
        <v>0</v>
      </c>
      <c r="S99" s="206">
        <f t="shared" si="30"/>
        <v>0</v>
      </c>
      <c r="T99" s="206">
        <f t="shared" si="31"/>
        <v>0</v>
      </c>
      <c r="U99" s="206">
        <f t="shared" si="31"/>
        <v>0</v>
      </c>
      <c r="V99" s="207" t="str">
        <f t="shared" si="32"/>
        <v/>
      </c>
    </row>
    <row r="100" spans="7:22" x14ac:dyDescent="0.3">
      <c r="G100" s="77"/>
      <c r="J100" s="185" t="str">
        <f t="shared" si="21"/>
        <v/>
      </c>
      <c r="K100" s="185" t="str">
        <f t="shared" si="22"/>
        <v/>
      </c>
      <c r="L100" s="185" t="str">
        <f t="shared" si="23"/>
        <v/>
      </c>
      <c r="M100" s="76" t="str">
        <f t="shared" si="24"/>
        <v/>
      </c>
      <c r="N100" s="26">
        <f t="shared" si="25"/>
        <v>0</v>
      </c>
      <c r="O100" s="235">
        <f t="shared" si="26"/>
        <v>0</v>
      </c>
      <c r="P100" s="235">
        <f t="shared" si="27"/>
        <v>0</v>
      </c>
      <c r="Q100" s="206">
        <f t="shared" si="28"/>
        <v>0</v>
      </c>
      <c r="R100" s="206">
        <f t="shared" si="29"/>
        <v>0</v>
      </c>
      <c r="S100" s="206">
        <f t="shared" si="30"/>
        <v>0</v>
      </c>
      <c r="T100" s="206">
        <f t="shared" si="31"/>
        <v>0</v>
      </c>
      <c r="U100" s="206">
        <f t="shared" si="31"/>
        <v>0</v>
      </c>
      <c r="V100" s="207" t="str">
        <f t="shared" si="32"/>
        <v/>
      </c>
    </row>
    <row r="101" spans="7:22" x14ac:dyDescent="0.3">
      <c r="G101" s="77"/>
      <c r="J101" s="185" t="str">
        <f t="shared" si="21"/>
        <v/>
      </c>
      <c r="K101" s="185" t="str">
        <f t="shared" si="22"/>
        <v/>
      </c>
      <c r="L101" s="185" t="str">
        <f t="shared" si="23"/>
        <v/>
      </c>
      <c r="M101" s="76" t="str">
        <f t="shared" si="24"/>
        <v/>
      </c>
      <c r="N101" s="26">
        <f t="shared" si="25"/>
        <v>0</v>
      </c>
      <c r="O101" s="235">
        <f t="shared" si="26"/>
        <v>0</v>
      </c>
      <c r="P101" s="235">
        <f t="shared" si="27"/>
        <v>0</v>
      </c>
      <c r="Q101" s="206">
        <f t="shared" si="28"/>
        <v>0</v>
      </c>
      <c r="R101" s="206">
        <f t="shared" si="29"/>
        <v>0</v>
      </c>
      <c r="S101" s="206">
        <f t="shared" si="30"/>
        <v>0</v>
      </c>
      <c r="T101" s="206">
        <f t="shared" si="31"/>
        <v>0</v>
      </c>
      <c r="U101" s="206">
        <f t="shared" si="31"/>
        <v>0</v>
      </c>
      <c r="V101" s="207" t="str">
        <f t="shared" si="32"/>
        <v/>
      </c>
    </row>
    <row r="102" spans="7:22" x14ac:dyDescent="0.3">
      <c r="G102" s="77"/>
      <c r="J102" s="185" t="str">
        <f t="shared" si="21"/>
        <v/>
      </c>
      <c r="K102" s="185" t="str">
        <f t="shared" si="22"/>
        <v/>
      </c>
      <c r="L102" s="185" t="str">
        <f t="shared" si="23"/>
        <v/>
      </c>
      <c r="M102" s="76" t="str">
        <f t="shared" si="24"/>
        <v/>
      </c>
      <c r="N102" s="26">
        <f t="shared" si="25"/>
        <v>0</v>
      </c>
      <c r="O102" s="235">
        <f t="shared" si="26"/>
        <v>0</v>
      </c>
      <c r="P102" s="235">
        <f t="shared" si="27"/>
        <v>0</v>
      </c>
      <c r="Q102" s="206">
        <f t="shared" si="28"/>
        <v>0</v>
      </c>
      <c r="R102" s="206">
        <f t="shared" si="29"/>
        <v>0</v>
      </c>
      <c r="S102" s="206">
        <f t="shared" si="30"/>
        <v>0</v>
      </c>
      <c r="T102" s="206">
        <f t="shared" si="31"/>
        <v>0</v>
      </c>
      <c r="U102" s="206">
        <f t="shared" si="31"/>
        <v>0</v>
      </c>
      <c r="V102" s="207" t="str">
        <f t="shared" si="32"/>
        <v/>
      </c>
    </row>
    <row r="103" spans="7:22" x14ac:dyDescent="0.3">
      <c r="G103" s="77"/>
      <c r="J103" s="185" t="str">
        <f t="shared" si="21"/>
        <v/>
      </c>
      <c r="K103" s="185" t="str">
        <f t="shared" si="22"/>
        <v/>
      </c>
      <c r="L103" s="185" t="str">
        <f t="shared" si="23"/>
        <v/>
      </c>
      <c r="M103" s="76" t="str">
        <f t="shared" si="24"/>
        <v/>
      </c>
      <c r="N103" s="26">
        <f t="shared" si="25"/>
        <v>0</v>
      </c>
      <c r="O103" s="235">
        <f t="shared" si="26"/>
        <v>0</v>
      </c>
      <c r="P103" s="235">
        <f t="shared" si="27"/>
        <v>0</v>
      </c>
      <c r="Q103" s="206">
        <f t="shared" si="28"/>
        <v>0</v>
      </c>
      <c r="R103" s="206">
        <f t="shared" si="29"/>
        <v>0</v>
      </c>
      <c r="S103" s="206">
        <f t="shared" si="30"/>
        <v>0</v>
      </c>
      <c r="T103" s="206">
        <f t="shared" si="31"/>
        <v>0</v>
      </c>
      <c r="U103" s="206">
        <f t="shared" si="31"/>
        <v>0</v>
      </c>
      <c r="V103" s="207" t="str">
        <f t="shared" si="32"/>
        <v/>
      </c>
    </row>
    <row r="104" spans="7:22" x14ac:dyDescent="0.3">
      <c r="G104" s="77"/>
      <c r="J104" s="185" t="str">
        <f t="shared" si="21"/>
        <v/>
      </c>
      <c r="K104" s="185" t="str">
        <f t="shared" si="22"/>
        <v/>
      </c>
      <c r="L104" s="185" t="str">
        <f t="shared" si="23"/>
        <v/>
      </c>
      <c r="M104" s="76" t="str">
        <f t="shared" si="24"/>
        <v/>
      </c>
      <c r="N104" s="26">
        <f t="shared" si="25"/>
        <v>0</v>
      </c>
      <c r="O104" s="235">
        <f t="shared" si="26"/>
        <v>0</v>
      </c>
      <c r="P104" s="235">
        <f t="shared" si="27"/>
        <v>0</v>
      </c>
      <c r="Q104" s="206">
        <f t="shared" si="28"/>
        <v>0</v>
      </c>
      <c r="R104" s="206">
        <f t="shared" si="29"/>
        <v>0</v>
      </c>
      <c r="S104" s="206">
        <f t="shared" si="30"/>
        <v>0</v>
      </c>
      <c r="T104" s="206">
        <f t="shared" si="31"/>
        <v>0</v>
      </c>
      <c r="U104" s="206">
        <f t="shared" si="31"/>
        <v>0</v>
      </c>
      <c r="V104" s="207" t="str">
        <f t="shared" si="32"/>
        <v/>
      </c>
    </row>
    <row r="105" spans="7:22" x14ac:dyDescent="0.3">
      <c r="G105" s="77"/>
      <c r="J105" s="185" t="str">
        <f t="shared" si="21"/>
        <v/>
      </c>
      <c r="K105" s="185" t="str">
        <f t="shared" si="22"/>
        <v/>
      </c>
      <c r="L105" s="185" t="str">
        <f t="shared" si="23"/>
        <v/>
      </c>
      <c r="M105" s="76" t="str">
        <f t="shared" si="24"/>
        <v/>
      </c>
      <c r="N105" s="26">
        <f t="shared" si="25"/>
        <v>0</v>
      </c>
      <c r="O105" s="235">
        <f t="shared" si="26"/>
        <v>0</v>
      </c>
      <c r="P105" s="235">
        <f t="shared" si="27"/>
        <v>0</v>
      </c>
      <c r="Q105" s="206">
        <f t="shared" si="28"/>
        <v>0</v>
      </c>
      <c r="R105" s="206">
        <f t="shared" si="29"/>
        <v>0</v>
      </c>
      <c r="S105" s="206">
        <f t="shared" si="30"/>
        <v>0</v>
      </c>
      <c r="T105" s="206">
        <f t="shared" si="31"/>
        <v>0</v>
      </c>
      <c r="U105" s="206">
        <f t="shared" si="31"/>
        <v>0</v>
      </c>
      <c r="V105" s="207" t="str">
        <f t="shared" si="32"/>
        <v/>
      </c>
    </row>
    <row r="106" spans="7:22" x14ac:dyDescent="0.3">
      <c r="G106" s="77"/>
      <c r="J106" s="185" t="str">
        <f t="shared" si="21"/>
        <v/>
      </c>
      <c r="K106" s="185" t="str">
        <f t="shared" si="22"/>
        <v/>
      </c>
      <c r="L106" s="185" t="str">
        <f t="shared" si="23"/>
        <v/>
      </c>
      <c r="M106" s="76" t="str">
        <f t="shared" si="24"/>
        <v/>
      </c>
      <c r="N106" s="26">
        <f t="shared" si="25"/>
        <v>0</v>
      </c>
      <c r="O106" s="235">
        <f t="shared" si="26"/>
        <v>0</v>
      </c>
      <c r="P106" s="235">
        <f t="shared" si="27"/>
        <v>0</v>
      </c>
      <c r="Q106" s="206">
        <f t="shared" si="28"/>
        <v>0</v>
      </c>
      <c r="R106" s="206">
        <f t="shared" si="29"/>
        <v>0</v>
      </c>
      <c r="S106" s="206">
        <f t="shared" si="30"/>
        <v>0</v>
      </c>
      <c r="T106" s="206">
        <f t="shared" si="31"/>
        <v>0</v>
      </c>
      <c r="U106" s="206">
        <f t="shared" si="31"/>
        <v>0</v>
      </c>
      <c r="V106" s="207" t="str">
        <f t="shared" si="32"/>
        <v/>
      </c>
    </row>
    <row r="107" spans="7:22" x14ac:dyDescent="0.3">
      <c r="G107" s="77"/>
      <c r="J107" s="185" t="str">
        <f t="shared" si="21"/>
        <v/>
      </c>
      <c r="K107" s="185" t="str">
        <f t="shared" si="22"/>
        <v/>
      </c>
      <c r="L107" s="185" t="str">
        <f t="shared" si="23"/>
        <v/>
      </c>
      <c r="M107" s="76" t="str">
        <f t="shared" si="24"/>
        <v/>
      </c>
      <c r="N107" s="26">
        <f t="shared" si="25"/>
        <v>0</v>
      </c>
      <c r="O107" s="235">
        <f t="shared" si="26"/>
        <v>0</v>
      </c>
      <c r="P107" s="235">
        <f t="shared" si="27"/>
        <v>0</v>
      </c>
      <c r="Q107" s="206">
        <f t="shared" si="28"/>
        <v>0</v>
      </c>
      <c r="R107" s="206">
        <f t="shared" si="29"/>
        <v>0</v>
      </c>
      <c r="S107" s="206">
        <f t="shared" si="30"/>
        <v>0</v>
      </c>
      <c r="T107" s="206">
        <f t="shared" si="31"/>
        <v>0</v>
      </c>
      <c r="U107" s="206">
        <f t="shared" si="31"/>
        <v>0</v>
      </c>
      <c r="V107" s="207" t="str">
        <f t="shared" si="32"/>
        <v/>
      </c>
    </row>
    <row r="108" spans="7:22" x14ac:dyDescent="0.3">
      <c r="G108" s="77"/>
      <c r="J108" s="185" t="str">
        <f t="shared" si="21"/>
        <v/>
      </c>
      <c r="K108" s="185" t="str">
        <f t="shared" si="22"/>
        <v/>
      </c>
      <c r="L108" s="185" t="str">
        <f t="shared" si="23"/>
        <v/>
      </c>
      <c r="M108" s="76" t="str">
        <f t="shared" si="24"/>
        <v/>
      </c>
      <c r="N108" s="26">
        <f t="shared" si="25"/>
        <v>0</v>
      </c>
      <c r="O108" s="235">
        <f t="shared" si="26"/>
        <v>0</v>
      </c>
      <c r="P108" s="235">
        <f t="shared" si="27"/>
        <v>0</v>
      </c>
      <c r="Q108" s="206">
        <f t="shared" si="28"/>
        <v>0</v>
      </c>
      <c r="R108" s="206">
        <f t="shared" si="29"/>
        <v>0</v>
      </c>
      <c r="S108" s="206">
        <f t="shared" si="30"/>
        <v>0</v>
      </c>
      <c r="T108" s="206">
        <f t="shared" si="31"/>
        <v>0</v>
      </c>
      <c r="U108" s="206">
        <f t="shared" si="31"/>
        <v>0</v>
      </c>
      <c r="V108" s="207" t="str">
        <f t="shared" si="32"/>
        <v/>
      </c>
    </row>
    <row r="109" spans="7:22" x14ac:dyDescent="0.3">
      <c r="G109" s="77"/>
      <c r="J109" s="185" t="str">
        <f t="shared" ref="J109:J172" si="33">IFERROR(IF(FIND("Liste des vols",A109),LEN(A109),""),"")</f>
        <v/>
      </c>
      <c r="K109" s="185" t="str">
        <f t="shared" ref="K109:K172" si="34">IF(J109="","",LEFT(A109,3))</f>
        <v/>
      </c>
      <c r="L109" s="185" t="str">
        <f t="shared" ref="L109:L172" si="35">IF(K109&lt;&gt;"",MID(A109,7,3),"")</f>
        <v/>
      </c>
      <c r="M109" s="76" t="str">
        <f t="shared" ref="M109:M172" si="36">IF(K109&lt;&gt;"",CONCATENATE(K109,"/",L109),"")</f>
        <v/>
      </c>
      <c r="N109" s="26">
        <f t="shared" ref="N109:N172" si="37">IF(J109=29,VALUE(LEFT(F109,LEN(F109)-2)),0)</f>
        <v>0</v>
      </c>
      <c r="O109" s="235">
        <f t="shared" ref="O109:O172" si="38">IF(J109=29,-VALUE(G109),0)</f>
        <v>0</v>
      </c>
      <c r="P109" s="235">
        <f t="shared" ref="P109:P172" si="39">IF(J109=29,VALUE(LEFT(H109,LEN(H109)-2)),0)</f>
        <v>0</v>
      </c>
      <c r="Q109" s="206">
        <f t="shared" ref="Q109:Q172" si="40">IFERROR(VALUE(LEFT(RIGHT(A109,LEN(A109)-11),LEN(A109)-28)),0)</f>
        <v>0</v>
      </c>
      <c r="R109" s="206">
        <f t="shared" si="29"/>
        <v>0</v>
      </c>
      <c r="S109" s="206">
        <f t="shared" si="30"/>
        <v>0</v>
      </c>
      <c r="T109" s="206">
        <f t="shared" si="31"/>
        <v>0</v>
      </c>
      <c r="U109" s="206">
        <f t="shared" si="31"/>
        <v>0</v>
      </c>
      <c r="V109" s="207" t="str">
        <f t="shared" si="32"/>
        <v/>
      </c>
    </row>
    <row r="110" spans="7:22" x14ac:dyDescent="0.3">
      <c r="G110" s="77"/>
      <c r="J110" s="185" t="str">
        <f t="shared" si="33"/>
        <v/>
      </c>
      <c r="K110" s="185" t="str">
        <f t="shared" si="34"/>
        <v/>
      </c>
      <c r="L110" s="185" t="str">
        <f t="shared" si="35"/>
        <v/>
      </c>
      <c r="M110" s="76" t="str">
        <f t="shared" si="36"/>
        <v/>
      </c>
      <c r="N110" s="26">
        <f t="shared" si="37"/>
        <v>0</v>
      </c>
      <c r="O110" s="235">
        <f t="shared" si="38"/>
        <v>0</v>
      </c>
      <c r="P110" s="235">
        <f t="shared" si="39"/>
        <v>0</v>
      </c>
      <c r="Q110" s="206">
        <f t="shared" si="40"/>
        <v>0</v>
      </c>
      <c r="R110" s="206">
        <f t="shared" si="29"/>
        <v>0</v>
      </c>
      <c r="S110" s="206">
        <f t="shared" si="30"/>
        <v>0</v>
      </c>
      <c r="T110" s="206">
        <f t="shared" si="31"/>
        <v>0</v>
      </c>
      <c r="U110" s="206">
        <f t="shared" si="31"/>
        <v>0</v>
      </c>
      <c r="V110" s="207" t="str">
        <f t="shared" si="32"/>
        <v/>
      </c>
    </row>
    <row r="111" spans="7:22" x14ac:dyDescent="0.3">
      <c r="G111" s="77"/>
      <c r="J111" s="185" t="str">
        <f t="shared" si="33"/>
        <v/>
      </c>
      <c r="K111" s="185" t="str">
        <f t="shared" si="34"/>
        <v/>
      </c>
      <c r="L111" s="185" t="str">
        <f t="shared" si="35"/>
        <v/>
      </c>
      <c r="M111" s="76" t="str">
        <f t="shared" si="36"/>
        <v/>
      </c>
      <c r="N111" s="26">
        <f t="shared" si="37"/>
        <v>0</v>
      </c>
      <c r="O111" s="235">
        <f t="shared" si="38"/>
        <v>0</v>
      </c>
      <c r="P111" s="235">
        <f t="shared" si="39"/>
        <v>0</v>
      </c>
      <c r="Q111" s="206">
        <f t="shared" si="40"/>
        <v>0</v>
      </c>
      <c r="R111" s="206">
        <f t="shared" si="29"/>
        <v>0</v>
      </c>
      <c r="S111" s="206">
        <f t="shared" si="30"/>
        <v>0</v>
      </c>
      <c r="T111" s="206">
        <f t="shared" si="31"/>
        <v>0</v>
      </c>
      <c r="U111" s="206">
        <f t="shared" si="31"/>
        <v>0</v>
      </c>
      <c r="V111" s="207" t="str">
        <f t="shared" si="32"/>
        <v/>
      </c>
    </row>
    <row r="112" spans="7:22" x14ac:dyDescent="0.3">
      <c r="G112" s="77"/>
      <c r="J112" s="185" t="str">
        <f t="shared" si="33"/>
        <v/>
      </c>
      <c r="K112" s="185" t="str">
        <f t="shared" si="34"/>
        <v/>
      </c>
      <c r="L112" s="185" t="str">
        <f t="shared" si="35"/>
        <v/>
      </c>
      <c r="M112" s="76" t="str">
        <f t="shared" si="36"/>
        <v/>
      </c>
      <c r="N112" s="26">
        <f t="shared" si="37"/>
        <v>0</v>
      </c>
      <c r="O112" s="235">
        <f t="shared" si="38"/>
        <v>0</v>
      </c>
      <c r="P112" s="235">
        <f t="shared" si="39"/>
        <v>0</v>
      </c>
      <c r="Q112" s="206">
        <f t="shared" si="40"/>
        <v>0</v>
      </c>
      <c r="R112" s="206">
        <f t="shared" si="29"/>
        <v>0</v>
      </c>
      <c r="S112" s="206">
        <f t="shared" si="30"/>
        <v>0</v>
      </c>
      <c r="T112" s="206">
        <f t="shared" si="31"/>
        <v>0</v>
      </c>
      <c r="U112" s="206">
        <f t="shared" si="31"/>
        <v>0</v>
      </c>
      <c r="V112" s="207" t="str">
        <f t="shared" si="32"/>
        <v/>
      </c>
    </row>
    <row r="113" spans="7:22" x14ac:dyDescent="0.3">
      <c r="G113" s="77"/>
      <c r="J113" s="185" t="str">
        <f t="shared" si="33"/>
        <v/>
      </c>
      <c r="K113" s="185" t="str">
        <f t="shared" si="34"/>
        <v/>
      </c>
      <c r="L113" s="185" t="str">
        <f t="shared" si="35"/>
        <v/>
      </c>
      <c r="M113" s="76" t="str">
        <f t="shared" si="36"/>
        <v/>
      </c>
      <c r="N113" s="26">
        <f t="shared" si="37"/>
        <v>0</v>
      </c>
      <c r="O113" s="235">
        <f t="shared" si="38"/>
        <v>0</v>
      </c>
      <c r="P113" s="235">
        <f t="shared" si="39"/>
        <v>0</v>
      </c>
      <c r="Q113" s="206">
        <f t="shared" si="40"/>
        <v>0</v>
      </c>
      <c r="R113" s="206">
        <f t="shared" si="29"/>
        <v>0</v>
      </c>
      <c r="S113" s="206">
        <f t="shared" si="30"/>
        <v>0</v>
      </c>
      <c r="T113" s="206">
        <f t="shared" si="31"/>
        <v>0</v>
      </c>
      <c r="U113" s="206">
        <f t="shared" si="31"/>
        <v>0</v>
      </c>
      <c r="V113" s="207" t="str">
        <f t="shared" si="32"/>
        <v/>
      </c>
    </row>
    <row r="114" spans="7:22" x14ac:dyDescent="0.3">
      <c r="G114" s="77"/>
      <c r="J114" s="185" t="str">
        <f t="shared" si="33"/>
        <v/>
      </c>
      <c r="K114" s="185" t="str">
        <f t="shared" si="34"/>
        <v/>
      </c>
      <c r="L114" s="185" t="str">
        <f t="shared" si="35"/>
        <v/>
      </c>
      <c r="M114" s="76" t="str">
        <f t="shared" si="36"/>
        <v/>
      </c>
      <c r="N114" s="26">
        <f t="shared" si="37"/>
        <v>0</v>
      </c>
      <c r="O114" s="235">
        <f t="shared" si="38"/>
        <v>0</v>
      </c>
      <c r="P114" s="235">
        <f t="shared" si="39"/>
        <v>0</v>
      </c>
      <c r="Q114" s="206">
        <f t="shared" si="40"/>
        <v>0</v>
      </c>
      <c r="R114" s="206">
        <f t="shared" si="29"/>
        <v>0</v>
      </c>
      <c r="S114" s="206">
        <f t="shared" si="30"/>
        <v>0</v>
      </c>
      <c r="T114" s="206">
        <f t="shared" si="31"/>
        <v>0</v>
      </c>
      <c r="U114" s="206">
        <f t="shared" si="31"/>
        <v>0</v>
      </c>
      <c r="V114" s="207" t="str">
        <f t="shared" si="32"/>
        <v/>
      </c>
    </row>
    <row r="115" spans="7:22" x14ac:dyDescent="0.3">
      <c r="G115" s="77"/>
      <c r="J115" s="185" t="str">
        <f t="shared" si="33"/>
        <v/>
      </c>
      <c r="K115" s="185" t="str">
        <f t="shared" si="34"/>
        <v/>
      </c>
      <c r="L115" s="185" t="str">
        <f t="shared" si="35"/>
        <v/>
      </c>
      <c r="M115" s="76" t="str">
        <f t="shared" si="36"/>
        <v/>
      </c>
      <c r="N115" s="26">
        <f t="shared" si="37"/>
        <v>0</v>
      </c>
      <c r="O115" s="235">
        <f t="shared" si="38"/>
        <v>0</v>
      </c>
      <c r="P115" s="235">
        <f t="shared" si="39"/>
        <v>0</v>
      </c>
      <c r="Q115" s="206">
        <f t="shared" si="40"/>
        <v>0</v>
      </c>
      <c r="R115" s="206">
        <f t="shared" si="29"/>
        <v>0</v>
      </c>
      <c r="S115" s="206">
        <f t="shared" si="30"/>
        <v>0</v>
      </c>
      <c r="T115" s="206">
        <f t="shared" si="31"/>
        <v>0</v>
      </c>
      <c r="U115" s="206">
        <f t="shared" si="31"/>
        <v>0</v>
      </c>
      <c r="V115" s="207" t="str">
        <f t="shared" si="32"/>
        <v/>
      </c>
    </row>
    <row r="116" spans="7:22" x14ac:dyDescent="0.3">
      <c r="G116" s="77"/>
      <c r="J116" s="185" t="str">
        <f t="shared" si="33"/>
        <v/>
      </c>
      <c r="K116" s="185" t="str">
        <f t="shared" si="34"/>
        <v/>
      </c>
      <c r="L116" s="185" t="str">
        <f t="shared" si="35"/>
        <v/>
      </c>
      <c r="M116" s="76" t="str">
        <f t="shared" si="36"/>
        <v/>
      </c>
      <c r="N116" s="26">
        <f t="shared" si="37"/>
        <v>0</v>
      </c>
      <c r="O116" s="235">
        <f t="shared" si="38"/>
        <v>0</v>
      </c>
      <c r="P116" s="235">
        <f t="shared" si="39"/>
        <v>0</v>
      </c>
      <c r="Q116" s="206">
        <f t="shared" si="40"/>
        <v>0</v>
      </c>
      <c r="R116" s="206">
        <f t="shared" si="29"/>
        <v>0</v>
      </c>
      <c r="S116" s="206">
        <f t="shared" si="30"/>
        <v>0</v>
      </c>
      <c r="T116" s="206">
        <f t="shared" si="31"/>
        <v>0</v>
      </c>
      <c r="U116" s="206">
        <f t="shared" si="31"/>
        <v>0</v>
      </c>
      <c r="V116" s="207" t="str">
        <f t="shared" si="32"/>
        <v/>
      </c>
    </row>
    <row r="117" spans="7:22" x14ac:dyDescent="0.3">
      <c r="G117" s="77"/>
      <c r="J117" s="185" t="str">
        <f t="shared" si="33"/>
        <v/>
      </c>
      <c r="K117" s="185" t="str">
        <f t="shared" si="34"/>
        <v/>
      </c>
      <c r="L117" s="185" t="str">
        <f t="shared" si="35"/>
        <v/>
      </c>
      <c r="M117" s="76" t="str">
        <f t="shared" si="36"/>
        <v/>
      </c>
      <c r="N117" s="26">
        <f t="shared" si="37"/>
        <v>0</v>
      </c>
      <c r="O117" s="235">
        <f t="shared" si="38"/>
        <v>0</v>
      </c>
      <c r="P117" s="235">
        <f t="shared" si="39"/>
        <v>0</v>
      </c>
      <c r="Q117" s="206">
        <f t="shared" si="40"/>
        <v>0</v>
      </c>
      <c r="R117" s="206">
        <f t="shared" si="29"/>
        <v>0</v>
      </c>
      <c r="S117" s="206">
        <f t="shared" si="30"/>
        <v>0</v>
      </c>
      <c r="T117" s="206">
        <f t="shared" si="31"/>
        <v>0</v>
      </c>
      <c r="U117" s="206">
        <f t="shared" si="31"/>
        <v>0</v>
      </c>
      <c r="V117" s="207" t="str">
        <f t="shared" si="32"/>
        <v/>
      </c>
    </row>
    <row r="118" spans="7:22" x14ac:dyDescent="0.3">
      <c r="G118" s="77"/>
      <c r="J118" s="185" t="str">
        <f t="shared" si="33"/>
        <v/>
      </c>
      <c r="K118" s="185" t="str">
        <f t="shared" si="34"/>
        <v/>
      </c>
      <c r="L118" s="185" t="str">
        <f t="shared" si="35"/>
        <v/>
      </c>
      <c r="M118" s="76" t="str">
        <f t="shared" si="36"/>
        <v/>
      </c>
      <c r="N118" s="26">
        <f t="shared" si="37"/>
        <v>0</v>
      </c>
      <c r="O118" s="235">
        <f t="shared" si="38"/>
        <v>0</v>
      </c>
      <c r="P118" s="235">
        <f t="shared" si="39"/>
        <v>0</v>
      </c>
      <c r="Q118" s="206">
        <f t="shared" si="40"/>
        <v>0</v>
      </c>
      <c r="R118" s="206">
        <f t="shared" si="29"/>
        <v>0</v>
      </c>
      <c r="S118" s="206">
        <f t="shared" si="30"/>
        <v>0</v>
      </c>
      <c r="T118" s="206">
        <f t="shared" si="31"/>
        <v>0</v>
      </c>
      <c r="U118" s="206">
        <f t="shared" si="31"/>
        <v>0</v>
      </c>
      <c r="V118" s="207" t="str">
        <f t="shared" si="32"/>
        <v/>
      </c>
    </row>
    <row r="119" spans="7:22" x14ac:dyDescent="0.3">
      <c r="G119" s="77"/>
      <c r="J119" s="185" t="str">
        <f t="shared" si="33"/>
        <v/>
      </c>
      <c r="K119" s="185" t="str">
        <f t="shared" si="34"/>
        <v/>
      </c>
      <c r="L119" s="185" t="str">
        <f t="shared" si="35"/>
        <v/>
      </c>
      <c r="M119" s="76" t="str">
        <f t="shared" si="36"/>
        <v/>
      </c>
      <c r="N119" s="26">
        <f t="shared" si="37"/>
        <v>0</v>
      </c>
      <c r="O119" s="235">
        <f t="shared" si="38"/>
        <v>0</v>
      </c>
      <c r="P119" s="235">
        <f t="shared" si="39"/>
        <v>0</v>
      </c>
      <c r="Q119" s="206">
        <f t="shared" si="40"/>
        <v>0</v>
      </c>
      <c r="R119" s="206">
        <f t="shared" si="29"/>
        <v>0</v>
      </c>
      <c r="S119" s="206">
        <f t="shared" si="30"/>
        <v>0</v>
      </c>
      <c r="T119" s="206">
        <f t="shared" si="31"/>
        <v>0</v>
      </c>
      <c r="U119" s="206">
        <f t="shared" si="31"/>
        <v>0</v>
      </c>
      <c r="V119" s="207" t="str">
        <f t="shared" si="32"/>
        <v/>
      </c>
    </row>
    <row r="120" spans="7:22" x14ac:dyDescent="0.3">
      <c r="G120" s="77"/>
      <c r="J120" s="185" t="str">
        <f t="shared" si="33"/>
        <v/>
      </c>
      <c r="K120" s="185" t="str">
        <f t="shared" si="34"/>
        <v/>
      </c>
      <c r="L120" s="185" t="str">
        <f t="shared" si="35"/>
        <v/>
      </c>
      <c r="M120" s="76" t="str">
        <f t="shared" si="36"/>
        <v/>
      </c>
      <c r="N120" s="26">
        <f t="shared" si="37"/>
        <v>0</v>
      </c>
      <c r="O120" s="235">
        <f t="shared" si="38"/>
        <v>0</v>
      </c>
      <c r="P120" s="235">
        <f t="shared" si="39"/>
        <v>0</v>
      </c>
      <c r="Q120" s="206">
        <f t="shared" si="40"/>
        <v>0</v>
      </c>
      <c r="R120" s="206">
        <f t="shared" si="29"/>
        <v>0</v>
      </c>
      <c r="S120" s="206">
        <f t="shared" si="30"/>
        <v>0</v>
      </c>
      <c r="T120" s="206">
        <f t="shared" si="31"/>
        <v>0</v>
      </c>
      <c r="U120" s="206">
        <f t="shared" si="31"/>
        <v>0</v>
      </c>
      <c r="V120" s="207" t="str">
        <f t="shared" si="32"/>
        <v/>
      </c>
    </row>
    <row r="121" spans="7:22" x14ac:dyDescent="0.3">
      <c r="G121" s="77"/>
      <c r="J121" s="185" t="str">
        <f t="shared" si="33"/>
        <v/>
      </c>
      <c r="K121" s="185" t="str">
        <f t="shared" si="34"/>
        <v/>
      </c>
      <c r="L121" s="185" t="str">
        <f t="shared" si="35"/>
        <v/>
      </c>
      <c r="M121" s="76" t="str">
        <f t="shared" si="36"/>
        <v/>
      </c>
      <c r="N121" s="26">
        <f t="shared" si="37"/>
        <v>0</v>
      </c>
      <c r="O121" s="235">
        <f t="shared" si="38"/>
        <v>0</v>
      </c>
      <c r="P121" s="235">
        <f t="shared" si="39"/>
        <v>0</v>
      </c>
      <c r="Q121" s="206">
        <f t="shared" si="40"/>
        <v>0</v>
      </c>
      <c r="R121" s="206">
        <f t="shared" si="29"/>
        <v>0</v>
      </c>
      <c r="S121" s="206">
        <f t="shared" si="30"/>
        <v>0</v>
      </c>
      <c r="T121" s="206">
        <f t="shared" si="31"/>
        <v>0</v>
      </c>
      <c r="U121" s="206">
        <f t="shared" si="31"/>
        <v>0</v>
      </c>
      <c r="V121" s="207" t="str">
        <f t="shared" si="32"/>
        <v/>
      </c>
    </row>
    <row r="122" spans="7:22" x14ac:dyDescent="0.3">
      <c r="G122" s="77"/>
      <c r="J122" s="185" t="str">
        <f t="shared" si="33"/>
        <v/>
      </c>
      <c r="K122" s="185" t="str">
        <f t="shared" si="34"/>
        <v/>
      </c>
      <c r="L122" s="185" t="str">
        <f t="shared" si="35"/>
        <v/>
      </c>
      <c r="M122" s="76" t="str">
        <f t="shared" si="36"/>
        <v/>
      </c>
      <c r="N122" s="26">
        <f t="shared" si="37"/>
        <v>0</v>
      </c>
      <c r="O122" s="235">
        <f t="shared" si="38"/>
        <v>0</v>
      </c>
      <c r="P122" s="235">
        <f t="shared" si="39"/>
        <v>0</v>
      </c>
      <c r="Q122" s="206">
        <f t="shared" si="40"/>
        <v>0</v>
      </c>
      <c r="R122" s="206">
        <f t="shared" si="29"/>
        <v>0</v>
      </c>
      <c r="S122" s="206">
        <f t="shared" si="30"/>
        <v>0</v>
      </c>
      <c r="T122" s="206">
        <f t="shared" si="31"/>
        <v>0</v>
      </c>
      <c r="U122" s="206">
        <f t="shared" si="31"/>
        <v>0</v>
      </c>
      <c r="V122" s="207" t="str">
        <f t="shared" si="32"/>
        <v/>
      </c>
    </row>
    <row r="123" spans="7:22" x14ac:dyDescent="0.3">
      <c r="G123" s="77"/>
      <c r="J123" s="185" t="str">
        <f t="shared" si="33"/>
        <v/>
      </c>
      <c r="K123" s="185" t="str">
        <f t="shared" si="34"/>
        <v/>
      </c>
      <c r="L123" s="185" t="str">
        <f t="shared" si="35"/>
        <v/>
      </c>
      <c r="M123" s="76" t="str">
        <f t="shared" si="36"/>
        <v/>
      </c>
      <c r="N123" s="26">
        <f t="shared" si="37"/>
        <v>0</v>
      </c>
      <c r="O123" s="235">
        <f t="shared" si="38"/>
        <v>0</v>
      </c>
      <c r="P123" s="235">
        <f t="shared" si="39"/>
        <v>0</v>
      </c>
      <c r="Q123" s="206">
        <f t="shared" si="40"/>
        <v>0</v>
      </c>
      <c r="R123" s="206">
        <f t="shared" si="29"/>
        <v>0</v>
      </c>
      <c r="S123" s="206">
        <f t="shared" si="30"/>
        <v>0</v>
      </c>
      <c r="T123" s="206">
        <f t="shared" si="31"/>
        <v>0</v>
      </c>
      <c r="U123" s="206">
        <f t="shared" si="31"/>
        <v>0</v>
      </c>
      <c r="V123" s="207" t="str">
        <f t="shared" si="32"/>
        <v/>
      </c>
    </row>
    <row r="124" spans="7:22" x14ac:dyDescent="0.3">
      <c r="G124" s="77"/>
      <c r="J124" s="185" t="str">
        <f t="shared" si="33"/>
        <v/>
      </c>
      <c r="K124" s="185" t="str">
        <f t="shared" si="34"/>
        <v/>
      </c>
      <c r="L124" s="185" t="str">
        <f t="shared" si="35"/>
        <v/>
      </c>
      <c r="M124" s="76" t="str">
        <f t="shared" si="36"/>
        <v/>
      </c>
      <c r="N124" s="26">
        <f t="shared" si="37"/>
        <v>0</v>
      </c>
      <c r="O124" s="235">
        <f t="shared" si="38"/>
        <v>0</v>
      </c>
      <c r="P124" s="235">
        <f t="shared" si="39"/>
        <v>0</v>
      </c>
      <c r="Q124" s="206">
        <f t="shared" si="40"/>
        <v>0</v>
      </c>
      <c r="R124" s="206">
        <f t="shared" si="29"/>
        <v>0</v>
      </c>
      <c r="S124" s="206">
        <f t="shared" si="30"/>
        <v>0</v>
      </c>
      <c r="T124" s="206">
        <f t="shared" si="31"/>
        <v>0</v>
      </c>
      <c r="U124" s="206">
        <f t="shared" si="31"/>
        <v>0</v>
      </c>
      <c r="V124" s="207" t="str">
        <f t="shared" si="32"/>
        <v/>
      </c>
    </row>
    <row r="125" spans="7:22" x14ac:dyDescent="0.3">
      <c r="G125" s="77"/>
      <c r="J125" s="185" t="str">
        <f t="shared" si="33"/>
        <v/>
      </c>
      <c r="K125" s="185" t="str">
        <f t="shared" si="34"/>
        <v/>
      </c>
      <c r="L125" s="185" t="str">
        <f t="shared" si="35"/>
        <v/>
      </c>
      <c r="M125" s="76" t="str">
        <f t="shared" si="36"/>
        <v/>
      </c>
      <c r="N125" s="26">
        <f t="shared" si="37"/>
        <v>0</v>
      </c>
      <c r="O125" s="235">
        <f t="shared" si="38"/>
        <v>0</v>
      </c>
      <c r="P125" s="235">
        <f t="shared" si="39"/>
        <v>0</v>
      </c>
      <c r="Q125" s="206">
        <f t="shared" si="40"/>
        <v>0</v>
      </c>
      <c r="R125" s="206">
        <f t="shared" si="29"/>
        <v>0</v>
      </c>
      <c r="S125" s="206">
        <f t="shared" si="30"/>
        <v>0</v>
      </c>
      <c r="T125" s="206">
        <f t="shared" si="31"/>
        <v>0</v>
      </c>
      <c r="U125" s="206">
        <f t="shared" si="31"/>
        <v>0</v>
      </c>
      <c r="V125" s="207" t="str">
        <f t="shared" si="32"/>
        <v/>
      </c>
    </row>
    <row r="126" spans="7:22" x14ac:dyDescent="0.3">
      <c r="G126" s="77"/>
      <c r="J126" s="185" t="str">
        <f t="shared" si="33"/>
        <v/>
      </c>
      <c r="K126" s="185" t="str">
        <f t="shared" si="34"/>
        <v/>
      </c>
      <c r="L126" s="185" t="str">
        <f t="shared" si="35"/>
        <v/>
      </c>
      <c r="M126" s="76" t="str">
        <f t="shared" si="36"/>
        <v/>
      </c>
      <c r="N126" s="26">
        <f t="shared" si="37"/>
        <v>0</v>
      </c>
      <c r="O126" s="235">
        <f t="shared" si="38"/>
        <v>0</v>
      </c>
      <c r="P126" s="235">
        <f t="shared" si="39"/>
        <v>0</v>
      </c>
      <c r="Q126" s="206">
        <f t="shared" si="40"/>
        <v>0</v>
      </c>
      <c r="R126" s="206">
        <f t="shared" si="29"/>
        <v>0</v>
      </c>
      <c r="S126" s="206">
        <f t="shared" si="30"/>
        <v>0</v>
      </c>
      <c r="T126" s="206">
        <f t="shared" si="31"/>
        <v>0</v>
      </c>
      <c r="U126" s="206">
        <f t="shared" si="31"/>
        <v>0</v>
      </c>
      <c r="V126" s="207" t="str">
        <f t="shared" si="32"/>
        <v/>
      </c>
    </row>
    <row r="127" spans="7:22" x14ac:dyDescent="0.3">
      <c r="G127" s="77"/>
      <c r="J127" s="185" t="str">
        <f t="shared" si="33"/>
        <v/>
      </c>
      <c r="K127" s="185" t="str">
        <f t="shared" si="34"/>
        <v/>
      </c>
      <c r="L127" s="185" t="str">
        <f t="shared" si="35"/>
        <v/>
      </c>
      <c r="M127" s="76" t="str">
        <f t="shared" si="36"/>
        <v/>
      </c>
      <c r="N127" s="26">
        <f t="shared" si="37"/>
        <v>0</v>
      </c>
      <c r="O127" s="235">
        <f t="shared" si="38"/>
        <v>0</v>
      </c>
      <c r="P127" s="235">
        <f t="shared" si="39"/>
        <v>0</v>
      </c>
      <c r="Q127" s="206">
        <f t="shared" si="40"/>
        <v>0</v>
      </c>
      <c r="R127" s="206">
        <f t="shared" si="29"/>
        <v>0</v>
      </c>
      <c r="S127" s="206">
        <f t="shared" si="30"/>
        <v>0</v>
      </c>
      <c r="T127" s="206">
        <f t="shared" si="31"/>
        <v>0</v>
      </c>
      <c r="U127" s="206">
        <f t="shared" si="31"/>
        <v>0</v>
      </c>
      <c r="V127" s="207" t="str">
        <f t="shared" si="32"/>
        <v/>
      </c>
    </row>
    <row r="128" spans="7:22" x14ac:dyDescent="0.3">
      <c r="G128" s="77"/>
      <c r="J128" s="185" t="str">
        <f t="shared" si="33"/>
        <v/>
      </c>
      <c r="K128" s="185" t="str">
        <f t="shared" si="34"/>
        <v/>
      </c>
      <c r="L128" s="185" t="str">
        <f t="shared" si="35"/>
        <v/>
      </c>
      <c r="M128" s="76" t="str">
        <f t="shared" si="36"/>
        <v/>
      </c>
      <c r="N128" s="26">
        <f t="shared" si="37"/>
        <v>0</v>
      </c>
      <c r="O128" s="235">
        <f t="shared" si="38"/>
        <v>0</v>
      </c>
      <c r="P128" s="235">
        <f t="shared" si="39"/>
        <v>0</v>
      </c>
      <c r="Q128" s="206">
        <f t="shared" si="40"/>
        <v>0</v>
      </c>
      <c r="R128" s="206">
        <f t="shared" si="29"/>
        <v>0</v>
      </c>
      <c r="S128" s="206">
        <f t="shared" si="30"/>
        <v>0</v>
      </c>
      <c r="T128" s="206">
        <f t="shared" si="31"/>
        <v>0</v>
      </c>
      <c r="U128" s="206">
        <f t="shared" si="31"/>
        <v>0</v>
      </c>
      <c r="V128" s="207" t="str">
        <f t="shared" si="32"/>
        <v/>
      </c>
    </row>
    <row r="129" spans="7:22" x14ac:dyDescent="0.3">
      <c r="G129" s="77"/>
      <c r="J129" s="185" t="str">
        <f t="shared" si="33"/>
        <v/>
      </c>
      <c r="K129" s="185" t="str">
        <f t="shared" si="34"/>
        <v/>
      </c>
      <c r="L129" s="185" t="str">
        <f t="shared" si="35"/>
        <v/>
      </c>
      <c r="M129" s="76" t="str">
        <f t="shared" si="36"/>
        <v/>
      </c>
      <c r="N129" s="26">
        <f t="shared" si="37"/>
        <v>0</v>
      </c>
      <c r="O129" s="235">
        <f t="shared" si="38"/>
        <v>0</v>
      </c>
      <c r="P129" s="235">
        <f t="shared" si="39"/>
        <v>0</v>
      </c>
      <c r="Q129" s="206">
        <f t="shared" si="40"/>
        <v>0</v>
      </c>
      <c r="R129" s="206">
        <f t="shared" si="29"/>
        <v>0</v>
      </c>
      <c r="S129" s="206">
        <f t="shared" si="30"/>
        <v>0</v>
      </c>
      <c r="T129" s="206">
        <f t="shared" si="31"/>
        <v>0</v>
      </c>
      <c r="U129" s="206">
        <f t="shared" si="31"/>
        <v>0</v>
      </c>
      <c r="V129" s="207" t="str">
        <f t="shared" si="32"/>
        <v/>
      </c>
    </row>
    <row r="130" spans="7:22" x14ac:dyDescent="0.3">
      <c r="G130" s="77"/>
      <c r="J130" s="185" t="str">
        <f t="shared" si="33"/>
        <v/>
      </c>
      <c r="K130" s="185" t="str">
        <f t="shared" si="34"/>
        <v/>
      </c>
      <c r="L130" s="185" t="str">
        <f t="shared" si="35"/>
        <v/>
      </c>
      <c r="M130" s="76" t="str">
        <f t="shared" si="36"/>
        <v/>
      </c>
      <c r="N130" s="26">
        <f t="shared" si="37"/>
        <v>0</v>
      </c>
      <c r="O130" s="235">
        <f t="shared" si="38"/>
        <v>0</v>
      </c>
      <c r="P130" s="235">
        <f t="shared" si="39"/>
        <v>0</v>
      </c>
      <c r="Q130" s="206">
        <f t="shared" si="40"/>
        <v>0</v>
      </c>
      <c r="R130" s="206">
        <f t="shared" si="29"/>
        <v>0</v>
      </c>
      <c r="S130" s="206">
        <f t="shared" si="30"/>
        <v>0</v>
      </c>
      <c r="T130" s="206">
        <f t="shared" si="31"/>
        <v>0</v>
      </c>
      <c r="U130" s="206">
        <f t="shared" si="31"/>
        <v>0</v>
      </c>
      <c r="V130" s="207" t="str">
        <f t="shared" si="32"/>
        <v/>
      </c>
    </row>
    <row r="131" spans="7:22" x14ac:dyDescent="0.3">
      <c r="G131" s="77"/>
      <c r="J131" s="185" t="str">
        <f t="shared" si="33"/>
        <v/>
      </c>
      <c r="K131" s="185" t="str">
        <f t="shared" si="34"/>
        <v/>
      </c>
      <c r="L131" s="185" t="str">
        <f t="shared" si="35"/>
        <v/>
      </c>
      <c r="M131" s="76" t="str">
        <f t="shared" si="36"/>
        <v/>
      </c>
      <c r="N131" s="26">
        <f t="shared" si="37"/>
        <v>0</v>
      </c>
      <c r="O131" s="235">
        <f t="shared" si="38"/>
        <v>0</v>
      </c>
      <c r="P131" s="235">
        <f t="shared" si="39"/>
        <v>0</v>
      </c>
      <c r="Q131" s="206">
        <f t="shared" si="40"/>
        <v>0</v>
      </c>
      <c r="R131" s="206">
        <f t="shared" si="29"/>
        <v>0</v>
      </c>
      <c r="S131" s="206">
        <f t="shared" si="30"/>
        <v>0</v>
      </c>
      <c r="T131" s="206">
        <f t="shared" si="31"/>
        <v>0</v>
      </c>
      <c r="U131" s="206">
        <f t="shared" si="31"/>
        <v>0</v>
      </c>
      <c r="V131" s="207" t="str">
        <f t="shared" si="32"/>
        <v/>
      </c>
    </row>
    <row r="132" spans="7:22" x14ac:dyDescent="0.3">
      <c r="G132" s="77"/>
      <c r="J132" s="185" t="str">
        <f t="shared" si="33"/>
        <v/>
      </c>
      <c r="K132" s="185" t="str">
        <f t="shared" si="34"/>
        <v/>
      </c>
      <c r="L132" s="185" t="str">
        <f t="shared" si="35"/>
        <v/>
      </c>
      <c r="M132" s="76" t="str">
        <f t="shared" si="36"/>
        <v/>
      </c>
      <c r="N132" s="26">
        <f t="shared" si="37"/>
        <v>0</v>
      </c>
      <c r="O132" s="235">
        <f t="shared" si="38"/>
        <v>0</v>
      </c>
      <c r="P132" s="235">
        <f t="shared" si="39"/>
        <v>0</v>
      </c>
      <c r="Q132" s="206">
        <f t="shared" si="40"/>
        <v>0</v>
      </c>
      <c r="R132" s="206">
        <f t="shared" si="29"/>
        <v>0</v>
      </c>
      <c r="S132" s="206">
        <f t="shared" si="30"/>
        <v>0</v>
      </c>
      <c r="T132" s="206">
        <f t="shared" si="31"/>
        <v>0</v>
      </c>
      <c r="U132" s="206">
        <f t="shared" si="31"/>
        <v>0</v>
      </c>
      <c r="V132" s="207" t="str">
        <f t="shared" si="32"/>
        <v/>
      </c>
    </row>
    <row r="133" spans="7:22" x14ac:dyDescent="0.3">
      <c r="G133" s="77"/>
      <c r="J133" s="185" t="str">
        <f t="shared" si="33"/>
        <v/>
      </c>
      <c r="K133" s="185" t="str">
        <f t="shared" si="34"/>
        <v/>
      </c>
      <c r="L133" s="185" t="str">
        <f t="shared" si="35"/>
        <v/>
      </c>
      <c r="M133" s="76" t="str">
        <f t="shared" si="36"/>
        <v/>
      </c>
      <c r="N133" s="26">
        <f t="shared" si="37"/>
        <v>0</v>
      </c>
      <c r="O133" s="235">
        <f t="shared" si="38"/>
        <v>0</v>
      </c>
      <c r="P133" s="235">
        <f t="shared" si="39"/>
        <v>0</v>
      </c>
      <c r="Q133" s="206">
        <f t="shared" si="40"/>
        <v>0</v>
      </c>
      <c r="R133" s="206">
        <f t="shared" si="29"/>
        <v>0</v>
      </c>
      <c r="S133" s="206">
        <f t="shared" si="30"/>
        <v>0</v>
      </c>
      <c r="T133" s="206">
        <f t="shared" si="31"/>
        <v>0</v>
      </c>
      <c r="U133" s="206">
        <f t="shared" si="31"/>
        <v>0</v>
      </c>
      <c r="V133" s="207" t="str">
        <f t="shared" si="32"/>
        <v/>
      </c>
    </row>
    <row r="134" spans="7:22" x14ac:dyDescent="0.3">
      <c r="G134" s="77"/>
      <c r="J134" s="185" t="str">
        <f t="shared" si="33"/>
        <v/>
      </c>
      <c r="K134" s="185" t="str">
        <f t="shared" si="34"/>
        <v/>
      </c>
      <c r="L134" s="185" t="str">
        <f t="shared" si="35"/>
        <v/>
      </c>
      <c r="M134" s="76" t="str">
        <f t="shared" si="36"/>
        <v/>
      </c>
      <c r="N134" s="26">
        <f t="shared" si="37"/>
        <v>0</v>
      </c>
      <c r="O134" s="235">
        <f t="shared" si="38"/>
        <v>0</v>
      </c>
      <c r="P134" s="235">
        <f t="shared" si="39"/>
        <v>0</v>
      </c>
      <c r="Q134" s="206">
        <f t="shared" si="40"/>
        <v>0</v>
      </c>
      <c r="R134" s="206">
        <f t="shared" si="29"/>
        <v>0</v>
      </c>
      <c r="S134" s="206">
        <f t="shared" si="30"/>
        <v>0</v>
      </c>
      <c r="T134" s="206">
        <f t="shared" si="31"/>
        <v>0</v>
      </c>
      <c r="U134" s="206">
        <f t="shared" si="31"/>
        <v>0</v>
      </c>
      <c r="V134" s="207" t="str">
        <f t="shared" si="32"/>
        <v/>
      </c>
    </row>
    <row r="135" spans="7:22" x14ac:dyDescent="0.3">
      <c r="G135" s="77"/>
      <c r="J135" s="185" t="str">
        <f t="shared" si="33"/>
        <v/>
      </c>
      <c r="K135" s="185" t="str">
        <f t="shared" si="34"/>
        <v/>
      </c>
      <c r="L135" s="185" t="str">
        <f t="shared" si="35"/>
        <v/>
      </c>
      <c r="M135" s="76" t="str">
        <f t="shared" si="36"/>
        <v/>
      </c>
      <c r="N135" s="26">
        <f t="shared" si="37"/>
        <v>0</v>
      </c>
      <c r="O135" s="235">
        <f t="shared" si="38"/>
        <v>0</v>
      </c>
      <c r="P135" s="235">
        <f t="shared" si="39"/>
        <v>0</v>
      </c>
      <c r="Q135" s="206">
        <f t="shared" si="40"/>
        <v>0</v>
      </c>
      <c r="R135" s="206">
        <f t="shared" si="29"/>
        <v>0</v>
      </c>
      <c r="S135" s="206">
        <f t="shared" si="30"/>
        <v>0</v>
      </c>
      <c r="T135" s="206">
        <f t="shared" si="31"/>
        <v>0</v>
      </c>
      <c r="U135" s="206">
        <f t="shared" si="31"/>
        <v>0</v>
      </c>
      <c r="V135" s="207" t="str">
        <f t="shared" si="32"/>
        <v/>
      </c>
    </row>
    <row r="136" spans="7:22" x14ac:dyDescent="0.3">
      <c r="G136" s="77"/>
      <c r="J136" s="185" t="str">
        <f t="shared" si="33"/>
        <v/>
      </c>
      <c r="K136" s="185" t="str">
        <f t="shared" si="34"/>
        <v/>
      </c>
      <c r="L136" s="185" t="str">
        <f t="shared" si="35"/>
        <v/>
      </c>
      <c r="M136" s="76" t="str">
        <f t="shared" si="36"/>
        <v/>
      </c>
      <c r="N136" s="26">
        <f t="shared" si="37"/>
        <v>0</v>
      </c>
      <c r="O136" s="235">
        <f t="shared" si="38"/>
        <v>0</v>
      </c>
      <c r="P136" s="235">
        <f t="shared" si="39"/>
        <v>0</v>
      </c>
      <c r="Q136" s="206">
        <f t="shared" si="40"/>
        <v>0</v>
      </c>
      <c r="R136" s="206">
        <f t="shared" si="29"/>
        <v>0</v>
      </c>
      <c r="S136" s="206">
        <f t="shared" si="30"/>
        <v>0</v>
      </c>
      <c r="T136" s="206">
        <f t="shared" si="31"/>
        <v>0</v>
      </c>
      <c r="U136" s="206">
        <f t="shared" si="31"/>
        <v>0</v>
      </c>
      <c r="V136" s="207" t="str">
        <f t="shared" si="32"/>
        <v/>
      </c>
    </row>
    <row r="137" spans="7:22" x14ac:dyDescent="0.3">
      <c r="G137" s="77"/>
      <c r="J137" s="185" t="str">
        <f t="shared" si="33"/>
        <v/>
      </c>
      <c r="K137" s="185" t="str">
        <f t="shared" si="34"/>
        <v/>
      </c>
      <c r="L137" s="185" t="str">
        <f t="shared" si="35"/>
        <v/>
      </c>
      <c r="M137" s="76" t="str">
        <f t="shared" si="36"/>
        <v/>
      </c>
      <c r="N137" s="26">
        <f t="shared" si="37"/>
        <v>0</v>
      </c>
      <c r="O137" s="235">
        <f t="shared" si="38"/>
        <v>0</v>
      </c>
      <c r="P137" s="235">
        <f t="shared" si="39"/>
        <v>0</v>
      </c>
      <c r="Q137" s="206">
        <f t="shared" si="40"/>
        <v>0</v>
      </c>
      <c r="R137" s="206">
        <f t="shared" si="29"/>
        <v>0</v>
      </c>
      <c r="S137" s="206">
        <f t="shared" si="30"/>
        <v>0</v>
      </c>
      <c r="T137" s="206">
        <f t="shared" si="31"/>
        <v>0</v>
      </c>
      <c r="U137" s="206">
        <f t="shared" si="31"/>
        <v>0</v>
      </c>
      <c r="V137" s="207" t="str">
        <f t="shared" si="32"/>
        <v/>
      </c>
    </row>
    <row r="138" spans="7:22" x14ac:dyDescent="0.3">
      <c r="G138" s="77"/>
      <c r="J138" s="185" t="str">
        <f t="shared" si="33"/>
        <v/>
      </c>
      <c r="K138" s="185" t="str">
        <f t="shared" si="34"/>
        <v/>
      </c>
      <c r="L138" s="185" t="str">
        <f t="shared" si="35"/>
        <v/>
      </c>
      <c r="M138" s="76" t="str">
        <f t="shared" si="36"/>
        <v/>
      </c>
      <c r="N138" s="26">
        <f t="shared" si="37"/>
        <v>0</v>
      </c>
      <c r="O138" s="235">
        <f t="shared" si="38"/>
        <v>0</v>
      </c>
      <c r="P138" s="235">
        <f t="shared" si="39"/>
        <v>0</v>
      </c>
      <c r="Q138" s="206">
        <f t="shared" si="40"/>
        <v>0</v>
      </c>
      <c r="R138" s="206">
        <f t="shared" si="29"/>
        <v>0</v>
      </c>
      <c r="S138" s="206">
        <f t="shared" si="30"/>
        <v>0</v>
      </c>
      <c r="T138" s="206">
        <f t="shared" si="31"/>
        <v>0</v>
      </c>
      <c r="U138" s="206">
        <f t="shared" si="31"/>
        <v>0</v>
      </c>
      <c r="V138" s="207" t="str">
        <f t="shared" si="32"/>
        <v/>
      </c>
    </row>
    <row r="139" spans="7:22" x14ac:dyDescent="0.3">
      <c r="G139" s="77"/>
      <c r="J139" s="185" t="str">
        <f t="shared" si="33"/>
        <v/>
      </c>
      <c r="K139" s="185" t="str">
        <f t="shared" si="34"/>
        <v/>
      </c>
      <c r="L139" s="185" t="str">
        <f t="shared" si="35"/>
        <v/>
      </c>
      <c r="M139" s="76" t="str">
        <f t="shared" si="36"/>
        <v/>
      </c>
      <c r="N139" s="26">
        <f t="shared" si="37"/>
        <v>0</v>
      </c>
      <c r="O139" s="235">
        <f t="shared" si="38"/>
        <v>0</v>
      </c>
      <c r="P139" s="235">
        <f t="shared" si="39"/>
        <v>0</v>
      </c>
      <c r="Q139" s="206">
        <f t="shared" si="40"/>
        <v>0</v>
      </c>
      <c r="R139" s="206">
        <f t="shared" si="29"/>
        <v>0</v>
      </c>
      <c r="S139" s="206">
        <f t="shared" si="30"/>
        <v>0</v>
      </c>
      <c r="T139" s="206">
        <f t="shared" si="31"/>
        <v>0</v>
      </c>
      <c r="U139" s="206">
        <f t="shared" si="31"/>
        <v>0</v>
      </c>
      <c r="V139" s="207" t="str">
        <f t="shared" si="32"/>
        <v/>
      </c>
    </row>
    <row r="140" spans="7:22" x14ac:dyDescent="0.3">
      <c r="G140" s="77"/>
      <c r="J140" s="185" t="str">
        <f t="shared" si="33"/>
        <v/>
      </c>
      <c r="K140" s="185" t="str">
        <f t="shared" si="34"/>
        <v/>
      </c>
      <c r="L140" s="185" t="str">
        <f t="shared" si="35"/>
        <v/>
      </c>
      <c r="M140" s="76" t="str">
        <f t="shared" si="36"/>
        <v/>
      </c>
      <c r="N140" s="26">
        <f t="shared" si="37"/>
        <v>0</v>
      </c>
      <c r="O140" s="235">
        <f t="shared" si="38"/>
        <v>0</v>
      </c>
      <c r="P140" s="235">
        <f t="shared" si="39"/>
        <v>0</v>
      </c>
      <c r="Q140" s="206">
        <f t="shared" si="40"/>
        <v>0</v>
      </c>
      <c r="R140" s="206">
        <f t="shared" si="29"/>
        <v>0</v>
      </c>
      <c r="S140" s="206">
        <f t="shared" si="30"/>
        <v>0</v>
      </c>
      <c r="T140" s="206">
        <f t="shared" si="31"/>
        <v>0</v>
      </c>
      <c r="U140" s="206">
        <f t="shared" si="31"/>
        <v>0</v>
      </c>
      <c r="V140" s="207" t="str">
        <f t="shared" si="32"/>
        <v/>
      </c>
    </row>
    <row r="141" spans="7:22" x14ac:dyDescent="0.3">
      <c r="G141" s="77"/>
      <c r="J141" s="185" t="str">
        <f t="shared" si="33"/>
        <v/>
      </c>
      <c r="K141" s="185" t="str">
        <f t="shared" si="34"/>
        <v/>
      </c>
      <c r="L141" s="185" t="str">
        <f t="shared" si="35"/>
        <v/>
      </c>
      <c r="M141" s="76" t="str">
        <f t="shared" si="36"/>
        <v/>
      </c>
      <c r="N141" s="26">
        <f t="shared" si="37"/>
        <v>0</v>
      </c>
      <c r="O141" s="235">
        <f t="shared" si="38"/>
        <v>0</v>
      </c>
      <c r="P141" s="235">
        <f t="shared" si="39"/>
        <v>0</v>
      </c>
      <c r="Q141" s="206">
        <f t="shared" si="40"/>
        <v>0</v>
      </c>
      <c r="R141" s="206">
        <f t="shared" si="29"/>
        <v>0</v>
      </c>
      <c r="S141" s="206">
        <f t="shared" si="30"/>
        <v>0</v>
      </c>
      <c r="T141" s="206">
        <f t="shared" si="31"/>
        <v>0</v>
      </c>
      <c r="U141" s="206">
        <f t="shared" si="31"/>
        <v>0</v>
      </c>
      <c r="V141" s="207" t="str">
        <f t="shared" si="32"/>
        <v/>
      </c>
    </row>
    <row r="142" spans="7:22" x14ac:dyDescent="0.3">
      <c r="G142" s="77"/>
      <c r="J142" s="185" t="str">
        <f t="shared" si="33"/>
        <v/>
      </c>
      <c r="K142" s="185" t="str">
        <f t="shared" si="34"/>
        <v/>
      </c>
      <c r="L142" s="185" t="str">
        <f t="shared" si="35"/>
        <v/>
      </c>
      <c r="M142" s="76" t="str">
        <f t="shared" si="36"/>
        <v/>
      </c>
      <c r="N142" s="26">
        <f t="shared" si="37"/>
        <v>0</v>
      </c>
      <c r="O142" s="235">
        <f t="shared" si="38"/>
        <v>0</v>
      </c>
      <c r="P142" s="235">
        <f t="shared" si="39"/>
        <v>0</v>
      </c>
      <c r="Q142" s="206">
        <f t="shared" si="40"/>
        <v>0</v>
      </c>
      <c r="R142" s="206">
        <f t="shared" si="29"/>
        <v>0</v>
      </c>
      <c r="S142" s="206">
        <f t="shared" si="30"/>
        <v>0</v>
      </c>
      <c r="T142" s="206">
        <f t="shared" si="31"/>
        <v>0</v>
      </c>
      <c r="U142" s="206">
        <f t="shared" si="31"/>
        <v>0</v>
      </c>
      <c r="V142" s="207" t="str">
        <f t="shared" si="32"/>
        <v/>
      </c>
    </row>
    <row r="143" spans="7:22" x14ac:dyDescent="0.3">
      <c r="G143" s="77"/>
      <c r="J143" s="185" t="str">
        <f t="shared" si="33"/>
        <v/>
      </c>
      <c r="K143" s="185" t="str">
        <f t="shared" si="34"/>
        <v/>
      </c>
      <c r="L143" s="185" t="str">
        <f t="shared" si="35"/>
        <v/>
      </c>
      <c r="M143" s="76" t="str">
        <f t="shared" si="36"/>
        <v/>
      </c>
      <c r="N143" s="26">
        <f t="shared" si="37"/>
        <v>0</v>
      </c>
      <c r="O143" s="235">
        <f t="shared" si="38"/>
        <v>0</v>
      </c>
      <c r="P143" s="235">
        <f t="shared" si="39"/>
        <v>0</v>
      </c>
      <c r="Q143" s="206">
        <f t="shared" si="40"/>
        <v>0</v>
      </c>
      <c r="R143" s="206">
        <f t="shared" si="29"/>
        <v>0</v>
      </c>
      <c r="S143" s="206">
        <f t="shared" si="30"/>
        <v>0</v>
      </c>
      <c r="T143" s="206">
        <f t="shared" si="31"/>
        <v>0</v>
      </c>
      <c r="U143" s="206">
        <f t="shared" si="31"/>
        <v>0</v>
      </c>
      <c r="V143" s="207" t="str">
        <f t="shared" si="32"/>
        <v/>
      </c>
    </row>
    <row r="144" spans="7:22" x14ac:dyDescent="0.3">
      <c r="G144" s="77"/>
      <c r="J144" s="185" t="str">
        <f t="shared" si="33"/>
        <v/>
      </c>
      <c r="K144" s="185" t="str">
        <f t="shared" si="34"/>
        <v/>
      </c>
      <c r="L144" s="185" t="str">
        <f t="shared" si="35"/>
        <v/>
      </c>
      <c r="M144" s="76" t="str">
        <f t="shared" si="36"/>
        <v/>
      </c>
      <c r="N144" s="26">
        <f t="shared" si="37"/>
        <v>0</v>
      </c>
      <c r="O144" s="235">
        <f t="shared" si="38"/>
        <v>0</v>
      </c>
      <c r="P144" s="235">
        <f t="shared" si="39"/>
        <v>0</v>
      </c>
      <c r="Q144" s="206">
        <f t="shared" si="40"/>
        <v>0</v>
      </c>
      <c r="R144" s="206">
        <f t="shared" si="29"/>
        <v>0</v>
      </c>
      <c r="S144" s="206">
        <f t="shared" si="30"/>
        <v>0</v>
      </c>
      <c r="T144" s="206">
        <f t="shared" si="31"/>
        <v>0</v>
      </c>
      <c r="U144" s="206">
        <f t="shared" si="31"/>
        <v>0</v>
      </c>
      <c r="V144" s="207" t="str">
        <f t="shared" si="32"/>
        <v/>
      </c>
    </row>
    <row r="145" spans="1:22" x14ac:dyDescent="0.3">
      <c r="G145" s="77"/>
      <c r="J145" s="185" t="str">
        <f t="shared" si="33"/>
        <v/>
      </c>
      <c r="K145" s="185" t="str">
        <f t="shared" si="34"/>
        <v/>
      </c>
      <c r="L145" s="185" t="str">
        <f t="shared" si="35"/>
        <v/>
      </c>
      <c r="M145" s="76" t="str">
        <f t="shared" si="36"/>
        <v/>
      </c>
      <c r="N145" s="26">
        <f t="shared" si="37"/>
        <v>0</v>
      </c>
      <c r="O145" s="235">
        <f t="shared" si="38"/>
        <v>0</v>
      </c>
      <c r="P145" s="235">
        <f t="shared" si="39"/>
        <v>0</v>
      </c>
      <c r="Q145" s="206">
        <f t="shared" si="40"/>
        <v>0</v>
      </c>
      <c r="R145" s="206">
        <f t="shared" si="29"/>
        <v>0</v>
      </c>
      <c r="S145" s="206">
        <f t="shared" si="30"/>
        <v>0</v>
      </c>
      <c r="T145" s="206">
        <f t="shared" si="31"/>
        <v>0</v>
      </c>
      <c r="U145" s="206">
        <f t="shared" si="31"/>
        <v>0</v>
      </c>
      <c r="V145" s="207" t="str">
        <f t="shared" si="32"/>
        <v/>
      </c>
    </row>
    <row r="146" spans="1:22" x14ac:dyDescent="0.3">
      <c r="G146" s="77"/>
      <c r="J146" s="185" t="str">
        <f t="shared" si="33"/>
        <v/>
      </c>
      <c r="K146" s="185" t="str">
        <f t="shared" si="34"/>
        <v/>
      </c>
      <c r="L146" s="185" t="str">
        <f t="shared" si="35"/>
        <v/>
      </c>
      <c r="M146" s="76" t="str">
        <f t="shared" si="36"/>
        <v/>
      </c>
      <c r="N146" s="26">
        <f t="shared" si="37"/>
        <v>0</v>
      </c>
      <c r="O146" s="235">
        <f t="shared" si="38"/>
        <v>0</v>
      </c>
      <c r="P146" s="235">
        <f t="shared" si="39"/>
        <v>0</v>
      </c>
      <c r="Q146" s="206">
        <f t="shared" si="40"/>
        <v>0</v>
      </c>
      <c r="R146" s="206">
        <f t="shared" si="29"/>
        <v>0</v>
      </c>
      <c r="S146" s="206">
        <f t="shared" si="30"/>
        <v>0</v>
      </c>
      <c r="T146" s="206">
        <f t="shared" si="31"/>
        <v>0</v>
      </c>
      <c r="U146" s="206">
        <f t="shared" si="31"/>
        <v>0</v>
      </c>
      <c r="V146" s="207" t="str">
        <f t="shared" si="32"/>
        <v/>
      </c>
    </row>
    <row r="147" spans="1:22" x14ac:dyDescent="0.3">
      <c r="G147" s="77"/>
      <c r="J147" s="185" t="str">
        <f t="shared" si="33"/>
        <v/>
      </c>
      <c r="K147" s="185" t="str">
        <f t="shared" si="34"/>
        <v/>
      </c>
      <c r="L147" s="185" t="str">
        <f t="shared" si="35"/>
        <v/>
      </c>
      <c r="M147" s="76" t="str">
        <f t="shared" si="36"/>
        <v/>
      </c>
      <c r="N147" s="26">
        <f t="shared" si="37"/>
        <v>0</v>
      </c>
      <c r="O147" s="235">
        <f t="shared" si="38"/>
        <v>0</v>
      </c>
      <c r="P147" s="235">
        <f t="shared" si="39"/>
        <v>0</v>
      </c>
      <c r="Q147" s="206">
        <f t="shared" si="40"/>
        <v>0</v>
      </c>
      <c r="R147" s="206">
        <f t="shared" si="29"/>
        <v>0</v>
      </c>
      <c r="S147" s="206">
        <f t="shared" si="30"/>
        <v>0</v>
      </c>
      <c r="T147" s="206">
        <f t="shared" si="31"/>
        <v>0</v>
      </c>
      <c r="U147" s="206">
        <f t="shared" si="31"/>
        <v>0</v>
      </c>
      <c r="V147" s="207" t="str">
        <f t="shared" si="32"/>
        <v/>
      </c>
    </row>
    <row r="148" spans="1:22" x14ac:dyDescent="0.3">
      <c r="G148" s="77"/>
      <c r="J148" s="185" t="str">
        <f t="shared" si="33"/>
        <v/>
      </c>
      <c r="K148" s="185" t="str">
        <f t="shared" si="34"/>
        <v/>
      </c>
      <c r="L148" s="185" t="str">
        <f t="shared" si="35"/>
        <v/>
      </c>
      <c r="M148" s="76" t="str">
        <f t="shared" si="36"/>
        <v/>
      </c>
      <c r="N148" s="26">
        <f t="shared" si="37"/>
        <v>0</v>
      </c>
      <c r="O148" s="235">
        <f t="shared" si="38"/>
        <v>0</v>
      </c>
      <c r="P148" s="235">
        <f t="shared" si="39"/>
        <v>0</v>
      </c>
      <c r="Q148" s="206">
        <f t="shared" si="40"/>
        <v>0</v>
      </c>
      <c r="R148" s="206">
        <f t="shared" si="29"/>
        <v>0</v>
      </c>
      <c r="S148" s="206">
        <f t="shared" si="30"/>
        <v>0</v>
      </c>
      <c r="T148" s="206">
        <f t="shared" si="31"/>
        <v>0</v>
      </c>
      <c r="U148" s="206">
        <f t="shared" si="31"/>
        <v>0</v>
      </c>
      <c r="V148" s="207" t="str">
        <f t="shared" si="32"/>
        <v/>
      </c>
    </row>
    <row r="149" spans="1:22" x14ac:dyDescent="0.3">
      <c r="G149" s="77"/>
      <c r="J149" s="185" t="str">
        <f t="shared" si="33"/>
        <v/>
      </c>
      <c r="K149" s="185" t="str">
        <f t="shared" si="34"/>
        <v/>
      </c>
      <c r="L149" s="185" t="str">
        <f t="shared" si="35"/>
        <v/>
      </c>
      <c r="M149" s="76" t="str">
        <f t="shared" si="36"/>
        <v/>
      </c>
      <c r="N149" s="26">
        <f t="shared" si="37"/>
        <v>0</v>
      </c>
      <c r="O149" s="235">
        <f t="shared" si="38"/>
        <v>0</v>
      </c>
      <c r="P149" s="235">
        <f t="shared" si="39"/>
        <v>0</v>
      </c>
      <c r="Q149" s="206">
        <f t="shared" si="40"/>
        <v>0</v>
      </c>
      <c r="R149" s="206">
        <f t="shared" si="29"/>
        <v>0</v>
      </c>
      <c r="S149" s="206">
        <f t="shared" si="30"/>
        <v>0</v>
      </c>
      <c r="T149" s="206">
        <f t="shared" si="31"/>
        <v>0</v>
      </c>
      <c r="U149" s="206">
        <f t="shared" si="31"/>
        <v>0</v>
      </c>
      <c r="V149" s="207" t="str">
        <f t="shared" si="32"/>
        <v/>
      </c>
    </row>
    <row r="150" spans="1:22" x14ac:dyDescent="0.3">
      <c r="G150" s="77"/>
      <c r="J150" s="185" t="str">
        <f t="shared" si="33"/>
        <v/>
      </c>
      <c r="K150" s="185" t="str">
        <f t="shared" si="34"/>
        <v/>
      </c>
      <c r="L150" s="185" t="str">
        <f t="shared" si="35"/>
        <v/>
      </c>
      <c r="M150" s="76" t="str">
        <f t="shared" si="36"/>
        <v/>
      </c>
      <c r="N150" s="26">
        <f t="shared" si="37"/>
        <v>0</v>
      </c>
      <c r="O150" s="235">
        <f t="shared" si="38"/>
        <v>0</v>
      </c>
      <c r="P150" s="235">
        <f t="shared" si="39"/>
        <v>0</v>
      </c>
      <c r="Q150" s="206">
        <f t="shared" si="40"/>
        <v>0</v>
      </c>
      <c r="R150" s="206">
        <f t="shared" si="29"/>
        <v>0</v>
      </c>
      <c r="S150" s="206">
        <f t="shared" si="30"/>
        <v>0</v>
      </c>
      <c r="T150" s="206">
        <f t="shared" si="31"/>
        <v>0</v>
      </c>
      <c r="U150" s="206">
        <f t="shared" si="31"/>
        <v>0</v>
      </c>
      <c r="V150" s="207" t="str">
        <f t="shared" si="32"/>
        <v/>
      </c>
    </row>
    <row r="151" spans="1:22" x14ac:dyDescent="0.3">
      <c r="G151" s="77"/>
      <c r="J151" s="185" t="str">
        <f t="shared" si="33"/>
        <v/>
      </c>
      <c r="K151" s="185" t="str">
        <f t="shared" si="34"/>
        <v/>
      </c>
      <c r="L151" s="185" t="str">
        <f t="shared" si="35"/>
        <v/>
      </c>
      <c r="M151" s="76" t="str">
        <f t="shared" si="36"/>
        <v/>
      </c>
      <c r="N151" s="26">
        <f t="shared" si="37"/>
        <v>0</v>
      </c>
      <c r="O151" s="235">
        <f t="shared" si="38"/>
        <v>0</v>
      </c>
      <c r="P151" s="235">
        <f t="shared" si="39"/>
        <v>0</v>
      </c>
      <c r="Q151" s="206">
        <f t="shared" si="40"/>
        <v>0</v>
      </c>
      <c r="R151" s="206">
        <f t="shared" si="29"/>
        <v>0</v>
      </c>
      <c r="S151" s="206">
        <f t="shared" si="30"/>
        <v>0</v>
      </c>
      <c r="T151" s="206">
        <f t="shared" si="31"/>
        <v>0</v>
      </c>
      <c r="U151" s="206">
        <f t="shared" si="31"/>
        <v>0</v>
      </c>
      <c r="V151" s="207" t="str">
        <f t="shared" si="32"/>
        <v/>
      </c>
    </row>
    <row r="152" spans="1:22" x14ac:dyDescent="0.3">
      <c r="G152" s="77"/>
      <c r="J152" s="185" t="str">
        <f t="shared" si="33"/>
        <v/>
      </c>
      <c r="K152" s="185" t="str">
        <f t="shared" si="34"/>
        <v/>
      </c>
      <c r="L152" s="185" t="str">
        <f t="shared" si="35"/>
        <v/>
      </c>
      <c r="M152" s="76" t="str">
        <f t="shared" si="36"/>
        <v/>
      </c>
      <c r="N152" s="26">
        <f t="shared" si="37"/>
        <v>0</v>
      </c>
      <c r="O152" s="235">
        <f t="shared" si="38"/>
        <v>0</v>
      </c>
      <c r="P152" s="235">
        <f t="shared" si="39"/>
        <v>0</v>
      </c>
      <c r="Q152" s="206">
        <f t="shared" si="40"/>
        <v>0</v>
      </c>
      <c r="R152" s="206">
        <f t="shared" si="29"/>
        <v>0</v>
      </c>
      <c r="S152" s="206">
        <f t="shared" si="30"/>
        <v>0</v>
      </c>
      <c r="T152" s="206">
        <f t="shared" si="31"/>
        <v>0</v>
      </c>
      <c r="U152" s="206">
        <f t="shared" si="31"/>
        <v>0</v>
      </c>
      <c r="V152" s="207" t="str">
        <f t="shared" si="32"/>
        <v/>
      </c>
    </row>
    <row r="153" spans="1:22" x14ac:dyDescent="0.3">
      <c r="G153" s="77"/>
      <c r="J153" s="185" t="str">
        <f t="shared" si="33"/>
        <v/>
      </c>
      <c r="K153" s="185" t="str">
        <f t="shared" si="34"/>
        <v/>
      </c>
      <c r="L153" s="185" t="str">
        <f t="shared" si="35"/>
        <v/>
      </c>
      <c r="M153" s="76" t="str">
        <f t="shared" si="36"/>
        <v/>
      </c>
      <c r="N153" s="26">
        <f t="shared" si="37"/>
        <v>0</v>
      </c>
      <c r="O153" s="235">
        <f t="shared" si="38"/>
        <v>0</v>
      </c>
      <c r="P153" s="235">
        <f t="shared" si="39"/>
        <v>0</v>
      </c>
      <c r="Q153" s="206">
        <f t="shared" si="40"/>
        <v>0</v>
      </c>
      <c r="R153" s="206">
        <f t="shared" si="29"/>
        <v>0</v>
      </c>
      <c r="S153" s="206">
        <f t="shared" si="30"/>
        <v>0</v>
      </c>
      <c r="T153" s="206">
        <f t="shared" si="31"/>
        <v>0</v>
      </c>
      <c r="U153" s="206">
        <f t="shared" si="31"/>
        <v>0</v>
      </c>
      <c r="V153" s="207" t="str">
        <f t="shared" si="32"/>
        <v/>
      </c>
    </row>
    <row r="154" spans="1:22" x14ac:dyDescent="0.3">
      <c r="G154" s="77"/>
      <c r="J154" s="185" t="str">
        <f t="shared" si="33"/>
        <v/>
      </c>
      <c r="K154" s="185" t="str">
        <f t="shared" si="34"/>
        <v/>
      </c>
      <c r="L154" s="185" t="str">
        <f t="shared" si="35"/>
        <v/>
      </c>
      <c r="M154" s="76" t="str">
        <f t="shared" si="36"/>
        <v/>
      </c>
      <c r="N154" s="26">
        <f t="shared" si="37"/>
        <v>0</v>
      </c>
      <c r="O154" s="235">
        <f t="shared" si="38"/>
        <v>0</v>
      </c>
      <c r="P154" s="235">
        <f t="shared" si="39"/>
        <v>0</v>
      </c>
      <c r="Q154" s="206">
        <f t="shared" si="40"/>
        <v>0</v>
      </c>
      <c r="R154" s="206">
        <f t="shared" si="29"/>
        <v>0</v>
      </c>
      <c r="S154" s="206">
        <f t="shared" si="30"/>
        <v>0</v>
      </c>
      <c r="T154" s="206">
        <f t="shared" si="31"/>
        <v>0</v>
      </c>
      <c r="U154" s="206">
        <f t="shared" si="31"/>
        <v>0</v>
      </c>
      <c r="V154" s="207" t="str">
        <f t="shared" si="32"/>
        <v/>
      </c>
    </row>
    <row r="155" spans="1:22" x14ac:dyDescent="0.3">
      <c r="G155" s="77"/>
      <c r="J155" s="185" t="str">
        <f t="shared" si="33"/>
        <v/>
      </c>
      <c r="K155" s="185" t="str">
        <f t="shared" si="34"/>
        <v/>
      </c>
      <c r="L155" s="185" t="str">
        <f t="shared" si="35"/>
        <v/>
      </c>
      <c r="M155" s="76" t="str">
        <f t="shared" si="36"/>
        <v/>
      </c>
      <c r="N155" s="26">
        <f t="shared" si="37"/>
        <v>0</v>
      </c>
      <c r="O155" s="235">
        <f t="shared" si="38"/>
        <v>0</v>
      </c>
      <c r="P155" s="235">
        <f t="shared" si="39"/>
        <v>0</v>
      </c>
      <c r="Q155" s="206">
        <f t="shared" si="40"/>
        <v>0</v>
      </c>
      <c r="R155" s="206">
        <f t="shared" ref="R155:R218" si="41">IF($J155=29,VALUE(LEFT(B155,LEN(B155)-2)),0)</f>
        <v>0</v>
      </c>
      <c r="S155" s="206">
        <f t="shared" ref="S155:S218" si="42">IF($J155=29,VALUE(LEFT(C155,LEN(C155)-2)),0)</f>
        <v>0</v>
      </c>
      <c r="T155" s="206">
        <f t="shared" ref="T155:U218" si="43">IF($J155=29,VALUE(LEFT(D155,LEN(D155)-2)),0)</f>
        <v>0</v>
      </c>
      <c r="U155" s="206">
        <f t="shared" si="43"/>
        <v>0</v>
      </c>
      <c r="V155" s="207" t="str">
        <f t="shared" ref="V155:V218" si="44">IFERROR(N155/SUM(R155:U155),"")</f>
        <v/>
      </c>
    </row>
    <row r="156" spans="1:22" x14ac:dyDescent="0.3">
      <c r="G156" s="77"/>
      <c r="J156" s="185" t="str">
        <f t="shared" si="33"/>
        <v/>
      </c>
      <c r="K156" s="185" t="str">
        <f t="shared" si="34"/>
        <v/>
      </c>
      <c r="L156" s="185" t="str">
        <f t="shared" si="35"/>
        <v/>
      </c>
      <c r="M156" s="76" t="str">
        <f t="shared" si="36"/>
        <v/>
      </c>
      <c r="N156" s="26">
        <f t="shared" si="37"/>
        <v>0</v>
      </c>
      <c r="O156" s="235">
        <f t="shared" si="38"/>
        <v>0</v>
      </c>
      <c r="P156" s="235">
        <f t="shared" si="39"/>
        <v>0</v>
      </c>
      <c r="Q156" s="206">
        <f t="shared" si="40"/>
        <v>0</v>
      </c>
      <c r="R156" s="206">
        <f t="shared" si="41"/>
        <v>0</v>
      </c>
      <c r="S156" s="206">
        <f t="shared" si="42"/>
        <v>0</v>
      </c>
      <c r="T156" s="206">
        <f t="shared" si="43"/>
        <v>0</v>
      </c>
      <c r="U156" s="206">
        <f t="shared" si="43"/>
        <v>0</v>
      </c>
      <c r="V156" s="207" t="str">
        <f t="shared" si="44"/>
        <v/>
      </c>
    </row>
    <row r="157" spans="1:22" x14ac:dyDescent="0.3">
      <c r="G157" s="77"/>
      <c r="J157" s="185" t="str">
        <f t="shared" si="33"/>
        <v/>
      </c>
      <c r="K157" s="185" t="str">
        <f t="shared" si="34"/>
        <v/>
      </c>
      <c r="L157" s="185" t="str">
        <f t="shared" si="35"/>
        <v/>
      </c>
      <c r="M157" s="76" t="str">
        <f t="shared" si="36"/>
        <v/>
      </c>
      <c r="N157" s="26">
        <f t="shared" si="37"/>
        <v>0</v>
      </c>
      <c r="O157" s="235">
        <f t="shared" si="38"/>
        <v>0</v>
      </c>
      <c r="P157" s="235">
        <f t="shared" si="39"/>
        <v>0</v>
      </c>
      <c r="Q157" s="206">
        <f t="shared" si="40"/>
        <v>0</v>
      </c>
      <c r="R157" s="206">
        <f t="shared" si="41"/>
        <v>0</v>
      </c>
      <c r="S157" s="206">
        <f t="shared" si="42"/>
        <v>0</v>
      </c>
      <c r="T157" s="206">
        <f t="shared" si="43"/>
        <v>0</v>
      </c>
      <c r="U157" s="206">
        <f t="shared" si="43"/>
        <v>0</v>
      </c>
      <c r="V157" s="207" t="str">
        <f t="shared" si="44"/>
        <v/>
      </c>
    </row>
    <row r="158" spans="1:22" x14ac:dyDescent="0.3">
      <c r="G158" s="77"/>
      <c r="J158" s="185" t="str">
        <f t="shared" si="33"/>
        <v/>
      </c>
      <c r="K158" s="185" t="str">
        <f t="shared" si="34"/>
        <v/>
      </c>
      <c r="L158" s="185" t="str">
        <f t="shared" si="35"/>
        <v/>
      </c>
      <c r="M158" s="76" t="str">
        <f t="shared" si="36"/>
        <v/>
      </c>
      <c r="N158" s="26">
        <f t="shared" si="37"/>
        <v>0</v>
      </c>
      <c r="O158" s="235">
        <f t="shared" si="38"/>
        <v>0</v>
      </c>
      <c r="P158" s="235">
        <f t="shared" si="39"/>
        <v>0</v>
      </c>
      <c r="Q158" s="206">
        <f t="shared" si="40"/>
        <v>0</v>
      </c>
      <c r="R158" s="206">
        <f t="shared" si="41"/>
        <v>0</v>
      </c>
      <c r="S158" s="206">
        <f t="shared" si="42"/>
        <v>0</v>
      </c>
      <c r="T158" s="206">
        <f t="shared" si="43"/>
        <v>0</v>
      </c>
      <c r="U158" s="206">
        <f t="shared" si="43"/>
        <v>0</v>
      </c>
      <c r="V158" s="207" t="str">
        <f t="shared" si="44"/>
        <v/>
      </c>
    </row>
    <row r="159" spans="1:22" x14ac:dyDescent="0.3">
      <c r="G159" s="77"/>
      <c r="J159" s="185" t="str">
        <f t="shared" si="33"/>
        <v/>
      </c>
      <c r="K159" s="185" t="str">
        <f t="shared" si="34"/>
        <v/>
      </c>
      <c r="L159" s="185" t="str">
        <f t="shared" si="35"/>
        <v/>
      </c>
      <c r="M159" s="76" t="str">
        <f t="shared" si="36"/>
        <v/>
      </c>
      <c r="N159" s="26">
        <f t="shared" si="37"/>
        <v>0</v>
      </c>
      <c r="O159" s="235">
        <f t="shared" si="38"/>
        <v>0</v>
      </c>
      <c r="P159" s="235">
        <f t="shared" si="39"/>
        <v>0</v>
      </c>
      <c r="Q159" s="206">
        <f t="shared" si="40"/>
        <v>0</v>
      </c>
      <c r="R159" s="206">
        <f t="shared" si="41"/>
        <v>0</v>
      </c>
      <c r="S159" s="206">
        <f t="shared" si="42"/>
        <v>0</v>
      </c>
      <c r="T159" s="206">
        <f t="shared" si="43"/>
        <v>0</v>
      </c>
      <c r="U159" s="206">
        <f t="shared" si="43"/>
        <v>0</v>
      </c>
      <c r="V159" s="207" t="str">
        <f t="shared" si="44"/>
        <v/>
      </c>
    </row>
    <row r="160" spans="1:22" x14ac:dyDescent="0.3">
      <c r="A160" s="185"/>
      <c r="B160" s="185"/>
      <c r="C160" s="185"/>
      <c r="D160" s="185"/>
      <c r="E160" s="185"/>
      <c r="F160" s="185"/>
      <c r="G160" s="77"/>
      <c r="H160" s="185"/>
      <c r="J160" s="185" t="str">
        <f t="shared" si="33"/>
        <v/>
      </c>
      <c r="K160" s="185" t="str">
        <f t="shared" si="34"/>
        <v/>
      </c>
      <c r="L160" s="185" t="str">
        <f t="shared" si="35"/>
        <v/>
      </c>
      <c r="M160" s="76" t="str">
        <f t="shared" si="36"/>
        <v/>
      </c>
      <c r="N160" s="26">
        <f t="shared" si="37"/>
        <v>0</v>
      </c>
      <c r="O160" s="235">
        <f t="shared" si="38"/>
        <v>0</v>
      </c>
      <c r="P160" s="235">
        <f t="shared" si="39"/>
        <v>0</v>
      </c>
      <c r="Q160" s="206">
        <f t="shared" si="40"/>
        <v>0</v>
      </c>
      <c r="R160" s="206">
        <f t="shared" si="41"/>
        <v>0</v>
      </c>
      <c r="S160" s="206">
        <f t="shared" si="42"/>
        <v>0</v>
      </c>
      <c r="T160" s="206">
        <f t="shared" si="43"/>
        <v>0</v>
      </c>
      <c r="U160" s="206">
        <f t="shared" si="43"/>
        <v>0</v>
      </c>
      <c r="V160" s="207" t="str">
        <f t="shared" si="44"/>
        <v/>
      </c>
    </row>
    <row r="161" spans="1:22" x14ac:dyDescent="0.3">
      <c r="A161" s="185"/>
      <c r="B161" s="185"/>
      <c r="C161" s="185"/>
      <c r="D161" s="185"/>
      <c r="E161" s="185"/>
      <c r="F161" s="185"/>
      <c r="G161" s="77"/>
      <c r="H161" s="185"/>
      <c r="J161" s="185" t="str">
        <f t="shared" si="33"/>
        <v/>
      </c>
      <c r="K161" s="185" t="str">
        <f t="shared" si="34"/>
        <v/>
      </c>
      <c r="L161" s="185" t="str">
        <f t="shared" si="35"/>
        <v/>
      </c>
      <c r="M161" s="76" t="str">
        <f t="shared" si="36"/>
        <v/>
      </c>
      <c r="N161" s="26">
        <f t="shared" si="37"/>
        <v>0</v>
      </c>
      <c r="O161" s="235">
        <f t="shared" si="38"/>
        <v>0</v>
      </c>
      <c r="P161" s="235">
        <f t="shared" si="39"/>
        <v>0</v>
      </c>
      <c r="Q161" s="206">
        <f t="shared" si="40"/>
        <v>0</v>
      </c>
      <c r="R161" s="206">
        <f t="shared" si="41"/>
        <v>0</v>
      </c>
      <c r="S161" s="206">
        <f t="shared" si="42"/>
        <v>0</v>
      </c>
      <c r="T161" s="206">
        <f t="shared" si="43"/>
        <v>0</v>
      </c>
      <c r="U161" s="206">
        <f t="shared" si="43"/>
        <v>0</v>
      </c>
      <c r="V161" s="207" t="str">
        <f t="shared" si="44"/>
        <v/>
      </c>
    </row>
    <row r="162" spans="1:22" x14ac:dyDescent="0.3">
      <c r="A162" s="185"/>
      <c r="B162" s="185"/>
      <c r="C162" s="185"/>
      <c r="D162" s="185"/>
      <c r="E162" s="185"/>
      <c r="F162" s="185"/>
      <c r="G162" s="77"/>
      <c r="H162" s="185"/>
      <c r="J162" s="185" t="str">
        <f t="shared" si="33"/>
        <v/>
      </c>
      <c r="K162" s="185" t="str">
        <f t="shared" si="34"/>
        <v/>
      </c>
      <c r="L162" s="185" t="str">
        <f t="shared" si="35"/>
        <v/>
      </c>
      <c r="M162" s="76" t="str">
        <f t="shared" si="36"/>
        <v/>
      </c>
      <c r="N162" s="26">
        <f t="shared" si="37"/>
        <v>0</v>
      </c>
      <c r="O162" s="235">
        <f t="shared" si="38"/>
        <v>0</v>
      </c>
      <c r="P162" s="235">
        <f t="shared" si="39"/>
        <v>0</v>
      </c>
      <c r="Q162" s="206">
        <f t="shared" si="40"/>
        <v>0</v>
      </c>
      <c r="R162" s="206">
        <f t="shared" si="41"/>
        <v>0</v>
      </c>
      <c r="S162" s="206">
        <f t="shared" si="42"/>
        <v>0</v>
      </c>
      <c r="T162" s="206">
        <f t="shared" si="43"/>
        <v>0</v>
      </c>
      <c r="U162" s="206">
        <f t="shared" si="43"/>
        <v>0</v>
      </c>
      <c r="V162" s="207" t="str">
        <f t="shared" si="44"/>
        <v/>
      </c>
    </row>
    <row r="163" spans="1:22" x14ac:dyDescent="0.3">
      <c r="A163" s="185"/>
      <c r="B163" s="185"/>
      <c r="C163" s="185"/>
      <c r="D163" s="185"/>
      <c r="E163" s="185"/>
      <c r="F163" s="185"/>
      <c r="G163" s="77"/>
      <c r="H163" s="185"/>
      <c r="J163" s="185" t="str">
        <f t="shared" si="33"/>
        <v/>
      </c>
      <c r="K163" s="185" t="str">
        <f t="shared" si="34"/>
        <v/>
      </c>
      <c r="L163" s="185" t="str">
        <f t="shared" si="35"/>
        <v/>
      </c>
      <c r="M163" s="76" t="str">
        <f t="shared" si="36"/>
        <v/>
      </c>
      <c r="N163" s="26">
        <f t="shared" si="37"/>
        <v>0</v>
      </c>
      <c r="O163" s="235">
        <f t="shared" si="38"/>
        <v>0</v>
      </c>
      <c r="P163" s="235">
        <f t="shared" si="39"/>
        <v>0</v>
      </c>
      <c r="Q163" s="206">
        <f t="shared" si="40"/>
        <v>0</v>
      </c>
      <c r="R163" s="206">
        <f t="shared" si="41"/>
        <v>0</v>
      </c>
      <c r="S163" s="206">
        <f t="shared" si="42"/>
        <v>0</v>
      </c>
      <c r="T163" s="206">
        <f t="shared" si="43"/>
        <v>0</v>
      </c>
      <c r="U163" s="206">
        <f t="shared" si="43"/>
        <v>0</v>
      </c>
      <c r="V163" s="207" t="str">
        <f t="shared" si="44"/>
        <v/>
      </c>
    </row>
    <row r="164" spans="1:22" x14ac:dyDescent="0.3">
      <c r="A164" s="185"/>
      <c r="B164" s="185"/>
      <c r="C164" s="185"/>
      <c r="D164" s="185"/>
      <c r="E164" s="185"/>
      <c r="F164" s="185"/>
      <c r="G164" s="77"/>
      <c r="H164" s="185"/>
      <c r="J164" s="185" t="str">
        <f t="shared" si="33"/>
        <v/>
      </c>
      <c r="K164" s="185" t="str">
        <f t="shared" si="34"/>
        <v/>
      </c>
      <c r="L164" s="185" t="str">
        <f t="shared" si="35"/>
        <v/>
      </c>
      <c r="M164" s="76" t="str">
        <f t="shared" si="36"/>
        <v/>
      </c>
      <c r="N164" s="26">
        <f t="shared" si="37"/>
        <v>0</v>
      </c>
      <c r="O164" s="235">
        <f t="shared" si="38"/>
        <v>0</v>
      </c>
      <c r="P164" s="235">
        <f t="shared" si="39"/>
        <v>0</v>
      </c>
      <c r="Q164" s="206">
        <f t="shared" si="40"/>
        <v>0</v>
      </c>
      <c r="R164" s="206">
        <f t="shared" si="41"/>
        <v>0</v>
      </c>
      <c r="S164" s="206">
        <f t="shared" si="42"/>
        <v>0</v>
      </c>
      <c r="T164" s="206">
        <f t="shared" si="43"/>
        <v>0</v>
      </c>
      <c r="U164" s="206">
        <f t="shared" si="43"/>
        <v>0</v>
      </c>
      <c r="V164" s="207" t="str">
        <f t="shared" si="44"/>
        <v/>
      </c>
    </row>
    <row r="165" spans="1:22" x14ac:dyDescent="0.3">
      <c r="A165" s="185"/>
      <c r="B165" s="185"/>
      <c r="C165" s="185"/>
      <c r="D165" s="185"/>
      <c r="E165" s="185"/>
      <c r="F165" s="185"/>
      <c r="G165" s="77"/>
      <c r="H165" s="185"/>
      <c r="J165" s="185" t="str">
        <f t="shared" si="33"/>
        <v/>
      </c>
      <c r="K165" s="185" t="str">
        <f t="shared" si="34"/>
        <v/>
      </c>
      <c r="L165" s="185" t="str">
        <f t="shared" si="35"/>
        <v/>
      </c>
      <c r="M165" s="76" t="str">
        <f t="shared" si="36"/>
        <v/>
      </c>
      <c r="N165" s="26">
        <f t="shared" si="37"/>
        <v>0</v>
      </c>
      <c r="O165" s="235">
        <f t="shared" si="38"/>
        <v>0</v>
      </c>
      <c r="P165" s="235">
        <f t="shared" si="39"/>
        <v>0</v>
      </c>
      <c r="Q165" s="206">
        <f t="shared" si="40"/>
        <v>0</v>
      </c>
      <c r="R165" s="206">
        <f t="shared" si="41"/>
        <v>0</v>
      </c>
      <c r="S165" s="206">
        <f t="shared" si="42"/>
        <v>0</v>
      </c>
      <c r="T165" s="206">
        <f t="shared" si="43"/>
        <v>0</v>
      </c>
      <c r="U165" s="206">
        <f t="shared" si="43"/>
        <v>0</v>
      </c>
      <c r="V165" s="207" t="str">
        <f t="shared" si="44"/>
        <v/>
      </c>
    </row>
    <row r="166" spans="1:22" x14ac:dyDescent="0.3">
      <c r="G166" s="77"/>
      <c r="J166" s="185" t="str">
        <f t="shared" si="33"/>
        <v/>
      </c>
      <c r="K166" s="185" t="str">
        <f t="shared" si="34"/>
        <v/>
      </c>
      <c r="L166" s="185" t="str">
        <f t="shared" si="35"/>
        <v/>
      </c>
      <c r="M166" s="76" t="str">
        <f t="shared" si="36"/>
        <v/>
      </c>
      <c r="N166" s="26">
        <f t="shared" si="37"/>
        <v>0</v>
      </c>
      <c r="O166" s="235">
        <f t="shared" si="38"/>
        <v>0</v>
      </c>
      <c r="P166" s="235">
        <f t="shared" si="39"/>
        <v>0</v>
      </c>
      <c r="Q166" s="206">
        <f t="shared" si="40"/>
        <v>0</v>
      </c>
      <c r="R166" s="206">
        <f t="shared" si="41"/>
        <v>0</v>
      </c>
      <c r="S166" s="206">
        <f t="shared" si="42"/>
        <v>0</v>
      </c>
      <c r="T166" s="206">
        <f t="shared" si="43"/>
        <v>0</v>
      </c>
      <c r="U166" s="206">
        <f t="shared" si="43"/>
        <v>0</v>
      </c>
      <c r="V166" s="207" t="str">
        <f t="shared" si="44"/>
        <v/>
      </c>
    </row>
    <row r="167" spans="1:22" x14ac:dyDescent="0.3">
      <c r="G167" s="77"/>
      <c r="J167" s="185" t="str">
        <f t="shared" si="33"/>
        <v/>
      </c>
      <c r="K167" s="185" t="str">
        <f t="shared" si="34"/>
        <v/>
      </c>
      <c r="L167" s="185" t="str">
        <f t="shared" si="35"/>
        <v/>
      </c>
      <c r="M167" s="76" t="str">
        <f t="shared" si="36"/>
        <v/>
      </c>
      <c r="N167" s="26">
        <f t="shared" si="37"/>
        <v>0</v>
      </c>
      <c r="O167" s="235">
        <f t="shared" si="38"/>
        <v>0</v>
      </c>
      <c r="P167" s="235">
        <f t="shared" si="39"/>
        <v>0</v>
      </c>
      <c r="Q167" s="206">
        <f t="shared" si="40"/>
        <v>0</v>
      </c>
      <c r="R167" s="206">
        <f t="shared" si="41"/>
        <v>0</v>
      </c>
      <c r="S167" s="206">
        <f t="shared" si="42"/>
        <v>0</v>
      </c>
      <c r="T167" s="206">
        <f t="shared" si="43"/>
        <v>0</v>
      </c>
      <c r="U167" s="206">
        <f t="shared" si="43"/>
        <v>0</v>
      </c>
      <c r="V167" s="207" t="str">
        <f t="shared" si="44"/>
        <v/>
      </c>
    </row>
    <row r="168" spans="1:22" x14ac:dyDescent="0.3">
      <c r="G168" s="77"/>
      <c r="J168" s="185" t="str">
        <f t="shared" si="33"/>
        <v/>
      </c>
      <c r="K168" s="185" t="str">
        <f t="shared" si="34"/>
        <v/>
      </c>
      <c r="L168" s="185" t="str">
        <f t="shared" si="35"/>
        <v/>
      </c>
      <c r="M168" s="76" t="str">
        <f t="shared" si="36"/>
        <v/>
      </c>
      <c r="N168" s="26">
        <f t="shared" si="37"/>
        <v>0</v>
      </c>
      <c r="O168" s="235">
        <f t="shared" si="38"/>
        <v>0</v>
      </c>
      <c r="P168" s="235">
        <f t="shared" si="39"/>
        <v>0</v>
      </c>
      <c r="Q168" s="206">
        <f t="shared" si="40"/>
        <v>0</v>
      </c>
      <c r="R168" s="206">
        <f t="shared" si="41"/>
        <v>0</v>
      </c>
      <c r="S168" s="206">
        <f t="shared" si="42"/>
        <v>0</v>
      </c>
      <c r="T168" s="206">
        <f t="shared" si="43"/>
        <v>0</v>
      </c>
      <c r="U168" s="206">
        <f t="shared" si="43"/>
        <v>0</v>
      </c>
      <c r="V168" s="207" t="str">
        <f t="shared" si="44"/>
        <v/>
      </c>
    </row>
    <row r="169" spans="1:22" x14ac:dyDescent="0.3">
      <c r="G169" s="77"/>
      <c r="J169" s="185" t="str">
        <f t="shared" si="33"/>
        <v/>
      </c>
      <c r="K169" s="185" t="str">
        <f t="shared" si="34"/>
        <v/>
      </c>
      <c r="L169" s="185" t="str">
        <f t="shared" si="35"/>
        <v/>
      </c>
      <c r="M169" s="76" t="str">
        <f t="shared" si="36"/>
        <v/>
      </c>
      <c r="N169" s="26">
        <f t="shared" si="37"/>
        <v>0</v>
      </c>
      <c r="O169" s="235">
        <f t="shared" si="38"/>
        <v>0</v>
      </c>
      <c r="P169" s="235">
        <f t="shared" si="39"/>
        <v>0</v>
      </c>
      <c r="Q169" s="206">
        <f t="shared" si="40"/>
        <v>0</v>
      </c>
      <c r="R169" s="206">
        <f t="shared" si="41"/>
        <v>0</v>
      </c>
      <c r="S169" s="206">
        <f t="shared" si="42"/>
        <v>0</v>
      </c>
      <c r="T169" s="206">
        <f t="shared" si="43"/>
        <v>0</v>
      </c>
      <c r="U169" s="206">
        <f t="shared" si="43"/>
        <v>0</v>
      </c>
      <c r="V169" s="207" t="str">
        <f t="shared" si="44"/>
        <v/>
      </c>
    </row>
    <row r="170" spans="1:22" x14ac:dyDescent="0.3">
      <c r="G170" s="77"/>
      <c r="J170" s="185" t="str">
        <f t="shared" si="33"/>
        <v/>
      </c>
      <c r="K170" s="185" t="str">
        <f t="shared" si="34"/>
        <v/>
      </c>
      <c r="L170" s="185" t="str">
        <f t="shared" si="35"/>
        <v/>
      </c>
      <c r="M170" s="76" t="str">
        <f t="shared" si="36"/>
        <v/>
      </c>
      <c r="N170" s="26">
        <f t="shared" si="37"/>
        <v>0</v>
      </c>
      <c r="O170" s="235">
        <f t="shared" si="38"/>
        <v>0</v>
      </c>
      <c r="P170" s="235">
        <f t="shared" si="39"/>
        <v>0</v>
      </c>
      <c r="Q170" s="206">
        <f t="shared" si="40"/>
        <v>0</v>
      </c>
      <c r="R170" s="206">
        <f t="shared" si="41"/>
        <v>0</v>
      </c>
      <c r="S170" s="206">
        <f t="shared" si="42"/>
        <v>0</v>
      </c>
      <c r="T170" s="206">
        <f t="shared" si="43"/>
        <v>0</v>
      </c>
      <c r="U170" s="206">
        <f t="shared" si="43"/>
        <v>0</v>
      </c>
      <c r="V170" s="207" t="str">
        <f t="shared" si="44"/>
        <v/>
      </c>
    </row>
    <row r="171" spans="1:22" x14ac:dyDescent="0.3">
      <c r="G171" s="77"/>
      <c r="J171" s="185" t="str">
        <f t="shared" si="33"/>
        <v/>
      </c>
      <c r="K171" s="185" t="str">
        <f t="shared" si="34"/>
        <v/>
      </c>
      <c r="L171" s="185" t="str">
        <f t="shared" si="35"/>
        <v/>
      </c>
      <c r="M171" s="76" t="str">
        <f t="shared" si="36"/>
        <v/>
      </c>
      <c r="N171" s="26">
        <f t="shared" si="37"/>
        <v>0</v>
      </c>
      <c r="O171" s="235">
        <f t="shared" si="38"/>
        <v>0</v>
      </c>
      <c r="P171" s="235">
        <f t="shared" si="39"/>
        <v>0</v>
      </c>
      <c r="Q171" s="206">
        <f t="shared" si="40"/>
        <v>0</v>
      </c>
      <c r="R171" s="206">
        <f t="shared" si="41"/>
        <v>0</v>
      </c>
      <c r="S171" s="206">
        <f t="shared" si="42"/>
        <v>0</v>
      </c>
      <c r="T171" s="206">
        <f t="shared" si="43"/>
        <v>0</v>
      </c>
      <c r="U171" s="206">
        <f t="shared" si="43"/>
        <v>0</v>
      </c>
      <c r="V171" s="207" t="str">
        <f t="shared" si="44"/>
        <v/>
      </c>
    </row>
    <row r="172" spans="1:22" x14ac:dyDescent="0.3">
      <c r="J172" s="185" t="str">
        <f t="shared" si="33"/>
        <v/>
      </c>
      <c r="K172" s="185" t="str">
        <f t="shared" si="34"/>
        <v/>
      </c>
      <c r="L172" s="185" t="str">
        <f t="shared" si="35"/>
        <v/>
      </c>
      <c r="M172" s="76" t="str">
        <f t="shared" si="36"/>
        <v/>
      </c>
      <c r="N172" s="26">
        <f t="shared" si="37"/>
        <v>0</v>
      </c>
      <c r="O172" s="235">
        <f t="shared" si="38"/>
        <v>0</v>
      </c>
      <c r="P172" s="235">
        <f t="shared" si="39"/>
        <v>0</v>
      </c>
      <c r="Q172" s="206">
        <f t="shared" si="40"/>
        <v>0</v>
      </c>
      <c r="R172" s="206">
        <f t="shared" si="41"/>
        <v>0</v>
      </c>
      <c r="S172" s="206">
        <f t="shared" si="42"/>
        <v>0</v>
      </c>
      <c r="T172" s="206">
        <f t="shared" si="43"/>
        <v>0</v>
      </c>
      <c r="U172" s="206">
        <f t="shared" si="43"/>
        <v>0</v>
      </c>
      <c r="V172" s="207" t="str">
        <f t="shared" si="44"/>
        <v/>
      </c>
    </row>
    <row r="173" spans="1:22" x14ac:dyDescent="0.3">
      <c r="J173" s="185" t="str">
        <f t="shared" ref="J173:J236" si="45">IFERROR(IF(FIND("Liste des vols",A173),LEN(A173),""),"")</f>
        <v/>
      </c>
      <c r="K173" s="185" t="str">
        <f t="shared" ref="K173:K236" si="46">IF(J173="","",LEFT(A173,3))</f>
        <v/>
      </c>
      <c r="L173" s="185" t="str">
        <f t="shared" ref="L173:L236" si="47">IF(K173&lt;&gt;"",MID(A173,7,3),"")</f>
        <v/>
      </c>
      <c r="M173" s="76" t="str">
        <f t="shared" ref="M173:M236" si="48">IF(K173&lt;&gt;"",CONCATENATE(K173,"/",L173),"")</f>
        <v/>
      </c>
      <c r="N173" s="26">
        <f t="shared" ref="N173:N236" si="49">IF(J173=29,VALUE(LEFT(F173,LEN(F173)-2)),0)</f>
        <v>0</v>
      </c>
      <c r="O173" s="235">
        <f t="shared" ref="O173:O236" si="50">IF(J173=29,-VALUE(G173),0)</f>
        <v>0</v>
      </c>
      <c r="P173" s="235">
        <f t="shared" ref="P173:P236" si="51">IF(J173=29,VALUE(LEFT(H173,LEN(H173)-2)),0)</f>
        <v>0</v>
      </c>
      <c r="Q173" s="206">
        <f t="shared" ref="Q173:Q236" si="52">IFERROR(VALUE(LEFT(RIGHT(A173,LEN(A173)-11),LEN(A173)-28)),0)</f>
        <v>0</v>
      </c>
      <c r="R173" s="206">
        <f t="shared" si="41"/>
        <v>0</v>
      </c>
      <c r="S173" s="206">
        <f t="shared" si="42"/>
        <v>0</v>
      </c>
      <c r="T173" s="206">
        <f t="shared" si="43"/>
        <v>0</v>
      </c>
      <c r="U173" s="206">
        <f t="shared" si="43"/>
        <v>0</v>
      </c>
      <c r="V173" s="207" t="str">
        <f t="shared" si="44"/>
        <v/>
      </c>
    </row>
    <row r="174" spans="1:22" x14ac:dyDescent="0.3">
      <c r="J174" s="185" t="str">
        <f t="shared" si="45"/>
        <v/>
      </c>
      <c r="K174" s="185" t="str">
        <f t="shared" si="46"/>
        <v/>
      </c>
      <c r="L174" s="185" t="str">
        <f t="shared" si="47"/>
        <v/>
      </c>
      <c r="M174" s="76" t="str">
        <f t="shared" si="48"/>
        <v/>
      </c>
      <c r="N174" s="26">
        <f t="shared" si="49"/>
        <v>0</v>
      </c>
      <c r="O174" s="235">
        <f t="shared" si="50"/>
        <v>0</v>
      </c>
      <c r="P174" s="235">
        <f t="shared" si="51"/>
        <v>0</v>
      </c>
      <c r="Q174" s="206">
        <f t="shared" si="52"/>
        <v>0</v>
      </c>
      <c r="R174" s="206">
        <f t="shared" si="41"/>
        <v>0</v>
      </c>
      <c r="S174" s="206">
        <f t="shared" si="42"/>
        <v>0</v>
      </c>
      <c r="T174" s="206">
        <f t="shared" si="43"/>
        <v>0</v>
      </c>
      <c r="U174" s="206">
        <f t="shared" si="43"/>
        <v>0</v>
      </c>
      <c r="V174" s="207" t="str">
        <f t="shared" si="44"/>
        <v/>
      </c>
    </row>
    <row r="175" spans="1:22" x14ac:dyDescent="0.3">
      <c r="J175" s="185" t="str">
        <f t="shared" si="45"/>
        <v/>
      </c>
      <c r="K175" s="185" t="str">
        <f t="shared" si="46"/>
        <v/>
      </c>
      <c r="L175" s="185" t="str">
        <f t="shared" si="47"/>
        <v/>
      </c>
      <c r="M175" s="76" t="str">
        <f t="shared" si="48"/>
        <v/>
      </c>
      <c r="N175" s="26">
        <f t="shared" si="49"/>
        <v>0</v>
      </c>
      <c r="O175" s="235">
        <f t="shared" si="50"/>
        <v>0</v>
      </c>
      <c r="P175" s="235">
        <f t="shared" si="51"/>
        <v>0</v>
      </c>
      <c r="Q175" s="206">
        <f t="shared" si="52"/>
        <v>0</v>
      </c>
      <c r="R175" s="206">
        <f t="shared" si="41"/>
        <v>0</v>
      </c>
      <c r="S175" s="206">
        <f t="shared" si="42"/>
        <v>0</v>
      </c>
      <c r="T175" s="206">
        <f t="shared" si="43"/>
        <v>0</v>
      </c>
      <c r="U175" s="206">
        <f t="shared" si="43"/>
        <v>0</v>
      </c>
      <c r="V175" s="207" t="str">
        <f t="shared" si="44"/>
        <v/>
      </c>
    </row>
    <row r="176" spans="1:22" x14ac:dyDescent="0.3">
      <c r="J176" s="185" t="str">
        <f t="shared" si="45"/>
        <v/>
      </c>
      <c r="K176" s="185" t="str">
        <f t="shared" si="46"/>
        <v/>
      </c>
      <c r="L176" s="185" t="str">
        <f t="shared" si="47"/>
        <v/>
      </c>
      <c r="M176" s="76" t="str">
        <f t="shared" si="48"/>
        <v/>
      </c>
      <c r="N176" s="26">
        <f t="shared" si="49"/>
        <v>0</v>
      </c>
      <c r="O176" s="235">
        <f t="shared" si="50"/>
        <v>0</v>
      </c>
      <c r="P176" s="235">
        <f t="shared" si="51"/>
        <v>0</v>
      </c>
      <c r="Q176" s="206">
        <f t="shared" si="52"/>
        <v>0</v>
      </c>
      <c r="R176" s="206">
        <f t="shared" si="41"/>
        <v>0</v>
      </c>
      <c r="S176" s="206">
        <f t="shared" si="42"/>
        <v>0</v>
      </c>
      <c r="T176" s="206">
        <f t="shared" si="43"/>
        <v>0</v>
      </c>
      <c r="U176" s="206">
        <f t="shared" si="43"/>
        <v>0</v>
      </c>
      <c r="V176" s="207" t="str">
        <f t="shared" si="44"/>
        <v/>
      </c>
    </row>
    <row r="177" spans="10:22" x14ac:dyDescent="0.3">
      <c r="J177" s="185" t="str">
        <f t="shared" si="45"/>
        <v/>
      </c>
      <c r="K177" s="185" t="str">
        <f t="shared" si="46"/>
        <v/>
      </c>
      <c r="L177" s="185" t="str">
        <f t="shared" si="47"/>
        <v/>
      </c>
      <c r="M177" s="76" t="str">
        <f t="shared" si="48"/>
        <v/>
      </c>
      <c r="N177" s="26">
        <f t="shared" si="49"/>
        <v>0</v>
      </c>
      <c r="O177" s="235">
        <f t="shared" si="50"/>
        <v>0</v>
      </c>
      <c r="P177" s="235">
        <f t="shared" si="51"/>
        <v>0</v>
      </c>
      <c r="Q177" s="206">
        <f t="shared" si="52"/>
        <v>0</v>
      </c>
      <c r="R177" s="206">
        <f t="shared" si="41"/>
        <v>0</v>
      </c>
      <c r="S177" s="206">
        <f t="shared" si="42"/>
        <v>0</v>
      </c>
      <c r="T177" s="206">
        <f t="shared" si="43"/>
        <v>0</v>
      </c>
      <c r="U177" s="206">
        <f t="shared" si="43"/>
        <v>0</v>
      </c>
      <c r="V177" s="207" t="str">
        <f t="shared" si="44"/>
        <v/>
      </c>
    </row>
    <row r="178" spans="10:22" x14ac:dyDescent="0.3">
      <c r="J178" s="185" t="str">
        <f t="shared" si="45"/>
        <v/>
      </c>
      <c r="K178" s="185" t="str">
        <f t="shared" si="46"/>
        <v/>
      </c>
      <c r="L178" s="185" t="str">
        <f t="shared" si="47"/>
        <v/>
      </c>
      <c r="M178" s="76" t="str">
        <f t="shared" si="48"/>
        <v/>
      </c>
      <c r="N178" s="26">
        <f t="shared" si="49"/>
        <v>0</v>
      </c>
      <c r="O178" s="235">
        <f t="shared" si="50"/>
        <v>0</v>
      </c>
      <c r="P178" s="235">
        <f t="shared" si="51"/>
        <v>0</v>
      </c>
      <c r="Q178" s="206">
        <f t="shared" si="52"/>
        <v>0</v>
      </c>
      <c r="R178" s="206">
        <f t="shared" si="41"/>
        <v>0</v>
      </c>
      <c r="S178" s="206">
        <f t="shared" si="42"/>
        <v>0</v>
      </c>
      <c r="T178" s="206">
        <f t="shared" si="43"/>
        <v>0</v>
      </c>
      <c r="U178" s="206">
        <f t="shared" si="43"/>
        <v>0</v>
      </c>
      <c r="V178" s="207" t="str">
        <f t="shared" si="44"/>
        <v/>
      </c>
    </row>
    <row r="179" spans="10:22" x14ac:dyDescent="0.3">
      <c r="J179" s="185" t="str">
        <f t="shared" si="45"/>
        <v/>
      </c>
      <c r="K179" s="185" t="str">
        <f t="shared" si="46"/>
        <v/>
      </c>
      <c r="L179" s="185" t="str">
        <f t="shared" si="47"/>
        <v/>
      </c>
      <c r="M179" s="76" t="str">
        <f t="shared" si="48"/>
        <v/>
      </c>
      <c r="N179" s="26">
        <f t="shared" si="49"/>
        <v>0</v>
      </c>
      <c r="O179" s="235">
        <f t="shared" si="50"/>
        <v>0</v>
      </c>
      <c r="P179" s="235">
        <f t="shared" si="51"/>
        <v>0</v>
      </c>
      <c r="Q179" s="206">
        <f t="shared" si="52"/>
        <v>0</v>
      </c>
      <c r="R179" s="206">
        <f t="shared" si="41"/>
        <v>0</v>
      </c>
      <c r="S179" s="206">
        <f t="shared" si="42"/>
        <v>0</v>
      </c>
      <c r="T179" s="206">
        <f t="shared" si="43"/>
        <v>0</v>
      </c>
      <c r="U179" s="206">
        <f t="shared" si="43"/>
        <v>0</v>
      </c>
      <c r="V179" s="207" t="str">
        <f t="shared" si="44"/>
        <v/>
      </c>
    </row>
    <row r="180" spans="10:22" x14ac:dyDescent="0.3">
      <c r="J180" s="185" t="str">
        <f t="shared" si="45"/>
        <v/>
      </c>
      <c r="K180" s="185" t="str">
        <f t="shared" si="46"/>
        <v/>
      </c>
      <c r="L180" s="185" t="str">
        <f t="shared" si="47"/>
        <v/>
      </c>
      <c r="M180" s="76" t="str">
        <f t="shared" si="48"/>
        <v/>
      </c>
      <c r="N180" s="26">
        <f t="shared" si="49"/>
        <v>0</v>
      </c>
      <c r="O180" s="235">
        <f t="shared" si="50"/>
        <v>0</v>
      </c>
      <c r="P180" s="235">
        <f t="shared" si="51"/>
        <v>0</v>
      </c>
      <c r="Q180" s="206">
        <f t="shared" si="52"/>
        <v>0</v>
      </c>
      <c r="R180" s="206">
        <f t="shared" si="41"/>
        <v>0</v>
      </c>
      <c r="S180" s="206">
        <f t="shared" si="42"/>
        <v>0</v>
      </c>
      <c r="T180" s="206">
        <f t="shared" si="43"/>
        <v>0</v>
      </c>
      <c r="U180" s="206">
        <f t="shared" si="43"/>
        <v>0</v>
      </c>
      <c r="V180" s="207" t="str">
        <f t="shared" si="44"/>
        <v/>
      </c>
    </row>
    <row r="181" spans="10:22" x14ac:dyDescent="0.3">
      <c r="J181" s="185" t="str">
        <f t="shared" si="45"/>
        <v/>
      </c>
      <c r="K181" s="185" t="str">
        <f t="shared" si="46"/>
        <v/>
      </c>
      <c r="L181" s="185" t="str">
        <f t="shared" si="47"/>
        <v/>
      </c>
      <c r="M181" s="76" t="str">
        <f t="shared" si="48"/>
        <v/>
      </c>
      <c r="N181" s="26">
        <f t="shared" si="49"/>
        <v>0</v>
      </c>
      <c r="O181" s="235">
        <f t="shared" si="50"/>
        <v>0</v>
      </c>
      <c r="P181" s="235">
        <f t="shared" si="51"/>
        <v>0</v>
      </c>
      <c r="Q181" s="206">
        <f t="shared" si="52"/>
        <v>0</v>
      </c>
      <c r="R181" s="206">
        <f t="shared" si="41"/>
        <v>0</v>
      </c>
      <c r="S181" s="206">
        <f t="shared" si="42"/>
        <v>0</v>
      </c>
      <c r="T181" s="206">
        <f t="shared" si="43"/>
        <v>0</v>
      </c>
      <c r="U181" s="206">
        <f t="shared" si="43"/>
        <v>0</v>
      </c>
      <c r="V181" s="207" t="str">
        <f t="shared" si="44"/>
        <v/>
      </c>
    </row>
    <row r="182" spans="10:22" x14ac:dyDescent="0.3">
      <c r="J182" s="185" t="str">
        <f t="shared" si="45"/>
        <v/>
      </c>
      <c r="K182" s="185" t="str">
        <f t="shared" si="46"/>
        <v/>
      </c>
      <c r="L182" s="185" t="str">
        <f t="shared" si="47"/>
        <v/>
      </c>
      <c r="M182" s="76" t="str">
        <f t="shared" si="48"/>
        <v/>
      </c>
      <c r="N182" s="26">
        <f t="shared" si="49"/>
        <v>0</v>
      </c>
      <c r="O182" s="235">
        <f t="shared" si="50"/>
        <v>0</v>
      </c>
      <c r="P182" s="235">
        <f t="shared" si="51"/>
        <v>0</v>
      </c>
      <c r="Q182" s="206">
        <f t="shared" si="52"/>
        <v>0</v>
      </c>
      <c r="R182" s="206">
        <f t="shared" si="41"/>
        <v>0</v>
      </c>
      <c r="S182" s="206">
        <f t="shared" si="42"/>
        <v>0</v>
      </c>
      <c r="T182" s="206">
        <f t="shared" si="43"/>
        <v>0</v>
      </c>
      <c r="U182" s="206">
        <f t="shared" si="43"/>
        <v>0</v>
      </c>
      <c r="V182" s="207" t="str">
        <f t="shared" si="44"/>
        <v/>
      </c>
    </row>
    <row r="183" spans="10:22" x14ac:dyDescent="0.3">
      <c r="J183" s="185" t="str">
        <f t="shared" si="45"/>
        <v/>
      </c>
      <c r="K183" s="185" t="str">
        <f t="shared" si="46"/>
        <v/>
      </c>
      <c r="L183" s="185" t="str">
        <f t="shared" si="47"/>
        <v/>
      </c>
      <c r="M183" s="76" t="str">
        <f t="shared" si="48"/>
        <v/>
      </c>
      <c r="N183" s="26">
        <f t="shared" si="49"/>
        <v>0</v>
      </c>
      <c r="O183" s="235">
        <f t="shared" si="50"/>
        <v>0</v>
      </c>
      <c r="P183" s="235">
        <f t="shared" si="51"/>
        <v>0</v>
      </c>
      <c r="Q183" s="206">
        <f t="shared" si="52"/>
        <v>0</v>
      </c>
      <c r="R183" s="206">
        <f t="shared" si="41"/>
        <v>0</v>
      </c>
      <c r="S183" s="206">
        <f t="shared" si="42"/>
        <v>0</v>
      </c>
      <c r="T183" s="206">
        <f t="shared" si="43"/>
        <v>0</v>
      </c>
      <c r="U183" s="206">
        <f t="shared" si="43"/>
        <v>0</v>
      </c>
      <c r="V183" s="207" t="str">
        <f t="shared" si="44"/>
        <v/>
      </c>
    </row>
    <row r="184" spans="10:22" x14ac:dyDescent="0.3">
      <c r="J184" s="185" t="str">
        <f t="shared" si="45"/>
        <v/>
      </c>
      <c r="K184" s="185" t="str">
        <f t="shared" si="46"/>
        <v/>
      </c>
      <c r="L184" s="185" t="str">
        <f t="shared" si="47"/>
        <v/>
      </c>
      <c r="M184" s="76" t="str">
        <f t="shared" si="48"/>
        <v/>
      </c>
      <c r="N184" s="26">
        <f t="shared" si="49"/>
        <v>0</v>
      </c>
      <c r="O184" s="235">
        <f t="shared" si="50"/>
        <v>0</v>
      </c>
      <c r="P184" s="235">
        <f t="shared" si="51"/>
        <v>0</v>
      </c>
      <c r="Q184" s="206">
        <f t="shared" si="52"/>
        <v>0</v>
      </c>
      <c r="R184" s="206">
        <f t="shared" si="41"/>
        <v>0</v>
      </c>
      <c r="S184" s="206">
        <f t="shared" si="42"/>
        <v>0</v>
      </c>
      <c r="T184" s="206">
        <f t="shared" si="43"/>
        <v>0</v>
      </c>
      <c r="U184" s="206">
        <f t="shared" si="43"/>
        <v>0</v>
      </c>
      <c r="V184" s="207" t="str">
        <f t="shared" si="44"/>
        <v/>
      </c>
    </row>
    <row r="185" spans="10:22" x14ac:dyDescent="0.3">
      <c r="J185" s="185" t="str">
        <f t="shared" si="45"/>
        <v/>
      </c>
      <c r="K185" s="185" t="str">
        <f t="shared" si="46"/>
        <v/>
      </c>
      <c r="L185" s="185" t="str">
        <f t="shared" si="47"/>
        <v/>
      </c>
      <c r="M185" s="76" t="str">
        <f t="shared" si="48"/>
        <v/>
      </c>
      <c r="N185" s="26">
        <f t="shared" si="49"/>
        <v>0</v>
      </c>
      <c r="O185" s="235">
        <f t="shared" si="50"/>
        <v>0</v>
      </c>
      <c r="P185" s="235">
        <f t="shared" si="51"/>
        <v>0</v>
      </c>
      <c r="Q185" s="206">
        <f t="shared" si="52"/>
        <v>0</v>
      </c>
      <c r="R185" s="206">
        <f t="shared" si="41"/>
        <v>0</v>
      </c>
      <c r="S185" s="206">
        <f t="shared" si="42"/>
        <v>0</v>
      </c>
      <c r="T185" s="206">
        <f t="shared" si="43"/>
        <v>0</v>
      </c>
      <c r="U185" s="206">
        <f t="shared" si="43"/>
        <v>0</v>
      </c>
      <c r="V185" s="207" t="str">
        <f t="shared" si="44"/>
        <v/>
      </c>
    </row>
    <row r="186" spans="10:22" x14ac:dyDescent="0.3">
      <c r="J186" s="185" t="str">
        <f t="shared" si="45"/>
        <v/>
      </c>
      <c r="K186" s="185" t="str">
        <f t="shared" si="46"/>
        <v/>
      </c>
      <c r="L186" s="185" t="str">
        <f t="shared" si="47"/>
        <v/>
      </c>
      <c r="M186" s="76" t="str">
        <f t="shared" si="48"/>
        <v/>
      </c>
      <c r="N186" s="26">
        <f t="shared" si="49"/>
        <v>0</v>
      </c>
      <c r="O186" s="235">
        <f t="shared" si="50"/>
        <v>0</v>
      </c>
      <c r="P186" s="235">
        <f t="shared" si="51"/>
        <v>0</v>
      </c>
      <c r="Q186" s="206">
        <f t="shared" si="52"/>
        <v>0</v>
      </c>
      <c r="R186" s="206">
        <f t="shared" si="41"/>
        <v>0</v>
      </c>
      <c r="S186" s="206">
        <f t="shared" si="42"/>
        <v>0</v>
      </c>
      <c r="T186" s="206">
        <f t="shared" si="43"/>
        <v>0</v>
      </c>
      <c r="U186" s="206">
        <f t="shared" si="43"/>
        <v>0</v>
      </c>
      <c r="V186" s="207" t="str">
        <f t="shared" si="44"/>
        <v/>
      </c>
    </row>
    <row r="187" spans="10:22" x14ac:dyDescent="0.3">
      <c r="J187" s="185" t="str">
        <f t="shared" si="45"/>
        <v/>
      </c>
      <c r="K187" s="185" t="str">
        <f t="shared" si="46"/>
        <v/>
      </c>
      <c r="L187" s="185" t="str">
        <f t="shared" si="47"/>
        <v/>
      </c>
      <c r="M187" s="76" t="str">
        <f t="shared" si="48"/>
        <v/>
      </c>
      <c r="N187" s="26">
        <f t="shared" si="49"/>
        <v>0</v>
      </c>
      <c r="O187" s="235">
        <f t="shared" si="50"/>
        <v>0</v>
      </c>
      <c r="P187" s="235">
        <f t="shared" si="51"/>
        <v>0</v>
      </c>
      <c r="Q187" s="206">
        <f t="shared" si="52"/>
        <v>0</v>
      </c>
      <c r="R187" s="206">
        <f t="shared" si="41"/>
        <v>0</v>
      </c>
      <c r="S187" s="206">
        <f t="shared" si="42"/>
        <v>0</v>
      </c>
      <c r="T187" s="206">
        <f t="shared" si="43"/>
        <v>0</v>
      </c>
      <c r="U187" s="206">
        <f t="shared" si="43"/>
        <v>0</v>
      </c>
      <c r="V187" s="207" t="str">
        <f t="shared" si="44"/>
        <v/>
      </c>
    </row>
    <row r="188" spans="10:22" x14ac:dyDescent="0.3">
      <c r="J188" s="185" t="str">
        <f t="shared" si="45"/>
        <v/>
      </c>
      <c r="K188" s="185" t="str">
        <f t="shared" si="46"/>
        <v/>
      </c>
      <c r="L188" s="185" t="str">
        <f t="shared" si="47"/>
        <v/>
      </c>
      <c r="M188" s="76" t="str">
        <f t="shared" si="48"/>
        <v/>
      </c>
      <c r="N188" s="26">
        <f t="shared" si="49"/>
        <v>0</v>
      </c>
      <c r="O188" s="235">
        <f t="shared" si="50"/>
        <v>0</v>
      </c>
      <c r="P188" s="235">
        <f t="shared" si="51"/>
        <v>0</v>
      </c>
      <c r="Q188" s="206">
        <f t="shared" si="52"/>
        <v>0</v>
      </c>
      <c r="R188" s="206">
        <f t="shared" si="41"/>
        <v>0</v>
      </c>
      <c r="S188" s="206">
        <f t="shared" si="42"/>
        <v>0</v>
      </c>
      <c r="T188" s="206">
        <f t="shared" si="43"/>
        <v>0</v>
      </c>
      <c r="U188" s="206">
        <f t="shared" si="43"/>
        <v>0</v>
      </c>
      <c r="V188" s="207" t="str">
        <f t="shared" si="44"/>
        <v/>
      </c>
    </row>
    <row r="189" spans="10:22" x14ac:dyDescent="0.3">
      <c r="J189" s="185" t="str">
        <f t="shared" si="45"/>
        <v/>
      </c>
      <c r="K189" s="185" t="str">
        <f t="shared" si="46"/>
        <v/>
      </c>
      <c r="L189" s="185" t="str">
        <f t="shared" si="47"/>
        <v/>
      </c>
      <c r="M189" s="76" t="str">
        <f t="shared" si="48"/>
        <v/>
      </c>
      <c r="N189" s="26">
        <f t="shared" si="49"/>
        <v>0</v>
      </c>
      <c r="O189" s="235">
        <f t="shared" si="50"/>
        <v>0</v>
      </c>
      <c r="P189" s="235">
        <f t="shared" si="51"/>
        <v>0</v>
      </c>
      <c r="Q189" s="206">
        <f t="shared" si="52"/>
        <v>0</v>
      </c>
      <c r="R189" s="206">
        <f t="shared" si="41"/>
        <v>0</v>
      </c>
      <c r="S189" s="206">
        <f t="shared" si="42"/>
        <v>0</v>
      </c>
      <c r="T189" s="206">
        <f t="shared" si="43"/>
        <v>0</v>
      </c>
      <c r="U189" s="206">
        <f t="shared" si="43"/>
        <v>0</v>
      </c>
      <c r="V189" s="207" t="str">
        <f t="shared" si="44"/>
        <v/>
      </c>
    </row>
    <row r="190" spans="10:22" x14ac:dyDescent="0.3">
      <c r="J190" s="185" t="str">
        <f t="shared" si="45"/>
        <v/>
      </c>
      <c r="K190" s="185" t="str">
        <f t="shared" si="46"/>
        <v/>
      </c>
      <c r="L190" s="185" t="str">
        <f t="shared" si="47"/>
        <v/>
      </c>
      <c r="M190" s="76" t="str">
        <f t="shared" si="48"/>
        <v/>
      </c>
      <c r="N190" s="26">
        <f t="shared" si="49"/>
        <v>0</v>
      </c>
      <c r="O190" s="235">
        <f t="shared" si="50"/>
        <v>0</v>
      </c>
      <c r="P190" s="235">
        <f t="shared" si="51"/>
        <v>0</v>
      </c>
      <c r="Q190" s="206">
        <f t="shared" si="52"/>
        <v>0</v>
      </c>
      <c r="R190" s="206">
        <f t="shared" si="41"/>
        <v>0</v>
      </c>
      <c r="S190" s="206">
        <f t="shared" si="42"/>
        <v>0</v>
      </c>
      <c r="T190" s="206">
        <f t="shared" si="43"/>
        <v>0</v>
      </c>
      <c r="U190" s="206">
        <f t="shared" si="43"/>
        <v>0</v>
      </c>
      <c r="V190" s="207" t="str">
        <f t="shared" si="44"/>
        <v/>
      </c>
    </row>
    <row r="191" spans="10:22" x14ac:dyDescent="0.3">
      <c r="J191" s="185" t="str">
        <f t="shared" si="45"/>
        <v/>
      </c>
      <c r="K191" s="185" t="str">
        <f t="shared" si="46"/>
        <v/>
      </c>
      <c r="L191" s="185" t="str">
        <f t="shared" si="47"/>
        <v/>
      </c>
      <c r="M191" s="76" t="str">
        <f t="shared" si="48"/>
        <v/>
      </c>
      <c r="N191" s="26">
        <f t="shared" si="49"/>
        <v>0</v>
      </c>
      <c r="O191" s="235">
        <f t="shared" si="50"/>
        <v>0</v>
      </c>
      <c r="P191" s="235">
        <f t="shared" si="51"/>
        <v>0</v>
      </c>
      <c r="Q191" s="206">
        <f t="shared" si="52"/>
        <v>0</v>
      </c>
      <c r="R191" s="206">
        <f t="shared" si="41"/>
        <v>0</v>
      </c>
      <c r="S191" s="206">
        <f t="shared" si="42"/>
        <v>0</v>
      </c>
      <c r="T191" s="206">
        <f t="shared" si="43"/>
        <v>0</v>
      </c>
      <c r="U191" s="206">
        <f t="shared" si="43"/>
        <v>0</v>
      </c>
      <c r="V191" s="207" t="str">
        <f t="shared" si="44"/>
        <v/>
      </c>
    </row>
    <row r="192" spans="10:22" x14ac:dyDescent="0.3">
      <c r="J192" s="185" t="str">
        <f t="shared" si="45"/>
        <v/>
      </c>
      <c r="K192" s="185" t="str">
        <f t="shared" si="46"/>
        <v/>
      </c>
      <c r="L192" s="185" t="str">
        <f t="shared" si="47"/>
        <v/>
      </c>
      <c r="M192" s="76" t="str">
        <f t="shared" si="48"/>
        <v/>
      </c>
      <c r="N192" s="26">
        <f t="shared" si="49"/>
        <v>0</v>
      </c>
      <c r="O192" s="235">
        <f t="shared" si="50"/>
        <v>0</v>
      </c>
      <c r="P192" s="235">
        <f t="shared" si="51"/>
        <v>0</v>
      </c>
      <c r="Q192" s="206">
        <f t="shared" si="52"/>
        <v>0</v>
      </c>
      <c r="R192" s="206">
        <f t="shared" si="41"/>
        <v>0</v>
      </c>
      <c r="S192" s="206">
        <f t="shared" si="42"/>
        <v>0</v>
      </c>
      <c r="T192" s="206">
        <f t="shared" si="43"/>
        <v>0</v>
      </c>
      <c r="U192" s="206">
        <f t="shared" si="43"/>
        <v>0</v>
      </c>
      <c r="V192" s="207" t="str">
        <f t="shared" si="44"/>
        <v/>
      </c>
    </row>
    <row r="193" spans="10:22" x14ac:dyDescent="0.3">
      <c r="J193" s="185" t="str">
        <f t="shared" si="45"/>
        <v/>
      </c>
      <c r="K193" s="185" t="str">
        <f t="shared" si="46"/>
        <v/>
      </c>
      <c r="L193" s="185" t="str">
        <f t="shared" si="47"/>
        <v/>
      </c>
      <c r="M193" s="76" t="str">
        <f t="shared" si="48"/>
        <v/>
      </c>
      <c r="N193" s="26">
        <f t="shared" si="49"/>
        <v>0</v>
      </c>
      <c r="O193" s="235">
        <f t="shared" si="50"/>
        <v>0</v>
      </c>
      <c r="P193" s="235">
        <f t="shared" si="51"/>
        <v>0</v>
      </c>
      <c r="Q193" s="206">
        <f t="shared" si="52"/>
        <v>0</v>
      </c>
      <c r="R193" s="206">
        <f t="shared" si="41"/>
        <v>0</v>
      </c>
      <c r="S193" s="206">
        <f t="shared" si="42"/>
        <v>0</v>
      </c>
      <c r="T193" s="206">
        <f t="shared" si="43"/>
        <v>0</v>
      </c>
      <c r="U193" s="206">
        <f t="shared" si="43"/>
        <v>0</v>
      </c>
      <c r="V193" s="207" t="str">
        <f t="shared" si="44"/>
        <v/>
      </c>
    </row>
    <row r="194" spans="10:22" x14ac:dyDescent="0.3">
      <c r="J194" s="185" t="str">
        <f t="shared" si="45"/>
        <v/>
      </c>
      <c r="K194" s="185" t="str">
        <f t="shared" si="46"/>
        <v/>
      </c>
      <c r="L194" s="185" t="str">
        <f t="shared" si="47"/>
        <v/>
      </c>
      <c r="M194" s="76" t="str">
        <f t="shared" si="48"/>
        <v/>
      </c>
      <c r="N194" s="26">
        <f t="shared" si="49"/>
        <v>0</v>
      </c>
      <c r="O194" s="235">
        <f t="shared" si="50"/>
        <v>0</v>
      </c>
      <c r="P194" s="235">
        <f t="shared" si="51"/>
        <v>0</v>
      </c>
      <c r="Q194" s="206">
        <f t="shared" si="52"/>
        <v>0</v>
      </c>
      <c r="R194" s="206">
        <f t="shared" si="41"/>
        <v>0</v>
      </c>
      <c r="S194" s="206">
        <f t="shared" si="42"/>
        <v>0</v>
      </c>
      <c r="T194" s="206">
        <f t="shared" si="43"/>
        <v>0</v>
      </c>
      <c r="U194" s="206">
        <f t="shared" si="43"/>
        <v>0</v>
      </c>
      <c r="V194" s="207" t="str">
        <f t="shared" si="44"/>
        <v/>
      </c>
    </row>
    <row r="195" spans="10:22" x14ac:dyDescent="0.3">
      <c r="J195" s="185" t="str">
        <f t="shared" si="45"/>
        <v/>
      </c>
      <c r="K195" s="185" t="str">
        <f t="shared" si="46"/>
        <v/>
      </c>
      <c r="L195" s="185" t="str">
        <f t="shared" si="47"/>
        <v/>
      </c>
      <c r="M195" s="76" t="str">
        <f t="shared" si="48"/>
        <v/>
      </c>
      <c r="N195" s="26">
        <f t="shared" si="49"/>
        <v>0</v>
      </c>
      <c r="O195" s="235">
        <f t="shared" si="50"/>
        <v>0</v>
      </c>
      <c r="P195" s="235">
        <f t="shared" si="51"/>
        <v>0</v>
      </c>
      <c r="Q195" s="206">
        <f t="shared" si="52"/>
        <v>0</v>
      </c>
      <c r="R195" s="206">
        <f t="shared" si="41"/>
        <v>0</v>
      </c>
      <c r="S195" s="206">
        <f t="shared" si="42"/>
        <v>0</v>
      </c>
      <c r="T195" s="206">
        <f t="shared" si="43"/>
        <v>0</v>
      </c>
      <c r="U195" s="206">
        <f t="shared" si="43"/>
        <v>0</v>
      </c>
      <c r="V195" s="207" t="str">
        <f t="shared" si="44"/>
        <v/>
      </c>
    </row>
    <row r="196" spans="10:22" x14ac:dyDescent="0.3">
      <c r="J196" s="185" t="str">
        <f t="shared" si="45"/>
        <v/>
      </c>
      <c r="K196" s="185" t="str">
        <f t="shared" si="46"/>
        <v/>
      </c>
      <c r="L196" s="185" t="str">
        <f t="shared" si="47"/>
        <v/>
      </c>
      <c r="M196" s="76" t="str">
        <f t="shared" si="48"/>
        <v/>
      </c>
      <c r="N196" s="26">
        <f t="shared" si="49"/>
        <v>0</v>
      </c>
      <c r="O196" s="235">
        <f t="shared" si="50"/>
        <v>0</v>
      </c>
      <c r="P196" s="235">
        <f t="shared" si="51"/>
        <v>0</v>
      </c>
      <c r="Q196" s="206">
        <f t="shared" si="52"/>
        <v>0</v>
      </c>
      <c r="R196" s="206">
        <f t="shared" si="41"/>
        <v>0</v>
      </c>
      <c r="S196" s="206">
        <f t="shared" si="42"/>
        <v>0</v>
      </c>
      <c r="T196" s="206">
        <f t="shared" si="43"/>
        <v>0</v>
      </c>
      <c r="U196" s="206">
        <f t="shared" si="43"/>
        <v>0</v>
      </c>
      <c r="V196" s="207" t="str">
        <f t="shared" si="44"/>
        <v/>
      </c>
    </row>
    <row r="197" spans="10:22" x14ac:dyDescent="0.3">
      <c r="J197" s="185" t="str">
        <f t="shared" si="45"/>
        <v/>
      </c>
      <c r="K197" s="185" t="str">
        <f t="shared" si="46"/>
        <v/>
      </c>
      <c r="L197" s="185" t="str">
        <f t="shared" si="47"/>
        <v/>
      </c>
      <c r="M197" s="76" t="str">
        <f t="shared" si="48"/>
        <v/>
      </c>
      <c r="N197" s="26">
        <f t="shared" si="49"/>
        <v>0</v>
      </c>
      <c r="O197" s="235">
        <f t="shared" si="50"/>
        <v>0</v>
      </c>
      <c r="P197" s="235">
        <f t="shared" si="51"/>
        <v>0</v>
      </c>
      <c r="Q197" s="206">
        <f t="shared" si="52"/>
        <v>0</v>
      </c>
      <c r="R197" s="206">
        <f t="shared" si="41"/>
        <v>0</v>
      </c>
      <c r="S197" s="206">
        <f t="shared" si="42"/>
        <v>0</v>
      </c>
      <c r="T197" s="206">
        <f t="shared" si="43"/>
        <v>0</v>
      </c>
      <c r="U197" s="206">
        <f t="shared" si="43"/>
        <v>0</v>
      </c>
      <c r="V197" s="207" t="str">
        <f t="shared" si="44"/>
        <v/>
      </c>
    </row>
    <row r="198" spans="10:22" x14ac:dyDescent="0.3">
      <c r="J198" s="185" t="str">
        <f t="shared" si="45"/>
        <v/>
      </c>
      <c r="K198" s="185" t="str">
        <f t="shared" si="46"/>
        <v/>
      </c>
      <c r="L198" s="185" t="str">
        <f t="shared" si="47"/>
        <v/>
      </c>
      <c r="M198" s="76" t="str">
        <f t="shared" si="48"/>
        <v/>
      </c>
      <c r="N198" s="26">
        <f t="shared" si="49"/>
        <v>0</v>
      </c>
      <c r="O198" s="235">
        <f t="shared" si="50"/>
        <v>0</v>
      </c>
      <c r="P198" s="235">
        <f t="shared" si="51"/>
        <v>0</v>
      </c>
      <c r="Q198" s="206">
        <f t="shared" si="52"/>
        <v>0</v>
      </c>
      <c r="R198" s="206">
        <f t="shared" si="41"/>
        <v>0</v>
      </c>
      <c r="S198" s="206">
        <f t="shared" si="42"/>
        <v>0</v>
      </c>
      <c r="T198" s="206">
        <f t="shared" si="43"/>
        <v>0</v>
      </c>
      <c r="U198" s="206">
        <f t="shared" si="43"/>
        <v>0</v>
      </c>
      <c r="V198" s="207" t="str">
        <f t="shared" si="44"/>
        <v/>
      </c>
    </row>
    <row r="199" spans="10:22" x14ac:dyDescent="0.3">
      <c r="J199" s="185" t="str">
        <f t="shared" si="45"/>
        <v/>
      </c>
      <c r="K199" s="185" t="str">
        <f t="shared" si="46"/>
        <v/>
      </c>
      <c r="L199" s="185" t="str">
        <f t="shared" si="47"/>
        <v/>
      </c>
      <c r="M199" s="76" t="str">
        <f t="shared" si="48"/>
        <v/>
      </c>
      <c r="N199" s="26">
        <f t="shared" si="49"/>
        <v>0</v>
      </c>
      <c r="O199" s="235">
        <f t="shared" si="50"/>
        <v>0</v>
      </c>
      <c r="P199" s="235">
        <f t="shared" si="51"/>
        <v>0</v>
      </c>
      <c r="Q199" s="206">
        <f t="shared" si="52"/>
        <v>0</v>
      </c>
      <c r="R199" s="206">
        <f t="shared" si="41"/>
        <v>0</v>
      </c>
      <c r="S199" s="206">
        <f t="shared" si="42"/>
        <v>0</v>
      </c>
      <c r="T199" s="206">
        <f t="shared" si="43"/>
        <v>0</v>
      </c>
      <c r="U199" s="206">
        <f t="shared" si="43"/>
        <v>0</v>
      </c>
      <c r="V199" s="207" t="str">
        <f t="shared" si="44"/>
        <v/>
      </c>
    </row>
    <row r="200" spans="10:22" x14ac:dyDescent="0.3">
      <c r="J200" s="185" t="str">
        <f t="shared" si="45"/>
        <v/>
      </c>
      <c r="K200" s="185" t="str">
        <f t="shared" si="46"/>
        <v/>
      </c>
      <c r="L200" s="185" t="str">
        <f t="shared" si="47"/>
        <v/>
      </c>
      <c r="M200" s="76" t="str">
        <f t="shared" si="48"/>
        <v/>
      </c>
      <c r="N200" s="26">
        <f t="shared" si="49"/>
        <v>0</v>
      </c>
      <c r="O200" s="235">
        <f t="shared" si="50"/>
        <v>0</v>
      </c>
      <c r="P200" s="235">
        <f t="shared" si="51"/>
        <v>0</v>
      </c>
      <c r="Q200" s="206">
        <f t="shared" si="52"/>
        <v>0</v>
      </c>
      <c r="R200" s="206">
        <f t="shared" si="41"/>
        <v>0</v>
      </c>
      <c r="S200" s="206">
        <f t="shared" si="42"/>
        <v>0</v>
      </c>
      <c r="T200" s="206">
        <f t="shared" si="43"/>
        <v>0</v>
      </c>
      <c r="U200" s="206">
        <f t="shared" si="43"/>
        <v>0</v>
      </c>
      <c r="V200" s="207" t="str">
        <f t="shared" si="44"/>
        <v/>
      </c>
    </row>
    <row r="201" spans="10:22" x14ac:dyDescent="0.3">
      <c r="J201" s="185" t="str">
        <f t="shared" si="45"/>
        <v/>
      </c>
      <c r="K201" s="185" t="str">
        <f t="shared" si="46"/>
        <v/>
      </c>
      <c r="L201" s="185" t="str">
        <f t="shared" si="47"/>
        <v/>
      </c>
      <c r="M201" s="76" t="str">
        <f t="shared" si="48"/>
        <v/>
      </c>
      <c r="N201" s="26">
        <f t="shared" si="49"/>
        <v>0</v>
      </c>
      <c r="O201" s="235">
        <f t="shared" si="50"/>
        <v>0</v>
      </c>
      <c r="P201" s="235">
        <f t="shared" si="51"/>
        <v>0</v>
      </c>
      <c r="Q201" s="206">
        <f t="shared" si="52"/>
        <v>0</v>
      </c>
      <c r="R201" s="206">
        <f t="shared" si="41"/>
        <v>0</v>
      </c>
      <c r="S201" s="206">
        <f t="shared" si="42"/>
        <v>0</v>
      </c>
      <c r="T201" s="206">
        <f t="shared" si="43"/>
        <v>0</v>
      </c>
      <c r="U201" s="206">
        <f t="shared" si="43"/>
        <v>0</v>
      </c>
      <c r="V201" s="207" t="str">
        <f t="shared" si="44"/>
        <v/>
      </c>
    </row>
    <row r="202" spans="10:22" x14ac:dyDescent="0.3">
      <c r="J202" s="185" t="str">
        <f t="shared" si="45"/>
        <v/>
      </c>
      <c r="K202" s="185" t="str">
        <f t="shared" si="46"/>
        <v/>
      </c>
      <c r="L202" s="185" t="str">
        <f t="shared" si="47"/>
        <v/>
      </c>
      <c r="M202" s="76" t="str">
        <f t="shared" si="48"/>
        <v/>
      </c>
      <c r="N202" s="26">
        <f t="shared" si="49"/>
        <v>0</v>
      </c>
      <c r="O202" s="235">
        <f t="shared" si="50"/>
        <v>0</v>
      </c>
      <c r="P202" s="235">
        <f t="shared" si="51"/>
        <v>0</v>
      </c>
      <c r="Q202" s="206">
        <f t="shared" si="52"/>
        <v>0</v>
      </c>
      <c r="R202" s="206">
        <f t="shared" si="41"/>
        <v>0</v>
      </c>
      <c r="S202" s="206">
        <f t="shared" si="42"/>
        <v>0</v>
      </c>
      <c r="T202" s="206">
        <f t="shared" si="43"/>
        <v>0</v>
      </c>
      <c r="U202" s="206">
        <f t="shared" si="43"/>
        <v>0</v>
      </c>
      <c r="V202" s="207" t="str">
        <f t="shared" si="44"/>
        <v/>
      </c>
    </row>
    <row r="203" spans="10:22" x14ac:dyDescent="0.3">
      <c r="J203" s="185" t="str">
        <f t="shared" si="45"/>
        <v/>
      </c>
      <c r="K203" s="185" t="str">
        <f t="shared" si="46"/>
        <v/>
      </c>
      <c r="L203" s="185" t="str">
        <f t="shared" si="47"/>
        <v/>
      </c>
      <c r="M203" s="76" t="str">
        <f t="shared" si="48"/>
        <v/>
      </c>
      <c r="N203" s="26">
        <f t="shared" si="49"/>
        <v>0</v>
      </c>
      <c r="O203" s="235">
        <f t="shared" si="50"/>
        <v>0</v>
      </c>
      <c r="P203" s="235">
        <f t="shared" si="51"/>
        <v>0</v>
      </c>
      <c r="Q203" s="206">
        <f t="shared" si="52"/>
        <v>0</v>
      </c>
      <c r="R203" s="206">
        <f t="shared" si="41"/>
        <v>0</v>
      </c>
      <c r="S203" s="206">
        <f t="shared" si="42"/>
        <v>0</v>
      </c>
      <c r="T203" s="206">
        <f t="shared" si="43"/>
        <v>0</v>
      </c>
      <c r="U203" s="206">
        <f t="shared" si="43"/>
        <v>0</v>
      </c>
      <c r="V203" s="207" t="str">
        <f t="shared" si="44"/>
        <v/>
      </c>
    </row>
    <row r="204" spans="10:22" x14ac:dyDescent="0.3">
      <c r="J204" s="185" t="str">
        <f t="shared" si="45"/>
        <v/>
      </c>
      <c r="K204" s="185" t="str">
        <f t="shared" si="46"/>
        <v/>
      </c>
      <c r="L204" s="185" t="str">
        <f t="shared" si="47"/>
        <v/>
      </c>
      <c r="M204" s="76" t="str">
        <f t="shared" si="48"/>
        <v/>
      </c>
      <c r="N204" s="26">
        <f t="shared" si="49"/>
        <v>0</v>
      </c>
      <c r="O204" s="235">
        <f t="shared" si="50"/>
        <v>0</v>
      </c>
      <c r="P204" s="235">
        <f t="shared" si="51"/>
        <v>0</v>
      </c>
      <c r="Q204" s="206">
        <f t="shared" si="52"/>
        <v>0</v>
      </c>
      <c r="R204" s="206">
        <f t="shared" si="41"/>
        <v>0</v>
      </c>
      <c r="S204" s="206">
        <f t="shared" si="42"/>
        <v>0</v>
      </c>
      <c r="T204" s="206">
        <f t="shared" si="43"/>
        <v>0</v>
      </c>
      <c r="U204" s="206">
        <f t="shared" si="43"/>
        <v>0</v>
      </c>
      <c r="V204" s="207" t="str">
        <f t="shared" si="44"/>
        <v/>
      </c>
    </row>
    <row r="205" spans="10:22" x14ac:dyDescent="0.3">
      <c r="J205" s="185" t="str">
        <f t="shared" si="45"/>
        <v/>
      </c>
      <c r="K205" s="185" t="str">
        <f t="shared" si="46"/>
        <v/>
      </c>
      <c r="L205" s="185" t="str">
        <f t="shared" si="47"/>
        <v/>
      </c>
      <c r="M205" s="76" t="str">
        <f t="shared" si="48"/>
        <v/>
      </c>
      <c r="N205" s="26">
        <f t="shared" si="49"/>
        <v>0</v>
      </c>
      <c r="O205" s="235">
        <f t="shared" si="50"/>
        <v>0</v>
      </c>
      <c r="P205" s="235">
        <f t="shared" si="51"/>
        <v>0</v>
      </c>
      <c r="Q205" s="206">
        <f t="shared" si="52"/>
        <v>0</v>
      </c>
      <c r="R205" s="206">
        <f t="shared" si="41"/>
        <v>0</v>
      </c>
      <c r="S205" s="206">
        <f t="shared" si="42"/>
        <v>0</v>
      </c>
      <c r="T205" s="206">
        <f t="shared" si="43"/>
        <v>0</v>
      </c>
      <c r="U205" s="206">
        <f t="shared" si="43"/>
        <v>0</v>
      </c>
      <c r="V205" s="207" t="str">
        <f t="shared" si="44"/>
        <v/>
      </c>
    </row>
    <row r="206" spans="10:22" x14ac:dyDescent="0.3">
      <c r="J206" s="185" t="str">
        <f t="shared" si="45"/>
        <v/>
      </c>
      <c r="K206" s="185" t="str">
        <f t="shared" si="46"/>
        <v/>
      </c>
      <c r="L206" s="185" t="str">
        <f t="shared" si="47"/>
        <v/>
      </c>
      <c r="M206" s="76" t="str">
        <f t="shared" si="48"/>
        <v/>
      </c>
      <c r="N206" s="26">
        <f t="shared" si="49"/>
        <v>0</v>
      </c>
      <c r="O206" s="235">
        <f t="shared" si="50"/>
        <v>0</v>
      </c>
      <c r="P206" s="235">
        <f t="shared" si="51"/>
        <v>0</v>
      </c>
      <c r="Q206" s="206">
        <f t="shared" si="52"/>
        <v>0</v>
      </c>
      <c r="R206" s="206">
        <f t="shared" si="41"/>
        <v>0</v>
      </c>
      <c r="S206" s="206">
        <f t="shared" si="42"/>
        <v>0</v>
      </c>
      <c r="T206" s="206">
        <f t="shared" si="43"/>
        <v>0</v>
      </c>
      <c r="U206" s="206">
        <f t="shared" si="43"/>
        <v>0</v>
      </c>
      <c r="V206" s="207" t="str">
        <f t="shared" si="44"/>
        <v/>
      </c>
    </row>
    <row r="207" spans="10:22" x14ac:dyDescent="0.3">
      <c r="J207" s="185" t="str">
        <f t="shared" si="45"/>
        <v/>
      </c>
      <c r="K207" s="185" t="str">
        <f t="shared" si="46"/>
        <v/>
      </c>
      <c r="L207" s="185" t="str">
        <f t="shared" si="47"/>
        <v/>
      </c>
      <c r="M207" s="76" t="str">
        <f t="shared" si="48"/>
        <v/>
      </c>
      <c r="N207" s="26">
        <f t="shared" si="49"/>
        <v>0</v>
      </c>
      <c r="O207" s="235">
        <f t="shared" si="50"/>
        <v>0</v>
      </c>
      <c r="P207" s="235">
        <f t="shared" si="51"/>
        <v>0</v>
      </c>
      <c r="Q207" s="206">
        <f t="shared" si="52"/>
        <v>0</v>
      </c>
      <c r="R207" s="206">
        <f t="shared" si="41"/>
        <v>0</v>
      </c>
      <c r="S207" s="206">
        <f t="shared" si="42"/>
        <v>0</v>
      </c>
      <c r="T207" s="206">
        <f t="shared" si="43"/>
        <v>0</v>
      </c>
      <c r="U207" s="206">
        <f t="shared" si="43"/>
        <v>0</v>
      </c>
      <c r="V207" s="207" t="str">
        <f t="shared" si="44"/>
        <v/>
      </c>
    </row>
    <row r="208" spans="10:22" x14ac:dyDescent="0.3">
      <c r="J208" s="185" t="str">
        <f t="shared" si="45"/>
        <v/>
      </c>
      <c r="K208" s="185" t="str">
        <f t="shared" si="46"/>
        <v/>
      </c>
      <c r="L208" s="185" t="str">
        <f t="shared" si="47"/>
        <v/>
      </c>
      <c r="M208" s="76" t="str">
        <f t="shared" si="48"/>
        <v/>
      </c>
      <c r="N208" s="26">
        <f t="shared" si="49"/>
        <v>0</v>
      </c>
      <c r="O208" s="235">
        <f t="shared" si="50"/>
        <v>0</v>
      </c>
      <c r="P208" s="235">
        <f t="shared" si="51"/>
        <v>0</v>
      </c>
      <c r="Q208" s="206">
        <f t="shared" si="52"/>
        <v>0</v>
      </c>
      <c r="R208" s="206">
        <f t="shared" si="41"/>
        <v>0</v>
      </c>
      <c r="S208" s="206">
        <f t="shared" si="42"/>
        <v>0</v>
      </c>
      <c r="T208" s="206">
        <f t="shared" si="43"/>
        <v>0</v>
      </c>
      <c r="U208" s="206">
        <f t="shared" si="43"/>
        <v>0</v>
      </c>
      <c r="V208" s="207" t="str">
        <f t="shared" si="44"/>
        <v/>
      </c>
    </row>
    <row r="209" spans="10:22" x14ac:dyDescent="0.3">
      <c r="J209" s="185" t="str">
        <f t="shared" si="45"/>
        <v/>
      </c>
      <c r="K209" s="185" t="str">
        <f t="shared" si="46"/>
        <v/>
      </c>
      <c r="L209" s="185" t="str">
        <f t="shared" si="47"/>
        <v/>
      </c>
      <c r="M209" s="76" t="str">
        <f t="shared" si="48"/>
        <v/>
      </c>
      <c r="N209" s="26">
        <f t="shared" si="49"/>
        <v>0</v>
      </c>
      <c r="O209" s="235">
        <f t="shared" si="50"/>
        <v>0</v>
      </c>
      <c r="P209" s="235">
        <f t="shared" si="51"/>
        <v>0</v>
      </c>
      <c r="Q209" s="206">
        <f t="shared" si="52"/>
        <v>0</v>
      </c>
      <c r="R209" s="206">
        <f t="shared" si="41"/>
        <v>0</v>
      </c>
      <c r="S209" s="206">
        <f t="shared" si="42"/>
        <v>0</v>
      </c>
      <c r="T209" s="206">
        <f t="shared" si="43"/>
        <v>0</v>
      </c>
      <c r="U209" s="206">
        <f t="shared" si="43"/>
        <v>0</v>
      </c>
      <c r="V209" s="207" t="str">
        <f t="shared" si="44"/>
        <v/>
      </c>
    </row>
    <row r="210" spans="10:22" x14ac:dyDescent="0.3">
      <c r="J210" s="185" t="str">
        <f t="shared" si="45"/>
        <v/>
      </c>
      <c r="K210" s="185" t="str">
        <f t="shared" si="46"/>
        <v/>
      </c>
      <c r="L210" s="185" t="str">
        <f t="shared" si="47"/>
        <v/>
      </c>
      <c r="M210" s="76" t="str">
        <f t="shared" si="48"/>
        <v/>
      </c>
      <c r="N210" s="26">
        <f t="shared" si="49"/>
        <v>0</v>
      </c>
      <c r="O210" s="235">
        <f t="shared" si="50"/>
        <v>0</v>
      </c>
      <c r="P210" s="235">
        <f t="shared" si="51"/>
        <v>0</v>
      </c>
      <c r="Q210" s="206">
        <f t="shared" si="52"/>
        <v>0</v>
      </c>
      <c r="R210" s="206">
        <f t="shared" si="41"/>
        <v>0</v>
      </c>
      <c r="S210" s="206">
        <f t="shared" si="42"/>
        <v>0</v>
      </c>
      <c r="T210" s="206">
        <f t="shared" si="43"/>
        <v>0</v>
      </c>
      <c r="U210" s="206">
        <f t="shared" si="43"/>
        <v>0</v>
      </c>
      <c r="V210" s="207" t="str">
        <f t="shared" si="44"/>
        <v/>
      </c>
    </row>
    <row r="211" spans="10:22" x14ac:dyDescent="0.3">
      <c r="J211" s="185" t="str">
        <f t="shared" si="45"/>
        <v/>
      </c>
      <c r="K211" s="185" t="str">
        <f t="shared" si="46"/>
        <v/>
      </c>
      <c r="L211" s="185" t="str">
        <f t="shared" si="47"/>
        <v/>
      </c>
      <c r="M211" s="76" t="str">
        <f t="shared" si="48"/>
        <v/>
      </c>
      <c r="N211" s="26">
        <f t="shared" si="49"/>
        <v>0</v>
      </c>
      <c r="O211" s="235">
        <f t="shared" si="50"/>
        <v>0</v>
      </c>
      <c r="P211" s="235">
        <f t="shared" si="51"/>
        <v>0</v>
      </c>
      <c r="Q211" s="206">
        <f t="shared" si="52"/>
        <v>0</v>
      </c>
      <c r="R211" s="206">
        <f t="shared" si="41"/>
        <v>0</v>
      </c>
      <c r="S211" s="206">
        <f t="shared" si="42"/>
        <v>0</v>
      </c>
      <c r="T211" s="206">
        <f t="shared" si="43"/>
        <v>0</v>
      </c>
      <c r="U211" s="206">
        <f t="shared" si="43"/>
        <v>0</v>
      </c>
      <c r="V211" s="207" t="str">
        <f t="shared" si="44"/>
        <v/>
      </c>
    </row>
    <row r="212" spans="10:22" x14ac:dyDescent="0.3">
      <c r="J212" s="185" t="str">
        <f t="shared" si="45"/>
        <v/>
      </c>
      <c r="K212" s="185" t="str">
        <f t="shared" si="46"/>
        <v/>
      </c>
      <c r="L212" s="185" t="str">
        <f t="shared" si="47"/>
        <v/>
      </c>
      <c r="M212" s="76" t="str">
        <f t="shared" si="48"/>
        <v/>
      </c>
      <c r="N212" s="26">
        <f t="shared" si="49"/>
        <v>0</v>
      </c>
      <c r="O212" s="235">
        <f t="shared" si="50"/>
        <v>0</v>
      </c>
      <c r="P212" s="235">
        <f t="shared" si="51"/>
        <v>0</v>
      </c>
      <c r="Q212" s="206">
        <f t="shared" si="52"/>
        <v>0</v>
      </c>
      <c r="R212" s="206">
        <f t="shared" si="41"/>
        <v>0</v>
      </c>
      <c r="S212" s="206">
        <f t="shared" si="42"/>
        <v>0</v>
      </c>
      <c r="T212" s="206">
        <f t="shared" si="43"/>
        <v>0</v>
      </c>
      <c r="U212" s="206">
        <f t="shared" si="43"/>
        <v>0</v>
      </c>
      <c r="V212" s="207" t="str">
        <f t="shared" si="44"/>
        <v/>
      </c>
    </row>
    <row r="213" spans="10:22" x14ac:dyDescent="0.3">
      <c r="J213" s="185" t="str">
        <f t="shared" si="45"/>
        <v/>
      </c>
      <c r="K213" s="185" t="str">
        <f t="shared" si="46"/>
        <v/>
      </c>
      <c r="L213" s="185" t="str">
        <f t="shared" si="47"/>
        <v/>
      </c>
      <c r="M213" s="76" t="str">
        <f t="shared" si="48"/>
        <v/>
      </c>
      <c r="N213" s="26">
        <f t="shared" si="49"/>
        <v>0</v>
      </c>
      <c r="O213" s="235">
        <f t="shared" si="50"/>
        <v>0</v>
      </c>
      <c r="P213" s="235">
        <f t="shared" si="51"/>
        <v>0</v>
      </c>
      <c r="Q213" s="206">
        <f t="shared" si="52"/>
        <v>0</v>
      </c>
      <c r="R213" s="206">
        <f t="shared" si="41"/>
        <v>0</v>
      </c>
      <c r="S213" s="206">
        <f t="shared" si="42"/>
        <v>0</v>
      </c>
      <c r="T213" s="206">
        <f t="shared" si="43"/>
        <v>0</v>
      </c>
      <c r="U213" s="206">
        <f t="shared" si="43"/>
        <v>0</v>
      </c>
      <c r="V213" s="207" t="str">
        <f t="shared" si="44"/>
        <v/>
      </c>
    </row>
    <row r="214" spans="10:22" x14ac:dyDescent="0.3">
      <c r="J214" s="185" t="str">
        <f t="shared" si="45"/>
        <v/>
      </c>
      <c r="K214" s="185" t="str">
        <f t="shared" si="46"/>
        <v/>
      </c>
      <c r="L214" s="185" t="str">
        <f t="shared" si="47"/>
        <v/>
      </c>
      <c r="M214" s="76" t="str">
        <f t="shared" si="48"/>
        <v/>
      </c>
      <c r="N214" s="26">
        <f t="shared" si="49"/>
        <v>0</v>
      </c>
      <c r="O214" s="235">
        <f t="shared" si="50"/>
        <v>0</v>
      </c>
      <c r="P214" s="235">
        <f t="shared" si="51"/>
        <v>0</v>
      </c>
      <c r="Q214" s="206">
        <f t="shared" si="52"/>
        <v>0</v>
      </c>
      <c r="R214" s="206">
        <f t="shared" si="41"/>
        <v>0</v>
      </c>
      <c r="S214" s="206">
        <f t="shared" si="42"/>
        <v>0</v>
      </c>
      <c r="T214" s="206">
        <f t="shared" si="43"/>
        <v>0</v>
      </c>
      <c r="U214" s="206">
        <f t="shared" si="43"/>
        <v>0</v>
      </c>
      <c r="V214" s="207" t="str">
        <f t="shared" si="44"/>
        <v/>
      </c>
    </row>
    <row r="215" spans="10:22" x14ac:dyDescent="0.3">
      <c r="J215" s="185" t="str">
        <f t="shared" si="45"/>
        <v/>
      </c>
      <c r="K215" s="185" t="str">
        <f t="shared" si="46"/>
        <v/>
      </c>
      <c r="L215" s="185" t="str">
        <f t="shared" si="47"/>
        <v/>
      </c>
      <c r="M215" s="76" t="str">
        <f t="shared" si="48"/>
        <v/>
      </c>
      <c r="N215" s="26">
        <f t="shared" si="49"/>
        <v>0</v>
      </c>
      <c r="O215" s="235">
        <f t="shared" si="50"/>
        <v>0</v>
      </c>
      <c r="P215" s="235">
        <f t="shared" si="51"/>
        <v>0</v>
      </c>
      <c r="Q215" s="206">
        <f t="shared" si="52"/>
        <v>0</v>
      </c>
      <c r="R215" s="206">
        <f t="shared" si="41"/>
        <v>0</v>
      </c>
      <c r="S215" s="206">
        <f t="shared" si="42"/>
        <v>0</v>
      </c>
      <c r="T215" s="206">
        <f t="shared" si="43"/>
        <v>0</v>
      </c>
      <c r="U215" s="206">
        <f t="shared" si="43"/>
        <v>0</v>
      </c>
      <c r="V215" s="207" t="str">
        <f t="shared" si="44"/>
        <v/>
      </c>
    </row>
    <row r="216" spans="10:22" x14ac:dyDescent="0.3">
      <c r="J216" s="185" t="str">
        <f t="shared" si="45"/>
        <v/>
      </c>
      <c r="K216" s="185" t="str">
        <f t="shared" si="46"/>
        <v/>
      </c>
      <c r="L216" s="185" t="str">
        <f t="shared" si="47"/>
        <v/>
      </c>
      <c r="M216" s="76" t="str">
        <f t="shared" si="48"/>
        <v/>
      </c>
      <c r="N216" s="26">
        <f t="shared" si="49"/>
        <v>0</v>
      </c>
      <c r="O216" s="235">
        <f t="shared" si="50"/>
        <v>0</v>
      </c>
      <c r="P216" s="235">
        <f t="shared" si="51"/>
        <v>0</v>
      </c>
      <c r="Q216" s="206">
        <f t="shared" si="52"/>
        <v>0</v>
      </c>
      <c r="R216" s="206">
        <f t="shared" si="41"/>
        <v>0</v>
      </c>
      <c r="S216" s="206">
        <f t="shared" si="42"/>
        <v>0</v>
      </c>
      <c r="T216" s="206">
        <f t="shared" si="43"/>
        <v>0</v>
      </c>
      <c r="U216" s="206">
        <f t="shared" si="43"/>
        <v>0</v>
      </c>
      <c r="V216" s="207" t="str">
        <f t="shared" si="44"/>
        <v/>
      </c>
    </row>
    <row r="217" spans="10:22" x14ac:dyDescent="0.3">
      <c r="J217" s="185" t="str">
        <f t="shared" si="45"/>
        <v/>
      </c>
      <c r="K217" s="185" t="str">
        <f t="shared" si="46"/>
        <v/>
      </c>
      <c r="L217" s="185" t="str">
        <f t="shared" si="47"/>
        <v/>
      </c>
      <c r="M217" s="76" t="str">
        <f t="shared" si="48"/>
        <v/>
      </c>
      <c r="N217" s="26">
        <f t="shared" si="49"/>
        <v>0</v>
      </c>
      <c r="O217" s="235">
        <f t="shared" si="50"/>
        <v>0</v>
      </c>
      <c r="P217" s="235">
        <f t="shared" si="51"/>
        <v>0</v>
      </c>
      <c r="Q217" s="206">
        <f t="shared" si="52"/>
        <v>0</v>
      </c>
      <c r="R217" s="206">
        <f t="shared" si="41"/>
        <v>0</v>
      </c>
      <c r="S217" s="206">
        <f t="shared" si="42"/>
        <v>0</v>
      </c>
      <c r="T217" s="206">
        <f t="shared" si="43"/>
        <v>0</v>
      </c>
      <c r="U217" s="206">
        <f t="shared" si="43"/>
        <v>0</v>
      </c>
      <c r="V217" s="207" t="str">
        <f t="shared" si="44"/>
        <v/>
      </c>
    </row>
    <row r="218" spans="10:22" x14ac:dyDescent="0.3">
      <c r="J218" s="185" t="str">
        <f t="shared" si="45"/>
        <v/>
      </c>
      <c r="K218" s="185" t="str">
        <f t="shared" si="46"/>
        <v/>
      </c>
      <c r="L218" s="185" t="str">
        <f t="shared" si="47"/>
        <v/>
      </c>
      <c r="M218" s="76" t="str">
        <f t="shared" si="48"/>
        <v/>
      </c>
      <c r="N218" s="26">
        <f t="shared" si="49"/>
        <v>0</v>
      </c>
      <c r="O218" s="235">
        <f t="shared" si="50"/>
        <v>0</v>
      </c>
      <c r="P218" s="235">
        <f t="shared" si="51"/>
        <v>0</v>
      </c>
      <c r="Q218" s="206">
        <f t="shared" si="52"/>
        <v>0</v>
      </c>
      <c r="R218" s="206">
        <f t="shared" si="41"/>
        <v>0</v>
      </c>
      <c r="S218" s="206">
        <f t="shared" si="42"/>
        <v>0</v>
      </c>
      <c r="T218" s="206">
        <f t="shared" si="43"/>
        <v>0</v>
      </c>
      <c r="U218" s="206">
        <f t="shared" si="43"/>
        <v>0</v>
      </c>
      <c r="V218" s="207" t="str">
        <f t="shared" si="44"/>
        <v/>
      </c>
    </row>
    <row r="219" spans="10:22" x14ac:dyDescent="0.3">
      <c r="J219" s="185" t="str">
        <f t="shared" si="45"/>
        <v/>
      </c>
      <c r="K219" s="185" t="str">
        <f t="shared" si="46"/>
        <v/>
      </c>
      <c r="L219" s="185" t="str">
        <f t="shared" si="47"/>
        <v/>
      </c>
      <c r="M219" s="76" t="str">
        <f t="shared" si="48"/>
        <v/>
      </c>
      <c r="N219" s="26">
        <f t="shared" si="49"/>
        <v>0</v>
      </c>
      <c r="O219" s="235">
        <f t="shared" si="50"/>
        <v>0</v>
      </c>
      <c r="P219" s="235">
        <f t="shared" si="51"/>
        <v>0</v>
      </c>
      <c r="Q219" s="206">
        <f t="shared" si="52"/>
        <v>0</v>
      </c>
      <c r="R219" s="206">
        <f t="shared" ref="R219:R282" si="53">IF($J219=29,VALUE(LEFT(B219,LEN(B219)-2)),0)</f>
        <v>0</v>
      </c>
      <c r="S219" s="206">
        <f t="shared" ref="S219:S282" si="54">IF($J219=29,VALUE(LEFT(C219,LEN(C219)-2)),0)</f>
        <v>0</v>
      </c>
      <c r="T219" s="206">
        <f t="shared" ref="T219:U282" si="55">IF($J219=29,VALUE(LEFT(D219,LEN(D219)-2)),0)</f>
        <v>0</v>
      </c>
      <c r="U219" s="206">
        <f t="shared" si="55"/>
        <v>0</v>
      </c>
      <c r="V219" s="207" t="str">
        <f t="shared" ref="V219:V282" si="56">IFERROR(N219/SUM(R219:U219),"")</f>
        <v/>
      </c>
    </row>
    <row r="220" spans="10:22" x14ac:dyDescent="0.3">
      <c r="J220" s="185" t="str">
        <f t="shared" si="45"/>
        <v/>
      </c>
      <c r="K220" s="185" t="str">
        <f t="shared" si="46"/>
        <v/>
      </c>
      <c r="L220" s="185" t="str">
        <f t="shared" si="47"/>
        <v/>
      </c>
      <c r="M220" s="76" t="str">
        <f t="shared" si="48"/>
        <v/>
      </c>
      <c r="N220" s="26">
        <f t="shared" si="49"/>
        <v>0</v>
      </c>
      <c r="O220" s="235">
        <f t="shared" si="50"/>
        <v>0</v>
      </c>
      <c r="P220" s="235">
        <f t="shared" si="51"/>
        <v>0</v>
      </c>
      <c r="Q220" s="206">
        <f t="shared" si="52"/>
        <v>0</v>
      </c>
      <c r="R220" s="206">
        <f t="shared" si="53"/>
        <v>0</v>
      </c>
      <c r="S220" s="206">
        <f t="shared" si="54"/>
        <v>0</v>
      </c>
      <c r="T220" s="206">
        <f t="shared" si="55"/>
        <v>0</v>
      </c>
      <c r="U220" s="206">
        <f t="shared" si="55"/>
        <v>0</v>
      </c>
      <c r="V220" s="207" t="str">
        <f t="shared" si="56"/>
        <v/>
      </c>
    </row>
    <row r="221" spans="10:22" x14ac:dyDescent="0.3">
      <c r="J221" s="185" t="str">
        <f t="shared" si="45"/>
        <v/>
      </c>
      <c r="K221" s="185" t="str">
        <f t="shared" si="46"/>
        <v/>
      </c>
      <c r="L221" s="185" t="str">
        <f t="shared" si="47"/>
        <v/>
      </c>
      <c r="M221" s="76" t="str">
        <f t="shared" si="48"/>
        <v/>
      </c>
      <c r="N221" s="26">
        <f t="shared" si="49"/>
        <v>0</v>
      </c>
      <c r="O221" s="235">
        <f t="shared" si="50"/>
        <v>0</v>
      </c>
      <c r="P221" s="235">
        <f t="shared" si="51"/>
        <v>0</v>
      </c>
      <c r="Q221" s="206">
        <f t="shared" si="52"/>
        <v>0</v>
      </c>
      <c r="R221" s="206">
        <f t="shared" si="53"/>
        <v>0</v>
      </c>
      <c r="S221" s="206">
        <f t="shared" si="54"/>
        <v>0</v>
      </c>
      <c r="T221" s="206">
        <f t="shared" si="55"/>
        <v>0</v>
      </c>
      <c r="U221" s="206">
        <f t="shared" si="55"/>
        <v>0</v>
      </c>
      <c r="V221" s="207" t="str">
        <f t="shared" si="56"/>
        <v/>
      </c>
    </row>
    <row r="222" spans="10:22" x14ac:dyDescent="0.3">
      <c r="J222" s="185" t="str">
        <f t="shared" si="45"/>
        <v/>
      </c>
      <c r="K222" s="185" t="str">
        <f t="shared" si="46"/>
        <v/>
      </c>
      <c r="L222" s="185" t="str">
        <f t="shared" si="47"/>
        <v/>
      </c>
      <c r="M222" s="76" t="str">
        <f t="shared" si="48"/>
        <v/>
      </c>
      <c r="N222" s="26">
        <f t="shared" si="49"/>
        <v>0</v>
      </c>
      <c r="O222" s="235">
        <f t="shared" si="50"/>
        <v>0</v>
      </c>
      <c r="P222" s="235">
        <f t="shared" si="51"/>
        <v>0</v>
      </c>
      <c r="Q222" s="206">
        <f t="shared" si="52"/>
        <v>0</v>
      </c>
      <c r="R222" s="206">
        <f t="shared" si="53"/>
        <v>0</v>
      </c>
      <c r="S222" s="206">
        <f t="shared" si="54"/>
        <v>0</v>
      </c>
      <c r="T222" s="206">
        <f t="shared" si="55"/>
        <v>0</v>
      </c>
      <c r="U222" s="206">
        <f t="shared" si="55"/>
        <v>0</v>
      </c>
      <c r="V222" s="207" t="str">
        <f t="shared" si="56"/>
        <v/>
      </c>
    </row>
    <row r="223" spans="10:22" x14ac:dyDescent="0.3">
      <c r="J223" s="185" t="str">
        <f t="shared" si="45"/>
        <v/>
      </c>
      <c r="K223" s="185" t="str">
        <f t="shared" si="46"/>
        <v/>
      </c>
      <c r="L223" s="185" t="str">
        <f t="shared" si="47"/>
        <v/>
      </c>
      <c r="M223" s="76" t="str">
        <f t="shared" si="48"/>
        <v/>
      </c>
      <c r="N223" s="26">
        <f t="shared" si="49"/>
        <v>0</v>
      </c>
      <c r="O223" s="235">
        <f t="shared" si="50"/>
        <v>0</v>
      </c>
      <c r="P223" s="235">
        <f t="shared" si="51"/>
        <v>0</v>
      </c>
      <c r="Q223" s="206">
        <f t="shared" si="52"/>
        <v>0</v>
      </c>
      <c r="R223" s="206">
        <f t="shared" si="53"/>
        <v>0</v>
      </c>
      <c r="S223" s="206">
        <f t="shared" si="54"/>
        <v>0</v>
      </c>
      <c r="T223" s="206">
        <f t="shared" si="55"/>
        <v>0</v>
      </c>
      <c r="U223" s="206">
        <f t="shared" si="55"/>
        <v>0</v>
      </c>
      <c r="V223" s="207" t="str">
        <f t="shared" si="56"/>
        <v/>
      </c>
    </row>
    <row r="224" spans="10:22" x14ac:dyDescent="0.3">
      <c r="J224" s="185" t="str">
        <f t="shared" si="45"/>
        <v/>
      </c>
      <c r="K224" s="185" t="str">
        <f t="shared" si="46"/>
        <v/>
      </c>
      <c r="L224" s="185" t="str">
        <f t="shared" si="47"/>
        <v/>
      </c>
      <c r="M224" s="76" t="str">
        <f t="shared" si="48"/>
        <v/>
      </c>
      <c r="N224" s="26">
        <f t="shared" si="49"/>
        <v>0</v>
      </c>
      <c r="O224" s="235">
        <f t="shared" si="50"/>
        <v>0</v>
      </c>
      <c r="P224" s="235">
        <f t="shared" si="51"/>
        <v>0</v>
      </c>
      <c r="Q224" s="206">
        <f t="shared" si="52"/>
        <v>0</v>
      </c>
      <c r="R224" s="206">
        <f t="shared" si="53"/>
        <v>0</v>
      </c>
      <c r="S224" s="206">
        <f t="shared" si="54"/>
        <v>0</v>
      </c>
      <c r="T224" s="206">
        <f t="shared" si="55"/>
        <v>0</v>
      </c>
      <c r="U224" s="206">
        <f t="shared" si="55"/>
        <v>0</v>
      </c>
      <c r="V224" s="207" t="str">
        <f t="shared" si="56"/>
        <v/>
      </c>
    </row>
    <row r="225" spans="10:22" x14ac:dyDescent="0.3">
      <c r="J225" s="185" t="str">
        <f t="shared" si="45"/>
        <v/>
      </c>
      <c r="K225" s="185" t="str">
        <f t="shared" si="46"/>
        <v/>
      </c>
      <c r="L225" s="185" t="str">
        <f t="shared" si="47"/>
        <v/>
      </c>
      <c r="M225" s="76" t="str">
        <f t="shared" si="48"/>
        <v/>
      </c>
      <c r="N225" s="26">
        <f t="shared" si="49"/>
        <v>0</v>
      </c>
      <c r="O225" s="235">
        <f t="shared" si="50"/>
        <v>0</v>
      </c>
      <c r="P225" s="235">
        <f t="shared" si="51"/>
        <v>0</v>
      </c>
      <c r="Q225" s="206">
        <f t="shared" si="52"/>
        <v>0</v>
      </c>
      <c r="R225" s="206">
        <f t="shared" si="53"/>
        <v>0</v>
      </c>
      <c r="S225" s="206">
        <f t="shared" si="54"/>
        <v>0</v>
      </c>
      <c r="T225" s="206">
        <f t="shared" si="55"/>
        <v>0</v>
      </c>
      <c r="U225" s="206">
        <f t="shared" si="55"/>
        <v>0</v>
      </c>
      <c r="V225" s="207" t="str">
        <f t="shared" si="56"/>
        <v/>
      </c>
    </row>
    <row r="226" spans="10:22" x14ac:dyDescent="0.3">
      <c r="J226" s="185" t="str">
        <f t="shared" si="45"/>
        <v/>
      </c>
      <c r="K226" s="185" t="str">
        <f t="shared" si="46"/>
        <v/>
      </c>
      <c r="L226" s="185" t="str">
        <f t="shared" si="47"/>
        <v/>
      </c>
      <c r="M226" s="76" t="str">
        <f t="shared" si="48"/>
        <v/>
      </c>
      <c r="N226" s="26">
        <f t="shared" si="49"/>
        <v>0</v>
      </c>
      <c r="O226" s="235">
        <f t="shared" si="50"/>
        <v>0</v>
      </c>
      <c r="P226" s="235">
        <f t="shared" si="51"/>
        <v>0</v>
      </c>
      <c r="Q226" s="206">
        <f t="shared" si="52"/>
        <v>0</v>
      </c>
      <c r="R226" s="206">
        <f t="shared" si="53"/>
        <v>0</v>
      </c>
      <c r="S226" s="206">
        <f t="shared" si="54"/>
        <v>0</v>
      </c>
      <c r="T226" s="206">
        <f t="shared" si="55"/>
        <v>0</v>
      </c>
      <c r="U226" s="206">
        <f t="shared" si="55"/>
        <v>0</v>
      </c>
      <c r="V226" s="207" t="str">
        <f t="shared" si="56"/>
        <v/>
      </c>
    </row>
    <row r="227" spans="10:22" x14ac:dyDescent="0.3">
      <c r="J227" s="185" t="str">
        <f t="shared" si="45"/>
        <v/>
      </c>
      <c r="K227" s="185" t="str">
        <f t="shared" si="46"/>
        <v/>
      </c>
      <c r="L227" s="185" t="str">
        <f t="shared" si="47"/>
        <v/>
      </c>
      <c r="M227" s="76" t="str">
        <f t="shared" si="48"/>
        <v/>
      </c>
      <c r="N227" s="26">
        <f t="shared" si="49"/>
        <v>0</v>
      </c>
      <c r="O227" s="235">
        <f t="shared" si="50"/>
        <v>0</v>
      </c>
      <c r="P227" s="235">
        <f t="shared" si="51"/>
        <v>0</v>
      </c>
      <c r="Q227" s="206">
        <f t="shared" si="52"/>
        <v>0</v>
      </c>
      <c r="R227" s="206">
        <f t="shared" si="53"/>
        <v>0</v>
      </c>
      <c r="S227" s="206">
        <f t="shared" si="54"/>
        <v>0</v>
      </c>
      <c r="T227" s="206">
        <f t="shared" si="55"/>
        <v>0</v>
      </c>
      <c r="U227" s="206">
        <f t="shared" si="55"/>
        <v>0</v>
      </c>
      <c r="V227" s="207" t="str">
        <f t="shared" si="56"/>
        <v/>
      </c>
    </row>
    <row r="228" spans="10:22" x14ac:dyDescent="0.3">
      <c r="J228" s="185" t="str">
        <f t="shared" si="45"/>
        <v/>
      </c>
      <c r="K228" s="185" t="str">
        <f t="shared" si="46"/>
        <v/>
      </c>
      <c r="L228" s="185" t="str">
        <f t="shared" si="47"/>
        <v/>
      </c>
      <c r="M228" s="76" t="str">
        <f t="shared" si="48"/>
        <v/>
      </c>
      <c r="N228" s="26">
        <f t="shared" si="49"/>
        <v>0</v>
      </c>
      <c r="O228" s="235">
        <f t="shared" si="50"/>
        <v>0</v>
      </c>
      <c r="P228" s="235">
        <f t="shared" si="51"/>
        <v>0</v>
      </c>
      <c r="Q228" s="206">
        <f t="shared" si="52"/>
        <v>0</v>
      </c>
      <c r="R228" s="206">
        <f t="shared" si="53"/>
        <v>0</v>
      </c>
      <c r="S228" s="206">
        <f t="shared" si="54"/>
        <v>0</v>
      </c>
      <c r="T228" s="206">
        <f t="shared" si="55"/>
        <v>0</v>
      </c>
      <c r="U228" s="206">
        <f t="shared" si="55"/>
        <v>0</v>
      </c>
      <c r="V228" s="207" t="str">
        <f t="shared" si="56"/>
        <v/>
      </c>
    </row>
    <row r="229" spans="10:22" x14ac:dyDescent="0.3">
      <c r="J229" s="185" t="str">
        <f t="shared" si="45"/>
        <v/>
      </c>
      <c r="K229" s="185" t="str">
        <f t="shared" si="46"/>
        <v/>
      </c>
      <c r="L229" s="185" t="str">
        <f t="shared" si="47"/>
        <v/>
      </c>
      <c r="M229" s="76" t="str">
        <f t="shared" si="48"/>
        <v/>
      </c>
      <c r="N229" s="26">
        <f t="shared" si="49"/>
        <v>0</v>
      </c>
      <c r="O229" s="235">
        <f t="shared" si="50"/>
        <v>0</v>
      </c>
      <c r="P229" s="235">
        <f t="shared" si="51"/>
        <v>0</v>
      </c>
      <c r="Q229" s="206">
        <f t="shared" si="52"/>
        <v>0</v>
      </c>
      <c r="R229" s="206">
        <f t="shared" si="53"/>
        <v>0</v>
      </c>
      <c r="S229" s="206">
        <f t="shared" si="54"/>
        <v>0</v>
      </c>
      <c r="T229" s="206">
        <f t="shared" si="55"/>
        <v>0</v>
      </c>
      <c r="U229" s="206">
        <f t="shared" si="55"/>
        <v>0</v>
      </c>
      <c r="V229" s="207" t="str">
        <f t="shared" si="56"/>
        <v/>
      </c>
    </row>
    <row r="230" spans="10:22" x14ac:dyDescent="0.3">
      <c r="J230" s="185" t="str">
        <f t="shared" si="45"/>
        <v/>
      </c>
      <c r="K230" s="185" t="str">
        <f t="shared" si="46"/>
        <v/>
      </c>
      <c r="L230" s="185" t="str">
        <f t="shared" si="47"/>
        <v/>
      </c>
      <c r="M230" s="76" t="str">
        <f t="shared" si="48"/>
        <v/>
      </c>
      <c r="N230" s="26">
        <f t="shared" si="49"/>
        <v>0</v>
      </c>
      <c r="O230" s="235">
        <f t="shared" si="50"/>
        <v>0</v>
      </c>
      <c r="P230" s="235">
        <f t="shared" si="51"/>
        <v>0</v>
      </c>
      <c r="Q230" s="206">
        <f t="shared" si="52"/>
        <v>0</v>
      </c>
      <c r="R230" s="206">
        <f t="shared" si="53"/>
        <v>0</v>
      </c>
      <c r="S230" s="206">
        <f t="shared" si="54"/>
        <v>0</v>
      </c>
      <c r="T230" s="206">
        <f t="shared" si="55"/>
        <v>0</v>
      </c>
      <c r="U230" s="206">
        <f t="shared" si="55"/>
        <v>0</v>
      </c>
      <c r="V230" s="207" t="str">
        <f t="shared" si="56"/>
        <v/>
      </c>
    </row>
    <row r="231" spans="10:22" x14ac:dyDescent="0.3">
      <c r="J231" s="185" t="str">
        <f t="shared" si="45"/>
        <v/>
      </c>
      <c r="K231" s="185" t="str">
        <f t="shared" si="46"/>
        <v/>
      </c>
      <c r="L231" s="185" t="str">
        <f t="shared" si="47"/>
        <v/>
      </c>
      <c r="M231" s="76" t="str">
        <f t="shared" si="48"/>
        <v/>
      </c>
      <c r="N231" s="26">
        <f t="shared" si="49"/>
        <v>0</v>
      </c>
      <c r="O231" s="235">
        <f t="shared" si="50"/>
        <v>0</v>
      </c>
      <c r="P231" s="235">
        <f t="shared" si="51"/>
        <v>0</v>
      </c>
      <c r="Q231" s="206">
        <f t="shared" si="52"/>
        <v>0</v>
      </c>
      <c r="R231" s="206">
        <f t="shared" si="53"/>
        <v>0</v>
      </c>
      <c r="S231" s="206">
        <f t="shared" si="54"/>
        <v>0</v>
      </c>
      <c r="T231" s="206">
        <f t="shared" si="55"/>
        <v>0</v>
      </c>
      <c r="U231" s="206">
        <f t="shared" si="55"/>
        <v>0</v>
      </c>
      <c r="V231" s="207" t="str">
        <f t="shared" si="56"/>
        <v/>
      </c>
    </row>
    <row r="232" spans="10:22" x14ac:dyDescent="0.3">
      <c r="J232" s="185" t="str">
        <f t="shared" si="45"/>
        <v/>
      </c>
      <c r="K232" s="185" t="str">
        <f t="shared" si="46"/>
        <v/>
      </c>
      <c r="L232" s="185" t="str">
        <f t="shared" si="47"/>
        <v/>
      </c>
      <c r="M232" s="76" t="str">
        <f t="shared" si="48"/>
        <v/>
      </c>
      <c r="N232" s="26">
        <f t="shared" si="49"/>
        <v>0</v>
      </c>
      <c r="O232" s="235">
        <f t="shared" si="50"/>
        <v>0</v>
      </c>
      <c r="P232" s="235">
        <f t="shared" si="51"/>
        <v>0</v>
      </c>
      <c r="Q232" s="206">
        <f t="shared" si="52"/>
        <v>0</v>
      </c>
      <c r="R232" s="206">
        <f t="shared" si="53"/>
        <v>0</v>
      </c>
      <c r="S232" s="206">
        <f t="shared" si="54"/>
        <v>0</v>
      </c>
      <c r="T232" s="206">
        <f t="shared" si="55"/>
        <v>0</v>
      </c>
      <c r="U232" s="206">
        <f t="shared" si="55"/>
        <v>0</v>
      </c>
      <c r="V232" s="207" t="str">
        <f t="shared" si="56"/>
        <v/>
      </c>
    </row>
    <row r="233" spans="10:22" x14ac:dyDescent="0.3">
      <c r="J233" s="185" t="str">
        <f t="shared" si="45"/>
        <v/>
      </c>
      <c r="K233" s="185" t="str">
        <f t="shared" si="46"/>
        <v/>
      </c>
      <c r="L233" s="185" t="str">
        <f t="shared" si="47"/>
        <v/>
      </c>
      <c r="M233" s="76" t="str">
        <f t="shared" si="48"/>
        <v/>
      </c>
      <c r="N233" s="26">
        <f t="shared" si="49"/>
        <v>0</v>
      </c>
      <c r="O233" s="235">
        <f t="shared" si="50"/>
        <v>0</v>
      </c>
      <c r="P233" s="235">
        <f t="shared" si="51"/>
        <v>0</v>
      </c>
      <c r="Q233" s="206">
        <f t="shared" si="52"/>
        <v>0</v>
      </c>
      <c r="R233" s="206">
        <f t="shared" si="53"/>
        <v>0</v>
      </c>
      <c r="S233" s="206">
        <f t="shared" si="54"/>
        <v>0</v>
      </c>
      <c r="T233" s="206">
        <f t="shared" si="55"/>
        <v>0</v>
      </c>
      <c r="U233" s="206">
        <f t="shared" si="55"/>
        <v>0</v>
      </c>
      <c r="V233" s="207" t="str">
        <f t="shared" si="56"/>
        <v/>
      </c>
    </row>
    <row r="234" spans="10:22" x14ac:dyDescent="0.3">
      <c r="J234" s="185" t="str">
        <f t="shared" si="45"/>
        <v/>
      </c>
      <c r="K234" s="185" t="str">
        <f t="shared" si="46"/>
        <v/>
      </c>
      <c r="L234" s="185" t="str">
        <f t="shared" si="47"/>
        <v/>
      </c>
      <c r="M234" s="76" t="str">
        <f t="shared" si="48"/>
        <v/>
      </c>
      <c r="N234" s="26">
        <f t="shared" si="49"/>
        <v>0</v>
      </c>
      <c r="O234" s="235">
        <f t="shared" si="50"/>
        <v>0</v>
      </c>
      <c r="P234" s="235">
        <f t="shared" si="51"/>
        <v>0</v>
      </c>
      <c r="Q234" s="206">
        <f t="shared" si="52"/>
        <v>0</v>
      </c>
      <c r="R234" s="206">
        <f t="shared" si="53"/>
        <v>0</v>
      </c>
      <c r="S234" s="206">
        <f t="shared" si="54"/>
        <v>0</v>
      </c>
      <c r="T234" s="206">
        <f t="shared" si="55"/>
        <v>0</v>
      </c>
      <c r="U234" s="206">
        <f t="shared" si="55"/>
        <v>0</v>
      </c>
      <c r="V234" s="207" t="str">
        <f t="shared" si="56"/>
        <v/>
      </c>
    </row>
    <row r="235" spans="10:22" x14ac:dyDescent="0.3">
      <c r="J235" s="185" t="str">
        <f t="shared" si="45"/>
        <v/>
      </c>
      <c r="K235" s="185" t="str">
        <f t="shared" si="46"/>
        <v/>
      </c>
      <c r="L235" s="185" t="str">
        <f t="shared" si="47"/>
        <v/>
      </c>
      <c r="M235" s="76" t="str">
        <f t="shared" si="48"/>
        <v/>
      </c>
      <c r="N235" s="26">
        <f t="shared" si="49"/>
        <v>0</v>
      </c>
      <c r="O235" s="235">
        <f t="shared" si="50"/>
        <v>0</v>
      </c>
      <c r="P235" s="235">
        <f t="shared" si="51"/>
        <v>0</v>
      </c>
      <c r="Q235" s="206">
        <f t="shared" si="52"/>
        <v>0</v>
      </c>
      <c r="R235" s="206">
        <f t="shared" si="53"/>
        <v>0</v>
      </c>
      <c r="S235" s="206">
        <f t="shared" si="54"/>
        <v>0</v>
      </c>
      <c r="T235" s="206">
        <f t="shared" si="55"/>
        <v>0</v>
      </c>
      <c r="U235" s="206">
        <f t="shared" si="55"/>
        <v>0</v>
      </c>
      <c r="V235" s="207" t="str">
        <f t="shared" si="56"/>
        <v/>
      </c>
    </row>
    <row r="236" spans="10:22" x14ac:dyDescent="0.3">
      <c r="J236" s="185" t="str">
        <f t="shared" si="45"/>
        <v/>
      </c>
      <c r="K236" s="185" t="str">
        <f t="shared" si="46"/>
        <v/>
      </c>
      <c r="L236" s="185" t="str">
        <f t="shared" si="47"/>
        <v/>
      </c>
      <c r="M236" s="76" t="str">
        <f t="shared" si="48"/>
        <v/>
      </c>
      <c r="N236" s="26">
        <f t="shared" si="49"/>
        <v>0</v>
      </c>
      <c r="O236" s="235">
        <f t="shared" si="50"/>
        <v>0</v>
      </c>
      <c r="P236" s="235">
        <f t="shared" si="51"/>
        <v>0</v>
      </c>
      <c r="Q236" s="206">
        <f t="shared" si="52"/>
        <v>0</v>
      </c>
      <c r="R236" s="206">
        <f t="shared" si="53"/>
        <v>0</v>
      </c>
      <c r="S236" s="206">
        <f t="shared" si="54"/>
        <v>0</v>
      </c>
      <c r="T236" s="206">
        <f t="shared" si="55"/>
        <v>0</v>
      </c>
      <c r="U236" s="206">
        <f t="shared" si="55"/>
        <v>0</v>
      </c>
      <c r="V236" s="207" t="str">
        <f t="shared" si="56"/>
        <v/>
      </c>
    </row>
    <row r="237" spans="10:22" x14ac:dyDescent="0.3">
      <c r="J237" s="185" t="str">
        <f t="shared" ref="J237:J300" si="57">IFERROR(IF(FIND("Liste des vols",A237),LEN(A237),""),"")</f>
        <v/>
      </c>
      <c r="K237" s="185" t="str">
        <f t="shared" ref="K237:K300" si="58">IF(J237="","",LEFT(A237,3))</f>
        <v/>
      </c>
      <c r="L237" s="185" t="str">
        <f t="shared" ref="L237:L300" si="59">IF(K237&lt;&gt;"",MID(A237,7,3),"")</f>
        <v/>
      </c>
      <c r="M237" s="76" t="str">
        <f t="shared" ref="M237:M300" si="60">IF(K237&lt;&gt;"",CONCATENATE(K237,"/",L237),"")</f>
        <v/>
      </c>
      <c r="N237" s="26">
        <f t="shared" ref="N237:N300" si="61">IF(J237=29,VALUE(LEFT(F237,LEN(F237)-2)),0)</f>
        <v>0</v>
      </c>
      <c r="O237" s="235">
        <f t="shared" ref="O237:O300" si="62">IF(J237=29,-VALUE(G237),0)</f>
        <v>0</v>
      </c>
      <c r="P237" s="235">
        <f t="shared" ref="P237:P300" si="63">IF(J237=29,VALUE(LEFT(H237,LEN(H237)-2)),0)</f>
        <v>0</v>
      </c>
      <c r="Q237" s="206">
        <f t="shared" ref="Q237:Q300" si="64">IFERROR(VALUE(LEFT(RIGHT(A237,LEN(A237)-11),LEN(A237)-28)),0)</f>
        <v>0</v>
      </c>
      <c r="R237" s="206">
        <f t="shared" si="53"/>
        <v>0</v>
      </c>
      <c r="S237" s="206">
        <f t="shared" si="54"/>
        <v>0</v>
      </c>
      <c r="T237" s="206">
        <f t="shared" si="55"/>
        <v>0</v>
      </c>
      <c r="U237" s="206">
        <f t="shared" si="55"/>
        <v>0</v>
      </c>
      <c r="V237" s="207" t="str">
        <f t="shared" si="56"/>
        <v/>
      </c>
    </row>
    <row r="238" spans="10:22" x14ac:dyDescent="0.3">
      <c r="J238" s="185" t="str">
        <f t="shared" si="57"/>
        <v/>
      </c>
      <c r="K238" s="185" t="str">
        <f t="shared" si="58"/>
        <v/>
      </c>
      <c r="L238" s="185" t="str">
        <f t="shared" si="59"/>
        <v/>
      </c>
      <c r="M238" s="76" t="str">
        <f t="shared" si="60"/>
        <v/>
      </c>
      <c r="N238" s="26">
        <f t="shared" si="61"/>
        <v>0</v>
      </c>
      <c r="O238" s="235">
        <f t="shared" si="62"/>
        <v>0</v>
      </c>
      <c r="P238" s="235">
        <f t="shared" si="63"/>
        <v>0</v>
      </c>
      <c r="Q238" s="206">
        <f t="shared" si="64"/>
        <v>0</v>
      </c>
      <c r="R238" s="206">
        <f t="shared" si="53"/>
        <v>0</v>
      </c>
      <c r="S238" s="206">
        <f t="shared" si="54"/>
        <v>0</v>
      </c>
      <c r="T238" s="206">
        <f t="shared" si="55"/>
        <v>0</v>
      </c>
      <c r="U238" s="206">
        <f t="shared" si="55"/>
        <v>0</v>
      </c>
      <c r="V238" s="207" t="str">
        <f t="shared" si="56"/>
        <v/>
      </c>
    </row>
    <row r="239" spans="10:22" x14ac:dyDescent="0.3">
      <c r="J239" s="185" t="str">
        <f t="shared" si="57"/>
        <v/>
      </c>
      <c r="K239" s="185" t="str">
        <f t="shared" si="58"/>
        <v/>
      </c>
      <c r="L239" s="185" t="str">
        <f t="shared" si="59"/>
        <v/>
      </c>
      <c r="M239" s="76" t="str">
        <f t="shared" si="60"/>
        <v/>
      </c>
      <c r="N239" s="26">
        <f t="shared" si="61"/>
        <v>0</v>
      </c>
      <c r="O239" s="235">
        <f t="shared" si="62"/>
        <v>0</v>
      </c>
      <c r="P239" s="235">
        <f t="shared" si="63"/>
        <v>0</v>
      </c>
      <c r="Q239" s="206">
        <f t="shared" si="64"/>
        <v>0</v>
      </c>
      <c r="R239" s="206">
        <f t="shared" si="53"/>
        <v>0</v>
      </c>
      <c r="S239" s="206">
        <f t="shared" si="54"/>
        <v>0</v>
      </c>
      <c r="T239" s="206">
        <f t="shared" si="55"/>
        <v>0</v>
      </c>
      <c r="U239" s="206">
        <f t="shared" si="55"/>
        <v>0</v>
      </c>
      <c r="V239" s="207" t="str">
        <f t="shared" si="56"/>
        <v/>
      </c>
    </row>
    <row r="240" spans="10:22" x14ac:dyDescent="0.3">
      <c r="J240" s="185" t="str">
        <f t="shared" si="57"/>
        <v/>
      </c>
      <c r="K240" s="185" t="str">
        <f t="shared" si="58"/>
        <v/>
      </c>
      <c r="L240" s="185" t="str">
        <f t="shared" si="59"/>
        <v/>
      </c>
      <c r="M240" s="76" t="str">
        <f t="shared" si="60"/>
        <v/>
      </c>
      <c r="N240" s="26">
        <f t="shared" si="61"/>
        <v>0</v>
      </c>
      <c r="O240" s="235">
        <f t="shared" si="62"/>
        <v>0</v>
      </c>
      <c r="P240" s="235">
        <f t="shared" si="63"/>
        <v>0</v>
      </c>
      <c r="Q240" s="206">
        <f t="shared" si="64"/>
        <v>0</v>
      </c>
      <c r="R240" s="206">
        <f t="shared" si="53"/>
        <v>0</v>
      </c>
      <c r="S240" s="206">
        <f t="shared" si="54"/>
        <v>0</v>
      </c>
      <c r="T240" s="206">
        <f t="shared" si="55"/>
        <v>0</v>
      </c>
      <c r="U240" s="206">
        <f t="shared" si="55"/>
        <v>0</v>
      </c>
      <c r="V240" s="207" t="str">
        <f t="shared" si="56"/>
        <v/>
      </c>
    </row>
    <row r="241" spans="10:22" x14ac:dyDescent="0.3">
      <c r="J241" s="185" t="str">
        <f t="shared" si="57"/>
        <v/>
      </c>
      <c r="K241" s="185" t="str">
        <f t="shared" si="58"/>
        <v/>
      </c>
      <c r="L241" s="185" t="str">
        <f t="shared" si="59"/>
        <v/>
      </c>
      <c r="M241" s="76" t="str">
        <f t="shared" si="60"/>
        <v/>
      </c>
      <c r="N241" s="26">
        <f t="shared" si="61"/>
        <v>0</v>
      </c>
      <c r="O241" s="235">
        <f t="shared" si="62"/>
        <v>0</v>
      </c>
      <c r="P241" s="235">
        <f t="shared" si="63"/>
        <v>0</v>
      </c>
      <c r="Q241" s="206">
        <f t="shared" si="64"/>
        <v>0</v>
      </c>
      <c r="R241" s="206">
        <f t="shared" si="53"/>
        <v>0</v>
      </c>
      <c r="S241" s="206">
        <f t="shared" si="54"/>
        <v>0</v>
      </c>
      <c r="T241" s="206">
        <f t="shared" si="55"/>
        <v>0</v>
      </c>
      <c r="U241" s="206">
        <f t="shared" si="55"/>
        <v>0</v>
      </c>
      <c r="V241" s="207" t="str">
        <f t="shared" si="56"/>
        <v/>
      </c>
    </row>
    <row r="242" spans="10:22" x14ac:dyDescent="0.3">
      <c r="J242" s="185" t="str">
        <f t="shared" si="57"/>
        <v/>
      </c>
      <c r="K242" s="185" t="str">
        <f t="shared" si="58"/>
        <v/>
      </c>
      <c r="L242" s="185" t="str">
        <f t="shared" si="59"/>
        <v/>
      </c>
      <c r="M242" s="76" t="str">
        <f t="shared" si="60"/>
        <v/>
      </c>
      <c r="N242" s="26">
        <f t="shared" si="61"/>
        <v>0</v>
      </c>
      <c r="O242" s="235">
        <f t="shared" si="62"/>
        <v>0</v>
      </c>
      <c r="P242" s="235">
        <f t="shared" si="63"/>
        <v>0</v>
      </c>
      <c r="Q242" s="206">
        <f t="shared" si="64"/>
        <v>0</v>
      </c>
      <c r="R242" s="206">
        <f t="shared" si="53"/>
        <v>0</v>
      </c>
      <c r="S242" s="206">
        <f t="shared" si="54"/>
        <v>0</v>
      </c>
      <c r="T242" s="206">
        <f t="shared" si="55"/>
        <v>0</v>
      </c>
      <c r="U242" s="206">
        <f t="shared" si="55"/>
        <v>0</v>
      </c>
      <c r="V242" s="207" t="str">
        <f t="shared" si="56"/>
        <v/>
      </c>
    </row>
    <row r="243" spans="10:22" x14ac:dyDescent="0.3">
      <c r="J243" s="185" t="str">
        <f t="shared" si="57"/>
        <v/>
      </c>
      <c r="K243" s="185" t="str">
        <f t="shared" si="58"/>
        <v/>
      </c>
      <c r="L243" s="185" t="str">
        <f t="shared" si="59"/>
        <v/>
      </c>
      <c r="M243" s="76" t="str">
        <f t="shared" si="60"/>
        <v/>
      </c>
      <c r="N243" s="26">
        <f t="shared" si="61"/>
        <v>0</v>
      </c>
      <c r="O243" s="235">
        <f t="shared" si="62"/>
        <v>0</v>
      </c>
      <c r="P243" s="235">
        <f t="shared" si="63"/>
        <v>0</v>
      </c>
      <c r="Q243" s="206">
        <f t="shared" si="64"/>
        <v>0</v>
      </c>
      <c r="R243" s="206">
        <f t="shared" si="53"/>
        <v>0</v>
      </c>
      <c r="S243" s="206">
        <f t="shared" si="54"/>
        <v>0</v>
      </c>
      <c r="T243" s="206">
        <f t="shared" si="55"/>
        <v>0</v>
      </c>
      <c r="U243" s="206">
        <f t="shared" si="55"/>
        <v>0</v>
      </c>
      <c r="V243" s="207" t="str">
        <f t="shared" si="56"/>
        <v/>
      </c>
    </row>
    <row r="244" spans="10:22" x14ac:dyDescent="0.3">
      <c r="J244" s="185" t="str">
        <f t="shared" si="57"/>
        <v/>
      </c>
      <c r="K244" s="185" t="str">
        <f t="shared" si="58"/>
        <v/>
      </c>
      <c r="L244" s="185" t="str">
        <f t="shared" si="59"/>
        <v/>
      </c>
      <c r="M244" s="76" t="str">
        <f t="shared" si="60"/>
        <v/>
      </c>
      <c r="N244" s="26">
        <f t="shared" si="61"/>
        <v>0</v>
      </c>
      <c r="O244" s="235">
        <f t="shared" si="62"/>
        <v>0</v>
      </c>
      <c r="P244" s="235">
        <f t="shared" si="63"/>
        <v>0</v>
      </c>
      <c r="Q244" s="206">
        <f t="shared" si="64"/>
        <v>0</v>
      </c>
      <c r="R244" s="206">
        <f t="shared" si="53"/>
        <v>0</v>
      </c>
      <c r="S244" s="206">
        <f t="shared" si="54"/>
        <v>0</v>
      </c>
      <c r="T244" s="206">
        <f t="shared" si="55"/>
        <v>0</v>
      </c>
      <c r="U244" s="206">
        <f t="shared" si="55"/>
        <v>0</v>
      </c>
      <c r="V244" s="207" t="str">
        <f t="shared" si="56"/>
        <v/>
      </c>
    </row>
    <row r="245" spans="10:22" x14ac:dyDescent="0.3">
      <c r="J245" s="185" t="str">
        <f t="shared" si="57"/>
        <v/>
      </c>
      <c r="K245" s="185" t="str">
        <f t="shared" si="58"/>
        <v/>
      </c>
      <c r="L245" s="185" t="str">
        <f t="shared" si="59"/>
        <v/>
      </c>
      <c r="M245" s="76" t="str">
        <f t="shared" si="60"/>
        <v/>
      </c>
      <c r="N245" s="26">
        <f t="shared" si="61"/>
        <v>0</v>
      </c>
      <c r="O245" s="235">
        <f t="shared" si="62"/>
        <v>0</v>
      </c>
      <c r="P245" s="235">
        <f t="shared" si="63"/>
        <v>0</v>
      </c>
      <c r="Q245" s="206">
        <f t="shared" si="64"/>
        <v>0</v>
      </c>
      <c r="R245" s="206">
        <f t="shared" si="53"/>
        <v>0</v>
      </c>
      <c r="S245" s="206">
        <f t="shared" si="54"/>
        <v>0</v>
      </c>
      <c r="T245" s="206">
        <f t="shared" si="55"/>
        <v>0</v>
      </c>
      <c r="U245" s="206">
        <f t="shared" si="55"/>
        <v>0</v>
      </c>
      <c r="V245" s="207" t="str">
        <f t="shared" si="56"/>
        <v/>
      </c>
    </row>
    <row r="246" spans="10:22" x14ac:dyDescent="0.3">
      <c r="J246" s="185" t="str">
        <f t="shared" si="57"/>
        <v/>
      </c>
      <c r="K246" s="185" t="str">
        <f t="shared" si="58"/>
        <v/>
      </c>
      <c r="L246" s="185" t="str">
        <f t="shared" si="59"/>
        <v/>
      </c>
      <c r="M246" s="76" t="str">
        <f t="shared" si="60"/>
        <v/>
      </c>
      <c r="N246" s="26">
        <f t="shared" si="61"/>
        <v>0</v>
      </c>
      <c r="O246" s="235">
        <f t="shared" si="62"/>
        <v>0</v>
      </c>
      <c r="P246" s="235">
        <f t="shared" si="63"/>
        <v>0</v>
      </c>
      <c r="Q246" s="206">
        <f t="shared" si="64"/>
        <v>0</v>
      </c>
      <c r="R246" s="206">
        <f t="shared" si="53"/>
        <v>0</v>
      </c>
      <c r="S246" s="206">
        <f t="shared" si="54"/>
        <v>0</v>
      </c>
      <c r="T246" s="206">
        <f t="shared" si="55"/>
        <v>0</v>
      </c>
      <c r="U246" s="206">
        <f t="shared" si="55"/>
        <v>0</v>
      </c>
      <c r="V246" s="207" t="str">
        <f t="shared" si="56"/>
        <v/>
      </c>
    </row>
    <row r="247" spans="10:22" x14ac:dyDescent="0.3">
      <c r="J247" s="185" t="str">
        <f t="shared" si="57"/>
        <v/>
      </c>
      <c r="K247" s="185" t="str">
        <f t="shared" si="58"/>
        <v/>
      </c>
      <c r="L247" s="185" t="str">
        <f t="shared" si="59"/>
        <v/>
      </c>
      <c r="M247" s="76" t="str">
        <f t="shared" si="60"/>
        <v/>
      </c>
      <c r="N247" s="26">
        <f t="shared" si="61"/>
        <v>0</v>
      </c>
      <c r="O247" s="235">
        <f t="shared" si="62"/>
        <v>0</v>
      </c>
      <c r="P247" s="235">
        <f t="shared" si="63"/>
        <v>0</v>
      </c>
      <c r="Q247" s="206">
        <f t="shared" si="64"/>
        <v>0</v>
      </c>
      <c r="R247" s="206">
        <f t="shared" si="53"/>
        <v>0</v>
      </c>
      <c r="S247" s="206">
        <f t="shared" si="54"/>
        <v>0</v>
      </c>
      <c r="T247" s="206">
        <f t="shared" si="55"/>
        <v>0</v>
      </c>
      <c r="U247" s="206">
        <f t="shared" si="55"/>
        <v>0</v>
      </c>
      <c r="V247" s="207" t="str">
        <f t="shared" si="56"/>
        <v/>
      </c>
    </row>
    <row r="248" spans="10:22" x14ac:dyDescent="0.3">
      <c r="J248" s="185" t="str">
        <f t="shared" si="57"/>
        <v/>
      </c>
      <c r="K248" s="185" t="str">
        <f t="shared" si="58"/>
        <v/>
      </c>
      <c r="L248" s="185" t="str">
        <f t="shared" si="59"/>
        <v/>
      </c>
      <c r="M248" s="76" t="str">
        <f t="shared" si="60"/>
        <v/>
      </c>
      <c r="N248" s="26">
        <f t="shared" si="61"/>
        <v>0</v>
      </c>
      <c r="O248" s="235">
        <f t="shared" si="62"/>
        <v>0</v>
      </c>
      <c r="P248" s="235">
        <f t="shared" si="63"/>
        <v>0</v>
      </c>
      <c r="Q248" s="206">
        <f t="shared" si="64"/>
        <v>0</v>
      </c>
      <c r="R248" s="206">
        <f t="shared" si="53"/>
        <v>0</v>
      </c>
      <c r="S248" s="206">
        <f t="shared" si="54"/>
        <v>0</v>
      </c>
      <c r="T248" s="206">
        <f t="shared" si="55"/>
        <v>0</v>
      </c>
      <c r="U248" s="206">
        <f t="shared" si="55"/>
        <v>0</v>
      </c>
      <c r="V248" s="207" t="str">
        <f t="shared" si="56"/>
        <v/>
      </c>
    </row>
    <row r="249" spans="10:22" x14ac:dyDescent="0.3">
      <c r="J249" s="185" t="str">
        <f t="shared" si="57"/>
        <v/>
      </c>
      <c r="K249" s="185" t="str">
        <f t="shared" si="58"/>
        <v/>
      </c>
      <c r="L249" s="185" t="str">
        <f t="shared" si="59"/>
        <v/>
      </c>
      <c r="M249" s="76" t="str">
        <f t="shared" si="60"/>
        <v/>
      </c>
      <c r="N249" s="26">
        <f t="shared" si="61"/>
        <v>0</v>
      </c>
      <c r="O249" s="235">
        <f t="shared" si="62"/>
        <v>0</v>
      </c>
      <c r="P249" s="235">
        <f t="shared" si="63"/>
        <v>0</v>
      </c>
      <c r="Q249" s="206">
        <f t="shared" si="64"/>
        <v>0</v>
      </c>
      <c r="R249" s="206">
        <f t="shared" si="53"/>
        <v>0</v>
      </c>
      <c r="S249" s="206">
        <f t="shared" si="54"/>
        <v>0</v>
      </c>
      <c r="T249" s="206">
        <f t="shared" si="55"/>
        <v>0</v>
      </c>
      <c r="U249" s="206">
        <f t="shared" si="55"/>
        <v>0</v>
      </c>
      <c r="V249" s="207" t="str">
        <f t="shared" si="56"/>
        <v/>
      </c>
    </row>
    <row r="250" spans="10:22" x14ac:dyDescent="0.3">
      <c r="J250" s="185" t="str">
        <f t="shared" si="57"/>
        <v/>
      </c>
      <c r="K250" s="185" t="str">
        <f t="shared" si="58"/>
        <v/>
      </c>
      <c r="L250" s="185" t="str">
        <f t="shared" si="59"/>
        <v/>
      </c>
      <c r="M250" s="76" t="str">
        <f t="shared" si="60"/>
        <v/>
      </c>
      <c r="N250" s="26">
        <f t="shared" si="61"/>
        <v>0</v>
      </c>
      <c r="O250" s="235">
        <f t="shared" si="62"/>
        <v>0</v>
      </c>
      <c r="P250" s="235">
        <f t="shared" si="63"/>
        <v>0</v>
      </c>
      <c r="Q250" s="206">
        <f t="shared" si="64"/>
        <v>0</v>
      </c>
      <c r="R250" s="206">
        <f t="shared" si="53"/>
        <v>0</v>
      </c>
      <c r="S250" s="206">
        <f t="shared" si="54"/>
        <v>0</v>
      </c>
      <c r="T250" s="206">
        <f t="shared" si="55"/>
        <v>0</v>
      </c>
      <c r="U250" s="206">
        <f t="shared" si="55"/>
        <v>0</v>
      </c>
      <c r="V250" s="207" t="str">
        <f t="shared" si="56"/>
        <v/>
      </c>
    </row>
    <row r="251" spans="10:22" x14ac:dyDescent="0.3">
      <c r="J251" s="185" t="str">
        <f t="shared" si="57"/>
        <v/>
      </c>
      <c r="K251" s="185" t="str">
        <f t="shared" si="58"/>
        <v/>
      </c>
      <c r="L251" s="185" t="str">
        <f t="shared" si="59"/>
        <v/>
      </c>
      <c r="M251" s="76" t="str">
        <f t="shared" si="60"/>
        <v/>
      </c>
      <c r="N251" s="26">
        <f t="shared" si="61"/>
        <v>0</v>
      </c>
      <c r="O251" s="235">
        <f t="shared" si="62"/>
        <v>0</v>
      </c>
      <c r="P251" s="235">
        <f t="shared" si="63"/>
        <v>0</v>
      </c>
      <c r="Q251" s="206">
        <f t="shared" si="64"/>
        <v>0</v>
      </c>
      <c r="R251" s="206">
        <f t="shared" si="53"/>
        <v>0</v>
      </c>
      <c r="S251" s="206">
        <f t="shared" si="54"/>
        <v>0</v>
      </c>
      <c r="T251" s="206">
        <f t="shared" si="55"/>
        <v>0</v>
      </c>
      <c r="U251" s="206">
        <f t="shared" si="55"/>
        <v>0</v>
      </c>
      <c r="V251" s="207" t="str">
        <f t="shared" si="56"/>
        <v/>
      </c>
    </row>
    <row r="252" spans="10:22" x14ac:dyDescent="0.3">
      <c r="J252" s="185" t="str">
        <f t="shared" si="57"/>
        <v/>
      </c>
      <c r="K252" s="185" t="str">
        <f t="shared" si="58"/>
        <v/>
      </c>
      <c r="L252" s="185" t="str">
        <f t="shared" si="59"/>
        <v/>
      </c>
      <c r="M252" s="76" t="str">
        <f t="shared" si="60"/>
        <v/>
      </c>
      <c r="N252" s="26">
        <f t="shared" si="61"/>
        <v>0</v>
      </c>
      <c r="O252" s="235">
        <f t="shared" si="62"/>
        <v>0</v>
      </c>
      <c r="P252" s="235">
        <f t="shared" si="63"/>
        <v>0</v>
      </c>
      <c r="Q252" s="206">
        <f t="shared" si="64"/>
        <v>0</v>
      </c>
      <c r="R252" s="206">
        <f t="shared" si="53"/>
        <v>0</v>
      </c>
      <c r="S252" s="206">
        <f t="shared" si="54"/>
        <v>0</v>
      </c>
      <c r="T252" s="206">
        <f t="shared" si="55"/>
        <v>0</v>
      </c>
      <c r="U252" s="206">
        <f t="shared" si="55"/>
        <v>0</v>
      </c>
      <c r="V252" s="207" t="str">
        <f t="shared" si="56"/>
        <v/>
      </c>
    </row>
    <row r="253" spans="10:22" x14ac:dyDescent="0.3">
      <c r="J253" s="185" t="str">
        <f t="shared" si="57"/>
        <v/>
      </c>
      <c r="K253" s="185" t="str">
        <f t="shared" si="58"/>
        <v/>
      </c>
      <c r="L253" s="185" t="str">
        <f t="shared" si="59"/>
        <v/>
      </c>
      <c r="M253" s="76" t="str">
        <f t="shared" si="60"/>
        <v/>
      </c>
      <c r="N253" s="26">
        <f t="shared" si="61"/>
        <v>0</v>
      </c>
      <c r="O253" s="235">
        <f t="shared" si="62"/>
        <v>0</v>
      </c>
      <c r="P253" s="235">
        <f t="shared" si="63"/>
        <v>0</v>
      </c>
      <c r="Q253" s="206">
        <f t="shared" si="64"/>
        <v>0</v>
      </c>
      <c r="R253" s="206">
        <f t="shared" si="53"/>
        <v>0</v>
      </c>
      <c r="S253" s="206">
        <f t="shared" si="54"/>
        <v>0</v>
      </c>
      <c r="T253" s="206">
        <f t="shared" si="55"/>
        <v>0</v>
      </c>
      <c r="U253" s="206">
        <f t="shared" si="55"/>
        <v>0</v>
      </c>
      <c r="V253" s="207" t="str">
        <f t="shared" si="56"/>
        <v/>
      </c>
    </row>
    <row r="254" spans="10:22" x14ac:dyDescent="0.3">
      <c r="J254" s="185" t="str">
        <f t="shared" si="57"/>
        <v/>
      </c>
      <c r="K254" s="185" t="str">
        <f t="shared" si="58"/>
        <v/>
      </c>
      <c r="L254" s="185" t="str">
        <f t="shared" si="59"/>
        <v/>
      </c>
      <c r="M254" s="76" t="str">
        <f t="shared" si="60"/>
        <v/>
      </c>
      <c r="N254" s="26">
        <f t="shared" si="61"/>
        <v>0</v>
      </c>
      <c r="O254" s="235">
        <f t="shared" si="62"/>
        <v>0</v>
      </c>
      <c r="P254" s="235">
        <f t="shared" si="63"/>
        <v>0</v>
      </c>
      <c r="Q254" s="206">
        <f t="shared" si="64"/>
        <v>0</v>
      </c>
      <c r="R254" s="206">
        <f t="shared" si="53"/>
        <v>0</v>
      </c>
      <c r="S254" s="206">
        <f t="shared" si="54"/>
        <v>0</v>
      </c>
      <c r="T254" s="206">
        <f t="shared" si="55"/>
        <v>0</v>
      </c>
      <c r="U254" s="206">
        <f t="shared" si="55"/>
        <v>0</v>
      </c>
      <c r="V254" s="207" t="str">
        <f t="shared" si="56"/>
        <v/>
      </c>
    </row>
    <row r="255" spans="10:22" x14ac:dyDescent="0.3">
      <c r="J255" s="185" t="str">
        <f t="shared" si="57"/>
        <v/>
      </c>
      <c r="K255" s="185" t="str">
        <f t="shared" si="58"/>
        <v/>
      </c>
      <c r="L255" s="185" t="str">
        <f t="shared" si="59"/>
        <v/>
      </c>
      <c r="M255" s="76" t="str">
        <f t="shared" si="60"/>
        <v/>
      </c>
      <c r="N255" s="26">
        <f t="shared" si="61"/>
        <v>0</v>
      </c>
      <c r="O255" s="235">
        <f t="shared" si="62"/>
        <v>0</v>
      </c>
      <c r="P255" s="235">
        <f t="shared" si="63"/>
        <v>0</v>
      </c>
      <c r="Q255" s="206">
        <f t="shared" si="64"/>
        <v>0</v>
      </c>
      <c r="R255" s="206">
        <f t="shared" si="53"/>
        <v>0</v>
      </c>
      <c r="S255" s="206">
        <f t="shared" si="54"/>
        <v>0</v>
      </c>
      <c r="T255" s="206">
        <f t="shared" si="55"/>
        <v>0</v>
      </c>
      <c r="U255" s="206">
        <f t="shared" si="55"/>
        <v>0</v>
      </c>
      <c r="V255" s="207" t="str">
        <f t="shared" si="56"/>
        <v/>
      </c>
    </row>
    <row r="256" spans="10:22" x14ac:dyDescent="0.3">
      <c r="J256" s="185" t="str">
        <f t="shared" si="57"/>
        <v/>
      </c>
      <c r="K256" s="185" t="str">
        <f t="shared" si="58"/>
        <v/>
      </c>
      <c r="L256" s="185" t="str">
        <f t="shared" si="59"/>
        <v/>
      </c>
      <c r="M256" s="76" t="str">
        <f t="shared" si="60"/>
        <v/>
      </c>
      <c r="N256" s="26">
        <f t="shared" si="61"/>
        <v>0</v>
      </c>
      <c r="O256" s="235">
        <f t="shared" si="62"/>
        <v>0</v>
      </c>
      <c r="P256" s="235">
        <f t="shared" si="63"/>
        <v>0</v>
      </c>
      <c r="Q256" s="206">
        <f t="shared" si="64"/>
        <v>0</v>
      </c>
      <c r="R256" s="206">
        <f t="shared" si="53"/>
        <v>0</v>
      </c>
      <c r="S256" s="206">
        <f t="shared" si="54"/>
        <v>0</v>
      </c>
      <c r="T256" s="206">
        <f t="shared" si="55"/>
        <v>0</v>
      </c>
      <c r="U256" s="206">
        <f t="shared" si="55"/>
        <v>0</v>
      </c>
      <c r="V256" s="207" t="str">
        <f t="shared" si="56"/>
        <v/>
      </c>
    </row>
    <row r="257" spans="10:22" x14ac:dyDescent="0.3">
      <c r="J257" s="185" t="str">
        <f t="shared" si="57"/>
        <v/>
      </c>
      <c r="K257" s="185" t="str">
        <f t="shared" si="58"/>
        <v/>
      </c>
      <c r="L257" s="185" t="str">
        <f t="shared" si="59"/>
        <v/>
      </c>
      <c r="M257" s="76" t="str">
        <f t="shared" si="60"/>
        <v/>
      </c>
      <c r="N257" s="26">
        <f t="shared" si="61"/>
        <v>0</v>
      </c>
      <c r="O257" s="235">
        <f t="shared" si="62"/>
        <v>0</v>
      </c>
      <c r="P257" s="235">
        <f t="shared" si="63"/>
        <v>0</v>
      </c>
      <c r="Q257" s="206">
        <f t="shared" si="64"/>
        <v>0</v>
      </c>
      <c r="R257" s="206">
        <f t="shared" si="53"/>
        <v>0</v>
      </c>
      <c r="S257" s="206">
        <f t="shared" si="54"/>
        <v>0</v>
      </c>
      <c r="T257" s="206">
        <f t="shared" si="55"/>
        <v>0</v>
      </c>
      <c r="U257" s="206">
        <f t="shared" si="55"/>
        <v>0</v>
      </c>
      <c r="V257" s="207" t="str">
        <f t="shared" si="56"/>
        <v/>
      </c>
    </row>
    <row r="258" spans="10:22" x14ac:dyDescent="0.3">
      <c r="J258" s="185" t="str">
        <f t="shared" si="57"/>
        <v/>
      </c>
      <c r="K258" s="185" t="str">
        <f t="shared" si="58"/>
        <v/>
      </c>
      <c r="L258" s="185" t="str">
        <f t="shared" si="59"/>
        <v/>
      </c>
      <c r="M258" s="76" t="str">
        <f t="shared" si="60"/>
        <v/>
      </c>
      <c r="N258" s="26">
        <f t="shared" si="61"/>
        <v>0</v>
      </c>
      <c r="O258" s="235">
        <f t="shared" si="62"/>
        <v>0</v>
      </c>
      <c r="P258" s="235">
        <f t="shared" si="63"/>
        <v>0</v>
      </c>
      <c r="Q258" s="206">
        <f t="shared" si="64"/>
        <v>0</v>
      </c>
      <c r="R258" s="206">
        <f t="shared" si="53"/>
        <v>0</v>
      </c>
      <c r="S258" s="206">
        <f t="shared" si="54"/>
        <v>0</v>
      </c>
      <c r="T258" s="206">
        <f t="shared" si="55"/>
        <v>0</v>
      </c>
      <c r="U258" s="206">
        <f t="shared" si="55"/>
        <v>0</v>
      </c>
      <c r="V258" s="207" t="str">
        <f t="shared" si="56"/>
        <v/>
      </c>
    </row>
    <row r="259" spans="10:22" x14ac:dyDescent="0.3">
      <c r="J259" s="185" t="str">
        <f t="shared" si="57"/>
        <v/>
      </c>
      <c r="K259" s="185" t="str">
        <f t="shared" si="58"/>
        <v/>
      </c>
      <c r="L259" s="185" t="str">
        <f t="shared" si="59"/>
        <v/>
      </c>
      <c r="M259" s="76" t="str">
        <f t="shared" si="60"/>
        <v/>
      </c>
      <c r="N259" s="26">
        <f t="shared" si="61"/>
        <v>0</v>
      </c>
      <c r="O259" s="235">
        <f t="shared" si="62"/>
        <v>0</v>
      </c>
      <c r="P259" s="235">
        <f t="shared" si="63"/>
        <v>0</v>
      </c>
      <c r="Q259" s="206">
        <f t="shared" si="64"/>
        <v>0</v>
      </c>
      <c r="R259" s="206">
        <f t="shared" si="53"/>
        <v>0</v>
      </c>
      <c r="S259" s="206">
        <f t="shared" si="54"/>
        <v>0</v>
      </c>
      <c r="T259" s="206">
        <f t="shared" si="55"/>
        <v>0</v>
      </c>
      <c r="U259" s="206">
        <f t="shared" si="55"/>
        <v>0</v>
      </c>
      <c r="V259" s="207" t="str">
        <f t="shared" si="56"/>
        <v/>
      </c>
    </row>
    <row r="260" spans="10:22" x14ac:dyDescent="0.3">
      <c r="J260" s="185" t="str">
        <f t="shared" si="57"/>
        <v/>
      </c>
      <c r="K260" s="185" t="str">
        <f t="shared" si="58"/>
        <v/>
      </c>
      <c r="L260" s="185" t="str">
        <f t="shared" si="59"/>
        <v/>
      </c>
      <c r="M260" s="76" t="str">
        <f t="shared" si="60"/>
        <v/>
      </c>
      <c r="N260" s="26">
        <f t="shared" si="61"/>
        <v>0</v>
      </c>
      <c r="O260" s="235">
        <f t="shared" si="62"/>
        <v>0</v>
      </c>
      <c r="P260" s="235">
        <f t="shared" si="63"/>
        <v>0</v>
      </c>
      <c r="Q260" s="206">
        <f t="shared" si="64"/>
        <v>0</v>
      </c>
      <c r="R260" s="206">
        <f t="shared" si="53"/>
        <v>0</v>
      </c>
      <c r="S260" s="206">
        <f t="shared" si="54"/>
        <v>0</v>
      </c>
      <c r="T260" s="206">
        <f t="shared" si="55"/>
        <v>0</v>
      </c>
      <c r="U260" s="206">
        <f t="shared" si="55"/>
        <v>0</v>
      </c>
      <c r="V260" s="207" t="str">
        <f t="shared" si="56"/>
        <v/>
      </c>
    </row>
    <row r="261" spans="10:22" x14ac:dyDescent="0.3">
      <c r="J261" s="185" t="str">
        <f t="shared" si="57"/>
        <v/>
      </c>
      <c r="K261" s="185" t="str">
        <f t="shared" si="58"/>
        <v/>
      </c>
      <c r="L261" s="185" t="str">
        <f t="shared" si="59"/>
        <v/>
      </c>
      <c r="M261" s="76" t="str">
        <f t="shared" si="60"/>
        <v/>
      </c>
      <c r="N261" s="26">
        <f t="shared" si="61"/>
        <v>0</v>
      </c>
      <c r="O261" s="235">
        <f t="shared" si="62"/>
        <v>0</v>
      </c>
      <c r="P261" s="235">
        <f t="shared" si="63"/>
        <v>0</v>
      </c>
      <c r="Q261" s="206">
        <f t="shared" si="64"/>
        <v>0</v>
      </c>
      <c r="R261" s="206">
        <f t="shared" si="53"/>
        <v>0</v>
      </c>
      <c r="S261" s="206">
        <f t="shared" si="54"/>
        <v>0</v>
      </c>
      <c r="T261" s="206">
        <f t="shared" si="55"/>
        <v>0</v>
      </c>
      <c r="U261" s="206">
        <f t="shared" si="55"/>
        <v>0</v>
      </c>
      <c r="V261" s="207" t="str">
        <f t="shared" si="56"/>
        <v/>
      </c>
    </row>
    <row r="262" spans="10:22" x14ac:dyDescent="0.3">
      <c r="J262" s="185" t="str">
        <f t="shared" si="57"/>
        <v/>
      </c>
      <c r="K262" s="185" t="str">
        <f t="shared" si="58"/>
        <v/>
      </c>
      <c r="L262" s="185" t="str">
        <f t="shared" si="59"/>
        <v/>
      </c>
      <c r="M262" s="76" t="str">
        <f t="shared" si="60"/>
        <v/>
      </c>
      <c r="N262" s="26">
        <f t="shared" si="61"/>
        <v>0</v>
      </c>
      <c r="O262" s="235">
        <f t="shared" si="62"/>
        <v>0</v>
      </c>
      <c r="P262" s="235">
        <f t="shared" si="63"/>
        <v>0</v>
      </c>
      <c r="Q262" s="206">
        <f t="shared" si="64"/>
        <v>0</v>
      </c>
      <c r="R262" s="206">
        <f t="shared" si="53"/>
        <v>0</v>
      </c>
      <c r="S262" s="206">
        <f t="shared" si="54"/>
        <v>0</v>
      </c>
      <c r="T262" s="206">
        <f t="shared" si="55"/>
        <v>0</v>
      </c>
      <c r="U262" s="206">
        <f t="shared" si="55"/>
        <v>0</v>
      </c>
      <c r="V262" s="207" t="str">
        <f t="shared" si="56"/>
        <v/>
      </c>
    </row>
    <row r="263" spans="10:22" x14ac:dyDescent="0.3">
      <c r="J263" s="185" t="str">
        <f t="shared" si="57"/>
        <v/>
      </c>
      <c r="K263" s="185" t="str">
        <f t="shared" si="58"/>
        <v/>
      </c>
      <c r="L263" s="185" t="str">
        <f t="shared" si="59"/>
        <v/>
      </c>
      <c r="M263" s="76" t="str">
        <f t="shared" si="60"/>
        <v/>
      </c>
      <c r="N263" s="26">
        <f t="shared" si="61"/>
        <v>0</v>
      </c>
      <c r="O263" s="235">
        <f t="shared" si="62"/>
        <v>0</v>
      </c>
      <c r="P263" s="235">
        <f t="shared" si="63"/>
        <v>0</v>
      </c>
      <c r="Q263" s="206">
        <f t="shared" si="64"/>
        <v>0</v>
      </c>
      <c r="R263" s="206">
        <f t="shared" si="53"/>
        <v>0</v>
      </c>
      <c r="S263" s="206">
        <f t="shared" si="54"/>
        <v>0</v>
      </c>
      <c r="T263" s="206">
        <f t="shared" si="55"/>
        <v>0</v>
      </c>
      <c r="U263" s="206">
        <f t="shared" si="55"/>
        <v>0</v>
      </c>
      <c r="V263" s="207" t="str">
        <f t="shared" si="56"/>
        <v/>
      </c>
    </row>
    <row r="264" spans="10:22" x14ac:dyDescent="0.3">
      <c r="J264" s="185" t="str">
        <f t="shared" si="57"/>
        <v/>
      </c>
      <c r="K264" s="185" t="str">
        <f t="shared" si="58"/>
        <v/>
      </c>
      <c r="L264" s="185" t="str">
        <f t="shared" si="59"/>
        <v/>
      </c>
      <c r="M264" s="76" t="str">
        <f t="shared" si="60"/>
        <v/>
      </c>
      <c r="N264" s="26">
        <f t="shared" si="61"/>
        <v>0</v>
      </c>
      <c r="O264" s="235">
        <f t="shared" si="62"/>
        <v>0</v>
      </c>
      <c r="P264" s="235">
        <f t="shared" si="63"/>
        <v>0</v>
      </c>
      <c r="Q264" s="206">
        <f t="shared" si="64"/>
        <v>0</v>
      </c>
      <c r="R264" s="206">
        <f t="shared" si="53"/>
        <v>0</v>
      </c>
      <c r="S264" s="206">
        <f t="shared" si="54"/>
        <v>0</v>
      </c>
      <c r="T264" s="206">
        <f t="shared" si="55"/>
        <v>0</v>
      </c>
      <c r="U264" s="206">
        <f t="shared" si="55"/>
        <v>0</v>
      </c>
      <c r="V264" s="207" t="str">
        <f t="shared" si="56"/>
        <v/>
      </c>
    </row>
    <row r="265" spans="10:22" x14ac:dyDescent="0.3">
      <c r="J265" s="185" t="str">
        <f t="shared" si="57"/>
        <v/>
      </c>
      <c r="K265" s="185" t="str">
        <f t="shared" si="58"/>
        <v/>
      </c>
      <c r="L265" s="185" t="str">
        <f t="shared" si="59"/>
        <v/>
      </c>
      <c r="M265" s="76" t="str">
        <f t="shared" si="60"/>
        <v/>
      </c>
      <c r="N265" s="26">
        <f t="shared" si="61"/>
        <v>0</v>
      </c>
      <c r="O265" s="235">
        <f t="shared" si="62"/>
        <v>0</v>
      </c>
      <c r="P265" s="235">
        <f t="shared" si="63"/>
        <v>0</v>
      </c>
      <c r="Q265" s="206">
        <f t="shared" si="64"/>
        <v>0</v>
      </c>
      <c r="R265" s="206">
        <f t="shared" si="53"/>
        <v>0</v>
      </c>
      <c r="S265" s="206">
        <f t="shared" si="54"/>
        <v>0</v>
      </c>
      <c r="T265" s="206">
        <f t="shared" si="55"/>
        <v>0</v>
      </c>
      <c r="U265" s="206">
        <f t="shared" si="55"/>
        <v>0</v>
      </c>
      <c r="V265" s="207" t="str">
        <f t="shared" si="56"/>
        <v/>
      </c>
    </row>
    <row r="266" spans="10:22" x14ac:dyDescent="0.3">
      <c r="J266" s="185" t="str">
        <f t="shared" si="57"/>
        <v/>
      </c>
      <c r="K266" s="185" t="str">
        <f t="shared" si="58"/>
        <v/>
      </c>
      <c r="L266" s="185" t="str">
        <f t="shared" si="59"/>
        <v/>
      </c>
      <c r="M266" s="76" t="str">
        <f t="shared" si="60"/>
        <v/>
      </c>
      <c r="N266" s="26">
        <f t="shared" si="61"/>
        <v>0</v>
      </c>
      <c r="O266" s="235">
        <f t="shared" si="62"/>
        <v>0</v>
      </c>
      <c r="P266" s="235">
        <f t="shared" si="63"/>
        <v>0</v>
      </c>
      <c r="Q266" s="206">
        <f t="shared" si="64"/>
        <v>0</v>
      </c>
      <c r="R266" s="206">
        <f t="shared" si="53"/>
        <v>0</v>
      </c>
      <c r="S266" s="206">
        <f t="shared" si="54"/>
        <v>0</v>
      </c>
      <c r="T266" s="206">
        <f t="shared" si="55"/>
        <v>0</v>
      </c>
      <c r="U266" s="206">
        <f t="shared" si="55"/>
        <v>0</v>
      </c>
      <c r="V266" s="207" t="str">
        <f t="shared" si="56"/>
        <v/>
      </c>
    </row>
    <row r="267" spans="10:22" x14ac:dyDescent="0.3">
      <c r="J267" s="185" t="str">
        <f t="shared" si="57"/>
        <v/>
      </c>
      <c r="K267" s="185" t="str">
        <f t="shared" si="58"/>
        <v/>
      </c>
      <c r="L267" s="185" t="str">
        <f t="shared" si="59"/>
        <v/>
      </c>
      <c r="M267" s="76" t="str">
        <f t="shared" si="60"/>
        <v/>
      </c>
      <c r="N267" s="26">
        <f t="shared" si="61"/>
        <v>0</v>
      </c>
      <c r="O267" s="235">
        <f t="shared" si="62"/>
        <v>0</v>
      </c>
      <c r="P267" s="235">
        <f t="shared" si="63"/>
        <v>0</v>
      </c>
      <c r="Q267" s="206">
        <f t="shared" si="64"/>
        <v>0</v>
      </c>
      <c r="R267" s="206">
        <f t="shared" si="53"/>
        <v>0</v>
      </c>
      <c r="S267" s="206">
        <f t="shared" si="54"/>
        <v>0</v>
      </c>
      <c r="T267" s="206">
        <f t="shared" si="55"/>
        <v>0</v>
      </c>
      <c r="U267" s="206">
        <f t="shared" si="55"/>
        <v>0</v>
      </c>
      <c r="V267" s="207" t="str">
        <f t="shared" si="56"/>
        <v/>
      </c>
    </row>
    <row r="268" spans="10:22" x14ac:dyDescent="0.3">
      <c r="J268" s="185" t="str">
        <f t="shared" si="57"/>
        <v/>
      </c>
      <c r="K268" s="185" t="str">
        <f t="shared" si="58"/>
        <v/>
      </c>
      <c r="L268" s="185" t="str">
        <f t="shared" si="59"/>
        <v/>
      </c>
      <c r="M268" s="76" t="str">
        <f t="shared" si="60"/>
        <v/>
      </c>
      <c r="N268" s="26">
        <f t="shared" si="61"/>
        <v>0</v>
      </c>
      <c r="O268" s="235">
        <f t="shared" si="62"/>
        <v>0</v>
      </c>
      <c r="P268" s="235">
        <f t="shared" si="63"/>
        <v>0</v>
      </c>
      <c r="Q268" s="206">
        <f t="shared" si="64"/>
        <v>0</v>
      </c>
      <c r="R268" s="206">
        <f t="shared" si="53"/>
        <v>0</v>
      </c>
      <c r="S268" s="206">
        <f t="shared" si="54"/>
        <v>0</v>
      </c>
      <c r="T268" s="206">
        <f t="shared" si="55"/>
        <v>0</v>
      </c>
      <c r="U268" s="206">
        <f t="shared" si="55"/>
        <v>0</v>
      </c>
      <c r="V268" s="207" t="str">
        <f t="shared" si="56"/>
        <v/>
      </c>
    </row>
    <row r="269" spans="10:22" x14ac:dyDescent="0.3">
      <c r="J269" s="185" t="str">
        <f t="shared" si="57"/>
        <v/>
      </c>
      <c r="K269" s="185" t="str">
        <f t="shared" si="58"/>
        <v/>
      </c>
      <c r="L269" s="185" t="str">
        <f t="shared" si="59"/>
        <v/>
      </c>
      <c r="M269" s="76" t="str">
        <f t="shared" si="60"/>
        <v/>
      </c>
      <c r="N269" s="26">
        <f t="shared" si="61"/>
        <v>0</v>
      </c>
      <c r="O269" s="235">
        <f t="shared" si="62"/>
        <v>0</v>
      </c>
      <c r="P269" s="235">
        <f t="shared" si="63"/>
        <v>0</v>
      </c>
      <c r="Q269" s="206">
        <f t="shared" si="64"/>
        <v>0</v>
      </c>
      <c r="R269" s="206">
        <f t="shared" si="53"/>
        <v>0</v>
      </c>
      <c r="S269" s="206">
        <f t="shared" si="54"/>
        <v>0</v>
      </c>
      <c r="T269" s="206">
        <f t="shared" si="55"/>
        <v>0</v>
      </c>
      <c r="U269" s="206">
        <f t="shared" si="55"/>
        <v>0</v>
      </c>
      <c r="V269" s="207" t="str">
        <f t="shared" si="56"/>
        <v/>
      </c>
    </row>
    <row r="270" spans="10:22" x14ac:dyDescent="0.3">
      <c r="J270" s="185" t="str">
        <f t="shared" si="57"/>
        <v/>
      </c>
      <c r="K270" s="185" t="str">
        <f t="shared" si="58"/>
        <v/>
      </c>
      <c r="L270" s="185" t="str">
        <f t="shared" si="59"/>
        <v/>
      </c>
      <c r="M270" s="76" t="str">
        <f t="shared" si="60"/>
        <v/>
      </c>
      <c r="N270" s="26">
        <f t="shared" si="61"/>
        <v>0</v>
      </c>
      <c r="O270" s="235">
        <f t="shared" si="62"/>
        <v>0</v>
      </c>
      <c r="P270" s="235">
        <f t="shared" si="63"/>
        <v>0</v>
      </c>
      <c r="Q270" s="206">
        <f t="shared" si="64"/>
        <v>0</v>
      </c>
      <c r="R270" s="206">
        <f t="shared" si="53"/>
        <v>0</v>
      </c>
      <c r="S270" s="206">
        <f t="shared" si="54"/>
        <v>0</v>
      </c>
      <c r="T270" s="206">
        <f t="shared" si="55"/>
        <v>0</v>
      </c>
      <c r="U270" s="206">
        <f t="shared" si="55"/>
        <v>0</v>
      </c>
      <c r="V270" s="207" t="str">
        <f t="shared" si="56"/>
        <v/>
      </c>
    </row>
    <row r="271" spans="10:22" x14ac:dyDescent="0.3">
      <c r="J271" s="185" t="str">
        <f t="shared" si="57"/>
        <v/>
      </c>
      <c r="K271" s="185" t="str">
        <f t="shared" si="58"/>
        <v/>
      </c>
      <c r="L271" s="185" t="str">
        <f t="shared" si="59"/>
        <v/>
      </c>
      <c r="M271" s="76" t="str">
        <f t="shared" si="60"/>
        <v/>
      </c>
      <c r="N271" s="26">
        <f t="shared" si="61"/>
        <v>0</v>
      </c>
      <c r="O271" s="235">
        <f t="shared" si="62"/>
        <v>0</v>
      </c>
      <c r="P271" s="235">
        <f t="shared" si="63"/>
        <v>0</v>
      </c>
      <c r="Q271" s="206">
        <f t="shared" si="64"/>
        <v>0</v>
      </c>
      <c r="R271" s="206">
        <f t="shared" si="53"/>
        <v>0</v>
      </c>
      <c r="S271" s="206">
        <f t="shared" si="54"/>
        <v>0</v>
      </c>
      <c r="T271" s="206">
        <f t="shared" si="55"/>
        <v>0</v>
      </c>
      <c r="U271" s="206">
        <f t="shared" si="55"/>
        <v>0</v>
      </c>
      <c r="V271" s="207" t="str">
        <f t="shared" si="56"/>
        <v/>
      </c>
    </row>
    <row r="272" spans="10:22" x14ac:dyDescent="0.3">
      <c r="J272" s="185" t="str">
        <f t="shared" si="57"/>
        <v/>
      </c>
      <c r="K272" s="185" t="str">
        <f t="shared" si="58"/>
        <v/>
      </c>
      <c r="L272" s="185" t="str">
        <f t="shared" si="59"/>
        <v/>
      </c>
      <c r="M272" s="76" t="str">
        <f t="shared" si="60"/>
        <v/>
      </c>
      <c r="N272" s="26">
        <f t="shared" si="61"/>
        <v>0</v>
      </c>
      <c r="O272" s="235">
        <f t="shared" si="62"/>
        <v>0</v>
      </c>
      <c r="P272" s="235">
        <f t="shared" si="63"/>
        <v>0</v>
      </c>
      <c r="Q272" s="206">
        <f t="shared" si="64"/>
        <v>0</v>
      </c>
      <c r="R272" s="206">
        <f t="shared" si="53"/>
        <v>0</v>
      </c>
      <c r="S272" s="206">
        <f t="shared" si="54"/>
        <v>0</v>
      </c>
      <c r="T272" s="206">
        <f t="shared" si="55"/>
        <v>0</v>
      </c>
      <c r="U272" s="206">
        <f t="shared" si="55"/>
        <v>0</v>
      </c>
      <c r="V272" s="207" t="str">
        <f t="shared" si="56"/>
        <v/>
      </c>
    </row>
    <row r="273" spans="10:22" x14ac:dyDescent="0.3">
      <c r="J273" s="185" t="str">
        <f t="shared" si="57"/>
        <v/>
      </c>
      <c r="K273" s="185" t="str">
        <f t="shared" si="58"/>
        <v/>
      </c>
      <c r="L273" s="185" t="str">
        <f t="shared" si="59"/>
        <v/>
      </c>
      <c r="M273" s="76" t="str">
        <f t="shared" si="60"/>
        <v/>
      </c>
      <c r="N273" s="26">
        <f t="shared" si="61"/>
        <v>0</v>
      </c>
      <c r="O273" s="235">
        <f t="shared" si="62"/>
        <v>0</v>
      </c>
      <c r="P273" s="235">
        <f t="shared" si="63"/>
        <v>0</v>
      </c>
      <c r="Q273" s="206">
        <f t="shared" si="64"/>
        <v>0</v>
      </c>
      <c r="R273" s="206">
        <f t="shared" si="53"/>
        <v>0</v>
      </c>
      <c r="S273" s="206">
        <f t="shared" si="54"/>
        <v>0</v>
      </c>
      <c r="T273" s="206">
        <f t="shared" si="55"/>
        <v>0</v>
      </c>
      <c r="U273" s="206">
        <f t="shared" si="55"/>
        <v>0</v>
      </c>
      <c r="V273" s="207" t="str">
        <f t="shared" si="56"/>
        <v/>
      </c>
    </row>
    <row r="274" spans="10:22" x14ac:dyDescent="0.3">
      <c r="J274" s="185" t="str">
        <f t="shared" si="57"/>
        <v/>
      </c>
      <c r="K274" s="185" t="str">
        <f t="shared" si="58"/>
        <v/>
      </c>
      <c r="L274" s="185" t="str">
        <f t="shared" si="59"/>
        <v/>
      </c>
      <c r="M274" s="76" t="str">
        <f t="shared" si="60"/>
        <v/>
      </c>
      <c r="N274" s="26">
        <f t="shared" si="61"/>
        <v>0</v>
      </c>
      <c r="O274" s="235">
        <f t="shared" si="62"/>
        <v>0</v>
      </c>
      <c r="P274" s="235">
        <f t="shared" si="63"/>
        <v>0</v>
      </c>
      <c r="Q274" s="206">
        <f t="shared" si="64"/>
        <v>0</v>
      </c>
      <c r="R274" s="206">
        <f t="shared" si="53"/>
        <v>0</v>
      </c>
      <c r="S274" s="206">
        <f t="shared" si="54"/>
        <v>0</v>
      </c>
      <c r="T274" s="206">
        <f t="shared" si="55"/>
        <v>0</v>
      </c>
      <c r="U274" s="206">
        <f t="shared" si="55"/>
        <v>0</v>
      </c>
      <c r="V274" s="207" t="str">
        <f t="shared" si="56"/>
        <v/>
      </c>
    </row>
    <row r="275" spans="10:22" x14ac:dyDescent="0.3">
      <c r="J275" s="185" t="str">
        <f t="shared" si="57"/>
        <v/>
      </c>
      <c r="K275" s="185" t="str">
        <f t="shared" si="58"/>
        <v/>
      </c>
      <c r="L275" s="185" t="str">
        <f t="shared" si="59"/>
        <v/>
      </c>
      <c r="M275" s="76" t="str">
        <f t="shared" si="60"/>
        <v/>
      </c>
      <c r="N275" s="26">
        <f t="shared" si="61"/>
        <v>0</v>
      </c>
      <c r="O275" s="235">
        <f t="shared" si="62"/>
        <v>0</v>
      </c>
      <c r="P275" s="235">
        <f t="shared" si="63"/>
        <v>0</v>
      </c>
      <c r="Q275" s="206">
        <f t="shared" si="64"/>
        <v>0</v>
      </c>
      <c r="R275" s="206">
        <f t="shared" si="53"/>
        <v>0</v>
      </c>
      <c r="S275" s="206">
        <f t="shared" si="54"/>
        <v>0</v>
      </c>
      <c r="T275" s="206">
        <f t="shared" si="55"/>
        <v>0</v>
      </c>
      <c r="U275" s="206">
        <f t="shared" si="55"/>
        <v>0</v>
      </c>
      <c r="V275" s="207" t="str">
        <f t="shared" si="56"/>
        <v/>
      </c>
    </row>
    <row r="276" spans="10:22" x14ac:dyDescent="0.3">
      <c r="J276" s="185" t="str">
        <f t="shared" si="57"/>
        <v/>
      </c>
      <c r="K276" s="185" t="str">
        <f t="shared" si="58"/>
        <v/>
      </c>
      <c r="L276" s="185" t="str">
        <f t="shared" si="59"/>
        <v/>
      </c>
      <c r="M276" s="76" t="str">
        <f t="shared" si="60"/>
        <v/>
      </c>
      <c r="N276" s="26">
        <f t="shared" si="61"/>
        <v>0</v>
      </c>
      <c r="O276" s="235">
        <f t="shared" si="62"/>
        <v>0</v>
      </c>
      <c r="P276" s="235">
        <f t="shared" si="63"/>
        <v>0</v>
      </c>
      <c r="Q276" s="206">
        <f t="shared" si="64"/>
        <v>0</v>
      </c>
      <c r="R276" s="206">
        <f t="shared" si="53"/>
        <v>0</v>
      </c>
      <c r="S276" s="206">
        <f t="shared" si="54"/>
        <v>0</v>
      </c>
      <c r="T276" s="206">
        <f t="shared" si="55"/>
        <v>0</v>
      </c>
      <c r="U276" s="206">
        <f t="shared" si="55"/>
        <v>0</v>
      </c>
      <c r="V276" s="207" t="str">
        <f t="shared" si="56"/>
        <v/>
      </c>
    </row>
    <row r="277" spans="10:22" x14ac:dyDescent="0.3">
      <c r="J277" s="185" t="str">
        <f t="shared" si="57"/>
        <v/>
      </c>
      <c r="K277" s="185" t="str">
        <f t="shared" si="58"/>
        <v/>
      </c>
      <c r="L277" s="185" t="str">
        <f t="shared" si="59"/>
        <v/>
      </c>
      <c r="M277" s="76" t="str">
        <f t="shared" si="60"/>
        <v/>
      </c>
      <c r="N277" s="26">
        <f t="shared" si="61"/>
        <v>0</v>
      </c>
      <c r="O277" s="235">
        <f t="shared" si="62"/>
        <v>0</v>
      </c>
      <c r="P277" s="235">
        <f t="shared" si="63"/>
        <v>0</v>
      </c>
      <c r="Q277" s="206">
        <f t="shared" si="64"/>
        <v>0</v>
      </c>
      <c r="R277" s="206">
        <f t="shared" si="53"/>
        <v>0</v>
      </c>
      <c r="S277" s="206">
        <f t="shared" si="54"/>
        <v>0</v>
      </c>
      <c r="T277" s="206">
        <f t="shared" si="55"/>
        <v>0</v>
      </c>
      <c r="U277" s="206">
        <f t="shared" si="55"/>
        <v>0</v>
      </c>
      <c r="V277" s="207" t="str">
        <f t="shared" si="56"/>
        <v/>
      </c>
    </row>
    <row r="278" spans="10:22" x14ac:dyDescent="0.3">
      <c r="J278" s="185" t="str">
        <f t="shared" si="57"/>
        <v/>
      </c>
      <c r="K278" s="185" t="str">
        <f t="shared" si="58"/>
        <v/>
      </c>
      <c r="L278" s="185" t="str">
        <f t="shared" si="59"/>
        <v/>
      </c>
      <c r="M278" s="76" t="str">
        <f t="shared" si="60"/>
        <v/>
      </c>
      <c r="N278" s="26">
        <f t="shared" si="61"/>
        <v>0</v>
      </c>
      <c r="O278" s="235">
        <f t="shared" si="62"/>
        <v>0</v>
      </c>
      <c r="P278" s="235">
        <f t="shared" si="63"/>
        <v>0</v>
      </c>
      <c r="Q278" s="206">
        <f t="shared" si="64"/>
        <v>0</v>
      </c>
      <c r="R278" s="206">
        <f t="shared" si="53"/>
        <v>0</v>
      </c>
      <c r="S278" s="206">
        <f t="shared" si="54"/>
        <v>0</v>
      </c>
      <c r="T278" s="206">
        <f t="shared" si="55"/>
        <v>0</v>
      </c>
      <c r="U278" s="206">
        <f t="shared" si="55"/>
        <v>0</v>
      </c>
      <c r="V278" s="207" t="str">
        <f t="shared" si="56"/>
        <v/>
      </c>
    </row>
    <row r="279" spans="10:22" x14ac:dyDescent="0.3">
      <c r="J279" s="185" t="str">
        <f t="shared" si="57"/>
        <v/>
      </c>
      <c r="K279" s="185" t="str">
        <f t="shared" si="58"/>
        <v/>
      </c>
      <c r="L279" s="185" t="str">
        <f t="shared" si="59"/>
        <v/>
      </c>
      <c r="M279" s="76" t="str">
        <f t="shared" si="60"/>
        <v/>
      </c>
      <c r="N279" s="26">
        <f t="shared" si="61"/>
        <v>0</v>
      </c>
      <c r="O279" s="235">
        <f t="shared" si="62"/>
        <v>0</v>
      </c>
      <c r="P279" s="235">
        <f t="shared" si="63"/>
        <v>0</v>
      </c>
      <c r="Q279" s="206">
        <f t="shared" si="64"/>
        <v>0</v>
      </c>
      <c r="R279" s="206">
        <f t="shared" si="53"/>
        <v>0</v>
      </c>
      <c r="S279" s="206">
        <f t="shared" si="54"/>
        <v>0</v>
      </c>
      <c r="T279" s="206">
        <f t="shared" si="55"/>
        <v>0</v>
      </c>
      <c r="U279" s="206">
        <f t="shared" si="55"/>
        <v>0</v>
      </c>
      <c r="V279" s="207" t="str">
        <f t="shared" si="56"/>
        <v/>
      </c>
    </row>
    <row r="280" spans="10:22" x14ac:dyDescent="0.3">
      <c r="J280" s="185" t="str">
        <f t="shared" si="57"/>
        <v/>
      </c>
      <c r="K280" s="185" t="str">
        <f t="shared" si="58"/>
        <v/>
      </c>
      <c r="L280" s="185" t="str">
        <f t="shared" si="59"/>
        <v/>
      </c>
      <c r="M280" s="76" t="str">
        <f t="shared" si="60"/>
        <v/>
      </c>
      <c r="N280" s="26">
        <f t="shared" si="61"/>
        <v>0</v>
      </c>
      <c r="O280" s="235">
        <f t="shared" si="62"/>
        <v>0</v>
      </c>
      <c r="P280" s="235">
        <f t="shared" si="63"/>
        <v>0</v>
      </c>
      <c r="Q280" s="206">
        <f t="shared" si="64"/>
        <v>0</v>
      </c>
      <c r="R280" s="206">
        <f t="shared" si="53"/>
        <v>0</v>
      </c>
      <c r="S280" s="206">
        <f t="shared" si="54"/>
        <v>0</v>
      </c>
      <c r="T280" s="206">
        <f t="shared" si="55"/>
        <v>0</v>
      </c>
      <c r="U280" s="206">
        <f t="shared" si="55"/>
        <v>0</v>
      </c>
      <c r="V280" s="207" t="str">
        <f t="shared" si="56"/>
        <v/>
      </c>
    </row>
    <row r="281" spans="10:22" x14ac:dyDescent="0.3">
      <c r="J281" s="185" t="str">
        <f t="shared" si="57"/>
        <v/>
      </c>
      <c r="K281" s="185" t="str">
        <f t="shared" si="58"/>
        <v/>
      </c>
      <c r="L281" s="185" t="str">
        <f t="shared" si="59"/>
        <v/>
      </c>
      <c r="M281" s="76" t="str">
        <f t="shared" si="60"/>
        <v/>
      </c>
      <c r="N281" s="26">
        <f t="shared" si="61"/>
        <v>0</v>
      </c>
      <c r="O281" s="235">
        <f t="shared" si="62"/>
        <v>0</v>
      </c>
      <c r="P281" s="235">
        <f t="shared" si="63"/>
        <v>0</v>
      </c>
      <c r="Q281" s="206">
        <f t="shared" si="64"/>
        <v>0</v>
      </c>
      <c r="R281" s="206">
        <f t="shared" si="53"/>
        <v>0</v>
      </c>
      <c r="S281" s="206">
        <f t="shared" si="54"/>
        <v>0</v>
      </c>
      <c r="T281" s="206">
        <f t="shared" si="55"/>
        <v>0</v>
      </c>
      <c r="U281" s="206">
        <f t="shared" si="55"/>
        <v>0</v>
      </c>
      <c r="V281" s="207" t="str">
        <f t="shared" si="56"/>
        <v/>
      </c>
    </row>
    <row r="282" spans="10:22" x14ac:dyDescent="0.3">
      <c r="J282" s="185" t="str">
        <f t="shared" si="57"/>
        <v/>
      </c>
      <c r="K282" s="185" t="str">
        <f t="shared" si="58"/>
        <v/>
      </c>
      <c r="L282" s="185" t="str">
        <f t="shared" si="59"/>
        <v/>
      </c>
      <c r="M282" s="76" t="str">
        <f t="shared" si="60"/>
        <v/>
      </c>
      <c r="N282" s="26">
        <f t="shared" si="61"/>
        <v>0</v>
      </c>
      <c r="O282" s="235">
        <f t="shared" si="62"/>
        <v>0</v>
      </c>
      <c r="P282" s="235">
        <f t="shared" si="63"/>
        <v>0</v>
      </c>
      <c r="Q282" s="206">
        <f t="shared" si="64"/>
        <v>0</v>
      </c>
      <c r="R282" s="206">
        <f t="shared" si="53"/>
        <v>0</v>
      </c>
      <c r="S282" s="206">
        <f t="shared" si="54"/>
        <v>0</v>
      </c>
      <c r="T282" s="206">
        <f t="shared" si="55"/>
        <v>0</v>
      </c>
      <c r="U282" s="206">
        <f t="shared" si="55"/>
        <v>0</v>
      </c>
      <c r="V282" s="207" t="str">
        <f t="shared" si="56"/>
        <v/>
      </c>
    </row>
    <row r="283" spans="10:22" x14ac:dyDescent="0.3">
      <c r="J283" s="185" t="str">
        <f t="shared" si="57"/>
        <v/>
      </c>
      <c r="K283" s="185" t="str">
        <f t="shared" si="58"/>
        <v/>
      </c>
      <c r="L283" s="185" t="str">
        <f t="shared" si="59"/>
        <v/>
      </c>
      <c r="M283" s="76" t="str">
        <f t="shared" si="60"/>
        <v/>
      </c>
      <c r="N283" s="26">
        <f t="shared" si="61"/>
        <v>0</v>
      </c>
      <c r="O283" s="235">
        <f t="shared" si="62"/>
        <v>0</v>
      </c>
      <c r="P283" s="235">
        <f t="shared" si="63"/>
        <v>0</v>
      </c>
      <c r="Q283" s="206">
        <f t="shared" si="64"/>
        <v>0</v>
      </c>
      <c r="R283" s="206">
        <f t="shared" ref="R283:R346" si="65">IF($J283=29,VALUE(LEFT(B283,LEN(B283)-2)),0)</f>
        <v>0</v>
      </c>
      <c r="S283" s="206">
        <f t="shared" ref="S283:S346" si="66">IF($J283=29,VALUE(LEFT(C283,LEN(C283)-2)),0)</f>
        <v>0</v>
      </c>
      <c r="T283" s="206">
        <f t="shared" ref="T283:U346" si="67">IF($J283=29,VALUE(LEFT(D283,LEN(D283)-2)),0)</f>
        <v>0</v>
      </c>
      <c r="U283" s="206">
        <f t="shared" si="67"/>
        <v>0</v>
      </c>
      <c r="V283" s="207" t="str">
        <f t="shared" ref="V283:V346" si="68">IFERROR(N283/SUM(R283:U283),"")</f>
        <v/>
      </c>
    </row>
    <row r="284" spans="10:22" x14ac:dyDescent="0.3">
      <c r="J284" s="185" t="str">
        <f t="shared" si="57"/>
        <v/>
      </c>
      <c r="K284" s="185" t="str">
        <f t="shared" si="58"/>
        <v/>
      </c>
      <c r="L284" s="185" t="str">
        <f t="shared" si="59"/>
        <v/>
      </c>
      <c r="M284" s="76" t="str">
        <f t="shared" si="60"/>
        <v/>
      </c>
      <c r="N284" s="26">
        <f t="shared" si="61"/>
        <v>0</v>
      </c>
      <c r="O284" s="235">
        <f t="shared" si="62"/>
        <v>0</v>
      </c>
      <c r="P284" s="235">
        <f t="shared" si="63"/>
        <v>0</v>
      </c>
      <c r="Q284" s="206">
        <f t="shared" si="64"/>
        <v>0</v>
      </c>
      <c r="R284" s="206">
        <f t="shared" si="65"/>
        <v>0</v>
      </c>
      <c r="S284" s="206">
        <f t="shared" si="66"/>
        <v>0</v>
      </c>
      <c r="T284" s="206">
        <f t="shared" si="67"/>
        <v>0</v>
      </c>
      <c r="U284" s="206">
        <f t="shared" si="67"/>
        <v>0</v>
      </c>
      <c r="V284" s="207" t="str">
        <f t="shared" si="68"/>
        <v/>
      </c>
    </row>
    <row r="285" spans="10:22" x14ac:dyDescent="0.3">
      <c r="J285" s="185" t="str">
        <f t="shared" si="57"/>
        <v/>
      </c>
      <c r="K285" s="185" t="str">
        <f t="shared" si="58"/>
        <v/>
      </c>
      <c r="L285" s="185" t="str">
        <f t="shared" si="59"/>
        <v/>
      </c>
      <c r="M285" s="76" t="str">
        <f t="shared" si="60"/>
        <v/>
      </c>
      <c r="N285" s="26">
        <f t="shared" si="61"/>
        <v>0</v>
      </c>
      <c r="O285" s="235">
        <f t="shared" si="62"/>
        <v>0</v>
      </c>
      <c r="P285" s="235">
        <f t="shared" si="63"/>
        <v>0</v>
      </c>
      <c r="Q285" s="206">
        <f t="shared" si="64"/>
        <v>0</v>
      </c>
      <c r="R285" s="206">
        <f t="shared" si="65"/>
        <v>0</v>
      </c>
      <c r="S285" s="206">
        <f t="shared" si="66"/>
        <v>0</v>
      </c>
      <c r="T285" s="206">
        <f t="shared" si="67"/>
        <v>0</v>
      </c>
      <c r="U285" s="206">
        <f t="shared" si="67"/>
        <v>0</v>
      </c>
      <c r="V285" s="207" t="str">
        <f t="shared" si="68"/>
        <v/>
      </c>
    </row>
    <row r="286" spans="10:22" x14ac:dyDescent="0.3">
      <c r="J286" s="185" t="str">
        <f t="shared" si="57"/>
        <v/>
      </c>
      <c r="K286" s="185" t="str">
        <f t="shared" si="58"/>
        <v/>
      </c>
      <c r="L286" s="185" t="str">
        <f t="shared" si="59"/>
        <v/>
      </c>
      <c r="M286" s="76" t="str">
        <f t="shared" si="60"/>
        <v/>
      </c>
      <c r="N286" s="26">
        <f t="shared" si="61"/>
        <v>0</v>
      </c>
      <c r="O286" s="235">
        <f t="shared" si="62"/>
        <v>0</v>
      </c>
      <c r="P286" s="235">
        <f t="shared" si="63"/>
        <v>0</v>
      </c>
      <c r="Q286" s="206">
        <f t="shared" si="64"/>
        <v>0</v>
      </c>
      <c r="R286" s="206">
        <f t="shared" si="65"/>
        <v>0</v>
      </c>
      <c r="S286" s="206">
        <f t="shared" si="66"/>
        <v>0</v>
      </c>
      <c r="T286" s="206">
        <f t="shared" si="67"/>
        <v>0</v>
      </c>
      <c r="U286" s="206">
        <f t="shared" si="67"/>
        <v>0</v>
      </c>
      <c r="V286" s="207" t="str">
        <f t="shared" si="68"/>
        <v/>
      </c>
    </row>
    <row r="287" spans="10:22" x14ac:dyDescent="0.3">
      <c r="J287" s="185" t="str">
        <f t="shared" si="57"/>
        <v/>
      </c>
      <c r="K287" s="185" t="str">
        <f t="shared" si="58"/>
        <v/>
      </c>
      <c r="L287" s="185" t="str">
        <f t="shared" si="59"/>
        <v/>
      </c>
      <c r="M287" s="76" t="str">
        <f t="shared" si="60"/>
        <v/>
      </c>
      <c r="N287" s="26">
        <f t="shared" si="61"/>
        <v>0</v>
      </c>
      <c r="O287" s="235">
        <f t="shared" si="62"/>
        <v>0</v>
      </c>
      <c r="P287" s="235">
        <f t="shared" si="63"/>
        <v>0</v>
      </c>
      <c r="Q287" s="206">
        <f t="shared" si="64"/>
        <v>0</v>
      </c>
      <c r="R287" s="206">
        <f t="shared" si="65"/>
        <v>0</v>
      </c>
      <c r="S287" s="206">
        <f t="shared" si="66"/>
        <v>0</v>
      </c>
      <c r="T287" s="206">
        <f t="shared" si="67"/>
        <v>0</v>
      </c>
      <c r="U287" s="206">
        <f t="shared" si="67"/>
        <v>0</v>
      </c>
      <c r="V287" s="207" t="str">
        <f t="shared" si="68"/>
        <v/>
      </c>
    </row>
    <row r="288" spans="10:22" x14ac:dyDescent="0.3">
      <c r="J288" s="185" t="str">
        <f t="shared" si="57"/>
        <v/>
      </c>
      <c r="K288" s="185" t="str">
        <f t="shared" si="58"/>
        <v/>
      </c>
      <c r="L288" s="185" t="str">
        <f t="shared" si="59"/>
        <v/>
      </c>
      <c r="M288" s="76" t="str">
        <f t="shared" si="60"/>
        <v/>
      </c>
      <c r="N288" s="26">
        <f t="shared" si="61"/>
        <v>0</v>
      </c>
      <c r="O288" s="235">
        <f t="shared" si="62"/>
        <v>0</v>
      </c>
      <c r="P288" s="235">
        <f t="shared" si="63"/>
        <v>0</v>
      </c>
      <c r="Q288" s="206">
        <f t="shared" si="64"/>
        <v>0</v>
      </c>
      <c r="R288" s="206">
        <f t="shared" si="65"/>
        <v>0</v>
      </c>
      <c r="S288" s="206">
        <f t="shared" si="66"/>
        <v>0</v>
      </c>
      <c r="T288" s="206">
        <f t="shared" si="67"/>
        <v>0</v>
      </c>
      <c r="U288" s="206">
        <f t="shared" si="67"/>
        <v>0</v>
      </c>
      <c r="V288" s="207" t="str">
        <f t="shared" si="68"/>
        <v/>
      </c>
    </row>
    <row r="289" spans="10:22" x14ac:dyDescent="0.3">
      <c r="J289" s="185" t="str">
        <f t="shared" si="57"/>
        <v/>
      </c>
      <c r="K289" s="185" t="str">
        <f t="shared" si="58"/>
        <v/>
      </c>
      <c r="L289" s="185" t="str">
        <f t="shared" si="59"/>
        <v/>
      </c>
      <c r="M289" s="76" t="str">
        <f t="shared" si="60"/>
        <v/>
      </c>
      <c r="N289" s="26">
        <f t="shared" si="61"/>
        <v>0</v>
      </c>
      <c r="O289" s="235">
        <f t="shared" si="62"/>
        <v>0</v>
      </c>
      <c r="P289" s="235">
        <f t="shared" si="63"/>
        <v>0</v>
      </c>
      <c r="Q289" s="206">
        <f t="shared" si="64"/>
        <v>0</v>
      </c>
      <c r="R289" s="206">
        <f t="shared" si="65"/>
        <v>0</v>
      </c>
      <c r="S289" s="206">
        <f t="shared" si="66"/>
        <v>0</v>
      </c>
      <c r="T289" s="206">
        <f t="shared" si="67"/>
        <v>0</v>
      </c>
      <c r="U289" s="206">
        <f t="shared" si="67"/>
        <v>0</v>
      </c>
      <c r="V289" s="207" t="str">
        <f t="shared" si="68"/>
        <v/>
      </c>
    </row>
    <row r="290" spans="10:22" x14ac:dyDescent="0.3">
      <c r="J290" s="185" t="str">
        <f t="shared" si="57"/>
        <v/>
      </c>
      <c r="K290" s="185" t="str">
        <f t="shared" si="58"/>
        <v/>
      </c>
      <c r="L290" s="185" t="str">
        <f t="shared" si="59"/>
        <v/>
      </c>
      <c r="M290" s="76" t="str">
        <f t="shared" si="60"/>
        <v/>
      </c>
      <c r="N290" s="26">
        <f t="shared" si="61"/>
        <v>0</v>
      </c>
      <c r="O290" s="235">
        <f t="shared" si="62"/>
        <v>0</v>
      </c>
      <c r="P290" s="235">
        <f t="shared" si="63"/>
        <v>0</v>
      </c>
      <c r="Q290" s="206">
        <f t="shared" si="64"/>
        <v>0</v>
      </c>
      <c r="R290" s="206">
        <f t="shared" si="65"/>
        <v>0</v>
      </c>
      <c r="S290" s="206">
        <f t="shared" si="66"/>
        <v>0</v>
      </c>
      <c r="T290" s="206">
        <f t="shared" si="67"/>
        <v>0</v>
      </c>
      <c r="U290" s="206">
        <f t="shared" si="67"/>
        <v>0</v>
      </c>
      <c r="V290" s="207" t="str">
        <f t="shared" si="68"/>
        <v/>
      </c>
    </row>
    <row r="291" spans="10:22" x14ac:dyDescent="0.3">
      <c r="J291" s="185" t="str">
        <f t="shared" si="57"/>
        <v/>
      </c>
      <c r="K291" s="185" t="str">
        <f t="shared" si="58"/>
        <v/>
      </c>
      <c r="L291" s="185" t="str">
        <f t="shared" si="59"/>
        <v/>
      </c>
      <c r="M291" s="76" t="str">
        <f t="shared" si="60"/>
        <v/>
      </c>
      <c r="N291" s="26">
        <f t="shared" si="61"/>
        <v>0</v>
      </c>
      <c r="O291" s="235">
        <f t="shared" si="62"/>
        <v>0</v>
      </c>
      <c r="P291" s="235">
        <f t="shared" si="63"/>
        <v>0</v>
      </c>
      <c r="Q291" s="206">
        <f t="shared" si="64"/>
        <v>0</v>
      </c>
      <c r="R291" s="206">
        <f t="shared" si="65"/>
        <v>0</v>
      </c>
      <c r="S291" s="206">
        <f t="shared" si="66"/>
        <v>0</v>
      </c>
      <c r="T291" s="206">
        <f t="shared" si="67"/>
        <v>0</v>
      </c>
      <c r="U291" s="206">
        <f t="shared" si="67"/>
        <v>0</v>
      </c>
      <c r="V291" s="207" t="str">
        <f t="shared" si="68"/>
        <v/>
      </c>
    </row>
    <row r="292" spans="10:22" x14ac:dyDescent="0.3">
      <c r="J292" s="185" t="str">
        <f t="shared" si="57"/>
        <v/>
      </c>
      <c r="K292" s="185" t="str">
        <f t="shared" si="58"/>
        <v/>
      </c>
      <c r="L292" s="185" t="str">
        <f t="shared" si="59"/>
        <v/>
      </c>
      <c r="M292" s="76" t="str">
        <f t="shared" si="60"/>
        <v/>
      </c>
      <c r="N292" s="26">
        <f t="shared" si="61"/>
        <v>0</v>
      </c>
      <c r="O292" s="235">
        <f t="shared" si="62"/>
        <v>0</v>
      </c>
      <c r="P292" s="235">
        <f t="shared" si="63"/>
        <v>0</v>
      </c>
      <c r="Q292" s="206">
        <f t="shared" si="64"/>
        <v>0</v>
      </c>
      <c r="R292" s="206">
        <f t="shared" si="65"/>
        <v>0</v>
      </c>
      <c r="S292" s="206">
        <f t="shared" si="66"/>
        <v>0</v>
      </c>
      <c r="T292" s="206">
        <f t="shared" si="67"/>
        <v>0</v>
      </c>
      <c r="U292" s="206">
        <f t="shared" si="67"/>
        <v>0</v>
      </c>
      <c r="V292" s="207" t="str">
        <f t="shared" si="68"/>
        <v/>
      </c>
    </row>
    <row r="293" spans="10:22" x14ac:dyDescent="0.3">
      <c r="J293" s="185" t="str">
        <f t="shared" si="57"/>
        <v/>
      </c>
      <c r="K293" s="185" t="str">
        <f t="shared" si="58"/>
        <v/>
      </c>
      <c r="L293" s="185" t="str">
        <f t="shared" si="59"/>
        <v/>
      </c>
      <c r="M293" s="76" t="str">
        <f t="shared" si="60"/>
        <v/>
      </c>
      <c r="N293" s="26">
        <f t="shared" si="61"/>
        <v>0</v>
      </c>
      <c r="O293" s="235">
        <f t="shared" si="62"/>
        <v>0</v>
      </c>
      <c r="P293" s="235">
        <f t="shared" si="63"/>
        <v>0</v>
      </c>
      <c r="Q293" s="206">
        <f t="shared" si="64"/>
        <v>0</v>
      </c>
      <c r="R293" s="206">
        <f t="shared" si="65"/>
        <v>0</v>
      </c>
      <c r="S293" s="206">
        <f t="shared" si="66"/>
        <v>0</v>
      </c>
      <c r="T293" s="206">
        <f t="shared" si="67"/>
        <v>0</v>
      </c>
      <c r="U293" s="206">
        <f t="shared" si="67"/>
        <v>0</v>
      </c>
      <c r="V293" s="207" t="str">
        <f t="shared" si="68"/>
        <v/>
      </c>
    </row>
    <row r="294" spans="10:22" x14ac:dyDescent="0.3">
      <c r="J294" s="185" t="str">
        <f t="shared" si="57"/>
        <v/>
      </c>
      <c r="K294" s="185" t="str">
        <f t="shared" si="58"/>
        <v/>
      </c>
      <c r="L294" s="185" t="str">
        <f t="shared" si="59"/>
        <v/>
      </c>
      <c r="M294" s="76" t="str">
        <f t="shared" si="60"/>
        <v/>
      </c>
      <c r="N294" s="26">
        <f t="shared" si="61"/>
        <v>0</v>
      </c>
      <c r="O294" s="235">
        <f t="shared" si="62"/>
        <v>0</v>
      </c>
      <c r="P294" s="235">
        <f t="shared" si="63"/>
        <v>0</v>
      </c>
      <c r="Q294" s="206">
        <f t="shared" si="64"/>
        <v>0</v>
      </c>
      <c r="R294" s="206">
        <f t="shared" si="65"/>
        <v>0</v>
      </c>
      <c r="S294" s="206">
        <f t="shared" si="66"/>
        <v>0</v>
      </c>
      <c r="T294" s="206">
        <f t="shared" si="67"/>
        <v>0</v>
      </c>
      <c r="U294" s="206">
        <f t="shared" si="67"/>
        <v>0</v>
      </c>
      <c r="V294" s="207" t="str">
        <f t="shared" si="68"/>
        <v/>
      </c>
    </row>
    <row r="295" spans="10:22" x14ac:dyDescent="0.3">
      <c r="J295" s="185" t="str">
        <f t="shared" si="57"/>
        <v/>
      </c>
      <c r="K295" s="185" t="str">
        <f t="shared" si="58"/>
        <v/>
      </c>
      <c r="L295" s="185" t="str">
        <f t="shared" si="59"/>
        <v/>
      </c>
      <c r="M295" s="76" t="str">
        <f t="shared" si="60"/>
        <v/>
      </c>
      <c r="N295" s="26">
        <f t="shared" si="61"/>
        <v>0</v>
      </c>
      <c r="O295" s="235">
        <f t="shared" si="62"/>
        <v>0</v>
      </c>
      <c r="P295" s="235">
        <f t="shared" si="63"/>
        <v>0</v>
      </c>
      <c r="Q295" s="206">
        <f t="shared" si="64"/>
        <v>0</v>
      </c>
      <c r="R295" s="206">
        <f t="shared" si="65"/>
        <v>0</v>
      </c>
      <c r="S295" s="206">
        <f t="shared" si="66"/>
        <v>0</v>
      </c>
      <c r="T295" s="206">
        <f t="shared" si="67"/>
        <v>0</v>
      </c>
      <c r="U295" s="206">
        <f t="shared" si="67"/>
        <v>0</v>
      </c>
      <c r="V295" s="207" t="str">
        <f t="shared" si="68"/>
        <v/>
      </c>
    </row>
    <row r="296" spans="10:22" x14ac:dyDescent="0.3">
      <c r="J296" s="185" t="str">
        <f t="shared" si="57"/>
        <v/>
      </c>
      <c r="K296" s="185" t="str">
        <f t="shared" si="58"/>
        <v/>
      </c>
      <c r="L296" s="185" t="str">
        <f t="shared" si="59"/>
        <v/>
      </c>
      <c r="M296" s="76" t="str">
        <f t="shared" si="60"/>
        <v/>
      </c>
      <c r="N296" s="26">
        <f t="shared" si="61"/>
        <v>0</v>
      </c>
      <c r="O296" s="235">
        <f t="shared" si="62"/>
        <v>0</v>
      </c>
      <c r="P296" s="235">
        <f t="shared" si="63"/>
        <v>0</v>
      </c>
      <c r="Q296" s="206">
        <f t="shared" si="64"/>
        <v>0</v>
      </c>
      <c r="R296" s="206">
        <f t="shared" si="65"/>
        <v>0</v>
      </c>
      <c r="S296" s="206">
        <f t="shared" si="66"/>
        <v>0</v>
      </c>
      <c r="T296" s="206">
        <f t="shared" si="67"/>
        <v>0</v>
      </c>
      <c r="U296" s="206">
        <f t="shared" si="67"/>
        <v>0</v>
      </c>
      <c r="V296" s="207" t="str">
        <f t="shared" si="68"/>
        <v/>
      </c>
    </row>
    <row r="297" spans="10:22" x14ac:dyDescent="0.3">
      <c r="J297" s="185" t="str">
        <f t="shared" si="57"/>
        <v/>
      </c>
      <c r="K297" s="185" t="str">
        <f t="shared" si="58"/>
        <v/>
      </c>
      <c r="L297" s="185" t="str">
        <f t="shared" si="59"/>
        <v/>
      </c>
      <c r="M297" s="76" t="str">
        <f t="shared" si="60"/>
        <v/>
      </c>
      <c r="N297" s="26">
        <f t="shared" si="61"/>
        <v>0</v>
      </c>
      <c r="O297" s="235">
        <f t="shared" si="62"/>
        <v>0</v>
      </c>
      <c r="P297" s="235">
        <f t="shared" si="63"/>
        <v>0</v>
      </c>
      <c r="Q297" s="206">
        <f t="shared" si="64"/>
        <v>0</v>
      </c>
      <c r="R297" s="206">
        <f t="shared" si="65"/>
        <v>0</v>
      </c>
      <c r="S297" s="206">
        <f t="shared" si="66"/>
        <v>0</v>
      </c>
      <c r="T297" s="206">
        <f t="shared" si="67"/>
        <v>0</v>
      </c>
      <c r="U297" s="206">
        <f t="shared" si="67"/>
        <v>0</v>
      </c>
      <c r="V297" s="207" t="str">
        <f t="shared" si="68"/>
        <v/>
      </c>
    </row>
    <row r="298" spans="10:22" x14ac:dyDescent="0.3">
      <c r="J298" s="185" t="str">
        <f t="shared" si="57"/>
        <v/>
      </c>
      <c r="K298" s="185" t="str">
        <f t="shared" si="58"/>
        <v/>
      </c>
      <c r="L298" s="185" t="str">
        <f t="shared" si="59"/>
        <v/>
      </c>
      <c r="M298" s="76" t="str">
        <f t="shared" si="60"/>
        <v/>
      </c>
      <c r="N298" s="26">
        <f t="shared" si="61"/>
        <v>0</v>
      </c>
      <c r="O298" s="235">
        <f t="shared" si="62"/>
        <v>0</v>
      </c>
      <c r="P298" s="235">
        <f t="shared" si="63"/>
        <v>0</v>
      </c>
      <c r="Q298" s="206">
        <f t="shared" si="64"/>
        <v>0</v>
      </c>
      <c r="R298" s="206">
        <f t="shared" si="65"/>
        <v>0</v>
      </c>
      <c r="S298" s="206">
        <f t="shared" si="66"/>
        <v>0</v>
      </c>
      <c r="T298" s="206">
        <f t="shared" si="67"/>
        <v>0</v>
      </c>
      <c r="U298" s="206">
        <f t="shared" si="67"/>
        <v>0</v>
      </c>
      <c r="V298" s="207" t="str">
        <f t="shared" si="68"/>
        <v/>
      </c>
    </row>
    <row r="299" spans="10:22" x14ac:dyDescent="0.3">
      <c r="J299" s="185" t="str">
        <f t="shared" si="57"/>
        <v/>
      </c>
      <c r="K299" s="185" t="str">
        <f t="shared" si="58"/>
        <v/>
      </c>
      <c r="L299" s="185" t="str">
        <f t="shared" si="59"/>
        <v/>
      </c>
      <c r="M299" s="76" t="str">
        <f t="shared" si="60"/>
        <v/>
      </c>
      <c r="N299" s="26">
        <f t="shared" si="61"/>
        <v>0</v>
      </c>
      <c r="O299" s="235">
        <f t="shared" si="62"/>
        <v>0</v>
      </c>
      <c r="P299" s="235">
        <f t="shared" si="63"/>
        <v>0</v>
      </c>
      <c r="Q299" s="206">
        <f t="shared" si="64"/>
        <v>0</v>
      </c>
      <c r="R299" s="206">
        <f t="shared" si="65"/>
        <v>0</v>
      </c>
      <c r="S299" s="206">
        <f t="shared" si="66"/>
        <v>0</v>
      </c>
      <c r="T299" s="206">
        <f t="shared" si="67"/>
        <v>0</v>
      </c>
      <c r="U299" s="206">
        <f t="shared" si="67"/>
        <v>0</v>
      </c>
      <c r="V299" s="207" t="str">
        <f t="shared" si="68"/>
        <v/>
      </c>
    </row>
    <row r="300" spans="10:22" x14ac:dyDescent="0.3">
      <c r="J300" s="185" t="str">
        <f t="shared" si="57"/>
        <v/>
      </c>
      <c r="K300" s="185" t="str">
        <f t="shared" si="58"/>
        <v/>
      </c>
      <c r="L300" s="185" t="str">
        <f t="shared" si="59"/>
        <v/>
      </c>
      <c r="M300" s="76" t="str">
        <f t="shared" si="60"/>
        <v/>
      </c>
      <c r="N300" s="26">
        <f t="shared" si="61"/>
        <v>0</v>
      </c>
      <c r="O300" s="235">
        <f t="shared" si="62"/>
        <v>0</v>
      </c>
      <c r="P300" s="235">
        <f t="shared" si="63"/>
        <v>0</v>
      </c>
      <c r="Q300" s="206">
        <f t="shared" si="64"/>
        <v>0</v>
      </c>
      <c r="R300" s="206">
        <f t="shared" si="65"/>
        <v>0</v>
      </c>
      <c r="S300" s="206">
        <f t="shared" si="66"/>
        <v>0</v>
      </c>
      <c r="T300" s="206">
        <f t="shared" si="67"/>
        <v>0</v>
      </c>
      <c r="U300" s="206">
        <f t="shared" si="67"/>
        <v>0</v>
      </c>
      <c r="V300" s="207" t="str">
        <f t="shared" si="68"/>
        <v/>
      </c>
    </row>
    <row r="301" spans="10:22" x14ac:dyDescent="0.3">
      <c r="J301" s="185" t="str">
        <f t="shared" ref="J301:J364" si="69">IFERROR(IF(FIND("Liste des vols",A301),LEN(A301),""),"")</f>
        <v/>
      </c>
      <c r="K301" s="185" t="str">
        <f t="shared" ref="K301:K364" si="70">IF(J301="","",LEFT(A301,3))</f>
        <v/>
      </c>
      <c r="L301" s="185" t="str">
        <f t="shared" ref="L301:L364" si="71">IF(K301&lt;&gt;"",MID(A301,7,3),"")</f>
        <v/>
      </c>
      <c r="M301" s="76" t="str">
        <f t="shared" ref="M301:M364" si="72">IF(K301&lt;&gt;"",CONCATENATE(K301,"/",L301),"")</f>
        <v/>
      </c>
      <c r="N301" s="26">
        <f t="shared" ref="N301:N364" si="73">IF(J301=29,VALUE(LEFT(F301,LEN(F301)-2)),0)</f>
        <v>0</v>
      </c>
      <c r="O301" s="235">
        <f t="shared" ref="O301:O364" si="74">IF(J301=29,-VALUE(G301),0)</f>
        <v>0</v>
      </c>
      <c r="P301" s="235">
        <f t="shared" ref="P301:P364" si="75">IF(J301=29,VALUE(LEFT(H301,LEN(H301)-2)),0)</f>
        <v>0</v>
      </c>
      <c r="Q301" s="206">
        <f t="shared" ref="Q301:Q364" si="76">IFERROR(VALUE(LEFT(RIGHT(A301,LEN(A301)-11),LEN(A301)-28)),0)</f>
        <v>0</v>
      </c>
      <c r="R301" s="206">
        <f t="shared" si="65"/>
        <v>0</v>
      </c>
      <c r="S301" s="206">
        <f t="shared" si="66"/>
        <v>0</v>
      </c>
      <c r="T301" s="206">
        <f t="shared" si="67"/>
        <v>0</v>
      </c>
      <c r="U301" s="206">
        <f t="shared" si="67"/>
        <v>0</v>
      </c>
      <c r="V301" s="207" t="str">
        <f t="shared" si="68"/>
        <v/>
      </c>
    </row>
    <row r="302" spans="10:22" x14ac:dyDescent="0.3">
      <c r="J302" s="185" t="str">
        <f t="shared" si="69"/>
        <v/>
      </c>
      <c r="K302" s="185" t="str">
        <f t="shared" si="70"/>
        <v/>
      </c>
      <c r="L302" s="185" t="str">
        <f t="shared" si="71"/>
        <v/>
      </c>
      <c r="M302" s="76" t="str">
        <f t="shared" si="72"/>
        <v/>
      </c>
      <c r="N302" s="26">
        <f t="shared" si="73"/>
        <v>0</v>
      </c>
      <c r="O302" s="235">
        <f t="shared" si="74"/>
        <v>0</v>
      </c>
      <c r="P302" s="235">
        <f t="shared" si="75"/>
        <v>0</v>
      </c>
      <c r="Q302" s="206">
        <f t="shared" si="76"/>
        <v>0</v>
      </c>
      <c r="R302" s="206">
        <f t="shared" si="65"/>
        <v>0</v>
      </c>
      <c r="S302" s="206">
        <f t="shared" si="66"/>
        <v>0</v>
      </c>
      <c r="T302" s="206">
        <f t="shared" si="67"/>
        <v>0</v>
      </c>
      <c r="U302" s="206">
        <f t="shared" si="67"/>
        <v>0</v>
      </c>
      <c r="V302" s="207" t="str">
        <f t="shared" si="68"/>
        <v/>
      </c>
    </row>
    <row r="303" spans="10:22" x14ac:dyDescent="0.3">
      <c r="J303" s="185" t="str">
        <f t="shared" si="69"/>
        <v/>
      </c>
      <c r="K303" s="185" t="str">
        <f t="shared" si="70"/>
        <v/>
      </c>
      <c r="L303" s="185" t="str">
        <f t="shared" si="71"/>
        <v/>
      </c>
      <c r="M303" s="76" t="str">
        <f t="shared" si="72"/>
        <v/>
      </c>
      <c r="N303" s="26">
        <f t="shared" si="73"/>
        <v>0</v>
      </c>
      <c r="O303" s="235">
        <f t="shared" si="74"/>
        <v>0</v>
      </c>
      <c r="P303" s="235">
        <f t="shared" si="75"/>
        <v>0</v>
      </c>
      <c r="Q303" s="206">
        <f t="shared" si="76"/>
        <v>0</v>
      </c>
      <c r="R303" s="206">
        <f t="shared" si="65"/>
        <v>0</v>
      </c>
      <c r="S303" s="206">
        <f t="shared" si="66"/>
        <v>0</v>
      </c>
      <c r="T303" s="206">
        <f t="shared" si="67"/>
        <v>0</v>
      </c>
      <c r="U303" s="206">
        <f t="shared" si="67"/>
        <v>0</v>
      </c>
      <c r="V303" s="207" t="str">
        <f t="shared" si="68"/>
        <v/>
      </c>
    </row>
    <row r="304" spans="10:22" x14ac:dyDescent="0.3">
      <c r="J304" s="185" t="str">
        <f t="shared" si="69"/>
        <v/>
      </c>
      <c r="K304" s="185" t="str">
        <f t="shared" si="70"/>
        <v/>
      </c>
      <c r="L304" s="185" t="str">
        <f t="shared" si="71"/>
        <v/>
      </c>
      <c r="M304" s="76" t="str">
        <f t="shared" si="72"/>
        <v/>
      </c>
      <c r="N304" s="26">
        <f t="shared" si="73"/>
        <v>0</v>
      </c>
      <c r="O304" s="235">
        <f t="shared" si="74"/>
        <v>0</v>
      </c>
      <c r="P304" s="235">
        <f t="shared" si="75"/>
        <v>0</v>
      </c>
      <c r="Q304" s="206">
        <f t="shared" si="76"/>
        <v>0</v>
      </c>
      <c r="R304" s="206">
        <f t="shared" si="65"/>
        <v>0</v>
      </c>
      <c r="S304" s="206">
        <f t="shared" si="66"/>
        <v>0</v>
      </c>
      <c r="T304" s="206">
        <f t="shared" si="67"/>
        <v>0</v>
      </c>
      <c r="U304" s="206">
        <f t="shared" si="67"/>
        <v>0</v>
      </c>
      <c r="V304" s="207" t="str">
        <f t="shared" si="68"/>
        <v/>
      </c>
    </row>
    <row r="305" spans="10:22" x14ac:dyDescent="0.3">
      <c r="J305" s="185" t="str">
        <f t="shared" si="69"/>
        <v/>
      </c>
      <c r="K305" s="185" t="str">
        <f t="shared" si="70"/>
        <v/>
      </c>
      <c r="L305" s="185" t="str">
        <f t="shared" si="71"/>
        <v/>
      </c>
      <c r="M305" s="76" t="str">
        <f t="shared" si="72"/>
        <v/>
      </c>
      <c r="N305" s="26">
        <f t="shared" si="73"/>
        <v>0</v>
      </c>
      <c r="O305" s="235">
        <f t="shared" si="74"/>
        <v>0</v>
      </c>
      <c r="P305" s="235">
        <f t="shared" si="75"/>
        <v>0</v>
      </c>
      <c r="Q305" s="206">
        <f t="shared" si="76"/>
        <v>0</v>
      </c>
      <c r="R305" s="206">
        <f t="shared" si="65"/>
        <v>0</v>
      </c>
      <c r="S305" s="206">
        <f t="shared" si="66"/>
        <v>0</v>
      </c>
      <c r="T305" s="206">
        <f t="shared" si="67"/>
        <v>0</v>
      </c>
      <c r="U305" s="206">
        <f t="shared" si="67"/>
        <v>0</v>
      </c>
      <c r="V305" s="207" t="str">
        <f t="shared" si="68"/>
        <v/>
      </c>
    </row>
    <row r="306" spans="10:22" x14ac:dyDescent="0.3">
      <c r="J306" s="185" t="str">
        <f t="shared" si="69"/>
        <v/>
      </c>
      <c r="K306" s="185" t="str">
        <f t="shared" si="70"/>
        <v/>
      </c>
      <c r="L306" s="185" t="str">
        <f t="shared" si="71"/>
        <v/>
      </c>
      <c r="M306" s="76" t="str">
        <f t="shared" si="72"/>
        <v/>
      </c>
      <c r="N306" s="26">
        <f t="shared" si="73"/>
        <v>0</v>
      </c>
      <c r="O306" s="235">
        <f t="shared" si="74"/>
        <v>0</v>
      </c>
      <c r="P306" s="235">
        <f t="shared" si="75"/>
        <v>0</v>
      </c>
      <c r="Q306" s="206">
        <f t="shared" si="76"/>
        <v>0</v>
      </c>
      <c r="R306" s="206">
        <f t="shared" si="65"/>
        <v>0</v>
      </c>
      <c r="S306" s="206">
        <f t="shared" si="66"/>
        <v>0</v>
      </c>
      <c r="T306" s="206">
        <f t="shared" si="67"/>
        <v>0</v>
      </c>
      <c r="U306" s="206">
        <f t="shared" si="67"/>
        <v>0</v>
      </c>
      <c r="V306" s="207" t="str">
        <f t="shared" si="68"/>
        <v/>
      </c>
    </row>
    <row r="307" spans="10:22" x14ac:dyDescent="0.3">
      <c r="J307" s="185" t="str">
        <f t="shared" si="69"/>
        <v/>
      </c>
      <c r="K307" s="185" t="str">
        <f t="shared" si="70"/>
        <v/>
      </c>
      <c r="L307" s="185" t="str">
        <f t="shared" si="71"/>
        <v/>
      </c>
      <c r="M307" s="76" t="str">
        <f t="shared" si="72"/>
        <v/>
      </c>
      <c r="N307" s="26">
        <f t="shared" si="73"/>
        <v>0</v>
      </c>
      <c r="O307" s="235">
        <f t="shared" si="74"/>
        <v>0</v>
      </c>
      <c r="P307" s="235">
        <f t="shared" si="75"/>
        <v>0</v>
      </c>
      <c r="Q307" s="206">
        <f t="shared" si="76"/>
        <v>0</v>
      </c>
      <c r="R307" s="206">
        <f t="shared" si="65"/>
        <v>0</v>
      </c>
      <c r="S307" s="206">
        <f t="shared" si="66"/>
        <v>0</v>
      </c>
      <c r="T307" s="206">
        <f t="shared" si="67"/>
        <v>0</v>
      </c>
      <c r="U307" s="206">
        <f t="shared" si="67"/>
        <v>0</v>
      </c>
      <c r="V307" s="207" t="str">
        <f t="shared" si="68"/>
        <v/>
      </c>
    </row>
    <row r="308" spans="10:22" x14ac:dyDescent="0.3">
      <c r="J308" s="185" t="str">
        <f t="shared" si="69"/>
        <v/>
      </c>
      <c r="K308" s="185" t="str">
        <f t="shared" si="70"/>
        <v/>
      </c>
      <c r="L308" s="185" t="str">
        <f t="shared" si="71"/>
        <v/>
      </c>
      <c r="M308" s="76" t="str">
        <f t="shared" si="72"/>
        <v/>
      </c>
      <c r="N308" s="26">
        <f t="shared" si="73"/>
        <v>0</v>
      </c>
      <c r="O308" s="235">
        <f t="shared" si="74"/>
        <v>0</v>
      </c>
      <c r="P308" s="235">
        <f t="shared" si="75"/>
        <v>0</v>
      </c>
      <c r="Q308" s="206">
        <f t="shared" si="76"/>
        <v>0</v>
      </c>
      <c r="R308" s="206">
        <f t="shared" si="65"/>
        <v>0</v>
      </c>
      <c r="S308" s="206">
        <f t="shared" si="66"/>
        <v>0</v>
      </c>
      <c r="T308" s="206">
        <f t="shared" si="67"/>
        <v>0</v>
      </c>
      <c r="U308" s="206">
        <f t="shared" si="67"/>
        <v>0</v>
      </c>
      <c r="V308" s="207" t="str">
        <f t="shared" si="68"/>
        <v/>
      </c>
    </row>
    <row r="309" spans="10:22" x14ac:dyDescent="0.3">
      <c r="J309" s="185" t="str">
        <f t="shared" si="69"/>
        <v/>
      </c>
      <c r="K309" s="185" t="str">
        <f t="shared" si="70"/>
        <v/>
      </c>
      <c r="L309" s="185" t="str">
        <f t="shared" si="71"/>
        <v/>
      </c>
      <c r="M309" s="76" t="str">
        <f t="shared" si="72"/>
        <v/>
      </c>
      <c r="N309" s="26">
        <f t="shared" si="73"/>
        <v>0</v>
      </c>
      <c r="O309" s="235">
        <f t="shared" si="74"/>
        <v>0</v>
      </c>
      <c r="P309" s="235">
        <f t="shared" si="75"/>
        <v>0</v>
      </c>
      <c r="Q309" s="206">
        <f t="shared" si="76"/>
        <v>0</v>
      </c>
      <c r="R309" s="206">
        <f t="shared" si="65"/>
        <v>0</v>
      </c>
      <c r="S309" s="206">
        <f t="shared" si="66"/>
        <v>0</v>
      </c>
      <c r="T309" s="206">
        <f t="shared" si="67"/>
        <v>0</v>
      </c>
      <c r="U309" s="206">
        <f t="shared" si="67"/>
        <v>0</v>
      </c>
      <c r="V309" s="207" t="str">
        <f t="shared" si="68"/>
        <v/>
      </c>
    </row>
    <row r="310" spans="10:22" x14ac:dyDescent="0.3">
      <c r="J310" s="185" t="str">
        <f t="shared" si="69"/>
        <v/>
      </c>
      <c r="K310" s="185" t="str">
        <f t="shared" si="70"/>
        <v/>
      </c>
      <c r="L310" s="185" t="str">
        <f t="shared" si="71"/>
        <v/>
      </c>
      <c r="M310" s="76" t="str">
        <f t="shared" si="72"/>
        <v/>
      </c>
      <c r="N310" s="26">
        <f t="shared" si="73"/>
        <v>0</v>
      </c>
      <c r="O310" s="235">
        <f t="shared" si="74"/>
        <v>0</v>
      </c>
      <c r="P310" s="235">
        <f t="shared" si="75"/>
        <v>0</v>
      </c>
      <c r="Q310" s="206">
        <f t="shared" si="76"/>
        <v>0</v>
      </c>
      <c r="R310" s="206">
        <f t="shared" si="65"/>
        <v>0</v>
      </c>
      <c r="S310" s="206">
        <f t="shared" si="66"/>
        <v>0</v>
      </c>
      <c r="T310" s="206">
        <f t="shared" si="67"/>
        <v>0</v>
      </c>
      <c r="U310" s="206">
        <f t="shared" si="67"/>
        <v>0</v>
      </c>
      <c r="V310" s="207" t="str">
        <f t="shared" si="68"/>
        <v/>
      </c>
    </row>
    <row r="311" spans="10:22" x14ac:dyDescent="0.3">
      <c r="J311" s="185" t="str">
        <f t="shared" si="69"/>
        <v/>
      </c>
      <c r="K311" s="185" t="str">
        <f t="shared" si="70"/>
        <v/>
      </c>
      <c r="L311" s="185" t="str">
        <f t="shared" si="71"/>
        <v/>
      </c>
      <c r="M311" s="76" t="str">
        <f t="shared" si="72"/>
        <v/>
      </c>
      <c r="N311" s="26">
        <f t="shared" si="73"/>
        <v>0</v>
      </c>
      <c r="O311" s="235">
        <f t="shared" si="74"/>
        <v>0</v>
      </c>
      <c r="P311" s="235">
        <f t="shared" si="75"/>
        <v>0</v>
      </c>
      <c r="Q311" s="206">
        <f t="shared" si="76"/>
        <v>0</v>
      </c>
      <c r="R311" s="206">
        <f t="shared" si="65"/>
        <v>0</v>
      </c>
      <c r="S311" s="206">
        <f t="shared" si="66"/>
        <v>0</v>
      </c>
      <c r="T311" s="206">
        <f t="shared" si="67"/>
        <v>0</v>
      </c>
      <c r="U311" s="206">
        <f t="shared" si="67"/>
        <v>0</v>
      </c>
      <c r="V311" s="207" t="str">
        <f t="shared" si="68"/>
        <v/>
      </c>
    </row>
    <row r="312" spans="10:22" x14ac:dyDescent="0.3">
      <c r="J312" s="185" t="str">
        <f t="shared" si="69"/>
        <v/>
      </c>
      <c r="K312" s="185" t="str">
        <f t="shared" si="70"/>
        <v/>
      </c>
      <c r="L312" s="185" t="str">
        <f t="shared" si="71"/>
        <v/>
      </c>
      <c r="M312" s="76" t="str">
        <f t="shared" si="72"/>
        <v/>
      </c>
      <c r="N312" s="26">
        <f t="shared" si="73"/>
        <v>0</v>
      </c>
      <c r="O312" s="235">
        <f t="shared" si="74"/>
        <v>0</v>
      </c>
      <c r="P312" s="235">
        <f t="shared" si="75"/>
        <v>0</v>
      </c>
      <c r="Q312" s="206">
        <f t="shared" si="76"/>
        <v>0</v>
      </c>
      <c r="R312" s="206">
        <f t="shared" si="65"/>
        <v>0</v>
      </c>
      <c r="S312" s="206">
        <f t="shared" si="66"/>
        <v>0</v>
      </c>
      <c r="T312" s="206">
        <f t="shared" si="67"/>
        <v>0</v>
      </c>
      <c r="U312" s="206">
        <f t="shared" si="67"/>
        <v>0</v>
      </c>
      <c r="V312" s="207" t="str">
        <f t="shared" si="68"/>
        <v/>
      </c>
    </row>
    <row r="313" spans="10:22" x14ac:dyDescent="0.3">
      <c r="J313" s="185" t="str">
        <f t="shared" si="69"/>
        <v/>
      </c>
      <c r="K313" s="185" t="str">
        <f t="shared" si="70"/>
        <v/>
      </c>
      <c r="L313" s="185" t="str">
        <f t="shared" si="71"/>
        <v/>
      </c>
      <c r="M313" s="76" t="str">
        <f t="shared" si="72"/>
        <v/>
      </c>
      <c r="N313" s="26">
        <f t="shared" si="73"/>
        <v>0</v>
      </c>
      <c r="O313" s="235">
        <f t="shared" si="74"/>
        <v>0</v>
      </c>
      <c r="P313" s="235">
        <f t="shared" si="75"/>
        <v>0</v>
      </c>
      <c r="Q313" s="206">
        <f t="shared" si="76"/>
        <v>0</v>
      </c>
      <c r="R313" s="206">
        <f t="shared" si="65"/>
        <v>0</v>
      </c>
      <c r="S313" s="206">
        <f t="shared" si="66"/>
        <v>0</v>
      </c>
      <c r="T313" s="206">
        <f t="shared" si="67"/>
        <v>0</v>
      </c>
      <c r="U313" s="206">
        <f t="shared" si="67"/>
        <v>0</v>
      </c>
      <c r="V313" s="207" t="str">
        <f t="shared" si="68"/>
        <v/>
      </c>
    </row>
    <row r="314" spans="10:22" x14ac:dyDescent="0.3">
      <c r="J314" s="185" t="str">
        <f t="shared" si="69"/>
        <v/>
      </c>
      <c r="K314" s="185" t="str">
        <f t="shared" si="70"/>
        <v/>
      </c>
      <c r="L314" s="185" t="str">
        <f t="shared" si="71"/>
        <v/>
      </c>
      <c r="M314" s="76" t="str">
        <f t="shared" si="72"/>
        <v/>
      </c>
      <c r="N314" s="26">
        <f t="shared" si="73"/>
        <v>0</v>
      </c>
      <c r="O314" s="235">
        <f t="shared" si="74"/>
        <v>0</v>
      </c>
      <c r="P314" s="235">
        <f t="shared" si="75"/>
        <v>0</v>
      </c>
      <c r="Q314" s="206">
        <f t="shared" si="76"/>
        <v>0</v>
      </c>
      <c r="R314" s="206">
        <f t="shared" si="65"/>
        <v>0</v>
      </c>
      <c r="S314" s="206">
        <f t="shared" si="66"/>
        <v>0</v>
      </c>
      <c r="T314" s="206">
        <f t="shared" si="67"/>
        <v>0</v>
      </c>
      <c r="U314" s="206">
        <f t="shared" si="67"/>
        <v>0</v>
      </c>
      <c r="V314" s="207" t="str">
        <f t="shared" si="68"/>
        <v/>
      </c>
    </row>
    <row r="315" spans="10:22" x14ac:dyDescent="0.3">
      <c r="J315" s="185" t="str">
        <f t="shared" si="69"/>
        <v/>
      </c>
      <c r="K315" s="185" t="str">
        <f t="shared" si="70"/>
        <v/>
      </c>
      <c r="L315" s="185" t="str">
        <f t="shared" si="71"/>
        <v/>
      </c>
      <c r="M315" s="76" t="str">
        <f t="shared" si="72"/>
        <v/>
      </c>
      <c r="N315" s="26">
        <f t="shared" si="73"/>
        <v>0</v>
      </c>
      <c r="O315" s="235">
        <f t="shared" si="74"/>
        <v>0</v>
      </c>
      <c r="P315" s="235">
        <f t="shared" si="75"/>
        <v>0</v>
      </c>
      <c r="Q315" s="206">
        <f t="shared" si="76"/>
        <v>0</v>
      </c>
      <c r="R315" s="206">
        <f t="shared" si="65"/>
        <v>0</v>
      </c>
      <c r="S315" s="206">
        <f t="shared" si="66"/>
        <v>0</v>
      </c>
      <c r="T315" s="206">
        <f t="shared" si="67"/>
        <v>0</v>
      </c>
      <c r="U315" s="206">
        <f t="shared" si="67"/>
        <v>0</v>
      </c>
      <c r="V315" s="207" t="str">
        <f t="shared" si="68"/>
        <v/>
      </c>
    </row>
    <row r="316" spans="10:22" x14ac:dyDescent="0.3">
      <c r="J316" s="185" t="str">
        <f t="shared" si="69"/>
        <v/>
      </c>
      <c r="K316" s="185" t="str">
        <f t="shared" si="70"/>
        <v/>
      </c>
      <c r="L316" s="185" t="str">
        <f t="shared" si="71"/>
        <v/>
      </c>
      <c r="M316" s="76" t="str">
        <f t="shared" si="72"/>
        <v/>
      </c>
      <c r="N316" s="26">
        <f t="shared" si="73"/>
        <v>0</v>
      </c>
      <c r="O316" s="235">
        <f t="shared" si="74"/>
        <v>0</v>
      </c>
      <c r="P316" s="235">
        <f t="shared" si="75"/>
        <v>0</v>
      </c>
      <c r="Q316" s="206">
        <f t="shared" si="76"/>
        <v>0</v>
      </c>
      <c r="R316" s="206">
        <f t="shared" si="65"/>
        <v>0</v>
      </c>
      <c r="S316" s="206">
        <f t="shared" si="66"/>
        <v>0</v>
      </c>
      <c r="T316" s="206">
        <f t="shared" si="67"/>
        <v>0</v>
      </c>
      <c r="U316" s="206">
        <f t="shared" si="67"/>
        <v>0</v>
      </c>
      <c r="V316" s="207" t="str">
        <f t="shared" si="68"/>
        <v/>
      </c>
    </row>
    <row r="317" spans="10:22" x14ac:dyDescent="0.3">
      <c r="J317" s="185" t="str">
        <f t="shared" si="69"/>
        <v/>
      </c>
      <c r="K317" s="185" t="str">
        <f t="shared" si="70"/>
        <v/>
      </c>
      <c r="L317" s="185" t="str">
        <f t="shared" si="71"/>
        <v/>
      </c>
      <c r="M317" s="76" t="str">
        <f t="shared" si="72"/>
        <v/>
      </c>
      <c r="N317" s="26">
        <f t="shared" si="73"/>
        <v>0</v>
      </c>
      <c r="O317" s="235">
        <f t="shared" si="74"/>
        <v>0</v>
      </c>
      <c r="P317" s="235">
        <f t="shared" si="75"/>
        <v>0</v>
      </c>
      <c r="Q317" s="206">
        <f t="shared" si="76"/>
        <v>0</v>
      </c>
      <c r="R317" s="206">
        <f t="shared" si="65"/>
        <v>0</v>
      </c>
      <c r="S317" s="206">
        <f t="shared" si="66"/>
        <v>0</v>
      </c>
      <c r="T317" s="206">
        <f t="shared" si="67"/>
        <v>0</v>
      </c>
      <c r="U317" s="206">
        <f t="shared" si="67"/>
        <v>0</v>
      </c>
      <c r="V317" s="207" t="str">
        <f t="shared" si="68"/>
        <v/>
      </c>
    </row>
    <row r="318" spans="10:22" x14ac:dyDescent="0.3">
      <c r="J318" s="185" t="str">
        <f t="shared" si="69"/>
        <v/>
      </c>
      <c r="K318" s="185" t="str">
        <f t="shared" si="70"/>
        <v/>
      </c>
      <c r="L318" s="185" t="str">
        <f t="shared" si="71"/>
        <v/>
      </c>
      <c r="M318" s="76" t="str">
        <f t="shared" si="72"/>
        <v/>
      </c>
      <c r="N318" s="26">
        <f t="shared" si="73"/>
        <v>0</v>
      </c>
      <c r="O318" s="235">
        <f t="shared" si="74"/>
        <v>0</v>
      </c>
      <c r="P318" s="235">
        <f t="shared" si="75"/>
        <v>0</v>
      </c>
      <c r="Q318" s="206">
        <f t="shared" si="76"/>
        <v>0</v>
      </c>
      <c r="R318" s="206">
        <f t="shared" si="65"/>
        <v>0</v>
      </c>
      <c r="S318" s="206">
        <f t="shared" si="66"/>
        <v>0</v>
      </c>
      <c r="T318" s="206">
        <f t="shared" si="67"/>
        <v>0</v>
      </c>
      <c r="U318" s="206">
        <f t="shared" si="67"/>
        <v>0</v>
      </c>
      <c r="V318" s="207" t="str">
        <f t="shared" si="68"/>
        <v/>
      </c>
    </row>
    <row r="319" spans="10:22" x14ac:dyDescent="0.3">
      <c r="J319" s="185" t="str">
        <f t="shared" si="69"/>
        <v/>
      </c>
      <c r="K319" s="185" t="str">
        <f t="shared" si="70"/>
        <v/>
      </c>
      <c r="L319" s="185" t="str">
        <f t="shared" si="71"/>
        <v/>
      </c>
      <c r="M319" s="76" t="str">
        <f t="shared" si="72"/>
        <v/>
      </c>
      <c r="N319" s="26">
        <f t="shared" si="73"/>
        <v>0</v>
      </c>
      <c r="O319" s="235">
        <f t="shared" si="74"/>
        <v>0</v>
      </c>
      <c r="P319" s="235">
        <f t="shared" si="75"/>
        <v>0</v>
      </c>
      <c r="Q319" s="206">
        <f t="shared" si="76"/>
        <v>0</v>
      </c>
      <c r="R319" s="206">
        <f t="shared" si="65"/>
        <v>0</v>
      </c>
      <c r="S319" s="206">
        <f t="shared" si="66"/>
        <v>0</v>
      </c>
      <c r="T319" s="206">
        <f t="shared" si="67"/>
        <v>0</v>
      </c>
      <c r="U319" s="206">
        <f t="shared" si="67"/>
        <v>0</v>
      </c>
      <c r="V319" s="207" t="str">
        <f t="shared" si="68"/>
        <v/>
      </c>
    </row>
    <row r="320" spans="10:22" x14ac:dyDescent="0.3">
      <c r="J320" s="185" t="str">
        <f t="shared" si="69"/>
        <v/>
      </c>
      <c r="K320" s="185" t="str">
        <f t="shared" si="70"/>
        <v/>
      </c>
      <c r="L320" s="185" t="str">
        <f t="shared" si="71"/>
        <v/>
      </c>
      <c r="M320" s="76" t="str">
        <f t="shared" si="72"/>
        <v/>
      </c>
      <c r="N320" s="26">
        <f t="shared" si="73"/>
        <v>0</v>
      </c>
      <c r="O320" s="235">
        <f t="shared" si="74"/>
        <v>0</v>
      </c>
      <c r="P320" s="235">
        <f t="shared" si="75"/>
        <v>0</v>
      </c>
      <c r="Q320" s="206">
        <f t="shared" si="76"/>
        <v>0</v>
      </c>
      <c r="R320" s="206">
        <f t="shared" si="65"/>
        <v>0</v>
      </c>
      <c r="S320" s="206">
        <f t="shared" si="66"/>
        <v>0</v>
      </c>
      <c r="T320" s="206">
        <f t="shared" si="67"/>
        <v>0</v>
      </c>
      <c r="U320" s="206">
        <f t="shared" si="67"/>
        <v>0</v>
      </c>
      <c r="V320" s="207" t="str">
        <f t="shared" si="68"/>
        <v/>
      </c>
    </row>
    <row r="321" spans="10:22" x14ac:dyDescent="0.3">
      <c r="J321" s="185" t="str">
        <f t="shared" si="69"/>
        <v/>
      </c>
      <c r="K321" s="185" t="str">
        <f t="shared" si="70"/>
        <v/>
      </c>
      <c r="L321" s="185" t="str">
        <f t="shared" si="71"/>
        <v/>
      </c>
      <c r="M321" s="76" t="str">
        <f t="shared" si="72"/>
        <v/>
      </c>
      <c r="N321" s="26">
        <f t="shared" si="73"/>
        <v>0</v>
      </c>
      <c r="O321" s="235">
        <f t="shared" si="74"/>
        <v>0</v>
      </c>
      <c r="P321" s="235">
        <f t="shared" si="75"/>
        <v>0</v>
      </c>
      <c r="Q321" s="206">
        <f t="shared" si="76"/>
        <v>0</v>
      </c>
      <c r="R321" s="206">
        <f t="shared" si="65"/>
        <v>0</v>
      </c>
      <c r="S321" s="206">
        <f t="shared" si="66"/>
        <v>0</v>
      </c>
      <c r="T321" s="206">
        <f t="shared" si="67"/>
        <v>0</v>
      </c>
      <c r="U321" s="206">
        <f t="shared" si="67"/>
        <v>0</v>
      </c>
      <c r="V321" s="207" t="str">
        <f t="shared" si="68"/>
        <v/>
      </c>
    </row>
    <row r="322" spans="10:22" x14ac:dyDescent="0.3">
      <c r="J322" s="185" t="str">
        <f t="shared" si="69"/>
        <v/>
      </c>
      <c r="K322" s="185" t="str">
        <f t="shared" si="70"/>
        <v/>
      </c>
      <c r="L322" s="185" t="str">
        <f t="shared" si="71"/>
        <v/>
      </c>
      <c r="M322" s="76" t="str">
        <f t="shared" si="72"/>
        <v/>
      </c>
      <c r="N322" s="26">
        <f t="shared" si="73"/>
        <v>0</v>
      </c>
      <c r="O322" s="235">
        <f t="shared" si="74"/>
        <v>0</v>
      </c>
      <c r="P322" s="235">
        <f t="shared" si="75"/>
        <v>0</v>
      </c>
      <c r="Q322" s="206">
        <f t="shared" si="76"/>
        <v>0</v>
      </c>
      <c r="R322" s="206">
        <f t="shared" si="65"/>
        <v>0</v>
      </c>
      <c r="S322" s="206">
        <f t="shared" si="66"/>
        <v>0</v>
      </c>
      <c r="T322" s="206">
        <f t="shared" si="67"/>
        <v>0</v>
      </c>
      <c r="U322" s="206">
        <f t="shared" si="67"/>
        <v>0</v>
      </c>
      <c r="V322" s="207" t="str">
        <f t="shared" si="68"/>
        <v/>
      </c>
    </row>
    <row r="323" spans="10:22" x14ac:dyDescent="0.3">
      <c r="J323" s="185" t="str">
        <f t="shared" si="69"/>
        <v/>
      </c>
      <c r="K323" s="185" t="str">
        <f t="shared" si="70"/>
        <v/>
      </c>
      <c r="L323" s="185" t="str">
        <f t="shared" si="71"/>
        <v/>
      </c>
      <c r="M323" s="76" t="str">
        <f t="shared" si="72"/>
        <v/>
      </c>
      <c r="N323" s="26">
        <f t="shared" si="73"/>
        <v>0</v>
      </c>
      <c r="O323" s="235">
        <f t="shared" si="74"/>
        <v>0</v>
      </c>
      <c r="P323" s="235">
        <f t="shared" si="75"/>
        <v>0</v>
      </c>
      <c r="Q323" s="206">
        <f t="shared" si="76"/>
        <v>0</v>
      </c>
      <c r="R323" s="206">
        <f t="shared" si="65"/>
        <v>0</v>
      </c>
      <c r="S323" s="206">
        <f t="shared" si="66"/>
        <v>0</v>
      </c>
      <c r="T323" s="206">
        <f t="shared" si="67"/>
        <v>0</v>
      </c>
      <c r="U323" s="206">
        <f t="shared" si="67"/>
        <v>0</v>
      </c>
      <c r="V323" s="207" t="str">
        <f t="shared" si="68"/>
        <v/>
      </c>
    </row>
    <row r="324" spans="10:22" x14ac:dyDescent="0.3">
      <c r="J324" s="185" t="str">
        <f t="shared" si="69"/>
        <v/>
      </c>
      <c r="K324" s="185" t="str">
        <f t="shared" si="70"/>
        <v/>
      </c>
      <c r="L324" s="185" t="str">
        <f t="shared" si="71"/>
        <v/>
      </c>
      <c r="M324" s="76" t="str">
        <f t="shared" si="72"/>
        <v/>
      </c>
      <c r="N324" s="26">
        <f t="shared" si="73"/>
        <v>0</v>
      </c>
      <c r="O324" s="235">
        <f t="shared" si="74"/>
        <v>0</v>
      </c>
      <c r="P324" s="235">
        <f t="shared" si="75"/>
        <v>0</v>
      </c>
      <c r="Q324" s="206">
        <f t="shared" si="76"/>
        <v>0</v>
      </c>
      <c r="R324" s="206">
        <f t="shared" si="65"/>
        <v>0</v>
      </c>
      <c r="S324" s="206">
        <f t="shared" si="66"/>
        <v>0</v>
      </c>
      <c r="T324" s="206">
        <f t="shared" si="67"/>
        <v>0</v>
      </c>
      <c r="U324" s="206">
        <f t="shared" si="67"/>
        <v>0</v>
      </c>
      <c r="V324" s="207" t="str">
        <f t="shared" si="68"/>
        <v/>
      </c>
    </row>
    <row r="325" spans="10:22" x14ac:dyDescent="0.3">
      <c r="J325" s="185" t="str">
        <f t="shared" si="69"/>
        <v/>
      </c>
      <c r="K325" s="185" t="str">
        <f t="shared" si="70"/>
        <v/>
      </c>
      <c r="L325" s="185" t="str">
        <f t="shared" si="71"/>
        <v/>
      </c>
      <c r="M325" s="76" t="str">
        <f t="shared" si="72"/>
        <v/>
      </c>
      <c r="N325" s="26">
        <f t="shared" si="73"/>
        <v>0</v>
      </c>
      <c r="O325" s="235">
        <f t="shared" si="74"/>
        <v>0</v>
      </c>
      <c r="P325" s="235">
        <f t="shared" si="75"/>
        <v>0</v>
      </c>
      <c r="Q325" s="206">
        <f t="shared" si="76"/>
        <v>0</v>
      </c>
      <c r="R325" s="206">
        <f t="shared" si="65"/>
        <v>0</v>
      </c>
      <c r="S325" s="206">
        <f t="shared" si="66"/>
        <v>0</v>
      </c>
      <c r="T325" s="206">
        <f t="shared" si="67"/>
        <v>0</v>
      </c>
      <c r="U325" s="206">
        <f t="shared" si="67"/>
        <v>0</v>
      </c>
      <c r="V325" s="207" t="str">
        <f t="shared" si="68"/>
        <v/>
      </c>
    </row>
    <row r="326" spans="10:22" x14ac:dyDescent="0.3">
      <c r="J326" s="185" t="str">
        <f t="shared" si="69"/>
        <v/>
      </c>
      <c r="K326" s="185" t="str">
        <f t="shared" si="70"/>
        <v/>
      </c>
      <c r="L326" s="185" t="str">
        <f t="shared" si="71"/>
        <v/>
      </c>
      <c r="M326" s="76" t="str">
        <f t="shared" si="72"/>
        <v/>
      </c>
      <c r="N326" s="26">
        <f t="shared" si="73"/>
        <v>0</v>
      </c>
      <c r="O326" s="235">
        <f t="shared" si="74"/>
        <v>0</v>
      </c>
      <c r="P326" s="235">
        <f t="shared" si="75"/>
        <v>0</v>
      </c>
      <c r="Q326" s="206">
        <f t="shared" si="76"/>
        <v>0</v>
      </c>
      <c r="R326" s="206">
        <f t="shared" si="65"/>
        <v>0</v>
      </c>
      <c r="S326" s="206">
        <f t="shared" si="66"/>
        <v>0</v>
      </c>
      <c r="T326" s="206">
        <f t="shared" si="67"/>
        <v>0</v>
      </c>
      <c r="U326" s="206">
        <f t="shared" si="67"/>
        <v>0</v>
      </c>
      <c r="V326" s="207" t="str">
        <f t="shared" si="68"/>
        <v/>
      </c>
    </row>
    <row r="327" spans="10:22" x14ac:dyDescent="0.3">
      <c r="J327" s="185" t="str">
        <f t="shared" si="69"/>
        <v/>
      </c>
      <c r="K327" s="185" t="str">
        <f t="shared" si="70"/>
        <v/>
      </c>
      <c r="L327" s="185" t="str">
        <f t="shared" si="71"/>
        <v/>
      </c>
      <c r="M327" s="76" t="str">
        <f t="shared" si="72"/>
        <v/>
      </c>
      <c r="N327" s="26">
        <f t="shared" si="73"/>
        <v>0</v>
      </c>
      <c r="O327" s="235">
        <f t="shared" si="74"/>
        <v>0</v>
      </c>
      <c r="P327" s="235">
        <f t="shared" si="75"/>
        <v>0</v>
      </c>
      <c r="Q327" s="206">
        <f t="shared" si="76"/>
        <v>0</v>
      </c>
      <c r="R327" s="206">
        <f t="shared" si="65"/>
        <v>0</v>
      </c>
      <c r="S327" s="206">
        <f t="shared" si="66"/>
        <v>0</v>
      </c>
      <c r="T327" s="206">
        <f t="shared" si="67"/>
        <v>0</v>
      </c>
      <c r="U327" s="206">
        <f t="shared" si="67"/>
        <v>0</v>
      </c>
      <c r="V327" s="207" t="str">
        <f t="shared" si="68"/>
        <v/>
      </c>
    </row>
    <row r="328" spans="10:22" x14ac:dyDescent="0.3">
      <c r="J328" s="185" t="str">
        <f t="shared" si="69"/>
        <v/>
      </c>
      <c r="K328" s="185" t="str">
        <f t="shared" si="70"/>
        <v/>
      </c>
      <c r="L328" s="185" t="str">
        <f t="shared" si="71"/>
        <v/>
      </c>
      <c r="M328" s="76" t="str">
        <f t="shared" si="72"/>
        <v/>
      </c>
      <c r="N328" s="26">
        <f t="shared" si="73"/>
        <v>0</v>
      </c>
      <c r="O328" s="235">
        <f t="shared" si="74"/>
        <v>0</v>
      </c>
      <c r="P328" s="235">
        <f t="shared" si="75"/>
        <v>0</v>
      </c>
      <c r="Q328" s="206">
        <f t="shared" si="76"/>
        <v>0</v>
      </c>
      <c r="R328" s="206">
        <f t="shared" si="65"/>
        <v>0</v>
      </c>
      <c r="S328" s="206">
        <f t="shared" si="66"/>
        <v>0</v>
      </c>
      <c r="T328" s="206">
        <f t="shared" si="67"/>
        <v>0</v>
      </c>
      <c r="U328" s="206">
        <f t="shared" si="67"/>
        <v>0</v>
      </c>
      <c r="V328" s="207" t="str">
        <f t="shared" si="68"/>
        <v/>
      </c>
    </row>
    <row r="329" spans="10:22" x14ac:dyDescent="0.3">
      <c r="J329" s="185" t="str">
        <f t="shared" si="69"/>
        <v/>
      </c>
      <c r="K329" s="185" t="str">
        <f t="shared" si="70"/>
        <v/>
      </c>
      <c r="L329" s="185" t="str">
        <f t="shared" si="71"/>
        <v/>
      </c>
      <c r="M329" s="76" t="str">
        <f t="shared" si="72"/>
        <v/>
      </c>
      <c r="N329" s="26">
        <f t="shared" si="73"/>
        <v>0</v>
      </c>
      <c r="O329" s="235">
        <f t="shared" si="74"/>
        <v>0</v>
      </c>
      <c r="P329" s="235">
        <f t="shared" si="75"/>
        <v>0</v>
      </c>
      <c r="Q329" s="206">
        <f t="shared" si="76"/>
        <v>0</v>
      </c>
      <c r="R329" s="206">
        <f t="shared" si="65"/>
        <v>0</v>
      </c>
      <c r="S329" s="206">
        <f t="shared" si="66"/>
        <v>0</v>
      </c>
      <c r="T329" s="206">
        <f t="shared" si="67"/>
        <v>0</v>
      </c>
      <c r="U329" s="206">
        <f t="shared" si="67"/>
        <v>0</v>
      </c>
      <c r="V329" s="207" t="str">
        <f t="shared" si="68"/>
        <v/>
      </c>
    </row>
    <row r="330" spans="10:22" x14ac:dyDescent="0.3">
      <c r="J330" s="185" t="str">
        <f t="shared" si="69"/>
        <v/>
      </c>
      <c r="K330" s="185" t="str">
        <f t="shared" si="70"/>
        <v/>
      </c>
      <c r="L330" s="185" t="str">
        <f t="shared" si="71"/>
        <v/>
      </c>
      <c r="M330" s="76" t="str">
        <f t="shared" si="72"/>
        <v/>
      </c>
      <c r="N330" s="26">
        <f t="shared" si="73"/>
        <v>0</v>
      </c>
      <c r="O330" s="235">
        <f t="shared" si="74"/>
        <v>0</v>
      </c>
      <c r="P330" s="235">
        <f t="shared" si="75"/>
        <v>0</v>
      </c>
      <c r="Q330" s="206">
        <f t="shared" si="76"/>
        <v>0</v>
      </c>
      <c r="R330" s="206">
        <f t="shared" si="65"/>
        <v>0</v>
      </c>
      <c r="S330" s="206">
        <f t="shared" si="66"/>
        <v>0</v>
      </c>
      <c r="T330" s="206">
        <f t="shared" si="67"/>
        <v>0</v>
      </c>
      <c r="U330" s="206">
        <f t="shared" si="67"/>
        <v>0</v>
      </c>
      <c r="V330" s="207" t="str">
        <f t="shared" si="68"/>
        <v/>
      </c>
    </row>
    <row r="331" spans="10:22" x14ac:dyDescent="0.3">
      <c r="J331" s="185" t="str">
        <f t="shared" si="69"/>
        <v/>
      </c>
      <c r="K331" s="185" t="str">
        <f t="shared" si="70"/>
        <v/>
      </c>
      <c r="L331" s="185" t="str">
        <f t="shared" si="71"/>
        <v/>
      </c>
      <c r="M331" s="76" t="str">
        <f t="shared" si="72"/>
        <v/>
      </c>
      <c r="N331" s="26">
        <f t="shared" si="73"/>
        <v>0</v>
      </c>
      <c r="O331" s="235">
        <f t="shared" si="74"/>
        <v>0</v>
      </c>
      <c r="P331" s="235">
        <f t="shared" si="75"/>
        <v>0</v>
      </c>
      <c r="Q331" s="206">
        <f t="shared" si="76"/>
        <v>0</v>
      </c>
      <c r="R331" s="206">
        <f t="shared" si="65"/>
        <v>0</v>
      </c>
      <c r="S331" s="206">
        <f t="shared" si="66"/>
        <v>0</v>
      </c>
      <c r="T331" s="206">
        <f t="shared" si="67"/>
        <v>0</v>
      </c>
      <c r="U331" s="206">
        <f t="shared" si="67"/>
        <v>0</v>
      </c>
      <c r="V331" s="207" t="str">
        <f t="shared" si="68"/>
        <v/>
      </c>
    </row>
    <row r="332" spans="10:22" x14ac:dyDescent="0.3">
      <c r="J332" s="185" t="str">
        <f t="shared" si="69"/>
        <v/>
      </c>
      <c r="K332" s="185" t="str">
        <f t="shared" si="70"/>
        <v/>
      </c>
      <c r="L332" s="185" t="str">
        <f t="shared" si="71"/>
        <v/>
      </c>
      <c r="M332" s="76" t="str">
        <f t="shared" si="72"/>
        <v/>
      </c>
      <c r="N332" s="26">
        <f t="shared" si="73"/>
        <v>0</v>
      </c>
      <c r="O332" s="235">
        <f t="shared" si="74"/>
        <v>0</v>
      </c>
      <c r="P332" s="235">
        <f t="shared" si="75"/>
        <v>0</v>
      </c>
      <c r="Q332" s="206">
        <f t="shared" si="76"/>
        <v>0</v>
      </c>
      <c r="R332" s="206">
        <f t="shared" si="65"/>
        <v>0</v>
      </c>
      <c r="S332" s="206">
        <f t="shared" si="66"/>
        <v>0</v>
      </c>
      <c r="T332" s="206">
        <f t="shared" si="67"/>
        <v>0</v>
      </c>
      <c r="U332" s="206">
        <f t="shared" si="67"/>
        <v>0</v>
      </c>
      <c r="V332" s="207" t="str">
        <f t="shared" si="68"/>
        <v/>
      </c>
    </row>
    <row r="333" spans="10:22" x14ac:dyDescent="0.3">
      <c r="J333" s="185" t="str">
        <f t="shared" si="69"/>
        <v/>
      </c>
      <c r="K333" s="185" t="str">
        <f t="shared" si="70"/>
        <v/>
      </c>
      <c r="L333" s="185" t="str">
        <f t="shared" si="71"/>
        <v/>
      </c>
      <c r="M333" s="76" t="str">
        <f t="shared" si="72"/>
        <v/>
      </c>
      <c r="N333" s="26">
        <f t="shared" si="73"/>
        <v>0</v>
      </c>
      <c r="O333" s="235">
        <f t="shared" si="74"/>
        <v>0</v>
      </c>
      <c r="P333" s="235">
        <f t="shared" si="75"/>
        <v>0</v>
      </c>
      <c r="Q333" s="206">
        <f t="shared" si="76"/>
        <v>0</v>
      </c>
      <c r="R333" s="206">
        <f t="shared" si="65"/>
        <v>0</v>
      </c>
      <c r="S333" s="206">
        <f t="shared" si="66"/>
        <v>0</v>
      </c>
      <c r="T333" s="206">
        <f t="shared" si="67"/>
        <v>0</v>
      </c>
      <c r="U333" s="206">
        <f t="shared" si="67"/>
        <v>0</v>
      </c>
      <c r="V333" s="207" t="str">
        <f t="shared" si="68"/>
        <v/>
      </c>
    </row>
    <row r="334" spans="10:22" x14ac:dyDescent="0.3">
      <c r="J334" s="185" t="str">
        <f t="shared" si="69"/>
        <v/>
      </c>
      <c r="K334" s="185" t="str">
        <f t="shared" si="70"/>
        <v/>
      </c>
      <c r="L334" s="185" t="str">
        <f t="shared" si="71"/>
        <v/>
      </c>
      <c r="M334" s="76" t="str">
        <f t="shared" si="72"/>
        <v/>
      </c>
      <c r="N334" s="26">
        <f t="shared" si="73"/>
        <v>0</v>
      </c>
      <c r="O334" s="235">
        <f t="shared" si="74"/>
        <v>0</v>
      </c>
      <c r="P334" s="235">
        <f t="shared" si="75"/>
        <v>0</v>
      </c>
      <c r="Q334" s="206">
        <f t="shared" si="76"/>
        <v>0</v>
      </c>
      <c r="R334" s="206">
        <f t="shared" si="65"/>
        <v>0</v>
      </c>
      <c r="S334" s="206">
        <f t="shared" si="66"/>
        <v>0</v>
      </c>
      <c r="T334" s="206">
        <f t="shared" si="67"/>
        <v>0</v>
      </c>
      <c r="U334" s="206">
        <f t="shared" si="67"/>
        <v>0</v>
      </c>
      <c r="V334" s="207" t="str">
        <f t="shared" si="68"/>
        <v/>
      </c>
    </row>
    <row r="335" spans="10:22" x14ac:dyDescent="0.3">
      <c r="J335" s="185" t="str">
        <f t="shared" si="69"/>
        <v/>
      </c>
      <c r="K335" s="185" t="str">
        <f t="shared" si="70"/>
        <v/>
      </c>
      <c r="L335" s="185" t="str">
        <f t="shared" si="71"/>
        <v/>
      </c>
      <c r="M335" s="76" t="str">
        <f t="shared" si="72"/>
        <v/>
      </c>
      <c r="N335" s="26">
        <f t="shared" si="73"/>
        <v>0</v>
      </c>
      <c r="O335" s="235">
        <f t="shared" si="74"/>
        <v>0</v>
      </c>
      <c r="P335" s="235">
        <f t="shared" si="75"/>
        <v>0</v>
      </c>
      <c r="Q335" s="206">
        <f t="shared" si="76"/>
        <v>0</v>
      </c>
      <c r="R335" s="206">
        <f t="shared" si="65"/>
        <v>0</v>
      </c>
      <c r="S335" s="206">
        <f t="shared" si="66"/>
        <v>0</v>
      </c>
      <c r="T335" s="206">
        <f t="shared" si="67"/>
        <v>0</v>
      </c>
      <c r="U335" s="206">
        <f t="shared" si="67"/>
        <v>0</v>
      </c>
      <c r="V335" s="207" t="str">
        <f t="shared" si="68"/>
        <v/>
      </c>
    </row>
    <row r="336" spans="10:22" x14ac:dyDescent="0.3">
      <c r="J336" s="185" t="str">
        <f t="shared" si="69"/>
        <v/>
      </c>
      <c r="K336" s="185" t="str">
        <f t="shared" si="70"/>
        <v/>
      </c>
      <c r="L336" s="185" t="str">
        <f t="shared" si="71"/>
        <v/>
      </c>
      <c r="M336" s="76" t="str">
        <f t="shared" si="72"/>
        <v/>
      </c>
      <c r="N336" s="26">
        <f t="shared" si="73"/>
        <v>0</v>
      </c>
      <c r="O336" s="235">
        <f t="shared" si="74"/>
        <v>0</v>
      </c>
      <c r="P336" s="235">
        <f t="shared" si="75"/>
        <v>0</v>
      </c>
      <c r="Q336" s="206">
        <f t="shared" si="76"/>
        <v>0</v>
      </c>
      <c r="R336" s="206">
        <f t="shared" si="65"/>
        <v>0</v>
      </c>
      <c r="S336" s="206">
        <f t="shared" si="66"/>
        <v>0</v>
      </c>
      <c r="T336" s="206">
        <f t="shared" si="67"/>
        <v>0</v>
      </c>
      <c r="U336" s="206">
        <f t="shared" si="67"/>
        <v>0</v>
      </c>
      <c r="V336" s="207" t="str">
        <f t="shared" si="68"/>
        <v/>
      </c>
    </row>
    <row r="337" spans="10:22" x14ac:dyDescent="0.3">
      <c r="J337" s="185" t="str">
        <f t="shared" si="69"/>
        <v/>
      </c>
      <c r="K337" s="185" t="str">
        <f t="shared" si="70"/>
        <v/>
      </c>
      <c r="L337" s="185" t="str">
        <f t="shared" si="71"/>
        <v/>
      </c>
      <c r="M337" s="76" t="str">
        <f t="shared" si="72"/>
        <v/>
      </c>
      <c r="N337" s="26">
        <f t="shared" si="73"/>
        <v>0</v>
      </c>
      <c r="O337" s="235">
        <f t="shared" si="74"/>
        <v>0</v>
      </c>
      <c r="P337" s="235">
        <f t="shared" si="75"/>
        <v>0</v>
      </c>
      <c r="Q337" s="206">
        <f t="shared" si="76"/>
        <v>0</v>
      </c>
      <c r="R337" s="206">
        <f t="shared" si="65"/>
        <v>0</v>
      </c>
      <c r="S337" s="206">
        <f t="shared" si="66"/>
        <v>0</v>
      </c>
      <c r="T337" s="206">
        <f t="shared" si="67"/>
        <v>0</v>
      </c>
      <c r="U337" s="206">
        <f t="shared" si="67"/>
        <v>0</v>
      </c>
      <c r="V337" s="207" t="str">
        <f t="shared" si="68"/>
        <v/>
      </c>
    </row>
    <row r="338" spans="10:22" x14ac:dyDescent="0.3">
      <c r="J338" s="185" t="str">
        <f t="shared" si="69"/>
        <v/>
      </c>
      <c r="K338" s="185" t="str">
        <f t="shared" si="70"/>
        <v/>
      </c>
      <c r="L338" s="185" t="str">
        <f t="shared" si="71"/>
        <v/>
      </c>
      <c r="M338" s="76" t="str">
        <f t="shared" si="72"/>
        <v/>
      </c>
      <c r="N338" s="26">
        <f t="shared" si="73"/>
        <v>0</v>
      </c>
      <c r="O338" s="235">
        <f t="shared" si="74"/>
        <v>0</v>
      </c>
      <c r="P338" s="235">
        <f t="shared" si="75"/>
        <v>0</v>
      </c>
      <c r="Q338" s="206">
        <f t="shared" si="76"/>
        <v>0</v>
      </c>
      <c r="R338" s="206">
        <f t="shared" si="65"/>
        <v>0</v>
      </c>
      <c r="S338" s="206">
        <f t="shared" si="66"/>
        <v>0</v>
      </c>
      <c r="T338" s="206">
        <f t="shared" si="67"/>
        <v>0</v>
      </c>
      <c r="U338" s="206">
        <f t="shared" si="67"/>
        <v>0</v>
      </c>
      <c r="V338" s="207" t="str">
        <f t="shared" si="68"/>
        <v/>
      </c>
    </row>
    <row r="339" spans="10:22" x14ac:dyDescent="0.3">
      <c r="J339" s="185" t="str">
        <f t="shared" si="69"/>
        <v/>
      </c>
      <c r="K339" s="185" t="str">
        <f t="shared" si="70"/>
        <v/>
      </c>
      <c r="L339" s="185" t="str">
        <f t="shared" si="71"/>
        <v/>
      </c>
      <c r="M339" s="76" t="str">
        <f t="shared" si="72"/>
        <v/>
      </c>
      <c r="N339" s="26">
        <f t="shared" si="73"/>
        <v>0</v>
      </c>
      <c r="O339" s="235">
        <f t="shared" si="74"/>
        <v>0</v>
      </c>
      <c r="P339" s="235">
        <f t="shared" si="75"/>
        <v>0</v>
      </c>
      <c r="Q339" s="206">
        <f t="shared" si="76"/>
        <v>0</v>
      </c>
      <c r="R339" s="206">
        <f t="shared" si="65"/>
        <v>0</v>
      </c>
      <c r="S339" s="206">
        <f t="shared" si="66"/>
        <v>0</v>
      </c>
      <c r="T339" s="206">
        <f t="shared" si="67"/>
        <v>0</v>
      </c>
      <c r="U339" s="206">
        <f t="shared" si="67"/>
        <v>0</v>
      </c>
      <c r="V339" s="207" t="str">
        <f t="shared" si="68"/>
        <v/>
      </c>
    </row>
    <row r="340" spans="10:22" x14ac:dyDescent="0.3">
      <c r="J340" s="185" t="str">
        <f t="shared" si="69"/>
        <v/>
      </c>
      <c r="K340" s="185" t="str">
        <f t="shared" si="70"/>
        <v/>
      </c>
      <c r="L340" s="185" t="str">
        <f t="shared" si="71"/>
        <v/>
      </c>
      <c r="M340" s="76" t="str">
        <f t="shared" si="72"/>
        <v/>
      </c>
      <c r="N340" s="26">
        <f t="shared" si="73"/>
        <v>0</v>
      </c>
      <c r="O340" s="235">
        <f t="shared" si="74"/>
        <v>0</v>
      </c>
      <c r="P340" s="235">
        <f t="shared" si="75"/>
        <v>0</v>
      </c>
      <c r="Q340" s="206">
        <f t="shared" si="76"/>
        <v>0</v>
      </c>
      <c r="R340" s="206">
        <f t="shared" si="65"/>
        <v>0</v>
      </c>
      <c r="S340" s="206">
        <f t="shared" si="66"/>
        <v>0</v>
      </c>
      <c r="T340" s="206">
        <f t="shared" si="67"/>
        <v>0</v>
      </c>
      <c r="U340" s="206">
        <f t="shared" si="67"/>
        <v>0</v>
      </c>
      <c r="V340" s="207" t="str">
        <f t="shared" si="68"/>
        <v/>
      </c>
    </row>
    <row r="341" spans="10:22" x14ac:dyDescent="0.3">
      <c r="J341" s="185" t="str">
        <f t="shared" si="69"/>
        <v/>
      </c>
      <c r="K341" s="185" t="str">
        <f t="shared" si="70"/>
        <v/>
      </c>
      <c r="L341" s="185" t="str">
        <f t="shared" si="71"/>
        <v/>
      </c>
      <c r="M341" s="76" t="str">
        <f t="shared" si="72"/>
        <v/>
      </c>
      <c r="N341" s="26">
        <f t="shared" si="73"/>
        <v>0</v>
      </c>
      <c r="O341" s="235">
        <f t="shared" si="74"/>
        <v>0</v>
      </c>
      <c r="P341" s="235">
        <f t="shared" si="75"/>
        <v>0</v>
      </c>
      <c r="Q341" s="206">
        <f t="shared" si="76"/>
        <v>0</v>
      </c>
      <c r="R341" s="206">
        <f t="shared" si="65"/>
        <v>0</v>
      </c>
      <c r="S341" s="206">
        <f t="shared" si="66"/>
        <v>0</v>
      </c>
      <c r="T341" s="206">
        <f t="shared" si="67"/>
        <v>0</v>
      </c>
      <c r="U341" s="206">
        <f t="shared" si="67"/>
        <v>0</v>
      </c>
      <c r="V341" s="207" t="str">
        <f t="shared" si="68"/>
        <v/>
      </c>
    </row>
    <row r="342" spans="10:22" x14ac:dyDescent="0.3">
      <c r="J342" s="185" t="str">
        <f t="shared" si="69"/>
        <v/>
      </c>
      <c r="K342" s="185" t="str">
        <f t="shared" si="70"/>
        <v/>
      </c>
      <c r="L342" s="185" t="str">
        <f t="shared" si="71"/>
        <v/>
      </c>
      <c r="M342" s="76" t="str">
        <f t="shared" si="72"/>
        <v/>
      </c>
      <c r="N342" s="26">
        <f t="shared" si="73"/>
        <v>0</v>
      </c>
      <c r="O342" s="235">
        <f t="shared" si="74"/>
        <v>0</v>
      </c>
      <c r="P342" s="235">
        <f t="shared" si="75"/>
        <v>0</v>
      </c>
      <c r="Q342" s="206">
        <f t="shared" si="76"/>
        <v>0</v>
      </c>
      <c r="R342" s="206">
        <f t="shared" si="65"/>
        <v>0</v>
      </c>
      <c r="S342" s="206">
        <f t="shared" si="66"/>
        <v>0</v>
      </c>
      <c r="T342" s="206">
        <f t="shared" si="67"/>
        <v>0</v>
      </c>
      <c r="U342" s="206">
        <f t="shared" si="67"/>
        <v>0</v>
      </c>
      <c r="V342" s="207" t="str">
        <f t="shared" si="68"/>
        <v/>
      </c>
    </row>
    <row r="343" spans="10:22" x14ac:dyDescent="0.3">
      <c r="J343" s="185" t="str">
        <f t="shared" si="69"/>
        <v/>
      </c>
      <c r="K343" s="185" t="str">
        <f t="shared" si="70"/>
        <v/>
      </c>
      <c r="L343" s="185" t="str">
        <f t="shared" si="71"/>
        <v/>
      </c>
      <c r="M343" s="76" t="str">
        <f t="shared" si="72"/>
        <v/>
      </c>
      <c r="N343" s="26">
        <f t="shared" si="73"/>
        <v>0</v>
      </c>
      <c r="O343" s="235">
        <f t="shared" si="74"/>
        <v>0</v>
      </c>
      <c r="P343" s="235">
        <f t="shared" si="75"/>
        <v>0</v>
      </c>
      <c r="Q343" s="206">
        <f t="shared" si="76"/>
        <v>0</v>
      </c>
      <c r="R343" s="206">
        <f t="shared" si="65"/>
        <v>0</v>
      </c>
      <c r="S343" s="206">
        <f t="shared" si="66"/>
        <v>0</v>
      </c>
      <c r="T343" s="206">
        <f t="shared" si="67"/>
        <v>0</v>
      </c>
      <c r="U343" s="206">
        <f t="shared" si="67"/>
        <v>0</v>
      </c>
      <c r="V343" s="207" t="str">
        <f t="shared" si="68"/>
        <v/>
      </c>
    </row>
    <row r="344" spans="10:22" x14ac:dyDescent="0.3">
      <c r="J344" s="185" t="str">
        <f t="shared" si="69"/>
        <v/>
      </c>
      <c r="K344" s="185" t="str">
        <f t="shared" si="70"/>
        <v/>
      </c>
      <c r="L344" s="185" t="str">
        <f t="shared" si="71"/>
        <v/>
      </c>
      <c r="M344" s="76" t="str">
        <f t="shared" si="72"/>
        <v/>
      </c>
      <c r="N344" s="26">
        <f t="shared" si="73"/>
        <v>0</v>
      </c>
      <c r="O344" s="235">
        <f t="shared" si="74"/>
        <v>0</v>
      </c>
      <c r="P344" s="235">
        <f t="shared" si="75"/>
        <v>0</v>
      </c>
      <c r="Q344" s="206">
        <f t="shared" si="76"/>
        <v>0</v>
      </c>
      <c r="R344" s="206">
        <f t="shared" si="65"/>
        <v>0</v>
      </c>
      <c r="S344" s="206">
        <f t="shared" si="66"/>
        <v>0</v>
      </c>
      <c r="T344" s="206">
        <f t="shared" si="67"/>
        <v>0</v>
      </c>
      <c r="U344" s="206">
        <f t="shared" si="67"/>
        <v>0</v>
      </c>
      <c r="V344" s="207" t="str">
        <f t="shared" si="68"/>
        <v/>
      </c>
    </row>
    <row r="345" spans="10:22" x14ac:dyDescent="0.3">
      <c r="J345" s="185" t="str">
        <f t="shared" si="69"/>
        <v/>
      </c>
      <c r="K345" s="185" t="str">
        <f t="shared" si="70"/>
        <v/>
      </c>
      <c r="L345" s="185" t="str">
        <f t="shared" si="71"/>
        <v/>
      </c>
      <c r="M345" s="76" t="str">
        <f t="shared" si="72"/>
        <v/>
      </c>
      <c r="N345" s="26">
        <f t="shared" si="73"/>
        <v>0</v>
      </c>
      <c r="O345" s="235">
        <f t="shared" si="74"/>
        <v>0</v>
      </c>
      <c r="P345" s="235">
        <f t="shared" si="75"/>
        <v>0</v>
      </c>
      <c r="Q345" s="206">
        <f t="shared" si="76"/>
        <v>0</v>
      </c>
      <c r="R345" s="206">
        <f t="shared" si="65"/>
        <v>0</v>
      </c>
      <c r="S345" s="206">
        <f t="shared" si="66"/>
        <v>0</v>
      </c>
      <c r="T345" s="206">
        <f t="shared" si="67"/>
        <v>0</v>
      </c>
      <c r="U345" s="206">
        <f t="shared" si="67"/>
        <v>0</v>
      </c>
      <c r="V345" s="207" t="str">
        <f t="shared" si="68"/>
        <v/>
      </c>
    </row>
    <row r="346" spans="10:22" x14ac:dyDescent="0.3">
      <c r="J346" s="185" t="str">
        <f t="shared" si="69"/>
        <v/>
      </c>
      <c r="K346" s="185" t="str">
        <f t="shared" si="70"/>
        <v/>
      </c>
      <c r="L346" s="185" t="str">
        <f t="shared" si="71"/>
        <v/>
      </c>
      <c r="M346" s="76" t="str">
        <f t="shared" si="72"/>
        <v/>
      </c>
      <c r="N346" s="26">
        <f t="shared" si="73"/>
        <v>0</v>
      </c>
      <c r="O346" s="235">
        <f t="shared" si="74"/>
        <v>0</v>
      </c>
      <c r="P346" s="235">
        <f t="shared" si="75"/>
        <v>0</v>
      </c>
      <c r="Q346" s="206">
        <f t="shared" si="76"/>
        <v>0</v>
      </c>
      <c r="R346" s="206">
        <f t="shared" si="65"/>
        <v>0</v>
      </c>
      <c r="S346" s="206">
        <f t="shared" si="66"/>
        <v>0</v>
      </c>
      <c r="T346" s="206">
        <f t="shared" si="67"/>
        <v>0</v>
      </c>
      <c r="U346" s="206">
        <f t="shared" si="67"/>
        <v>0</v>
      </c>
      <c r="V346" s="207" t="str">
        <f t="shared" si="68"/>
        <v/>
      </c>
    </row>
    <row r="347" spans="10:22" x14ac:dyDescent="0.3">
      <c r="J347" s="185" t="str">
        <f t="shared" si="69"/>
        <v/>
      </c>
      <c r="K347" s="185" t="str">
        <f t="shared" si="70"/>
        <v/>
      </c>
      <c r="L347" s="185" t="str">
        <f t="shared" si="71"/>
        <v/>
      </c>
      <c r="M347" s="76" t="str">
        <f t="shared" si="72"/>
        <v/>
      </c>
      <c r="N347" s="26">
        <f t="shared" si="73"/>
        <v>0</v>
      </c>
      <c r="O347" s="235">
        <f t="shared" si="74"/>
        <v>0</v>
      </c>
      <c r="P347" s="235">
        <f t="shared" si="75"/>
        <v>0</v>
      </c>
      <c r="Q347" s="206">
        <f t="shared" si="76"/>
        <v>0</v>
      </c>
      <c r="R347" s="206">
        <f t="shared" ref="R347:R410" si="77">IF($J347=29,VALUE(LEFT(B347,LEN(B347)-2)),0)</f>
        <v>0</v>
      </c>
      <c r="S347" s="206">
        <f t="shared" ref="S347:S410" si="78">IF($J347=29,VALUE(LEFT(C347,LEN(C347)-2)),0)</f>
        <v>0</v>
      </c>
      <c r="T347" s="206">
        <f t="shared" ref="T347:U410" si="79">IF($J347=29,VALUE(LEFT(D347,LEN(D347)-2)),0)</f>
        <v>0</v>
      </c>
      <c r="U347" s="206">
        <f t="shared" si="79"/>
        <v>0</v>
      </c>
      <c r="V347" s="207" t="str">
        <f t="shared" ref="V347:V410" si="80">IFERROR(N347/SUM(R347:U347),"")</f>
        <v/>
      </c>
    </row>
    <row r="348" spans="10:22" x14ac:dyDescent="0.3">
      <c r="J348" s="185" t="str">
        <f t="shared" si="69"/>
        <v/>
      </c>
      <c r="K348" s="185" t="str">
        <f t="shared" si="70"/>
        <v/>
      </c>
      <c r="L348" s="185" t="str">
        <f t="shared" si="71"/>
        <v/>
      </c>
      <c r="M348" s="76" t="str">
        <f t="shared" si="72"/>
        <v/>
      </c>
      <c r="N348" s="26">
        <f t="shared" si="73"/>
        <v>0</v>
      </c>
      <c r="O348" s="235">
        <f t="shared" si="74"/>
        <v>0</v>
      </c>
      <c r="P348" s="235">
        <f t="shared" si="75"/>
        <v>0</v>
      </c>
      <c r="Q348" s="206">
        <f t="shared" si="76"/>
        <v>0</v>
      </c>
      <c r="R348" s="206">
        <f t="shared" si="77"/>
        <v>0</v>
      </c>
      <c r="S348" s="206">
        <f t="shared" si="78"/>
        <v>0</v>
      </c>
      <c r="T348" s="206">
        <f t="shared" si="79"/>
        <v>0</v>
      </c>
      <c r="U348" s="206">
        <f t="shared" si="79"/>
        <v>0</v>
      </c>
      <c r="V348" s="207" t="str">
        <f t="shared" si="80"/>
        <v/>
      </c>
    </row>
    <row r="349" spans="10:22" x14ac:dyDescent="0.3">
      <c r="J349" s="185" t="str">
        <f t="shared" si="69"/>
        <v/>
      </c>
      <c r="K349" s="185" t="str">
        <f t="shared" si="70"/>
        <v/>
      </c>
      <c r="L349" s="185" t="str">
        <f t="shared" si="71"/>
        <v/>
      </c>
      <c r="M349" s="76" t="str">
        <f t="shared" si="72"/>
        <v/>
      </c>
      <c r="N349" s="26">
        <f t="shared" si="73"/>
        <v>0</v>
      </c>
      <c r="O349" s="235">
        <f t="shared" si="74"/>
        <v>0</v>
      </c>
      <c r="P349" s="235">
        <f t="shared" si="75"/>
        <v>0</v>
      </c>
      <c r="Q349" s="206">
        <f t="shared" si="76"/>
        <v>0</v>
      </c>
      <c r="R349" s="206">
        <f t="shared" si="77"/>
        <v>0</v>
      </c>
      <c r="S349" s="206">
        <f t="shared" si="78"/>
        <v>0</v>
      </c>
      <c r="T349" s="206">
        <f t="shared" si="79"/>
        <v>0</v>
      </c>
      <c r="U349" s="206">
        <f t="shared" si="79"/>
        <v>0</v>
      </c>
      <c r="V349" s="207" t="str">
        <f t="shared" si="80"/>
        <v/>
      </c>
    </row>
    <row r="350" spans="10:22" x14ac:dyDescent="0.3">
      <c r="J350" s="185" t="str">
        <f t="shared" si="69"/>
        <v/>
      </c>
      <c r="K350" s="185" t="str">
        <f t="shared" si="70"/>
        <v/>
      </c>
      <c r="L350" s="185" t="str">
        <f t="shared" si="71"/>
        <v/>
      </c>
      <c r="M350" s="76" t="str">
        <f t="shared" si="72"/>
        <v/>
      </c>
      <c r="N350" s="26">
        <f t="shared" si="73"/>
        <v>0</v>
      </c>
      <c r="O350" s="235">
        <f t="shared" si="74"/>
        <v>0</v>
      </c>
      <c r="P350" s="235">
        <f t="shared" si="75"/>
        <v>0</v>
      </c>
      <c r="Q350" s="206">
        <f t="shared" si="76"/>
        <v>0</v>
      </c>
      <c r="R350" s="206">
        <f t="shared" si="77"/>
        <v>0</v>
      </c>
      <c r="S350" s="206">
        <f t="shared" si="78"/>
        <v>0</v>
      </c>
      <c r="T350" s="206">
        <f t="shared" si="79"/>
        <v>0</v>
      </c>
      <c r="U350" s="206">
        <f t="shared" si="79"/>
        <v>0</v>
      </c>
      <c r="V350" s="207" t="str">
        <f t="shared" si="80"/>
        <v/>
      </c>
    </row>
    <row r="351" spans="10:22" x14ac:dyDescent="0.3">
      <c r="J351" s="185" t="str">
        <f t="shared" si="69"/>
        <v/>
      </c>
      <c r="K351" s="185" t="str">
        <f t="shared" si="70"/>
        <v/>
      </c>
      <c r="L351" s="185" t="str">
        <f t="shared" si="71"/>
        <v/>
      </c>
      <c r="M351" s="76" t="str">
        <f t="shared" si="72"/>
        <v/>
      </c>
      <c r="N351" s="26">
        <f t="shared" si="73"/>
        <v>0</v>
      </c>
      <c r="O351" s="235">
        <f t="shared" si="74"/>
        <v>0</v>
      </c>
      <c r="P351" s="235">
        <f t="shared" si="75"/>
        <v>0</v>
      </c>
      <c r="Q351" s="206">
        <f t="shared" si="76"/>
        <v>0</v>
      </c>
      <c r="R351" s="206">
        <f t="shared" si="77"/>
        <v>0</v>
      </c>
      <c r="S351" s="206">
        <f t="shared" si="78"/>
        <v>0</v>
      </c>
      <c r="T351" s="206">
        <f t="shared" si="79"/>
        <v>0</v>
      </c>
      <c r="U351" s="206">
        <f t="shared" si="79"/>
        <v>0</v>
      </c>
      <c r="V351" s="207" t="str">
        <f t="shared" si="80"/>
        <v/>
      </c>
    </row>
    <row r="352" spans="10:22" x14ac:dyDescent="0.3">
      <c r="J352" s="185" t="str">
        <f t="shared" si="69"/>
        <v/>
      </c>
      <c r="K352" s="185" t="str">
        <f t="shared" si="70"/>
        <v/>
      </c>
      <c r="L352" s="185" t="str">
        <f t="shared" si="71"/>
        <v/>
      </c>
      <c r="M352" s="76" t="str">
        <f t="shared" si="72"/>
        <v/>
      </c>
      <c r="N352" s="26">
        <f t="shared" si="73"/>
        <v>0</v>
      </c>
      <c r="O352" s="235">
        <f t="shared" si="74"/>
        <v>0</v>
      </c>
      <c r="P352" s="235">
        <f t="shared" si="75"/>
        <v>0</v>
      </c>
      <c r="Q352" s="206">
        <f t="shared" si="76"/>
        <v>0</v>
      </c>
      <c r="R352" s="206">
        <f t="shared" si="77"/>
        <v>0</v>
      </c>
      <c r="S352" s="206">
        <f t="shared" si="78"/>
        <v>0</v>
      </c>
      <c r="T352" s="206">
        <f t="shared" si="79"/>
        <v>0</v>
      </c>
      <c r="U352" s="206">
        <f t="shared" si="79"/>
        <v>0</v>
      </c>
      <c r="V352" s="207" t="str">
        <f t="shared" si="80"/>
        <v/>
      </c>
    </row>
    <row r="353" spans="10:22" x14ac:dyDescent="0.3">
      <c r="J353" s="185" t="str">
        <f t="shared" si="69"/>
        <v/>
      </c>
      <c r="K353" s="185" t="str">
        <f t="shared" si="70"/>
        <v/>
      </c>
      <c r="L353" s="185" t="str">
        <f t="shared" si="71"/>
        <v/>
      </c>
      <c r="M353" s="76" t="str">
        <f t="shared" si="72"/>
        <v/>
      </c>
      <c r="N353" s="26">
        <f t="shared" si="73"/>
        <v>0</v>
      </c>
      <c r="O353" s="235">
        <f t="shared" si="74"/>
        <v>0</v>
      </c>
      <c r="P353" s="235">
        <f t="shared" si="75"/>
        <v>0</v>
      </c>
      <c r="Q353" s="206">
        <f t="shared" si="76"/>
        <v>0</v>
      </c>
      <c r="R353" s="206">
        <f t="shared" si="77"/>
        <v>0</v>
      </c>
      <c r="S353" s="206">
        <f t="shared" si="78"/>
        <v>0</v>
      </c>
      <c r="T353" s="206">
        <f t="shared" si="79"/>
        <v>0</v>
      </c>
      <c r="U353" s="206">
        <f t="shared" si="79"/>
        <v>0</v>
      </c>
      <c r="V353" s="207" t="str">
        <f t="shared" si="80"/>
        <v/>
      </c>
    </row>
    <row r="354" spans="10:22" x14ac:dyDescent="0.3">
      <c r="J354" s="185" t="str">
        <f t="shared" si="69"/>
        <v/>
      </c>
      <c r="K354" s="185" t="str">
        <f t="shared" si="70"/>
        <v/>
      </c>
      <c r="L354" s="185" t="str">
        <f t="shared" si="71"/>
        <v/>
      </c>
      <c r="M354" s="76" t="str">
        <f t="shared" si="72"/>
        <v/>
      </c>
      <c r="N354" s="26">
        <f t="shared" si="73"/>
        <v>0</v>
      </c>
      <c r="O354" s="235">
        <f t="shared" si="74"/>
        <v>0</v>
      </c>
      <c r="P354" s="235">
        <f t="shared" si="75"/>
        <v>0</v>
      </c>
      <c r="Q354" s="206">
        <f t="shared" si="76"/>
        <v>0</v>
      </c>
      <c r="R354" s="206">
        <f t="shared" si="77"/>
        <v>0</v>
      </c>
      <c r="S354" s="206">
        <f t="shared" si="78"/>
        <v>0</v>
      </c>
      <c r="T354" s="206">
        <f t="shared" si="79"/>
        <v>0</v>
      </c>
      <c r="U354" s="206">
        <f t="shared" si="79"/>
        <v>0</v>
      </c>
      <c r="V354" s="207" t="str">
        <f t="shared" si="80"/>
        <v/>
      </c>
    </row>
    <row r="355" spans="10:22" x14ac:dyDescent="0.3">
      <c r="J355" s="185" t="str">
        <f t="shared" si="69"/>
        <v/>
      </c>
      <c r="K355" s="185" t="str">
        <f t="shared" si="70"/>
        <v/>
      </c>
      <c r="L355" s="185" t="str">
        <f t="shared" si="71"/>
        <v/>
      </c>
      <c r="M355" s="76" t="str">
        <f t="shared" si="72"/>
        <v/>
      </c>
      <c r="N355" s="26">
        <f t="shared" si="73"/>
        <v>0</v>
      </c>
      <c r="O355" s="235">
        <f t="shared" si="74"/>
        <v>0</v>
      </c>
      <c r="P355" s="235">
        <f t="shared" si="75"/>
        <v>0</v>
      </c>
      <c r="Q355" s="206">
        <f t="shared" si="76"/>
        <v>0</v>
      </c>
      <c r="R355" s="206">
        <f t="shared" si="77"/>
        <v>0</v>
      </c>
      <c r="S355" s="206">
        <f t="shared" si="78"/>
        <v>0</v>
      </c>
      <c r="T355" s="206">
        <f t="shared" si="79"/>
        <v>0</v>
      </c>
      <c r="U355" s="206">
        <f t="shared" si="79"/>
        <v>0</v>
      </c>
      <c r="V355" s="207" t="str">
        <f t="shared" si="80"/>
        <v/>
      </c>
    </row>
    <row r="356" spans="10:22" x14ac:dyDescent="0.3">
      <c r="J356" s="185" t="str">
        <f t="shared" si="69"/>
        <v/>
      </c>
      <c r="K356" s="185" t="str">
        <f t="shared" si="70"/>
        <v/>
      </c>
      <c r="L356" s="185" t="str">
        <f t="shared" si="71"/>
        <v/>
      </c>
      <c r="M356" s="76" t="str">
        <f t="shared" si="72"/>
        <v/>
      </c>
      <c r="N356" s="26">
        <f t="shared" si="73"/>
        <v>0</v>
      </c>
      <c r="O356" s="235">
        <f t="shared" si="74"/>
        <v>0</v>
      </c>
      <c r="P356" s="235">
        <f t="shared" si="75"/>
        <v>0</v>
      </c>
      <c r="Q356" s="206">
        <f t="shared" si="76"/>
        <v>0</v>
      </c>
      <c r="R356" s="206">
        <f t="shared" si="77"/>
        <v>0</v>
      </c>
      <c r="S356" s="206">
        <f t="shared" si="78"/>
        <v>0</v>
      </c>
      <c r="T356" s="206">
        <f t="shared" si="79"/>
        <v>0</v>
      </c>
      <c r="U356" s="206">
        <f t="shared" si="79"/>
        <v>0</v>
      </c>
      <c r="V356" s="207" t="str">
        <f t="shared" si="80"/>
        <v/>
      </c>
    </row>
    <row r="357" spans="10:22" x14ac:dyDescent="0.3">
      <c r="J357" s="185" t="str">
        <f t="shared" si="69"/>
        <v/>
      </c>
      <c r="K357" s="185" t="str">
        <f t="shared" si="70"/>
        <v/>
      </c>
      <c r="L357" s="185" t="str">
        <f t="shared" si="71"/>
        <v/>
      </c>
      <c r="M357" s="76" t="str">
        <f t="shared" si="72"/>
        <v/>
      </c>
      <c r="N357" s="26">
        <f t="shared" si="73"/>
        <v>0</v>
      </c>
      <c r="O357" s="235">
        <f t="shared" si="74"/>
        <v>0</v>
      </c>
      <c r="P357" s="235">
        <f t="shared" si="75"/>
        <v>0</v>
      </c>
      <c r="Q357" s="206">
        <f t="shared" si="76"/>
        <v>0</v>
      </c>
      <c r="R357" s="206">
        <f t="shared" si="77"/>
        <v>0</v>
      </c>
      <c r="S357" s="206">
        <f t="shared" si="78"/>
        <v>0</v>
      </c>
      <c r="T357" s="206">
        <f t="shared" si="79"/>
        <v>0</v>
      </c>
      <c r="U357" s="206">
        <f t="shared" si="79"/>
        <v>0</v>
      </c>
      <c r="V357" s="207" t="str">
        <f t="shared" si="80"/>
        <v/>
      </c>
    </row>
    <row r="358" spans="10:22" x14ac:dyDescent="0.3">
      <c r="J358" s="185" t="str">
        <f t="shared" si="69"/>
        <v/>
      </c>
      <c r="K358" s="185" t="str">
        <f t="shared" si="70"/>
        <v/>
      </c>
      <c r="L358" s="185" t="str">
        <f t="shared" si="71"/>
        <v/>
      </c>
      <c r="M358" s="76" t="str">
        <f t="shared" si="72"/>
        <v/>
      </c>
      <c r="N358" s="26">
        <f t="shared" si="73"/>
        <v>0</v>
      </c>
      <c r="O358" s="235">
        <f t="shared" si="74"/>
        <v>0</v>
      </c>
      <c r="P358" s="235">
        <f t="shared" si="75"/>
        <v>0</v>
      </c>
      <c r="Q358" s="206">
        <f t="shared" si="76"/>
        <v>0</v>
      </c>
      <c r="R358" s="206">
        <f t="shared" si="77"/>
        <v>0</v>
      </c>
      <c r="S358" s="206">
        <f t="shared" si="78"/>
        <v>0</v>
      </c>
      <c r="T358" s="206">
        <f t="shared" si="79"/>
        <v>0</v>
      </c>
      <c r="U358" s="206">
        <f t="shared" si="79"/>
        <v>0</v>
      </c>
      <c r="V358" s="207" t="str">
        <f t="shared" si="80"/>
        <v/>
      </c>
    </row>
    <row r="359" spans="10:22" x14ac:dyDescent="0.3">
      <c r="J359" s="185" t="str">
        <f t="shared" si="69"/>
        <v/>
      </c>
      <c r="K359" s="185" t="str">
        <f t="shared" si="70"/>
        <v/>
      </c>
      <c r="L359" s="185" t="str">
        <f t="shared" si="71"/>
        <v/>
      </c>
      <c r="M359" s="76" t="str">
        <f t="shared" si="72"/>
        <v/>
      </c>
      <c r="N359" s="26">
        <f t="shared" si="73"/>
        <v>0</v>
      </c>
      <c r="O359" s="235">
        <f t="shared" si="74"/>
        <v>0</v>
      </c>
      <c r="P359" s="235">
        <f t="shared" si="75"/>
        <v>0</v>
      </c>
      <c r="Q359" s="206">
        <f t="shared" si="76"/>
        <v>0</v>
      </c>
      <c r="R359" s="206">
        <f t="shared" si="77"/>
        <v>0</v>
      </c>
      <c r="S359" s="206">
        <f t="shared" si="78"/>
        <v>0</v>
      </c>
      <c r="T359" s="206">
        <f t="shared" si="79"/>
        <v>0</v>
      </c>
      <c r="U359" s="206">
        <f t="shared" si="79"/>
        <v>0</v>
      </c>
      <c r="V359" s="207" t="str">
        <f t="shared" si="80"/>
        <v/>
      </c>
    </row>
    <row r="360" spans="10:22" x14ac:dyDescent="0.3">
      <c r="J360" s="185" t="str">
        <f t="shared" si="69"/>
        <v/>
      </c>
      <c r="K360" s="185" t="str">
        <f t="shared" si="70"/>
        <v/>
      </c>
      <c r="L360" s="185" t="str">
        <f t="shared" si="71"/>
        <v/>
      </c>
      <c r="M360" s="76" t="str">
        <f t="shared" si="72"/>
        <v/>
      </c>
      <c r="N360" s="26">
        <f t="shared" si="73"/>
        <v>0</v>
      </c>
      <c r="O360" s="235">
        <f t="shared" si="74"/>
        <v>0</v>
      </c>
      <c r="P360" s="235">
        <f t="shared" si="75"/>
        <v>0</v>
      </c>
      <c r="Q360" s="206">
        <f t="shared" si="76"/>
        <v>0</v>
      </c>
      <c r="R360" s="206">
        <f t="shared" si="77"/>
        <v>0</v>
      </c>
      <c r="S360" s="206">
        <f t="shared" si="78"/>
        <v>0</v>
      </c>
      <c r="T360" s="206">
        <f t="shared" si="79"/>
        <v>0</v>
      </c>
      <c r="U360" s="206">
        <f t="shared" si="79"/>
        <v>0</v>
      </c>
      <c r="V360" s="207" t="str">
        <f t="shared" si="80"/>
        <v/>
      </c>
    </row>
    <row r="361" spans="10:22" x14ac:dyDescent="0.3">
      <c r="J361" s="185" t="str">
        <f t="shared" si="69"/>
        <v/>
      </c>
      <c r="K361" s="185" t="str">
        <f t="shared" si="70"/>
        <v/>
      </c>
      <c r="L361" s="185" t="str">
        <f t="shared" si="71"/>
        <v/>
      </c>
      <c r="M361" s="76" t="str">
        <f t="shared" si="72"/>
        <v/>
      </c>
      <c r="N361" s="26">
        <f t="shared" si="73"/>
        <v>0</v>
      </c>
      <c r="O361" s="235">
        <f t="shared" si="74"/>
        <v>0</v>
      </c>
      <c r="P361" s="235">
        <f t="shared" si="75"/>
        <v>0</v>
      </c>
      <c r="Q361" s="206">
        <f t="shared" si="76"/>
        <v>0</v>
      </c>
      <c r="R361" s="206">
        <f t="shared" si="77"/>
        <v>0</v>
      </c>
      <c r="S361" s="206">
        <f t="shared" si="78"/>
        <v>0</v>
      </c>
      <c r="T361" s="206">
        <f t="shared" si="79"/>
        <v>0</v>
      </c>
      <c r="U361" s="206">
        <f t="shared" si="79"/>
        <v>0</v>
      </c>
      <c r="V361" s="207" t="str">
        <f t="shared" si="80"/>
        <v/>
      </c>
    </row>
    <row r="362" spans="10:22" x14ac:dyDescent="0.3">
      <c r="J362" s="185" t="str">
        <f t="shared" si="69"/>
        <v/>
      </c>
      <c r="K362" s="185" t="str">
        <f t="shared" si="70"/>
        <v/>
      </c>
      <c r="L362" s="185" t="str">
        <f t="shared" si="71"/>
        <v/>
      </c>
      <c r="M362" s="76" t="str">
        <f t="shared" si="72"/>
        <v/>
      </c>
      <c r="N362" s="26">
        <f t="shared" si="73"/>
        <v>0</v>
      </c>
      <c r="O362" s="235">
        <f t="shared" si="74"/>
        <v>0</v>
      </c>
      <c r="P362" s="235">
        <f t="shared" si="75"/>
        <v>0</v>
      </c>
      <c r="Q362" s="206">
        <f t="shared" si="76"/>
        <v>0</v>
      </c>
      <c r="R362" s="206">
        <f t="shared" si="77"/>
        <v>0</v>
      </c>
      <c r="S362" s="206">
        <f t="shared" si="78"/>
        <v>0</v>
      </c>
      <c r="T362" s="206">
        <f t="shared" si="79"/>
        <v>0</v>
      </c>
      <c r="U362" s="206">
        <f t="shared" si="79"/>
        <v>0</v>
      </c>
      <c r="V362" s="207" t="str">
        <f t="shared" si="80"/>
        <v/>
      </c>
    </row>
    <row r="363" spans="10:22" x14ac:dyDescent="0.3">
      <c r="J363" s="185" t="str">
        <f t="shared" si="69"/>
        <v/>
      </c>
      <c r="K363" s="185" t="str">
        <f t="shared" si="70"/>
        <v/>
      </c>
      <c r="L363" s="185" t="str">
        <f t="shared" si="71"/>
        <v/>
      </c>
      <c r="M363" s="76" t="str">
        <f t="shared" si="72"/>
        <v/>
      </c>
      <c r="N363" s="26">
        <f t="shared" si="73"/>
        <v>0</v>
      </c>
      <c r="O363" s="235">
        <f t="shared" si="74"/>
        <v>0</v>
      </c>
      <c r="P363" s="235">
        <f t="shared" si="75"/>
        <v>0</v>
      </c>
      <c r="Q363" s="206">
        <f t="shared" si="76"/>
        <v>0</v>
      </c>
      <c r="R363" s="206">
        <f t="shared" si="77"/>
        <v>0</v>
      </c>
      <c r="S363" s="206">
        <f t="shared" si="78"/>
        <v>0</v>
      </c>
      <c r="T363" s="206">
        <f t="shared" si="79"/>
        <v>0</v>
      </c>
      <c r="U363" s="206">
        <f t="shared" si="79"/>
        <v>0</v>
      </c>
      <c r="V363" s="207" t="str">
        <f t="shared" si="80"/>
        <v/>
      </c>
    </row>
    <row r="364" spans="10:22" x14ac:dyDescent="0.3">
      <c r="J364" s="185" t="str">
        <f t="shared" si="69"/>
        <v/>
      </c>
      <c r="K364" s="185" t="str">
        <f t="shared" si="70"/>
        <v/>
      </c>
      <c r="L364" s="185" t="str">
        <f t="shared" si="71"/>
        <v/>
      </c>
      <c r="M364" s="76" t="str">
        <f t="shared" si="72"/>
        <v/>
      </c>
      <c r="N364" s="26">
        <f t="shared" si="73"/>
        <v>0</v>
      </c>
      <c r="O364" s="235">
        <f t="shared" si="74"/>
        <v>0</v>
      </c>
      <c r="P364" s="235">
        <f t="shared" si="75"/>
        <v>0</v>
      </c>
      <c r="Q364" s="206">
        <f t="shared" si="76"/>
        <v>0</v>
      </c>
      <c r="R364" s="206">
        <f t="shared" si="77"/>
        <v>0</v>
      </c>
      <c r="S364" s="206">
        <f t="shared" si="78"/>
        <v>0</v>
      </c>
      <c r="T364" s="206">
        <f t="shared" si="79"/>
        <v>0</v>
      </c>
      <c r="U364" s="206">
        <f t="shared" si="79"/>
        <v>0</v>
      </c>
      <c r="V364" s="207" t="str">
        <f t="shared" si="80"/>
        <v/>
      </c>
    </row>
    <row r="365" spans="10:22" x14ac:dyDescent="0.3">
      <c r="J365" s="185" t="str">
        <f t="shared" ref="J365:J428" si="81">IFERROR(IF(FIND("Liste des vols",A365),LEN(A365),""),"")</f>
        <v/>
      </c>
      <c r="K365" s="185" t="str">
        <f t="shared" ref="K365:K428" si="82">IF(J365="","",LEFT(A365,3))</f>
        <v/>
      </c>
      <c r="L365" s="185" t="str">
        <f t="shared" ref="L365:L428" si="83">IF(K365&lt;&gt;"",MID(A365,7,3),"")</f>
        <v/>
      </c>
      <c r="M365" s="76" t="str">
        <f t="shared" ref="M365:M428" si="84">IF(K365&lt;&gt;"",CONCATENATE(K365,"/",L365),"")</f>
        <v/>
      </c>
      <c r="N365" s="26">
        <f t="shared" ref="N365:N428" si="85">IF(J365=29,VALUE(LEFT(F365,LEN(F365)-2)),0)</f>
        <v>0</v>
      </c>
      <c r="O365" s="235">
        <f t="shared" ref="O365:O428" si="86">IF(J365=29,-VALUE(G365),0)</f>
        <v>0</v>
      </c>
      <c r="P365" s="235">
        <f t="shared" ref="P365:P428" si="87">IF(J365=29,VALUE(LEFT(H365,LEN(H365)-2)),0)</f>
        <v>0</v>
      </c>
      <c r="Q365" s="206">
        <f t="shared" ref="Q365:Q428" si="88">IFERROR(VALUE(LEFT(RIGHT(A365,LEN(A365)-11),LEN(A365)-28)),0)</f>
        <v>0</v>
      </c>
      <c r="R365" s="206">
        <f t="shared" si="77"/>
        <v>0</v>
      </c>
      <c r="S365" s="206">
        <f t="shared" si="78"/>
        <v>0</v>
      </c>
      <c r="T365" s="206">
        <f t="shared" si="79"/>
        <v>0</v>
      </c>
      <c r="U365" s="206">
        <f t="shared" si="79"/>
        <v>0</v>
      </c>
      <c r="V365" s="207" t="str">
        <f t="shared" si="80"/>
        <v/>
      </c>
    </row>
    <row r="366" spans="10:22" x14ac:dyDescent="0.3">
      <c r="J366" s="185" t="str">
        <f t="shared" si="81"/>
        <v/>
      </c>
      <c r="K366" s="185" t="str">
        <f t="shared" si="82"/>
        <v/>
      </c>
      <c r="L366" s="185" t="str">
        <f t="shared" si="83"/>
        <v/>
      </c>
      <c r="M366" s="76" t="str">
        <f t="shared" si="84"/>
        <v/>
      </c>
      <c r="N366" s="26">
        <f t="shared" si="85"/>
        <v>0</v>
      </c>
      <c r="O366" s="235">
        <f t="shared" si="86"/>
        <v>0</v>
      </c>
      <c r="P366" s="235">
        <f t="shared" si="87"/>
        <v>0</v>
      </c>
      <c r="Q366" s="206">
        <f t="shared" si="88"/>
        <v>0</v>
      </c>
      <c r="R366" s="206">
        <f t="shared" si="77"/>
        <v>0</v>
      </c>
      <c r="S366" s="206">
        <f t="shared" si="78"/>
        <v>0</v>
      </c>
      <c r="T366" s="206">
        <f t="shared" si="79"/>
        <v>0</v>
      </c>
      <c r="U366" s="206">
        <f t="shared" si="79"/>
        <v>0</v>
      </c>
      <c r="V366" s="207" t="str">
        <f t="shared" si="80"/>
        <v/>
      </c>
    </row>
    <row r="367" spans="10:22" x14ac:dyDescent="0.3">
      <c r="J367" s="185" t="str">
        <f t="shared" si="81"/>
        <v/>
      </c>
      <c r="K367" s="185" t="str">
        <f t="shared" si="82"/>
        <v/>
      </c>
      <c r="L367" s="185" t="str">
        <f t="shared" si="83"/>
        <v/>
      </c>
      <c r="M367" s="76" t="str">
        <f t="shared" si="84"/>
        <v/>
      </c>
      <c r="N367" s="26">
        <f t="shared" si="85"/>
        <v>0</v>
      </c>
      <c r="O367" s="235">
        <f t="shared" si="86"/>
        <v>0</v>
      </c>
      <c r="P367" s="235">
        <f t="shared" si="87"/>
        <v>0</v>
      </c>
      <c r="Q367" s="206">
        <f t="shared" si="88"/>
        <v>0</v>
      </c>
      <c r="R367" s="206">
        <f t="shared" si="77"/>
        <v>0</v>
      </c>
      <c r="S367" s="206">
        <f t="shared" si="78"/>
        <v>0</v>
      </c>
      <c r="T367" s="206">
        <f t="shared" si="79"/>
        <v>0</v>
      </c>
      <c r="U367" s="206">
        <f t="shared" si="79"/>
        <v>0</v>
      </c>
      <c r="V367" s="207" t="str">
        <f t="shared" si="80"/>
        <v/>
      </c>
    </row>
    <row r="368" spans="10:22" x14ac:dyDescent="0.3">
      <c r="J368" s="185" t="str">
        <f t="shared" si="81"/>
        <v/>
      </c>
      <c r="K368" s="185" t="str">
        <f t="shared" si="82"/>
        <v/>
      </c>
      <c r="L368" s="185" t="str">
        <f t="shared" si="83"/>
        <v/>
      </c>
      <c r="M368" s="76" t="str">
        <f t="shared" si="84"/>
        <v/>
      </c>
      <c r="N368" s="26">
        <f t="shared" si="85"/>
        <v>0</v>
      </c>
      <c r="O368" s="235">
        <f t="shared" si="86"/>
        <v>0</v>
      </c>
      <c r="P368" s="235">
        <f t="shared" si="87"/>
        <v>0</v>
      </c>
      <c r="Q368" s="206">
        <f t="shared" si="88"/>
        <v>0</v>
      </c>
      <c r="R368" s="206">
        <f t="shared" si="77"/>
        <v>0</v>
      </c>
      <c r="S368" s="206">
        <f t="shared" si="78"/>
        <v>0</v>
      </c>
      <c r="T368" s="206">
        <f t="shared" si="79"/>
        <v>0</v>
      </c>
      <c r="U368" s="206">
        <f t="shared" si="79"/>
        <v>0</v>
      </c>
      <c r="V368" s="207" t="str">
        <f t="shared" si="80"/>
        <v/>
      </c>
    </row>
    <row r="369" spans="10:22" x14ac:dyDescent="0.3">
      <c r="J369" s="185" t="str">
        <f t="shared" si="81"/>
        <v/>
      </c>
      <c r="K369" s="185" t="str">
        <f t="shared" si="82"/>
        <v/>
      </c>
      <c r="L369" s="185" t="str">
        <f t="shared" si="83"/>
        <v/>
      </c>
      <c r="M369" s="76" t="str">
        <f t="shared" si="84"/>
        <v/>
      </c>
      <c r="N369" s="26">
        <f t="shared" si="85"/>
        <v>0</v>
      </c>
      <c r="O369" s="235">
        <f t="shared" si="86"/>
        <v>0</v>
      </c>
      <c r="P369" s="235">
        <f t="shared" si="87"/>
        <v>0</v>
      </c>
      <c r="Q369" s="206">
        <f t="shared" si="88"/>
        <v>0</v>
      </c>
      <c r="R369" s="206">
        <f t="shared" si="77"/>
        <v>0</v>
      </c>
      <c r="S369" s="206">
        <f t="shared" si="78"/>
        <v>0</v>
      </c>
      <c r="T369" s="206">
        <f t="shared" si="79"/>
        <v>0</v>
      </c>
      <c r="U369" s="206">
        <f t="shared" si="79"/>
        <v>0</v>
      </c>
      <c r="V369" s="207" t="str">
        <f t="shared" si="80"/>
        <v/>
      </c>
    </row>
    <row r="370" spans="10:22" x14ac:dyDescent="0.3">
      <c r="J370" s="185" t="str">
        <f t="shared" si="81"/>
        <v/>
      </c>
      <c r="K370" s="185" t="str">
        <f t="shared" si="82"/>
        <v/>
      </c>
      <c r="L370" s="185" t="str">
        <f t="shared" si="83"/>
        <v/>
      </c>
      <c r="M370" s="76" t="str">
        <f t="shared" si="84"/>
        <v/>
      </c>
      <c r="N370" s="26">
        <f t="shared" si="85"/>
        <v>0</v>
      </c>
      <c r="O370" s="235">
        <f t="shared" si="86"/>
        <v>0</v>
      </c>
      <c r="P370" s="235">
        <f t="shared" si="87"/>
        <v>0</v>
      </c>
      <c r="Q370" s="206">
        <f t="shared" si="88"/>
        <v>0</v>
      </c>
      <c r="R370" s="206">
        <f t="shared" si="77"/>
        <v>0</v>
      </c>
      <c r="S370" s="206">
        <f t="shared" si="78"/>
        <v>0</v>
      </c>
      <c r="T370" s="206">
        <f t="shared" si="79"/>
        <v>0</v>
      </c>
      <c r="U370" s="206">
        <f t="shared" si="79"/>
        <v>0</v>
      </c>
      <c r="V370" s="207" t="str">
        <f t="shared" si="80"/>
        <v/>
      </c>
    </row>
    <row r="371" spans="10:22" x14ac:dyDescent="0.3">
      <c r="J371" s="185" t="str">
        <f t="shared" si="81"/>
        <v/>
      </c>
      <c r="K371" s="185" t="str">
        <f t="shared" si="82"/>
        <v/>
      </c>
      <c r="L371" s="185" t="str">
        <f t="shared" si="83"/>
        <v/>
      </c>
      <c r="M371" s="76" t="str">
        <f t="shared" si="84"/>
        <v/>
      </c>
      <c r="N371" s="26">
        <f t="shared" si="85"/>
        <v>0</v>
      </c>
      <c r="O371" s="235">
        <f t="shared" si="86"/>
        <v>0</v>
      </c>
      <c r="P371" s="235">
        <f t="shared" si="87"/>
        <v>0</v>
      </c>
      <c r="Q371" s="206">
        <f t="shared" si="88"/>
        <v>0</v>
      </c>
      <c r="R371" s="206">
        <f t="shared" si="77"/>
        <v>0</v>
      </c>
      <c r="S371" s="206">
        <f t="shared" si="78"/>
        <v>0</v>
      </c>
      <c r="T371" s="206">
        <f t="shared" si="79"/>
        <v>0</v>
      </c>
      <c r="U371" s="206">
        <f t="shared" si="79"/>
        <v>0</v>
      </c>
      <c r="V371" s="207" t="str">
        <f t="shared" si="80"/>
        <v/>
      </c>
    </row>
    <row r="372" spans="10:22" x14ac:dyDescent="0.3">
      <c r="J372" s="185" t="str">
        <f t="shared" si="81"/>
        <v/>
      </c>
      <c r="K372" s="185" t="str">
        <f t="shared" si="82"/>
        <v/>
      </c>
      <c r="L372" s="185" t="str">
        <f t="shared" si="83"/>
        <v/>
      </c>
      <c r="M372" s="76" t="str">
        <f t="shared" si="84"/>
        <v/>
      </c>
      <c r="N372" s="26">
        <f t="shared" si="85"/>
        <v>0</v>
      </c>
      <c r="O372" s="235">
        <f t="shared" si="86"/>
        <v>0</v>
      </c>
      <c r="P372" s="235">
        <f t="shared" si="87"/>
        <v>0</v>
      </c>
      <c r="Q372" s="206">
        <f t="shared" si="88"/>
        <v>0</v>
      </c>
      <c r="R372" s="206">
        <f t="shared" si="77"/>
        <v>0</v>
      </c>
      <c r="S372" s="206">
        <f t="shared" si="78"/>
        <v>0</v>
      </c>
      <c r="T372" s="206">
        <f t="shared" si="79"/>
        <v>0</v>
      </c>
      <c r="U372" s="206">
        <f t="shared" si="79"/>
        <v>0</v>
      </c>
      <c r="V372" s="207" t="str">
        <f t="shared" si="80"/>
        <v/>
      </c>
    </row>
    <row r="373" spans="10:22" x14ac:dyDescent="0.3">
      <c r="J373" s="185" t="str">
        <f t="shared" si="81"/>
        <v/>
      </c>
      <c r="K373" s="185" t="str">
        <f t="shared" si="82"/>
        <v/>
      </c>
      <c r="L373" s="185" t="str">
        <f t="shared" si="83"/>
        <v/>
      </c>
      <c r="M373" s="76" t="str">
        <f t="shared" si="84"/>
        <v/>
      </c>
      <c r="N373" s="26">
        <f t="shared" si="85"/>
        <v>0</v>
      </c>
      <c r="O373" s="235">
        <f t="shared" si="86"/>
        <v>0</v>
      </c>
      <c r="P373" s="235">
        <f t="shared" si="87"/>
        <v>0</v>
      </c>
      <c r="Q373" s="206">
        <f t="shared" si="88"/>
        <v>0</v>
      </c>
      <c r="R373" s="206">
        <f t="shared" si="77"/>
        <v>0</v>
      </c>
      <c r="S373" s="206">
        <f t="shared" si="78"/>
        <v>0</v>
      </c>
      <c r="T373" s="206">
        <f t="shared" si="79"/>
        <v>0</v>
      </c>
      <c r="U373" s="206">
        <f t="shared" si="79"/>
        <v>0</v>
      </c>
      <c r="V373" s="207" t="str">
        <f t="shared" si="80"/>
        <v/>
      </c>
    </row>
    <row r="374" spans="10:22" x14ac:dyDescent="0.3">
      <c r="J374" s="185" t="str">
        <f t="shared" si="81"/>
        <v/>
      </c>
      <c r="K374" s="185" t="str">
        <f t="shared" si="82"/>
        <v/>
      </c>
      <c r="L374" s="185" t="str">
        <f t="shared" si="83"/>
        <v/>
      </c>
      <c r="M374" s="76" t="str">
        <f t="shared" si="84"/>
        <v/>
      </c>
      <c r="N374" s="26">
        <f t="shared" si="85"/>
        <v>0</v>
      </c>
      <c r="O374" s="235">
        <f t="shared" si="86"/>
        <v>0</v>
      </c>
      <c r="P374" s="235">
        <f t="shared" si="87"/>
        <v>0</v>
      </c>
      <c r="Q374" s="206">
        <f t="shared" si="88"/>
        <v>0</v>
      </c>
      <c r="R374" s="206">
        <f t="shared" si="77"/>
        <v>0</v>
      </c>
      <c r="S374" s="206">
        <f t="shared" si="78"/>
        <v>0</v>
      </c>
      <c r="T374" s="206">
        <f t="shared" si="79"/>
        <v>0</v>
      </c>
      <c r="U374" s="206">
        <f t="shared" si="79"/>
        <v>0</v>
      </c>
      <c r="V374" s="207" t="str">
        <f t="shared" si="80"/>
        <v/>
      </c>
    </row>
    <row r="375" spans="10:22" x14ac:dyDescent="0.3">
      <c r="J375" s="185" t="str">
        <f t="shared" si="81"/>
        <v/>
      </c>
      <c r="K375" s="185" t="str">
        <f t="shared" si="82"/>
        <v/>
      </c>
      <c r="L375" s="185" t="str">
        <f t="shared" si="83"/>
        <v/>
      </c>
      <c r="M375" s="76" t="str">
        <f t="shared" si="84"/>
        <v/>
      </c>
      <c r="N375" s="26">
        <f t="shared" si="85"/>
        <v>0</v>
      </c>
      <c r="O375" s="235">
        <f t="shared" si="86"/>
        <v>0</v>
      </c>
      <c r="P375" s="235">
        <f t="shared" si="87"/>
        <v>0</v>
      </c>
      <c r="Q375" s="206">
        <f t="shared" si="88"/>
        <v>0</v>
      </c>
      <c r="R375" s="206">
        <f t="shared" si="77"/>
        <v>0</v>
      </c>
      <c r="S375" s="206">
        <f t="shared" si="78"/>
        <v>0</v>
      </c>
      <c r="T375" s="206">
        <f t="shared" si="79"/>
        <v>0</v>
      </c>
      <c r="U375" s="206">
        <f t="shared" si="79"/>
        <v>0</v>
      </c>
      <c r="V375" s="207" t="str">
        <f t="shared" si="80"/>
        <v/>
      </c>
    </row>
    <row r="376" spans="10:22" x14ac:dyDescent="0.3">
      <c r="J376" s="185" t="str">
        <f t="shared" si="81"/>
        <v/>
      </c>
      <c r="K376" s="185" t="str">
        <f t="shared" si="82"/>
        <v/>
      </c>
      <c r="L376" s="185" t="str">
        <f t="shared" si="83"/>
        <v/>
      </c>
      <c r="M376" s="76" t="str">
        <f t="shared" si="84"/>
        <v/>
      </c>
      <c r="N376" s="26">
        <f t="shared" si="85"/>
        <v>0</v>
      </c>
      <c r="O376" s="235">
        <f t="shared" si="86"/>
        <v>0</v>
      </c>
      <c r="P376" s="235">
        <f t="shared" si="87"/>
        <v>0</v>
      </c>
      <c r="Q376" s="206">
        <f t="shared" si="88"/>
        <v>0</v>
      </c>
      <c r="R376" s="206">
        <f t="shared" si="77"/>
        <v>0</v>
      </c>
      <c r="S376" s="206">
        <f t="shared" si="78"/>
        <v>0</v>
      </c>
      <c r="T376" s="206">
        <f t="shared" si="79"/>
        <v>0</v>
      </c>
      <c r="U376" s="206">
        <f t="shared" si="79"/>
        <v>0</v>
      </c>
      <c r="V376" s="207" t="str">
        <f t="shared" si="80"/>
        <v/>
      </c>
    </row>
    <row r="377" spans="10:22" x14ac:dyDescent="0.3">
      <c r="J377" s="185" t="str">
        <f t="shared" si="81"/>
        <v/>
      </c>
      <c r="K377" s="185" t="str">
        <f t="shared" si="82"/>
        <v/>
      </c>
      <c r="L377" s="185" t="str">
        <f t="shared" si="83"/>
        <v/>
      </c>
      <c r="M377" s="76" t="str">
        <f t="shared" si="84"/>
        <v/>
      </c>
      <c r="N377" s="26">
        <f t="shared" si="85"/>
        <v>0</v>
      </c>
      <c r="O377" s="235">
        <f t="shared" si="86"/>
        <v>0</v>
      </c>
      <c r="P377" s="235">
        <f t="shared" si="87"/>
        <v>0</v>
      </c>
      <c r="Q377" s="206">
        <f t="shared" si="88"/>
        <v>0</v>
      </c>
      <c r="R377" s="206">
        <f t="shared" si="77"/>
        <v>0</v>
      </c>
      <c r="S377" s="206">
        <f t="shared" si="78"/>
        <v>0</v>
      </c>
      <c r="T377" s="206">
        <f t="shared" si="79"/>
        <v>0</v>
      </c>
      <c r="U377" s="206">
        <f t="shared" si="79"/>
        <v>0</v>
      </c>
      <c r="V377" s="207" t="str">
        <f t="shared" si="80"/>
        <v/>
      </c>
    </row>
    <row r="378" spans="10:22" x14ac:dyDescent="0.3">
      <c r="J378" s="185" t="str">
        <f t="shared" si="81"/>
        <v/>
      </c>
      <c r="K378" s="185" t="str">
        <f t="shared" si="82"/>
        <v/>
      </c>
      <c r="L378" s="185" t="str">
        <f t="shared" si="83"/>
        <v/>
      </c>
      <c r="M378" s="76" t="str">
        <f t="shared" si="84"/>
        <v/>
      </c>
      <c r="N378" s="26">
        <f t="shared" si="85"/>
        <v>0</v>
      </c>
      <c r="O378" s="235">
        <f t="shared" si="86"/>
        <v>0</v>
      </c>
      <c r="P378" s="235">
        <f t="shared" si="87"/>
        <v>0</v>
      </c>
      <c r="Q378" s="206">
        <f t="shared" si="88"/>
        <v>0</v>
      </c>
      <c r="R378" s="206">
        <f t="shared" si="77"/>
        <v>0</v>
      </c>
      <c r="S378" s="206">
        <f t="shared" si="78"/>
        <v>0</v>
      </c>
      <c r="T378" s="206">
        <f t="shared" si="79"/>
        <v>0</v>
      </c>
      <c r="U378" s="206">
        <f t="shared" si="79"/>
        <v>0</v>
      </c>
      <c r="V378" s="207" t="str">
        <f t="shared" si="80"/>
        <v/>
      </c>
    </row>
    <row r="379" spans="10:22" x14ac:dyDescent="0.3">
      <c r="J379" s="185" t="str">
        <f t="shared" si="81"/>
        <v/>
      </c>
      <c r="K379" s="185" t="str">
        <f t="shared" si="82"/>
        <v/>
      </c>
      <c r="L379" s="185" t="str">
        <f t="shared" si="83"/>
        <v/>
      </c>
      <c r="M379" s="76" t="str">
        <f t="shared" si="84"/>
        <v/>
      </c>
      <c r="N379" s="26">
        <f t="shared" si="85"/>
        <v>0</v>
      </c>
      <c r="O379" s="235">
        <f t="shared" si="86"/>
        <v>0</v>
      </c>
      <c r="P379" s="235">
        <f t="shared" si="87"/>
        <v>0</v>
      </c>
      <c r="Q379" s="206">
        <f t="shared" si="88"/>
        <v>0</v>
      </c>
      <c r="R379" s="206">
        <f t="shared" si="77"/>
        <v>0</v>
      </c>
      <c r="S379" s="206">
        <f t="shared" si="78"/>
        <v>0</v>
      </c>
      <c r="T379" s="206">
        <f t="shared" si="79"/>
        <v>0</v>
      </c>
      <c r="U379" s="206">
        <f t="shared" si="79"/>
        <v>0</v>
      </c>
      <c r="V379" s="207" t="str">
        <f t="shared" si="80"/>
        <v/>
      </c>
    </row>
    <row r="380" spans="10:22" x14ac:dyDescent="0.3">
      <c r="J380" s="185" t="str">
        <f t="shared" si="81"/>
        <v/>
      </c>
      <c r="K380" s="185" t="str">
        <f t="shared" si="82"/>
        <v/>
      </c>
      <c r="L380" s="185" t="str">
        <f t="shared" si="83"/>
        <v/>
      </c>
      <c r="M380" s="76" t="str">
        <f t="shared" si="84"/>
        <v/>
      </c>
      <c r="N380" s="26">
        <f t="shared" si="85"/>
        <v>0</v>
      </c>
      <c r="O380" s="235">
        <f t="shared" si="86"/>
        <v>0</v>
      </c>
      <c r="P380" s="235">
        <f t="shared" si="87"/>
        <v>0</v>
      </c>
      <c r="Q380" s="206">
        <f t="shared" si="88"/>
        <v>0</v>
      </c>
      <c r="R380" s="206">
        <f t="shared" si="77"/>
        <v>0</v>
      </c>
      <c r="S380" s="206">
        <f t="shared" si="78"/>
        <v>0</v>
      </c>
      <c r="T380" s="206">
        <f t="shared" si="79"/>
        <v>0</v>
      </c>
      <c r="U380" s="206">
        <f t="shared" si="79"/>
        <v>0</v>
      </c>
      <c r="V380" s="207" t="str">
        <f t="shared" si="80"/>
        <v/>
      </c>
    </row>
    <row r="381" spans="10:22" x14ac:dyDescent="0.3">
      <c r="J381" s="185" t="str">
        <f t="shared" si="81"/>
        <v/>
      </c>
      <c r="K381" s="185" t="str">
        <f t="shared" si="82"/>
        <v/>
      </c>
      <c r="L381" s="185" t="str">
        <f t="shared" si="83"/>
        <v/>
      </c>
      <c r="M381" s="76" t="str">
        <f t="shared" si="84"/>
        <v/>
      </c>
      <c r="N381" s="26">
        <f t="shared" si="85"/>
        <v>0</v>
      </c>
      <c r="O381" s="235">
        <f t="shared" si="86"/>
        <v>0</v>
      </c>
      <c r="P381" s="235">
        <f t="shared" si="87"/>
        <v>0</v>
      </c>
      <c r="Q381" s="206">
        <f t="shared" si="88"/>
        <v>0</v>
      </c>
      <c r="R381" s="206">
        <f t="shared" si="77"/>
        <v>0</v>
      </c>
      <c r="S381" s="206">
        <f t="shared" si="78"/>
        <v>0</v>
      </c>
      <c r="T381" s="206">
        <f t="shared" si="79"/>
        <v>0</v>
      </c>
      <c r="U381" s="206">
        <f t="shared" si="79"/>
        <v>0</v>
      </c>
      <c r="V381" s="207" t="str">
        <f t="shared" si="80"/>
        <v/>
      </c>
    </row>
    <row r="382" spans="10:22" x14ac:dyDescent="0.3">
      <c r="J382" s="185" t="str">
        <f t="shared" si="81"/>
        <v/>
      </c>
      <c r="K382" s="185" t="str">
        <f t="shared" si="82"/>
        <v/>
      </c>
      <c r="L382" s="185" t="str">
        <f t="shared" si="83"/>
        <v/>
      </c>
      <c r="M382" s="76" t="str">
        <f t="shared" si="84"/>
        <v/>
      </c>
      <c r="N382" s="26">
        <f t="shared" si="85"/>
        <v>0</v>
      </c>
      <c r="O382" s="235">
        <f t="shared" si="86"/>
        <v>0</v>
      </c>
      <c r="P382" s="235">
        <f t="shared" si="87"/>
        <v>0</v>
      </c>
      <c r="Q382" s="206">
        <f t="shared" si="88"/>
        <v>0</v>
      </c>
      <c r="R382" s="206">
        <f t="shared" si="77"/>
        <v>0</v>
      </c>
      <c r="S382" s="206">
        <f t="shared" si="78"/>
        <v>0</v>
      </c>
      <c r="T382" s="206">
        <f t="shared" si="79"/>
        <v>0</v>
      </c>
      <c r="U382" s="206">
        <f t="shared" si="79"/>
        <v>0</v>
      </c>
      <c r="V382" s="207" t="str">
        <f t="shared" si="80"/>
        <v/>
      </c>
    </row>
    <row r="383" spans="10:22" x14ac:dyDescent="0.3">
      <c r="J383" s="185" t="str">
        <f t="shared" si="81"/>
        <v/>
      </c>
      <c r="K383" s="185" t="str">
        <f t="shared" si="82"/>
        <v/>
      </c>
      <c r="L383" s="185" t="str">
        <f t="shared" si="83"/>
        <v/>
      </c>
      <c r="M383" s="76" t="str">
        <f t="shared" si="84"/>
        <v/>
      </c>
      <c r="N383" s="26">
        <f t="shared" si="85"/>
        <v>0</v>
      </c>
      <c r="O383" s="235">
        <f t="shared" si="86"/>
        <v>0</v>
      </c>
      <c r="P383" s="235">
        <f t="shared" si="87"/>
        <v>0</v>
      </c>
      <c r="Q383" s="206">
        <f t="shared" si="88"/>
        <v>0</v>
      </c>
      <c r="R383" s="206">
        <f t="shared" si="77"/>
        <v>0</v>
      </c>
      <c r="S383" s="206">
        <f t="shared" si="78"/>
        <v>0</v>
      </c>
      <c r="T383" s="206">
        <f t="shared" si="79"/>
        <v>0</v>
      </c>
      <c r="U383" s="206">
        <f t="shared" si="79"/>
        <v>0</v>
      </c>
      <c r="V383" s="207" t="str">
        <f t="shared" si="80"/>
        <v/>
      </c>
    </row>
    <row r="384" spans="10:22" x14ac:dyDescent="0.3">
      <c r="J384" s="185" t="str">
        <f t="shared" si="81"/>
        <v/>
      </c>
      <c r="K384" s="185" t="str">
        <f t="shared" si="82"/>
        <v/>
      </c>
      <c r="L384" s="185" t="str">
        <f t="shared" si="83"/>
        <v/>
      </c>
      <c r="M384" s="76" t="str">
        <f t="shared" si="84"/>
        <v/>
      </c>
      <c r="N384" s="26">
        <f t="shared" si="85"/>
        <v>0</v>
      </c>
      <c r="O384" s="235">
        <f t="shared" si="86"/>
        <v>0</v>
      </c>
      <c r="P384" s="235">
        <f t="shared" si="87"/>
        <v>0</v>
      </c>
      <c r="Q384" s="206">
        <f t="shared" si="88"/>
        <v>0</v>
      </c>
      <c r="R384" s="206">
        <f t="shared" si="77"/>
        <v>0</v>
      </c>
      <c r="S384" s="206">
        <f t="shared" si="78"/>
        <v>0</v>
      </c>
      <c r="T384" s="206">
        <f t="shared" si="79"/>
        <v>0</v>
      </c>
      <c r="U384" s="206">
        <f t="shared" si="79"/>
        <v>0</v>
      </c>
      <c r="V384" s="207" t="str">
        <f t="shared" si="80"/>
        <v/>
      </c>
    </row>
    <row r="385" spans="1:22" x14ac:dyDescent="0.3">
      <c r="J385" s="185" t="str">
        <f t="shared" si="81"/>
        <v/>
      </c>
      <c r="K385" s="185" t="str">
        <f t="shared" si="82"/>
        <v/>
      </c>
      <c r="L385" s="185" t="str">
        <f t="shared" si="83"/>
        <v/>
      </c>
      <c r="M385" s="76" t="str">
        <f t="shared" si="84"/>
        <v/>
      </c>
      <c r="N385" s="26">
        <f t="shared" si="85"/>
        <v>0</v>
      </c>
      <c r="O385" s="235">
        <f t="shared" si="86"/>
        <v>0</v>
      </c>
      <c r="P385" s="235">
        <f t="shared" si="87"/>
        <v>0</v>
      </c>
      <c r="Q385" s="206">
        <f t="shared" si="88"/>
        <v>0</v>
      </c>
      <c r="R385" s="206">
        <f t="shared" si="77"/>
        <v>0</v>
      </c>
      <c r="S385" s="206">
        <f t="shared" si="78"/>
        <v>0</v>
      </c>
      <c r="T385" s="206">
        <f t="shared" si="79"/>
        <v>0</v>
      </c>
      <c r="U385" s="206">
        <f t="shared" si="79"/>
        <v>0</v>
      </c>
      <c r="V385" s="207" t="str">
        <f t="shared" si="80"/>
        <v/>
      </c>
    </row>
    <row r="386" spans="1:22" x14ac:dyDescent="0.3">
      <c r="J386" s="185" t="str">
        <f t="shared" si="81"/>
        <v/>
      </c>
      <c r="K386" s="185" t="str">
        <f t="shared" si="82"/>
        <v/>
      </c>
      <c r="L386" s="185" t="str">
        <f t="shared" si="83"/>
        <v/>
      </c>
      <c r="M386" s="76" t="str">
        <f t="shared" si="84"/>
        <v/>
      </c>
      <c r="N386" s="26">
        <f t="shared" si="85"/>
        <v>0</v>
      </c>
      <c r="O386" s="235">
        <f t="shared" si="86"/>
        <v>0</v>
      </c>
      <c r="P386" s="235">
        <f t="shared" si="87"/>
        <v>0</v>
      </c>
      <c r="Q386" s="206">
        <f t="shared" si="88"/>
        <v>0</v>
      </c>
      <c r="R386" s="206">
        <f t="shared" si="77"/>
        <v>0</v>
      </c>
      <c r="S386" s="206">
        <f t="shared" si="78"/>
        <v>0</v>
      </c>
      <c r="T386" s="206">
        <f t="shared" si="79"/>
        <v>0</v>
      </c>
      <c r="U386" s="206">
        <f t="shared" si="79"/>
        <v>0</v>
      </c>
      <c r="V386" s="207" t="str">
        <f t="shared" si="80"/>
        <v/>
      </c>
    </row>
    <row r="387" spans="1:22" x14ac:dyDescent="0.3">
      <c r="J387" s="185" t="str">
        <f t="shared" si="81"/>
        <v/>
      </c>
      <c r="K387" s="185" t="str">
        <f t="shared" si="82"/>
        <v/>
      </c>
      <c r="L387" s="185" t="str">
        <f t="shared" si="83"/>
        <v/>
      </c>
      <c r="M387" s="76" t="str">
        <f t="shared" si="84"/>
        <v/>
      </c>
      <c r="N387" s="26">
        <f t="shared" si="85"/>
        <v>0</v>
      </c>
      <c r="O387" s="235">
        <f t="shared" si="86"/>
        <v>0</v>
      </c>
      <c r="P387" s="235">
        <f t="shared" si="87"/>
        <v>0</v>
      </c>
      <c r="Q387" s="206">
        <f t="shared" si="88"/>
        <v>0</v>
      </c>
      <c r="R387" s="206">
        <f t="shared" si="77"/>
        <v>0</v>
      </c>
      <c r="S387" s="206">
        <f t="shared" si="78"/>
        <v>0</v>
      </c>
      <c r="T387" s="206">
        <f t="shared" si="79"/>
        <v>0</v>
      </c>
      <c r="U387" s="206">
        <f t="shared" si="79"/>
        <v>0</v>
      </c>
      <c r="V387" s="207" t="str">
        <f t="shared" si="80"/>
        <v/>
      </c>
    </row>
    <row r="388" spans="1:22" x14ac:dyDescent="0.3">
      <c r="J388" s="185" t="str">
        <f t="shared" si="81"/>
        <v/>
      </c>
      <c r="K388" s="185" t="str">
        <f t="shared" si="82"/>
        <v/>
      </c>
      <c r="L388" s="185" t="str">
        <f t="shared" si="83"/>
        <v/>
      </c>
      <c r="M388" s="76" t="str">
        <f t="shared" si="84"/>
        <v/>
      </c>
      <c r="N388" s="26">
        <f t="shared" si="85"/>
        <v>0</v>
      </c>
      <c r="O388" s="235">
        <f t="shared" si="86"/>
        <v>0</v>
      </c>
      <c r="P388" s="235">
        <f t="shared" si="87"/>
        <v>0</v>
      </c>
      <c r="Q388" s="206">
        <f t="shared" si="88"/>
        <v>0</v>
      </c>
      <c r="R388" s="206">
        <f t="shared" si="77"/>
        <v>0</v>
      </c>
      <c r="S388" s="206">
        <f t="shared" si="78"/>
        <v>0</v>
      </c>
      <c r="T388" s="206">
        <f t="shared" si="79"/>
        <v>0</v>
      </c>
      <c r="U388" s="206">
        <f t="shared" si="79"/>
        <v>0</v>
      </c>
      <c r="V388" s="207" t="str">
        <f t="shared" si="80"/>
        <v/>
      </c>
    </row>
    <row r="389" spans="1:22" x14ac:dyDescent="0.3">
      <c r="J389" s="185" t="str">
        <f t="shared" si="81"/>
        <v/>
      </c>
      <c r="K389" s="185" t="str">
        <f t="shared" si="82"/>
        <v/>
      </c>
      <c r="L389" s="185" t="str">
        <f t="shared" si="83"/>
        <v/>
      </c>
      <c r="M389" s="76" t="str">
        <f t="shared" si="84"/>
        <v/>
      </c>
      <c r="N389" s="26">
        <f t="shared" si="85"/>
        <v>0</v>
      </c>
      <c r="O389" s="235">
        <f t="shared" si="86"/>
        <v>0</v>
      </c>
      <c r="P389" s="235">
        <f t="shared" si="87"/>
        <v>0</v>
      </c>
      <c r="Q389" s="206">
        <f t="shared" si="88"/>
        <v>0</v>
      </c>
      <c r="R389" s="206">
        <f t="shared" si="77"/>
        <v>0</v>
      </c>
      <c r="S389" s="206">
        <f t="shared" si="78"/>
        <v>0</v>
      </c>
      <c r="T389" s="206">
        <f t="shared" si="79"/>
        <v>0</v>
      </c>
      <c r="U389" s="206">
        <f t="shared" si="79"/>
        <v>0</v>
      </c>
      <c r="V389" s="207" t="str">
        <f t="shared" si="80"/>
        <v/>
      </c>
    </row>
    <row r="390" spans="1:22" x14ac:dyDescent="0.3">
      <c r="J390" s="185" t="str">
        <f t="shared" si="81"/>
        <v/>
      </c>
      <c r="K390" s="185" t="str">
        <f t="shared" si="82"/>
        <v/>
      </c>
      <c r="L390" s="185" t="str">
        <f t="shared" si="83"/>
        <v/>
      </c>
      <c r="M390" s="76" t="str">
        <f t="shared" si="84"/>
        <v/>
      </c>
      <c r="N390" s="26">
        <f t="shared" si="85"/>
        <v>0</v>
      </c>
      <c r="O390" s="235">
        <f t="shared" si="86"/>
        <v>0</v>
      </c>
      <c r="P390" s="235">
        <f t="shared" si="87"/>
        <v>0</v>
      </c>
      <c r="Q390" s="206">
        <f t="shared" si="88"/>
        <v>0</v>
      </c>
      <c r="R390" s="206">
        <f t="shared" si="77"/>
        <v>0</v>
      </c>
      <c r="S390" s="206">
        <f t="shared" si="78"/>
        <v>0</v>
      </c>
      <c r="T390" s="206">
        <f t="shared" si="79"/>
        <v>0</v>
      </c>
      <c r="U390" s="206">
        <f t="shared" si="79"/>
        <v>0</v>
      </c>
      <c r="V390" s="207" t="str">
        <f t="shared" si="80"/>
        <v/>
      </c>
    </row>
    <row r="391" spans="1:22" x14ac:dyDescent="0.3">
      <c r="J391" s="185" t="str">
        <f t="shared" si="81"/>
        <v/>
      </c>
      <c r="K391" s="185" t="str">
        <f t="shared" si="82"/>
        <v/>
      </c>
      <c r="L391" s="185" t="str">
        <f t="shared" si="83"/>
        <v/>
      </c>
      <c r="M391" s="76" t="str">
        <f t="shared" si="84"/>
        <v/>
      </c>
      <c r="N391" s="26">
        <f t="shared" si="85"/>
        <v>0</v>
      </c>
      <c r="O391" s="235">
        <f t="shared" si="86"/>
        <v>0</v>
      </c>
      <c r="P391" s="235">
        <f t="shared" si="87"/>
        <v>0</v>
      </c>
      <c r="Q391" s="206">
        <f t="shared" si="88"/>
        <v>0</v>
      </c>
      <c r="R391" s="206">
        <f t="shared" si="77"/>
        <v>0</v>
      </c>
      <c r="S391" s="206">
        <f t="shared" si="78"/>
        <v>0</v>
      </c>
      <c r="T391" s="206">
        <f t="shared" si="79"/>
        <v>0</v>
      </c>
      <c r="U391" s="206">
        <f t="shared" si="79"/>
        <v>0</v>
      </c>
      <c r="V391" s="207" t="str">
        <f t="shared" si="80"/>
        <v/>
      </c>
    </row>
    <row r="392" spans="1:22" x14ac:dyDescent="0.3">
      <c r="J392" s="185" t="str">
        <f t="shared" si="81"/>
        <v/>
      </c>
      <c r="K392" s="185" t="str">
        <f t="shared" si="82"/>
        <v/>
      </c>
      <c r="L392" s="185" t="str">
        <f t="shared" si="83"/>
        <v/>
      </c>
      <c r="M392" s="76" t="str">
        <f t="shared" si="84"/>
        <v/>
      </c>
      <c r="N392" s="26">
        <f t="shared" si="85"/>
        <v>0</v>
      </c>
      <c r="O392" s="235">
        <f t="shared" si="86"/>
        <v>0</v>
      </c>
      <c r="P392" s="235">
        <f t="shared" si="87"/>
        <v>0</v>
      </c>
      <c r="Q392" s="206">
        <f t="shared" si="88"/>
        <v>0</v>
      </c>
      <c r="R392" s="206">
        <f t="shared" si="77"/>
        <v>0</v>
      </c>
      <c r="S392" s="206">
        <f t="shared" si="78"/>
        <v>0</v>
      </c>
      <c r="T392" s="206">
        <f t="shared" si="79"/>
        <v>0</v>
      </c>
      <c r="U392" s="206">
        <f t="shared" si="79"/>
        <v>0</v>
      </c>
      <c r="V392" s="207" t="str">
        <f t="shared" si="80"/>
        <v/>
      </c>
    </row>
    <row r="393" spans="1:22" x14ac:dyDescent="0.3">
      <c r="J393" s="185" t="str">
        <f t="shared" si="81"/>
        <v/>
      </c>
      <c r="K393" s="185" t="str">
        <f t="shared" si="82"/>
        <v/>
      </c>
      <c r="L393" s="185" t="str">
        <f t="shared" si="83"/>
        <v/>
      </c>
      <c r="M393" s="76" t="str">
        <f t="shared" si="84"/>
        <v/>
      </c>
      <c r="N393" s="26">
        <f t="shared" si="85"/>
        <v>0</v>
      </c>
      <c r="O393" s="235">
        <f t="shared" si="86"/>
        <v>0</v>
      </c>
      <c r="P393" s="235">
        <f t="shared" si="87"/>
        <v>0</v>
      </c>
      <c r="Q393" s="206">
        <f t="shared" si="88"/>
        <v>0</v>
      </c>
      <c r="R393" s="206">
        <f t="shared" si="77"/>
        <v>0</v>
      </c>
      <c r="S393" s="206">
        <f t="shared" si="78"/>
        <v>0</v>
      </c>
      <c r="T393" s="206">
        <f t="shared" si="79"/>
        <v>0</v>
      </c>
      <c r="U393" s="206">
        <f t="shared" si="79"/>
        <v>0</v>
      </c>
      <c r="V393" s="207" t="str">
        <f t="shared" si="80"/>
        <v/>
      </c>
    </row>
    <row r="394" spans="1:22" x14ac:dyDescent="0.3">
      <c r="J394" s="185" t="str">
        <f t="shared" si="81"/>
        <v/>
      </c>
      <c r="K394" s="185" t="str">
        <f t="shared" si="82"/>
        <v/>
      </c>
      <c r="L394" s="185" t="str">
        <f t="shared" si="83"/>
        <v/>
      </c>
      <c r="M394" s="76" t="str">
        <f t="shared" si="84"/>
        <v/>
      </c>
      <c r="N394" s="26">
        <f t="shared" si="85"/>
        <v>0</v>
      </c>
      <c r="O394" s="235">
        <f t="shared" si="86"/>
        <v>0</v>
      </c>
      <c r="P394" s="235">
        <f t="shared" si="87"/>
        <v>0</v>
      </c>
      <c r="Q394" s="206">
        <f t="shared" si="88"/>
        <v>0</v>
      </c>
      <c r="R394" s="206">
        <f t="shared" si="77"/>
        <v>0</v>
      </c>
      <c r="S394" s="206">
        <f t="shared" si="78"/>
        <v>0</v>
      </c>
      <c r="T394" s="206">
        <f t="shared" si="79"/>
        <v>0</v>
      </c>
      <c r="U394" s="206">
        <f t="shared" si="79"/>
        <v>0</v>
      </c>
      <c r="V394" s="207" t="str">
        <f t="shared" si="80"/>
        <v/>
      </c>
    </row>
    <row r="395" spans="1:22" x14ac:dyDescent="0.3">
      <c r="J395" s="185" t="str">
        <f t="shared" si="81"/>
        <v/>
      </c>
      <c r="K395" s="185" t="str">
        <f t="shared" si="82"/>
        <v/>
      </c>
      <c r="L395" s="185" t="str">
        <f t="shared" si="83"/>
        <v/>
      </c>
      <c r="M395" s="76" t="str">
        <f t="shared" si="84"/>
        <v/>
      </c>
      <c r="N395" s="26">
        <f t="shared" si="85"/>
        <v>0</v>
      </c>
      <c r="O395" s="235">
        <f t="shared" si="86"/>
        <v>0</v>
      </c>
      <c r="P395" s="235">
        <f t="shared" si="87"/>
        <v>0</v>
      </c>
      <c r="Q395" s="206">
        <f t="shared" si="88"/>
        <v>0</v>
      </c>
      <c r="R395" s="206">
        <f t="shared" si="77"/>
        <v>0</v>
      </c>
      <c r="S395" s="206">
        <f t="shared" si="78"/>
        <v>0</v>
      </c>
      <c r="T395" s="206">
        <f t="shared" si="79"/>
        <v>0</v>
      </c>
      <c r="U395" s="206">
        <f t="shared" si="79"/>
        <v>0</v>
      </c>
      <c r="V395" s="207" t="str">
        <f t="shared" si="80"/>
        <v/>
      </c>
    </row>
    <row r="396" spans="1:22" x14ac:dyDescent="0.3">
      <c r="J396" s="185" t="str">
        <f t="shared" si="81"/>
        <v/>
      </c>
      <c r="K396" s="185" t="str">
        <f t="shared" si="82"/>
        <v/>
      </c>
      <c r="L396" s="185" t="str">
        <f t="shared" si="83"/>
        <v/>
      </c>
      <c r="M396" s="76" t="str">
        <f t="shared" si="84"/>
        <v/>
      </c>
      <c r="N396" s="26">
        <f t="shared" si="85"/>
        <v>0</v>
      </c>
      <c r="O396" s="235">
        <f t="shared" si="86"/>
        <v>0</v>
      </c>
      <c r="P396" s="235">
        <f t="shared" si="87"/>
        <v>0</v>
      </c>
      <c r="Q396" s="206">
        <f t="shared" si="88"/>
        <v>0</v>
      </c>
      <c r="R396" s="206">
        <f t="shared" si="77"/>
        <v>0</v>
      </c>
      <c r="S396" s="206">
        <f t="shared" si="78"/>
        <v>0</v>
      </c>
      <c r="T396" s="206">
        <f t="shared" si="79"/>
        <v>0</v>
      </c>
      <c r="U396" s="206">
        <f t="shared" si="79"/>
        <v>0</v>
      </c>
      <c r="V396" s="207" t="str">
        <f t="shared" si="80"/>
        <v/>
      </c>
    </row>
    <row r="397" spans="1:22" x14ac:dyDescent="0.3">
      <c r="J397" s="185" t="str">
        <f t="shared" si="81"/>
        <v/>
      </c>
      <c r="K397" s="185" t="str">
        <f t="shared" si="82"/>
        <v/>
      </c>
      <c r="L397" s="185" t="str">
        <f t="shared" si="83"/>
        <v/>
      </c>
      <c r="M397" s="76" t="str">
        <f t="shared" si="84"/>
        <v/>
      </c>
      <c r="N397" s="26">
        <f t="shared" si="85"/>
        <v>0</v>
      </c>
      <c r="O397" s="235">
        <f t="shared" si="86"/>
        <v>0</v>
      </c>
      <c r="P397" s="235">
        <f t="shared" si="87"/>
        <v>0</v>
      </c>
      <c r="Q397" s="206">
        <f t="shared" si="88"/>
        <v>0</v>
      </c>
      <c r="R397" s="206">
        <f t="shared" si="77"/>
        <v>0</v>
      </c>
      <c r="S397" s="206">
        <f t="shared" si="78"/>
        <v>0</v>
      </c>
      <c r="T397" s="206">
        <f t="shared" si="79"/>
        <v>0</v>
      </c>
      <c r="U397" s="206">
        <f t="shared" si="79"/>
        <v>0</v>
      </c>
      <c r="V397" s="207" t="str">
        <f t="shared" si="80"/>
        <v/>
      </c>
    </row>
    <row r="398" spans="1:22" x14ac:dyDescent="0.3">
      <c r="J398" s="185" t="str">
        <f t="shared" si="81"/>
        <v/>
      </c>
      <c r="K398" s="185" t="str">
        <f t="shared" si="82"/>
        <v/>
      </c>
      <c r="L398" s="185" t="str">
        <f t="shared" si="83"/>
        <v/>
      </c>
      <c r="M398" s="76" t="str">
        <f t="shared" si="84"/>
        <v/>
      </c>
      <c r="N398" s="26">
        <f t="shared" si="85"/>
        <v>0</v>
      </c>
      <c r="O398" s="235">
        <f t="shared" si="86"/>
        <v>0</v>
      </c>
      <c r="P398" s="235">
        <f t="shared" si="87"/>
        <v>0</v>
      </c>
      <c r="Q398" s="206">
        <f t="shared" si="88"/>
        <v>0</v>
      </c>
      <c r="R398" s="206">
        <f t="shared" si="77"/>
        <v>0</v>
      </c>
      <c r="S398" s="206">
        <f t="shared" si="78"/>
        <v>0</v>
      </c>
      <c r="T398" s="206">
        <f t="shared" si="79"/>
        <v>0</v>
      </c>
      <c r="U398" s="206">
        <f t="shared" si="79"/>
        <v>0</v>
      </c>
      <c r="V398" s="207" t="str">
        <f t="shared" si="80"/>
        <v/>
      </c>
    </row>
    <row r="399" spans="1:22" x14ac:dyDescent="0.3">
      <c r="J399" s="185" t="str">
        <f t="shared" si="81"/>
        <v/>
      </c>
      <c r="K399" s="185" t="str">
        <f t="shared" si="82"/>
        <v/>
      </c>
      <c r="L399" s="185" t="str">
        <f t="shared" si="83"/>
        <v/>
      </c>
      <c r="M399" s="76" t="str">
        <f t="shared" si="84"/>
        <v/>
      </c>
      <c r="N399" s="26">
        <f t="shared" si="85"/>
        <v>0</v>
      </c>
      <c r="O399" s="235">
        <f t="shared" si="86"/>
        <v>0</v>
      </c>
      <c r="P399" s="235">
        <f t="shared" si="87"/>
        <v>0</v>
      </c>
      <c r="Q399" s="206">
        <f t="shared" si="88"/>
        <v>0</v>
      </c>
      <c r="R399" s="206">
        <f t="shared" si="77"/>
        <v>0</v>
      </c>
      <c r="S399" s="206">
        <f t="shared" si="78"/>
        <v>0</v>
      </c>
      <c r="T399" s="206">
        <f t="shared" si="79"/>
        <v>0</v>
      </c>
      <c r="U399" s="206">
        <f t="shared" si="79"/>
        <v>0</v>
      </c>
      <c r="V399" s="207" t="str">
        <f t="shared" si="80"/>
        <v/>
      </c>
    </row>
    <row r="400" spans="1:22" x14ac:dyDescent="0.3">
      <c r="A400" s="185" t="s">
        <v>1209</v>
      </c>
      <c r="J400" s="185" t="str">
        <f t="shared" si="81"/>
        <v/>
      </c>
      <c r="K400" s="185" t="str">
        <f t="shared" si="82"/>
        <v/>
      </c>
      <c r="L400" s="185" t="str">
        <f t="shared" si="83"/>
        <v/>
      </c>
      <c r="M400" s="76" t="str">
        <f t="shared" si="84"/>
        <v/>
      </c>
      <c r="N400" s="26">
        <f t="shared" si="85"/>
        <v>0</v>
      </c>
      <c r="O400" s="235">
        <f t="shared" si="86"/>
        <v>0</v>
      </c>
      <c r="P400" s="235">
        <f t="shared" si="87"/>
        <v>0</v>
      </c>
      <c r="Q400" s="206">
        <f t="shared" si="88"/>
        <v>0</v>
      </c>
      <c r="R400" s="206">
        <f t="shared" si="77"/>
        <v>0</v>
      </c>
      <c r="S400" s="206">
        <f t="shared" si="78"/>
        <v>0</v>
      </c>
      <c r="T400" s="206">
        <f t="shared" si="79"/>
        <v>0</v>
      </c>
      <c r="U400" s="206">
        <f t="shared" si="79"/>
        <v>0</v>
      </c>
      <c r="V400" s="207" t="str">
        <f t="shared" si="80"/>
        <v/>
      </c>
    </row>
    <row r="401" spans="1:22" x14ac:dyDescent="0.3">
      <c r="A401" t="s">
        <v>1172</v>
      </c>
      <c r="J401" s="185" t="str">
        <f t="shared" si="81"/>
        <v/>
      </c>
      <c r="K401" s="185" t="str">
        <f t="shared" si="82"/>
        <v/>
      </c>
      <c r="L401" s="185" t="str">
        <f t="shared" si="83"/>
        <v/>
      </c>
      <c r="M401" s="76" t="str">
        <f t="shared" si="84"/>
        <v/>
      </c>
      <c r="N401" s="26">
        <f t="shared" si="85"/>
        <v>0</v>
      </c>
      <c r="O401" s="235">
        <f t="shared" si="86"/>
        <v>0</v>
      </c>
      <c r="P401" s="235">
        <f t="shared" si="87"/>
        <v>0</v>
      </c>
      <c r="Q401" s="206">
        <f t="shared" si="88"/>
        <v>0</v>
      </c>
      <c r="R401" s="206">
        <f t="shared" si="77"/>
        <v>0</v>
      </c>
      <c r="S401" s="206">
        <f t="shared" si="78"/>
        <v>0</v>
      </c>
      <c r="T401" s="206">
        <f t="shared" si="79"/>
        <v>0</v>
      </c>
      <c r="U401" s="206">
        <f t="shared" si="79"/>
        <v>0</v>
      </c>
      <c r="V401" s="207" t="str">
        <f t="shared" si="80"/>
        <v/>
      </c>
    </row>
    <row r="402" spans="1:22" x14ac:dyDescent="0.3">
      <c r="A402" s="113"/>
      <c r="J402" s="185" t="str">
        <f t="shared" si="81"/>
        <v/>
      </c>
      <c r="K402" s="185" t="str">
        <f t="shared" si="82"/>
        <v/>
      </c>
      <c r="L402" s="185" t="str">
        <f t="shared" si="83"/>
        <v/>
      </c>
      <c r="M402" s="76" t="str">
        <f t="shared" si="84"/>
        <v/>
      </c>
      <c r="N402" s="26">
        <f t="shared" si="85"/>
        <v>0</v>
      </c>
      <c r="O402" s="235">
        <f t="shared" si="86"/>
        <v>0</v>
      </c>
      <c r="P402" s="235">
        <f t="shared" si="87"/>
        <v>0</v>
      </c>
      <c r="Q402" s="206">
        <f t="shared" si="88"/>
        <v>0</v>
      </c>
      <c r="R402" s="206">
        <f t="shared" si="77"/>
        <v>0</v>
      </c>
      <c r="S402" s="206">
        <f t="shared" si="78"/>
        <v>0</v>
      </c>
      <c r="T402" s="206">
        <f t="shared" si="79"/>
        <v>0</v>
      </c>
      <c r="U402" s="206">
        <f t="shared" si="79"/>
        <v>0</v>
      </c>
      <c r="V402" s="207" t="str">
        <f t="shared" si="80"/>
        <v/>
      </c>
    </row>
    <row r="403" spans="1:22" x14ac:dyDescent="0.3">
      <c r="A403" s="113">
        <v>42599.665752314817</v>
      </c>
      <c r="J403" s="185" t="str">
        <f t="shared" si="81"/>
        <v/>
      </c>
      <c r="K403" s="185" t="str">
        <f t="shared" si="82"/>
        <v/>
      </c>
      <c r="L403" s="185" t="str">
        <f t="shared" si="83"/>
        <v/>
      </c>
      <c r="M403" s="76" t="str">
        <f t="shared" si="84"/>
        <v/>
      </c>
      <c r="N403" s="26">
        <f t="shared" si="85"/>
        <v>0</v>
      </c>
      <c r="O403" s="235">
        <f t="shared" si="86"/>
        <v>0</v>
      </c>
      <c r="P403" s="235">
        <f t="shared" si="87"/>
        <v>0</v>
      </c>
      <c r="Q403" s="206">
        <f t="shared" si="88"/>
        <v>0</v>
      </c>
      <c r="R403" s="206">
        <f t="shared" si="77"/>
        <v>0</v>
      </c>
      <c r="S403" s="206">
        <f t="shared" si="78"/>
        <v>0</v>
      </c>
      <c r="T403" s="206">
        <f t="shared" si="79"/>
        <v>0</v>
      </c>
      <c r="U403" s="206">
        <f t="shared" si="79"/>
        <v>0</v>
      </c>
      <c r="V403" s="207" t="str">
        <f t="shared" si="80"/>
        <v/>
      </c>
    </row>
    <row r="404" spans="1:22" x14ac:dyDescent="0.3">
      <c r="J404" s="185" t="str">
        <f t="shared" si="81"/>
        <v/>
      </c>
      <c r="K404" s="185" t="str">
        <f t="shared" si="82"/>
        <v/>
      </c>
      <c r="L404" s="185" t="str">
        <f t="shared" si="83"/>
        <v/>
      </c>
      <c r="M404" s="76" t="str">
        <f t="shared" si="84"/>
        <v/>
      </c>
      <c r="N404" s="26">
        <f t="shared" si="85"/>
        <v>0</v>
      </c>
      <c r="O404" s="235">
        <f t="shared" si="86"/>
        <v>0</v>
      </c>
      <c r="P404" s="235">
        <f t="shared" si="87"/>
        <v>0</v>
      </c>
      <c r="Q404" s="206">
        <f t="shared" si="88"/>
        <v>0</v>
      </c>
      <c r="R404" s="206">
        <f t="shared" si="77"/>
        <v>0</v>
      </c>
      <c r="S404" s="206">
        <f t="shared" si="78"/>
        <v>0</v>
      </c>
      <c r="T404" s="206">
        <f t="shared" si="79"/>
        <v>0</v>
      </c>
      <c r="U404" s="206">
        <f t="shared" si="79"/>
        <v>0</v>
      </c>
      <c r="V404" s="207" t="str">
        <f t="shared" si="80"/>
        <v/>
      </c>
    </row>
    <row r="405" spans="1:22" x14ac:dyDescent="0.3">
      <c r="A405" t="s">
        <v>1173</v>
      </c>
      <c r="J405" s="185" t="str">
        <f t="shared" si="81"/>
        <v/>
      </c>
      <c r="K405" s="185" t="str">
        <f t="shared" si="82"/>
        <v/>
      </c>
      <c r="L405" s="185" t="str">
        <f t="shared" si="83"/>
        <v/>
      </c>
      <c r="M405" s="76" t="str">
        <f t="shared" si="84"/>
        <v/>
      </c>
      <c r="N405" s="26">
        <f t="shared" si="85"/>
        <v>0</v>
      </c>
      <c r="O405" s="235">
        <f t="shared" si="86"/>
        <v>0</v>
      </c>
      <c r="P405" s="235">
        <f t="shared" si="87"/>
        <v>0</v>
      </c>
      <c r="Q405" s="206">
        <f t="shared" si="88"/>
        <v>0</v>
      </c>
      <c r="R405" s="206">
        <f t="shared" si="77"/>
        <v>0</v>
      </c>
      <c r="S405" s="206">
        <f t="shared" si="78"/>
        <v>0</v>
      </c>
      <c r="T405" s="206">
        <f t="shared" si="79"/>
        <v>0</v>
      </c>
      <c r="U405" s="206">
        <f t="shared" si="79"/>
        <v>0</v>
      </c>
      <c r="V405" s="207" t="str">
        <f t="shared" si="80"/>
        <v/>
      </c>
    </row>
    <row r="406" spans="1:22" x14ac:dyDescent="0.3">
      <c r="J406" s="185" t="str">
        <f t="shared" si="81"/>
        <v/>
      </c>
      <c r="K406" s="185" t="str">
        <f t="shared" si="82"/>
        <v/>
      </c>
      <c r="L406" s="185" t="str">
        <f t="shared" si="83"/>
        <v/>
      </c>
      <c r="M406" s="76" t="str">
        <f t="shared" si="84"/>
        <v/>
      </c>
      <c r="N406" s="26">
        <f t="shared" si="85"/>
        <v>0</v>
      </c>
      <c r="O406" s="235">
        <f t="shared" si="86"/>
        <v>0</v>
      </c>
      <c r="P406" s="235">
        <f t="shared" si="87"/>
        <v>0</v>
      </c>
      <c r="Q406" s="206">
        <f t="shared" si="88"/>
        <v>0</v>
      </c>
      <c r="R406" s="206">
        <f t="shared" si="77"/>
        <v>0</v>
      </c>
      <c r="S406" s="206">
        <f t="shared" si="78"/>
        <v>0</v>
      </c>
      <c r="T406" s="206">
        <f t="shared" si="79"/>
        <v>0</v>
      </c>
      <c r="U406" s="206">
        <f t="shared" si="79"/>
        <v>0</v>
      </c>
      <c r="V406" s="207" t="str">
        <f t="shared" si="80"/>
        <v/>
      </c>
    </row>
    <row r="407" spans="1:22" x14ac:dyDescent="0.3">
      <c r="A407" t="s">
        <v>68</v>
      </c>
      <c r="J407" s="185" t="str">
        <f t="shared" si="81"/>
        <v/>
      </c>
      <c r="K407" s="185" t="str">
        <f t="shared" si="82"/>
        <v/>
      </c>
      <c r="L407" s="185" t="str">
        <f t="shared" si="83"/>
        <v/>
      </c>
      <c r="M407" s="76" t="str">
        <f t="shared" si="84"/>
        <v/>
      </c>
      <c r="N407" s="26">
        <f t="shared" si="85"/>
        <v>0</v>
      </c>
      <c r="O407" s="235">
        <f t="shared" si="86"/>
        <v>0</v>
      </c>
      <c r="P407" s="235">
        <f t="shared" si="87"/>
        <v>0</v>
      </c>
      <c r="Q407" s="206">
        <f t="shared" si="88"/>
        <v>0</v>
      </c>
      <c r="R407" s="206">
        <f t="shared" si="77"/>
        <v>0</v>
      </c>
      <c r="S407" s="206">
        <f t="shared" si="78"/>
        <v>0</v>
      </c>
      <c r="T407" s="206">
        <f t="shared" si="79"/>
        <v>0</v>
      </c>
      <c r="U407" s="206">
        <f t="shared" si="79"/>
        <v>0</v>
      </c>
      <c r="V407" s="207" t="str">
        <f t="shared" si="80"/>
        <v/>
      </c>
    </row>
    <row r="408" spans="1:22" x14ac:dyDescent="0.3">
      <c r="J408" s="185" t="str">
        <f t="shared" si="81"/>
        <v/>
      </c>
      <c r="K408" s="185" t="str">
        <f t="shared" si="82"/>
        <v/>
      </c>
      <c r="L408" s="185" t="str">
        <f t="shared" si="83"/>
        <v/>
      </c>
      <c r="M408" s="76" t="str">
        <f t="shared" si="84"/>
        <v/>
      </c>
      <c r="N408" s="26">
        <f t="shared" si="85"/>
        <v>0</v>
      </c>
      <c r="O408" s="235">
        <f t="shared" si="86"/>
        <v>0</v>
      </c>
      <c r="P408" s="235">
        <f t="shared" si="87"/>
        <v>0</v>
      </c>
      <c r="Q408" s="206">
        <f t="shared" si="88"/>
        <v>0</v>
      </c>
      <c r="R408" s="206">
        <f t="shared" si="77"/>
        <v>0</v>
      </c>
      <c r="S408" s="206">
        <f t="shared" si="78"/>
        <v>0</v>
      </c>
      <c r="T408" s="206">
        <f t="shared" si="79"/>
        <v>0</v>
      </c>
      <c r="U408" s="206">
        <f t="shared" si="79"/>
        <v>0</v>
      </c>
      <c r="V408" s="207" t="str">
        <f t="shared" si="80"/>
        <v/>
      </c>
    </row>
    <row r="409" spans="1:22" x14ac:dyDescent="0.3">
      <c r="A409" t="s">
        <v>379</v>
      </c>
      <c r="J409" s="185" t="str">
        <f t="shared" si="81"/>
        <v/>
      </c>
      <c r="K409" s="185" t="str">
        <f t="shared" si="82"/>
        <v/>
      </c>
      <c r="L409" s="185" t="str">
        <f t="shared" si="83"/>
        <v/>
      </c>
      <c r="M409" s="76" t="str">
        <f t="shared" si="84"/>
        <v/>
      </c>
      <c r="N409" s="26">
        <f t="shared" si="85"/>
        <v>0</v>
      </c>
      <c r="O409" s="235">
        <f t="shared" si="86"/>
        <v>0</v>
      </c>
      <c r="P409" s="235">
        <f t="shared" si="87"/>
        <v>0</v>
      </c>
      <c r="Q409" s="206">
        <f t="shared" si="88"/>
        <v>0</v>
      </c>
      <c r="R409" s="206">
        <f t="shared" si="77"/>
        <v>0</v>
      </c>
      <c r="S409" s="206">
        <f t="shared" si="78"/>
        <v>0</v>
      </c>
      <c r="T409" s="206">
        <f t="shared" si="79"/>
        <v>0</v>
      </c>
      <c r="U409" s="206">
        <f t="shared" si="79"/>
        <v>0</v>
      </c>
      <c r="V409" s="207" t="str">
        <f t="shared" si="80"/>
        <v/>
      </c>
    </row>
    <row r="410" spans="1:22" x14ac:dyDescent="0.3">
      <c r="A410" t="s">
        <v>1174</v>
      </c>
      <c r="J410" s="185" t="str">
        <f t="shared" si="81"/>
        <v/>
      </c>
      <c r="K410" s="185" t="str">
        <f t="shared" si="82"/>
        <v/>
      </c>
      <c r="L410" s="185" t="str">
        <f t="shared" si="83"/>
        <v/>
      </c>
      <c r="M410" s="76" t="str">
        <f t="shared" si="84"/>
        <v/>
      </c>
      <c r="N410" s="26">
        <f t="shared" si="85"/>
        <v>0</v>
      </c>
      <c r="O410" s="235">
        <f t="shared" si="86"/>
        <v>0</v>
      </c>
      <c r="P410" s="235">
        <f t="shared" si="87"/>
        <v>0</v>
      </c>
      <c r="Q410" s="206">
        <f t="shared" si="88"/>
        <v>0</v>
      </c>
      <c r="R410" s="206">
        <f t="shared" si="77"/>
        <v>0</v>
      </c>
      <c r="S410" s="206">
        <f t="shared" si="78"/>
        <v>0</v>
      </c>
      <c r="T410" s="206">
        <f t="shared" si="79"/>
        <v>0</v>
      </c>
      <c r="U410" s="206">
        <f t="shared" si="79"/>
        <v>0</v>
      </c>
      <c r="V410" s="207" t="str">
        <f t="shared" si="80"/>
        <v/>
      </c>
    </row>
    <row r="411" spans="1:22" x14ac:dyDescent="0.3">
      <c r="A411" t="s">
        <v>1175</v>
      </c>
      <c r="J411" s="185" t="str">
        <f t="shared" si="81"/>
        <v/>
      </c>
      <c r="K411" s="185" t="str">
        <f t="shared" si="82"/>
        <v/>
      </c>
      <c r="L411" s="185" t="str">
        <f t="shared" si="83"/>
        <v/>
      </c>
      <c r="M411" s="76" t="str">
        <f t="shared" si="84"/>
        <v/>
      </c>
      <c r="N411" s="26">
        <f t="shared" si="85"/>
        <v>0</v>
      </c>
      <c r="O411" s="235">
        <f t="shared" si="86"/>
        <v>0</v>
      </c>
      <c r="P411" s="235">
        <f t="shared" si="87"/>
        <v>0</v>
      </c>
      <c r="Q411" s="206">
        <f t="shared" si="88"/>
        <v>0</v>
      </c>
      <c r="R411" s="206">
        <f t="shared" ref="R411:R474" si="89">IF($J411=29,VALUE(LEFT(B411,LEN(B411)-2)),0)</f>
        <v>0</v>
      </c>
      <c r="S411" s="206">
        <f t="shared" ref="S411:S474" si="90">IF($J411=29,VALUE(LEFT(C411,LEN(C411)-2)),0)</f>
        <v>0</v>
      </c>
      <c r="T411" s="206">
        <f t="shared" ref="T411:U474" si="91">IF($J411=29,VALUE(LEFT(D411,LEN(D411)-2)),0)</f>
        <v>0</v>
      </c>
      <c r="U411" s="206">
        <f t="shared" si="91"/>
        <v>0</v>
      </c>
      <c r="V411" s="207" t="str">
        <f t="shared" ref="V411:V474" si="92">IFERROR(N411/SUM(R411:U411),"")</f>
        <v/>
      </c>
    </row>
    <row r="412" spans="1:22" x14ac:dyDescent="0.3">
      <c r="A412" t="s">
        <v>1176</v>
      </c>
      <c r="J412" s="185" t="str">
        <f t="shared" si="81"/>
        <v/>
      </c>
      <c r="K412" s="185" t="str">
        <f t="shared" si="82"/>
        <v/>
      </c>
      <c r="L412" s="185" t="str">
        <f t="shared" si="83"/>
        <v/>
      </c>
      <c r="M412" s="76" t="str">
        <f t="shared" si="84"/>
        <v/>
      </c>
      <c r="N412" s="26">
        <f t="shared" si="85"/>
        <v>0</v>
      </c>
      <c r="O412" s="235">
        <f t="shared" si="86"/>
        <v>0</v>
      </c>
      <c r="P412" s="235">
        <f t="shared" si="87"/>
        <v>0</v>
      </c>
      <c r="Q412" s="206">
        <f t="shared" si="88"/>
        <v>0</v>
      </c>
      <c r="R412" s="206">
        <f t="shared" si="89"/>
        <v>0</v>
      </c>
      <c r="S412" s="206">
        <f t="shared" si="90"/>
        <v>0</v>
      </c>
      <c r="T412" s="206">
        <f t="shared" si="91"/>
        <v>0</v>
      </c>
      <c r="U412" s="206">
        <f t="shared" si="91"/>
        <v>0</v>
      </c>
      <c r="V412" s="207" t="str">
        <f t="shared" si="92"/>
        <v/>
      </c>
    </row>
    <row r="413" spans="1:22" x14ac:dyDescent="0.3">
      <c r="A413" t="s">
        <v>1177</v>
      </c>
      <c r="J413" s="185" t="str">
        <f t="shared" si="81"/>
        <v/>
      </c>
      <c r="K413" s="185" t="str">
        <f t="shared" si="82"/>
        <v/>
      </c>
      <c r="L413" s="185" t="str">
        <f t="shared" si="83"/>
        <v/>
      </c>
      <c r="M413" s="76" t="str">
        <f t="shared" si="84"/>
        <v/>
      </c>
      <c r="N413" s="26">
        <f t="shared" si="85"/>
        <v>0</v>
      </c>
      <c r="O413" s="235">
        <f t="shared" si="86"/>
        <v>0</v>
      </c>
      <c r="P413" s="235">
        <f t="shared" si="87"/>
        <v>0</v>
      </c>
      <c r="Q413" s="206">
        <f t="shared" si="88"/>
        <v>0</v>
      </c>
      <c r="R413" s="206">
        <f t="shared" si="89"/>
        <v>0</v>
      </c>
      <c r="S413" s="206">
        <f t="shared" si="90"/>
        <v>0</v>
      </c>
      <c r="T413" s="206">
        <f t="shared" si="91"/>
        <v>0</v>
      </c>
      <c r="U413" s="206">
        <f t="shared" si="91"/>
        <v>0</v>
      </c>
      <c r="V413" s="207" t="str">
        <f t="shared" si="92"/>
        <v/>
      </c>
    </row>
    <row r="414" spans="1:22" x14ac:dyDescent="0.3">
      <c r="A414" t="s">
        <v>1178</v>
      </c>
      <c r="J414" s="185" t="str">
        <f t="shared" si="81"/>
        <v/>
      </c>
      <c r="K414" s="185" t="str">
        <f t="shared" si="82"/>
        <v/>
      </c>
      <c r="L414" s="185" t="str">
        <f t="shared" si="83"/>
        <v/>
      </c>
      <c r="M414" s="76" t="str">
        <f t="shared" si="84"/>
        <v/>
      </c>
      <c r="N414" s="26">
        <f t="shared" si="85"/>
        <v>0</v>
      </c>
      <c r="O414" s="235">
        <f t="shared" si="86"/>
        <v>0</v>
      </c>
      <c r="P414" s="235">
        <f t="shared" si="87"/>
        <v>0</v>
      </c>
      <c r="Q414" s="206">
        <f t="shared" si="88"/>
        <v>0</v>
      </c>
      <c r="R414" s="206">
        <f t="shared" si="89"/>
        <v>0</v>
      </c>
      <c r="S414" s="206">
        <f t="shared" si="90"/>
        <v>0</v>
      </c>
      <c r="T414" s="206">
        <f t="shared" si="91"/>
        <v>0</v>
      </c>
      <c r="U414" s="206">
        <f t="shared" si="91"/>
        <v>0</v>
      </c>
      <c r="V414" s="207" t="str">
        <f t="shared" si="92"/>
        <v/>
      </c>
    </row>
    <row r="415" spans="1:22" x14ac:dyDescent="0.3">
      <c r="A415" t="s">
        <v>1179</v>
      </c>
      <c r="J415" s="185" t="str">
        <f t="shared" si="81"/>
        <v/>
      </c>
      <c r="K415" s="185" t="str">
        <f t="shared" si="82"/>
        <v/>
      </c>
      <c r="L415" s="185" t="str">
        <f t="shared" si="83"/>
        <v/>
      </c>
      <c r="M415" s="76" t="str">
        <f t="shared" si="84"/>
        <v/>
      </c>
      <c r="N415" s="26">
        <f t="shared" si="85"/>
        <v>0</v>
      </c>
      <c r="O415" s="235">
        <f t="shared" si="86"/>
        <v>0</v>
      </c>
      <c r="P415" s="235">
        <f t="shared" si="87"/>
        <v>0</v>
      </c>
      <c r="Q415" s="206">
        <f t="shared" si="88"/>
        <v>0</v>
      </c>
      <c r="R415" s="206">
        <f t="shared" si="89"/>
        <v>0</v>
      </c>
      <c r="S415" s="206">
        <f t="shared" si="90"/>
        <v>0</v>
      </c>
      <c r="T415" s="206">
        <f t="shared" si="91"/>
        <v>0</v>
      </c>
      <c r="U415" s="206">
        <f t="shared" si="91"/>
        <v>0</v>
      </c>
      <c r="V415" s="207" t="str">
        <f t="shared" si="92"/>
        <v/>
      </c>
    </row>
    <row r="416" spans="1:22" x14ac:dyDescent="0.3">
      <c r="A416" t="s">
        <v>1180</v>
      </c>
      <c r="J416" s="185" t="str">
        <f t="shared" si="81"/>
        <v/>
      </c>
      <c r="K416" s="185" t="str">
        <f t="shared" si="82"/>
        <v/>
      </c>
      <c r="L416" s="185" t="str">
        <f t="shared" si="83"/>
        <v/>
      </c>
      <c r="M416" s="76" t="str">
        <f t="shared" si="84"/>
        <v/>
      </c>
      <c r="N416" s="26">
        <f t="shared" si="85"/>
        <v>0</v>
      </c>
      <c r="O416" s="235">
        <f t="shared" si="86"/>
        <v>0</v>
      </c>
      <c r="P416" s="235">
        <f t="shared" si="87"/>
        <v>0</v>
      </c>
      <c r="Q416" s="206">
        <f t="shared" si="88"/>
        <v>0</v>
      </c>
      <c r="R416" s="206">
        <f t="shared" si="89"/>
        <v>0</v>
      </c>
      <c r="S416" s="206">
        <f t="shared" si="90"/>
        <v>0</v>
      </c>
      <c r="T416" s="206">
        <f t="shared" si="91"/>
        <v>0</v>
      </c>
      <c r="U416" s="206">
        <f t="shared" si="91"/>
        <v>0</v>
      </c>
      <c r="V416" s="207" t="str">
        <f t="shared" si="92"/>
        <v/>
      </c>
    </row>
    <row r="417" spans="1:22" x14ac:dyDescent="0.3">
      <c r="A417" t="s">
        <v>1181</v>
      </c>
      <c r="J417" s="185" t="str">
        <f t="shared" si="81"/>
        <v/>
      </c>
      <c r="K417" s="185" t="str">
        <f t="shared" si="82"/>
        <v/>
      </c>
      <c r="L417" s="185" t="str">
        <f t="shared" si="83"/>
        <v/>
      </c>
      <c r="M417" s="76" t="str">
        <f t="shared" si="84"/>
        <v/>
      </c>
      <c r="N417" s="26">
        <f t="shared" si="85"/>
        <v>0</v>
      </c>
      <c r="O417" s="235">
        <f t="shared" si="86"/>
        <v>0</v>
      </c>
      <c r="P417" s="235">
        <f t="shared" si="87"/>
        <v>0</v>
      </c>
      <c r="Q417" s="206">
        <f t="shared" si="88"/>
        <v>0</v>
      </c>
      <c r="R417" s="206">
        <f t="shared" si="89"/>
        <v>0</v>
      </c>
      <c r="S417" s="206">
        <f t="shared" si="90"/>
        <v>0</v>
      </c>
      <c r="T417" s="206">
        <f t="shared" si="91"/>
        <v>0</v>
      </c>
      <c r="U417" s="206">
        <f t="shared" si="91"/>
        <v>0</v>
      </c>
      <c r="V417" s="207" t="str">
        <f t="shared" si="92"/>
        <v/>
      </c>
    </row>
    <row r="418" spans="1:22" x14ac:dyDescent="0.3">
      <c r="A418" t="s">
        <v>1163</v>
      </c>
      <c r="J418" s="185" t="str">
        <f t="shared" si="81"/>
        <v/>
      </c>
      <c r="K418" s="185" t="str">
        <f t="shared" si="82"/>
        <v/>
      </c>
      <c r="L418" s="185" t="str">
        <f t="shared" si="83"/>
        <v/>
      </c>
      <c r="M418" s="76" t="str">
        <f t="shared" si="84"/>
        <v/>
      </c>
      <c r="N418" s="26">
        <f t="shared" si="85"/>
        <v>0</v>
      </c>
      <c r="O418" s="235">
        <f t="shared" si="86"/>
        <v>0</v>
      </c>
      <c r="P418" s="235">
        <f t="shared" si="87"/>
        <v>0</v>
      </c>
      <c r="Q418" s="206">
        <f t="shared" si="88"/>
        <v>0</v>
      </c>
      <c r="R418" s="206">
        <f t="shared" si="89"/>
        <v>0</v>
      </c>
      <c r="S418" s="206">
        <f t="shared" si="90"/>
        <v>0</v>
      </c>
      <c r="T418" s="206">
        <f t="shared" si="91"/>
        <v>0</v>
      </c>
      <c r="U418" s="206">
        <f t="shared" si="91"/>
        <v>0</v>
      </c>
      <c r="V418" s="207" t="str">
        <f t="shared" si="92"/>
        <v/>
      </c>
    </row>
    <row r="419" spans="1:22" x14ac:dyDescent="0.3">
      <c r="A419" t="s">
        <v>384</v>
      </c>
      <c r="J419" s="185" t="str">
        <f t="shared" si="81"/>
        <v/>
      </c>
      <c r="K419" s="185" t="str">
        <f t="shared" si="82"/>
        <v/>
      </c>
      <c r="L419" s="185" t="str">
        <f t="shared" si="83"/>
        <v/>
      </c>
      <c r="M419" s="76" t="str">
        <f t="shared" si="84"/>
        <v/>
      </c>
      <c r="N419" s="26">
        <f t="shared" si="85"/>
        <v>0</v>
      </c>
      <c r="O419" s="235">
        <f t="shared" si="86"/>
        <v>0</v>
      </c>
      <c r="P419" s="235">
        <f t="shared" si="87"/>
        <v>0</v>
      </c>
      <c r="Q419" s="206">
        <f t="shared" si="88"/>
        <v>0</v>
      </c>
      <c r="R419" s="206">
        <f t="shared" si="89"/>
        <v>0</v>
      </c>
      <c r="S419" s="206">
        <f t="shared" si="90"/>
        <v>0</v>
      </c>
      <c r="T419" s="206">
        <f t="shared" si="91"/>
        <v>0</v>
      </c>
      <c r="U419" s="206">
        <f t="shared" si="91"/>
        <v>0</v>
      </c>
      <c r="V419" s="207" t="str">
        <f t="shared" si="92"/>
        <v/>
      </c>
    </row>
    <row r="420" spans="1:22" x14ac:dyDescent="0.3">
      <c r="A420" t="s">
        <v>1182</v>
      </c>
      <c r="J420" s="185" t="str">
        <f t="shared" si="81"/>
        <v/>
      </c>
      <c r="K420" s="185" t="str">
        <f t="shared" si="82"/>
        <v/>
      </c>
      <c r="L420" s="185" t="str">
        <f t="shared" si="83"/>
        <v/>
      </c>
      <c r="M420" s="76" t="str">
        <f t="shared" si="84"/>
        <v/>
      </c>
      <c r="N420" s="26">
        <f t="shared" si="85"/>
        <v>0</v>
      </c>
      <c r="O420" s="235">
        <f t="shared" si="86"/>
        <v>0</v>
      </c>
      <c r="P420" s="235">
        <f t="shared" si="87"/>
        <v>0</v>
      </c>
      <c r="Q420" s="206">
        <f t="shared" si="88"/>
        <v>0</v>
      </c>
      <c r="R420" s="206">
        <f t="shared" si="89"/>
        <v>0</v>
      </c>
      <c r="S420" s="206">
        <f t="shared" si="90"/>
        <v>0</v>
      </c>
      <c r="T420" s="206">
        <f t="shared" si="91"/>
        <v>0</v>
      </c>
      <c r="U420" s="206">
        <f t="shared" si="91"/>
        <v>0</v>
      </c>
      <c r="V420" s="207" t="str">
        <f t="shared" si="92"/>
        <v/>
      </c>
    </row>
    <row r="421" spans="1:22" x14ac:dyDescent="0.3">
      <c r="A421" t="s">
        <v>1164</v>
      </c>
      <c r="J421" s="185" t="str">
        <f t="shared" si="81"/>
        <v/>
      </c>
      <c r="K421" s="185" t="str">
        <f t="shared" si="82"/>
        <v/>
      </c>
      <c r="L421" s="185" t="str">
        <f t="shared" si="83"/>
        <v/>
      </c>
      <c r="M421" s="76" t="str">
        <f t="shared" si="84"/>
        <v/>
      </c>
      <c r="N421" s="26">
        <f t="shared" si="85"/>
        <v>0</v>
      </c>
      <c r="O421" s="235">
        <f t="shared" si="86"/>
        <v>0</v>
      </c>
      <c r="P421" s="235">
        <f t="shared" si="87"/>
        <v>0</v>
      </c>
      <c r="Q421" s="206">
        <f t="shared" si="88"/>
        <v>0</v>
      </c>
      <c r="R421" s="206">
        <f t="shared" si="89"/>
        <v>0</v>
      </c>
      <c r="S421" s="206">
        <f t="shared" si="90"/>
        <v>0</v>
      </c>
      <c r="T421" s="206">
        <f t="shared" si="91"/>
        <v>0</v>
      </c>
      <c r="U421" s="206">
        <f t="shared" si="91"/>
        <v>0</v>
      </c>
      <c r="V421" s="207" t="str">
        <f t="shared" si="92"/>
        <v/>
      </c>
    </row>
    <row r="422" spans="1:22" x14ac:dyDescent="0.3">
      <c r="A422" t="s">
        <v>905</v>
      </c>
      <c r="J422" s="185" t="str">
        <f t="shared" si="81"/>
        <v/>
      </c>
      <c r="K422" s="185" t="str">
        <f t="shared" si="82"/>
        <v/>
      </c>
      <c r="L422" s="185" t="str">
        <f t="shared" si="83"/>
        <v/>
      </c>
      <c r="M422" s="76" t="str">
        <f t="shared" si="84"/>
        <v/>
      </c>
      <c r="N422" s="26">
        <f t="shared" si="85"/>
        <v>0</v>
      </c>
      <c r="O422" s="235">
        <f t="shared" si="86"/>
        <v>0</v>
      </c>
      <c r="P422" s="235">
        <f t="shared" si="87"/>
        <v>0</v>
      </c>
      <c r="Q422" s="206">
        <f t="shared" si="88"/>
        <v>0</v>
      </c>
      <c r="R422" s="206">
        <f t="shared" si="89"/>
        <v>0</v>
      </c>
      <c r="S422" s="206">
        <f t="shared" si="90"/>
        <v>0</v>
      </c>
      <c r="T422" s="206">
        <f t="shared" si="91"/>
        <v>0</v>
      </c>
      <c r="U422" s="206">
        <f t="shared" si="91"/>
        <v>0</v>
      </c>
      <c r="V422" s="207" t="str">
        <f t="shared" si="92"/>
        <v/>
      </c>
    </row>
    <row r="423" spans="1:22" x14ac:dyDescent="0.3">
      <c r="A423" t="s">
        <v>1183</v>
      </c>
      <c r="J423" s="185" t="str">
        <f t="shared" si="81"/>
        <v/>
      </c>
      <c r="K423" s="185" t="str">
        <f t="shared" si="82"/>
        <v/>
      </c>
      <c r="L423" s="185" t="str">
        <f t="shared" si="83"/>
        <v/>
      </c>
      <c r="M423" s="76" t="str">
        <f t="shared" si="84"/>
        <v/>
      </c>
      <c r="N423" s="26">
        <f t="shared" si="85"/>
        <v>0</v>
      </c>
      <c r="O423" s="235">
        <f t="shared" si="86"/>
        <v>0</v>
      </c>
      <c r="P423" s="235">
        <f t="shared" si="87"/>
        <v>0</v>
      </c>
      <c r="Q423" s="206">
        <f t="shared" si="88"/>
        <v>0</v>
      </c>
      <c r="R423" s="206">
        <f t="shared" si="89"/>
        <v>0</v>
      </c>
      <c r="S423" s="206">
        <f t="shared" si="90"/>
        <v>0</v>
      </c>
      <c r="T423" s="206">
        <f t="shared" si="91"/>
        <v>0</v>
      </c>
      <c r="U423" s="206">
        <f t="shared" si="91"/>
        <v>0</v>
      </c>
      <c r="V423" s="207" t="str">
        <f t="shared" si="92"/>
        <v/>
      </c>
    </row>
    <row r="424" spans="1:22" x14ac:dyDescent="0.3">
      <c r="A424" t="s">
        <v>907</v>
      </c>
      <c r="J424" s="185" t="str">
        <f t="shared" si="81"/>
        <v/>
      </c>
      <c r="K424" s="185" t="str">
        <f t="shared" si="82"/>
        <v/>
      </c>
      <c r="L424" s="185" t="str">
        <f t="shared" si="83"/>
        <v/>
      </c>
      <c r="M424" s="76" t="str">
        <f t="shared" si="84"/>
        <v/>
      </c>
      <c r="N424" s="26">
        <f t="shared" si="85"/>
        <v>0</v>
      </c>
      <c r="O424" s="235">
        <f t="shared" si="86"/>
        <v>0</v>
      </c>
      <c r="P424" s="235">
        <f t="shared" si="87"/>
        <v>0</v>
      </c>
      <c r="Q424" s="206">
        <f t="shared" si="88"/>
        <v>0</v>
      </c>
      <c r="R424" s="206">
        <f t="shared" si="89"/>
        <v>0</v>
      </c>
      <c r="S424" s="206">
        <f t="shared" si="90"/>
        <v>0</v>
      </c>
      <c r="T424" s="206">
        <f t="shared" si="91"/>
        <v>0</v>
      </c>
      <c r="U424" s="206">
        <f t="shared" si="91"/>
        <v>0</v>
      </c>
      <c r="V424" s="207" t="str">
        <f t="shared" si="92"/>
        <v/>
      </c>
    </row>
    <row r="425" spans="1:22" x14ac:dyDescent="0.3">
      <c r="A425" t="s">
        <v>731</v>
      </c>
      <c r="J425" s="185" t="str">
        <f t="shared" si="81"/>
        <v/>
      </c>
      <c r="K425" s="185" t="str">
        <f t="shared" si="82"/>
        <v/>
      </c>
      <c r="L425" s="185" t="str">
        <f t="shared" si="83"/>
        <v/>
      </c>
      <c r="M425" s="76" t="str">
        <f t="shared" si="84"/>
        <v/>
      </c>
      <c r="N425" s="26">
        <f t="shared" si="85"/>
        <v>0</v>
      </c>
      <c r="O425" s="235">
        <f t="shared" si="86"/>
        <v>0</v>
      </c>
      <c r="P425" s="235">
        <f t="shared" si="87"/>
        <v>0</v>
      </c>
      <c r="Q425" s="206">
        <f t="shared" si="88"/>
        <v>0</v>
      </c>
      <c r="R425" s="206">
        <f t="shared" si="89"/>
        <v>0</v>
      </c>
      <c r="S425" s="206">
        <f t="shared" si="90"/>
        <v>0</v>
      </c>
      <c r="T425" s="206">
        <f t="shared" si="91"/>
        <v>0</v>
      </c>
      <c r="U425" s="206">
        <f t="shared" si="91"/>
        <v>0</v>
      </c>
      <c r="V425" s="207" t="str">
        <f t="shared" si="92"/>
        <v/>
      </c>
    </row>
    <row r="426" spans="1:22" x14ac:dyDescent="0.3">
      <c r="A426" t="s">
        <v>907</v>
      </c>
      <c r="J426" s="185" t="str">
        <f t="shared" si="81"/>
        <v/>
      </c>
      <c r="K426" s="185" t="str">
        <f t="shared" si="82"/>
        <v/>
      </c>
      <c r="L426" s="185" t="str">
        <f t="shared" si="83"/>
        <v/>
      </c>
      <c r="M426" s="76" t="str">
        <f t="shared" si="84"/>
        <v/>
      </c>
      <c r="N426" s="26">
        <f t="shared" si="85"/>
        <v>0</v>
      </c>
      <c r="O426" s="235">
        <f t="shared" si="86"/>
        <v>0</v>
      </c>
      <c r="P426" s="235">
        <f t="shared" si="87"/>
        <v>0</v>
      </c>
      <c r="Q426" s="206">
        <f t="shared" si="88"/>
        <v>0</v>
      </c>
      <c r="R426" s="206">
        <f t="shared" si="89"/>
        <v>0</v>
      </c>
      <c r="S426" s="206">
        <f t="shared" si="90"/>
        <v>0</v>
      </c>
      <c r="T426" s="206">
        <f t="shared" si="91"/>
        <v>0</v>
      </c>
      <c r="U426" s="206">
        <f t="shared" si="91"/>
        <v>0</v>
      </c>
      <c r="V426" s="207" t="str">
        <f t="shared" si="92"/>
        <v/>
      </c>
    </row>
    <row r="427" spans="1:22" x14ac:dyDescent="0.3">
      <c r="A427" t="s">
        <v>315</v>
      </c>
      <c r="J427" s="185" t="str">
        <f t="shared" si="81"/>
        <v/>
      </c>
      <c r="K427" s="185" t="str">
        <f t="shared" si="82"/>
        <v/>
      </c>
      <c r="L427" s="185" t="str">
        <f t="shared" si="83"/>
        <v/>
      </c>
      <c r="M427" s="76" t="str">
        <f t="shared" si="84"/>
        <v/>
      </c>
      <c r="N427" s="26">
        <f t="shared" si="85"/>
        <v>0</v>
      </c>
      <c r="O427" s="235">
        <f t="shared" si="86"/>
        <v>0</v>
      </c>
      <c r="P427" s="235">
        <f t="shared" si="87"/>
        <v>0</v>
      </c>
      <c r="Q427" s="206">
        <f t="shared" si="88"/>
        <v>0</v>
      </c>
      <c r="R427" s="206">
        <f t="shared" si="89"/>
        <v>0</v>
      </c>
      <c r="S427" s="206">
        <f t="shared" si="90"/>
        <v>0</v>
      </c>
      <c r="T427" s="206">
        <f t="shared" si="91"/>
        <v>0</v>
      </c>
      <c r="U427" s="206">
        <f t="shared" si="91"/>
        <v>0</v>
      </c>
      <c r="V427" s="207" t="str">
        <f t="shared" si="92"/>
        <v/>
      </c>
    </row>
    <row r="428" spans="1:22" x14ac:dyDescent="0.3">
      <c r="A428" t="s">
        <v>907</v>
      </c>
      <c r="J428" s="185" t="str">
        <f t="shared" si="81"/>
        <v/>
      </c>
      <c r="K428" s="185" t="str">
        <f t="shared" si="82"/>
        <v/>
      </c>
      <c r="L428" s="185" t="str">
        <f t="shared" si="83"/>
        <v/>
      </c>
      <c r="M428" s="76" t="str">
        <f t="shared" si="84"/>
        <v/>
      </c>
      <c r="N428" s="26">
        <f t="shared" si="85"/>
        <v>0</v>
      </c>
      <c r="O428" s="235">
        <f t="shared" si="86"/>
        <v>0</v>
      </c>
      <c r="P428" s="235">
        <f t="shared" si="87"/>
        <v>0</v>
      </c>
      <c r="Q428" s="206">
        <f t="shared" si="88"/>
        <v>0</v>
      </c>
      <c r="R428" s="206">
        <f t="shared" si="89"/>
        <v>0</v>
      </c>
      <c r="S428" s="206">
        <f t="shared" si="90"/>
        <v>0</v>
      </c>
      <c r="T428" s="206">
        <f t="shared" si="91"/>
        <v>0</v>
      </c>
      <c r="U428" s="206">
        <f t="shared" si="91"/>
        <v>0</v>
      </c>
      <c r="V428" s="207" t="str">
        <f t="shared" si="92"/>
        <v/>
      </c>
    </row>
    <row r="429" spans="1:22" x14ac:dyDescent="0.3">
      <c r="A429" s="1" t="s">
        <v>726</v>
      </c>
      <c r="J429" s="185" t="str">
        <f t="shared" ref="J429:J492" si="93">IFERROR(IF(FIND("Liste des vols",A429),LEN(A429),""),"")</f>
        <v/>
      </c>
      <c r="K429" s="185" t="str">
        <f t="shared" ref="K429:K492" si="94">IF(J429="","",LEFT(A429,3))</f>
        <v/>
      </c>
      <c r="L429" s="185" t="str">
        <f t="shared" ref="L429:L492" si="95">IF(K429&lt;&gt;"",MID(A429,7,3),"")</f>
        <v/>
      </c>
      <c r="M429" s="76" t="str">
        <f t="shared" ref="M429:M492" si="96">IF(K429&lt;&gt;"",CONCATENATE(K429,"/",L429),"")</f>
        <v/>
      </c>
      <c r="N429" s="26">
        <f t="shared" ref="N429:N492" si="97">IF(J429=29,VALUE(LEFT(F429,LEN(F429)-2)),0)</f>
        <v>0</v>
      </c>
      <c r="O429" s="235">
        <f t="shared" ref="O429:O492" si="98">IF(J429=29,-VALUE(G429),0)</f>
        <v>0</v>
      </c>
      <c r="P429" s="235">
        <f t="shared" ref="P429:P492" si="99">IF(J429=29,VALUE(LEFT(H429,LEN(H429)-2)),0)</f>
        <v>0</v>
      </c>
      <c r="Q429" s="206">
        <f t="shared" ref="Q429:Q492" si="100">IFERROR(VALUE(LEFT(RIGHT(A429,LEN(A429)-11),LEN(A429)-28)),0)</f>
        <v>0</v>
      </c>
      <c r="R429" s="206">
        <f t="shared" si="89"/>
        <v>0</v>
      </c>
      <c r="S429" s="206">
        <f t="shared" si="90"/>
        <v>0</v>
      </c>
      <c r="T429" s="206">
        <f t="shared" si="91"/>
        <v>0</v>
      </c>
      <c r="U429" s="206">
        <f t="shared" si="91"/>
        <v>0</v>
      </c>
      <c r="V429" s="207" t="str">
        <f t="shared" si="92"/>
        <v/>
      </c>
    </row>
    <row r="430" spans="1:22" x14ac:dyDescent="0.3">
      <c r="A430" t="s">
        <v>907</v>
      </c>
      <c r="J430" s="185" t="str">
        <f t="shared" si="93"/>
        <v/>
      </c>
      <c r="K430" s="185" t="str">
        <f t="shared" si="94"/>
        <v/>
      </c>
      <c r="L430" s="185" t="str">
        <f t="shared" si="95"/>
        <v/>
      </c>
      <c r="M430" s="76" t="str">
        <f t="shared" si="96"/>
        <v/>
      </c>
      <c r="N430" s="26">
        <f t="shared" si="97"/>
        <v>0</v>
      </c>
      <c r="O430" s="235">
        <f t="shared" si="98"/>
        <v>0</v>
      </c>
      <c r="P430" s="235">
        <f t="shared" si="99"/>
        <v>0</v>
      </c>
      <c r="Q430" s="206">
        <f t="shared" si="100"/>
        <v>0</v>
      </c>
      <c r="R430" s="206">
        <f t="shared" si="89"/>
        <v>0</v>
      </c>
      <c r="S430" s="206">
        <f t="shared" si="90"/>
        <v>0</v>
      </c>
      <c r="T430" s="206">
        <f t="shared" si="91"/>
        <v>0</v>
      </c>
      <c r="U430" s="206">
        <f t="shared" si="91"/>
        <v>0</v>
      </c>
      <c r="V430" s="207" t="str">
        <f t="shared" si="92"/>
        <v/>
      </c>
    </row>
    <row r="431" spans="1:22" x14ac:dyDescent="0.3">
      <c r="A431" s="1" t="s">
        <v>727</v>
      </c>
      <c r="J431" s="185" t="str">
        <f t="shared" si="93"/>
        <v/>
      </c>
      <c r="K431" s="185" t="str">
        <f t="shared" si="94"/>
        <v/>
      </c>
      <c r="L431" s="185" t="str">
        <f t="shared" si="95"/>
        <v/>
      </c>
      <c r="M431" s="76" t="str">
        <f t="shared" si="96"/>
        <v/>
      </c>
      <c r="N431" s="26">
        <f t="shared" si="97"/>
        <v>0</v>
      </c>
      <c r="O431" s="235">
        <f t="shared" si="98"/>
        <v>0</v>
      </c>
      <c r="P431" s="235">
        <f t="shared" si="99"/>
        <v>0</v>
      </c>
      <c r="Q431" s="206">
        <f t="shared" si="100"/>
        <v>0</v>
      </c>
      <c r="R431" s="206">
        <f t="shared" si="89"/>
        <v>0</v>
      </c>
      <c r="S431" s="206">
        <f t="shared" si="90"/>
        <v>0</v>
      </c>
      <c r="T431" s="206">
        <f t="shared" si="91"/>
        <v>0</v>
      </c>
      <c r="U431" s="206">
        <f t="shared" si="91"/>
        <v>0</v>
      </c>
      <c r="V431" s="207" t="str">
        <f t="shared" si="92"/>
        <v/>
      </c>
    </row>
    <row r="432" spans="1:22" x14ac:dyDescent="0.3">
      <c r="A432" t="s">
        <v>907</v>
      </c>
      <c r="J432" s="185" t="str">
        <f t="shared" si="93"/>
        <v/>
      </c>
      <c r="K432" s="185" t="str">
        <f t="shared" si="94"/>
        <v/>
      </c>
      <c r="L432" s="185" t="str">
        <f t="shared" si="95"/>
        <v/>
      </c>
      <c r="M432" s="76" t="str">
        <f t="shared" si="96"/>
        <v/>
      </c>
      <c r="N432" s="26">
        <f t="shared" si="97"/>
        <v>0</v>
      </c>
      <c r="O432" s="235">
        <f t="shared" si="98"/>
        <v>0</v>
      </c>
      <c r="P432" s="235">
        <f t="shared" si="99"/>
        <v>0</v>
      </c>
      <c r="Q432" s="206">
        <f t="shared" si="100"/>
        <v>0</v>
      </c>
      <c r="R432" s="206">
        <f t="shared" si="89"/>
        <v>0</v>
      </c>
      <c r="S432" s="206">
        <f t="shared" si="90"/>
        <v>0</v>
      </c>
      <c r="T432" s="206">
        <f t="shared" si="91"/>
        <v>0</v>
      </c>
      <c r="U432" s="206">
        <f t="shared" si="91"/>
        <v>0</v>
      </c>
      <c r="V432" s="207" t="str">
        <f t="shared" si="92"/>
        <v/>
      </c>
    </row>
    <row r="433" spans="1:22" x14ac:dyDescent="0.3">
      <c r="A433" s="1" t="s">
        <v>1138</v>
      </c>
      <c r="J433" s="185" t="str">
        <f t="shared" si="93"/>
        <v/>
      </c>
      <c r="K433" s="185" t="str">
        <f t="shared" si="94"/>
        <v/>
      </c>
      <c r="L433" s="185" t="str">
        <f t="shared" si="95"/>
        <v/>
      </c>
      <c r="M433" s="76" t="str">
        <f t="shared" si="96"/>
        <v/>
      </c>
      <c r="N433" s="26">
        <f t="shared" si="97"/>
        <v>0</v>
      </c>
      <c r="O433" s="235">
        <f t="shared" si="98"/>
        <v>0</v>
      </c>
      <c r="P433" s="235">
        <f t="shared" si="99"/>
        <v>0</v>
      </c>
      <c r="Q433" s="206">
        <f t="shared" si="100"/>
        <v>0</v>
      </c>
      <c r="R433" s="206">
        <f t="shared" si="89"/>
        <v>0</v>
      </c>
      <c r="S433" s="206">
        <f t="shared" si="90"/>
        <v>0</v>
      </c>
      <c r="T433" s="206">
        <f t="shared" si="91"/>
        <v>0</v>
      </c>
      <c r="U433" s="206">
        <f t="shared" si="91"/>
        <v>0</v>
      </c>
      <c r="V433" s="207" t="str">
        <f t="shared" si="92"/>
        <v/>
      </c>
    </row>
    <row r="434" spans="1:22" x14ac:dyDescent="0.3">
      <c r="A434" t="s">
        <v>907</v>
      </c>
      <c r="J434" s="185" t="str">
        <f t="shared" si="93"/>
        <v/>
      </c>
      <c r="K434" s="185" t="str">
        <f t="shared" si="94"/>
        <v/>
      </c>
      <c r="L434" s="185" t="str">
        <f t="shared" si="95"/>
        <v/>
      </c>
      <c r="M434" s="76" t="str">
        <f t="shared" si="96"/>
        <v/>
      </c>
      <c r="N434" s="26">
        <f t="shared" si="97"/>
        <v>0</v>
      </c>
      <c r="O434" s="235">
        <f t="shared" si="98"/>
        <v>0</v>
      </c>
      <c r="P434" s="235">
        <f t="shared" si="99"/>
        <v>0</v>
      </c>
      <c r="Q434" s="206">
        <f t="shared" si="100"/>
        <v>0</v>
      </c>
      <c r="R434" s="206">
        <f t="shared" si="89"/>
        <v>0</v>
      </c>
      <c r="S434" s="206">
        <f t="shared" si="90"/>
        <v>0</v>
      </c>
      <c r="T434" s="206">
        <f t="shared" si="91"/>
        <v>0</v>
      </c>
      <c r="U434" s="206">
        <f t="shared" si="91"/>
        <v>0</v>
      </c>
      <c r="V434" s="207" t="str">
        <f t="shared" si="92"/>
        <v/>
      </c>
    </row>
    <row r="435" spans="1:22" x14ac:dyDescent="0.3">
      <c r="A435" s="1" t="s">
        <v>427</v>
      </c>
      <c r="J435" s="185" t="str">
        <f t="shared" si="93"/>
        <v/>
      </c>
      <c r="K435" s="185" t="str">
        <f t="shared" si="94"/>
        <v/>
      </c>
      <c r="L435" s="185" t="str">
        <f t="shared" si="95"/>
        <v/>
      </c>
      <c r="M435" s="76" t="str">
        <f t="shared" si="96"/>
        <v/>
      </c>
      <c r="N435" s="26">
        <f t="shared" si="97"/>
        <v>0</v>
      </c>
      <c r="O435" s="235">
        <f t="shared" si="98"/>
        <v>0</v>
      </c>
      <c r="P435" s="235">
        <f t="shared" si="99"/>
        <v>0</v>
      </c>
      <c r="Q435" s="206">
        <f t="shared" si="100"/>
        <v>0</v>
      </c>
      <c r="R435" s="206">
        <f t="shared" si="89"/>
        <v>0</v>
      </c>
      <c r="S435" s="206">
        <f t="shared" si="90"/>
        <v>0</v>
      </c>
      <c r="T435" s="206">
        <f t="shared" si="91"/>
        <v>0</v>
      </c>
      <c r="U435" s="206">
        <f t="shared" si="91"/>
        <v>0</v>
      </c>
      <c r="V435" s="207" t="str">
        <f t="shared" si="92"/>
        <v/>
      </c>
    </row>
    <row r="436" spans="1:22" x14ac:dyDescent="0.3">
      <c r="A436" t="s">
        <v>907</v>
      </c>
      <c r="J436" s="185" t="str">
        <f t="shared" si="93"/>
        <v/>
      </c>
      <c r="K436" s="185" t="str">
        <f t="shared" si="94"/>
        <v/>
      </c>
      <c r="L436" s="185" t="str">
        <f t="shared" si="95"/>
        <v/>
      </c>
      <c r="M436" s="76" t="str">
        <f t="shared" si="96"/>
        <v/>
      </c>
      <c r="N436" s="26">
        <f t="shared" si="97"/>
        <v>0</v>
      </c>
      <c r="O436" s="235">
        <f t="shared" si="98"/>
        <v>0</v>
      </c>
      <c r="P436" s="235">
        <f t="shared" si="99"/>
        <v>0</v>
      </c>
      <c r="Q436" s="206">
        <f t="shared" si="100"/>
        <v>0</v>
      </c>
      <c r="R436" s="206">
        <f t="shared" si="89"/>
        <v>0</v>
      </c>
      <c r="S436" s="206">
        <f t="shared" si="90"/>
        <v>0</v>
      </c>
      <c r="T436" s="206">
        <f t="shared" si="91"/>
        <v>0</v>
      </c>
      <c r="U436" s="206">
        <f t="shared" si="91"/>
        <v>0</v>
      </c>
      <c r="V436" s="207" t="str">
        <f t="shared" si="92"/>
        <v/>
      </c>
    </row>
    <row r="437" spans="1:22" x14ac:dyDescent="0.3">
      <c r="A437" s="1" t="s">
        <v>428</v>
      </c>
      <c r="J437" s="185" t="str">
        <f t="shared" si="93"/>
        <v/>
      </c>
      <c r="K437" s="185" t="str">
        <f t="shared" si="94"/>
        <v/>
      </c>
      <c r="L437" s="185" t="str">
        <f t="shared" si="95"/>
        <v/>
      </c>
      <c r="M437" s="76" t="str">
        <f t="shared" si="96"/>
        <v/>
      </c>
      <c r="N437" s="26">
        <f t="shared" si="97"/>
        <v>0</v>
      </c>
      <c r="O437" s="235">
        <f t="shared" si="98"/>
        <v>0</v>
      </c>
      <c r="P437" s="235">
        <f t="shared" si="99"/>
        <v>0</v>
      </c>
      <c r="Q437" s="206">
        <f t="shared" si="100"/>
        <v>0</v>
      </c>
      <c r="R437" s="206">
        <f t="shared" si="89"/>
        <v>0</v>
      </c>
      <c r="S437" s="206">
        <f t="shared" si="90"/>
        <v>0</v>
      </c>
      <c r="T437" s="206">
        <f t="shared" si="91"/>
        <v>0</v>
      </c>
      <c r="U437" s="206">
        <f t="shared" si="91"/>
        <v>0</v>
      </c>
      <c r="V437" s="207" t="str">
        <f t="shared" si="92"/>
        <v/>
      </c>
    </row>
    <row r="438" spans="1:22" x14ac:dyDescent="0.3">
      <c r="A438" t="s">
        <v>907</v>
      </c>
      <c r="J438" s="185" t="str">
        <f t="shared" si="93"/>
        <v/>
      </c>
      <c r="K438" s="185" t="str">
        <f t="shared" si="94"/>
        <v/>
      </c>
      <c r="L438" s="185" t="str">
        <f t="shared" si="95"/>
        <v/>
      </c>
      <c r="M438" s="76" t="str">
        <f t="shared" si="96"/>
        <v/>
      </c>
      <c r="N438" s="26">
        <f t="shared" si="97"/>
        <v>0</v>
      </c>
      <c r="O438" s="235">
        <f t="shared" si="98"/>
        <v>0</v>
      </c>
      <c r="P438" s="235">
        <f t="shared" si="99"/>
        <v>0</v>
      </c>
      <c r="Q438" s="206">
        <f t="shared" si="100"/>
        <v>0</v>
      </c>
      <c r="R438" s="206">
        <f t="shared" si="89"/>
        <v>0</v>
      </c>
      <c r="S438" s="206">
        <f t="shared" si="90"/>
        <v>0</v>
      </c>
      <c r="T438" s="206">
        <f t="shared" si="91"/>
        <v>0</v>
      </c>
      <c r="U438" s="206">
        <f t="shared" si="91"/>
        <v>0</v>
      </c>
      <c r="V438" s="207" t="str">
        <f t="shared" si="92"/>
        <v/>
      </c>
    </row>
    <row r="439" spans="1:22" x14ac:dyDescent="0.3">
      <c r="A439" s="1" t="s">
        <v>1136</v>
      </c>
      <c r="J439" s="185" t="str">
        <f t="shared" si="93"/>
        <v/>
      </c>
      <c r="K439" s="185" t="str">
        <f t="shared" si="94"/>
        <v/>
      </c>
      <c r="L439" s="185" t="str">
        <f t="shared" si="95"/>
        <v/>
      </c>
      <c r="M439" s="76" t="str">
        <f t="shared" si="96"/>
        <v/>
      </c>
      <c r="N439" s="26">
        <f t="shared" si="97"/>
        <v>0</v>
      </c>
      <c r="O439" s="235">
        <f t="shared" si="98"/>
        <v>0</v>
      </c>
      <c r="P439" s="235">
        <f t="shared" si="99"/>
        <v>0</v>
      </c>
      <c r="Q439" s="206">
        <f t="shared" si="100"/>
        <v>0</v>
      </c>
      <c r="R439" s="206">
        <f t="shared" si="89"/>
        <v>0</v>
      </c>
      <c r="S439" s="206">
        <f t="shared" si="90"/>
        <v>0</v>
      </c>
      <c r="T439" s="206">
        <f t="shared" si="91"/>
        <v>0</v>
      </c>
      <c r="U439" s="206">
        <f t="shared" si="91"/>
        <v>0</v>
      </c>
      <c r="V439" s="207" t="str">
        <f t="shared" si="92"/>
        <v/>
      </c>
    </row>
    <row r="440" spans="1:22" x14ac:dyDescent="0.3">
      <c r="A440" t="s">
        <v>907</v>
      </c>
      <c r="J440" s="185" t="str">
        <f t="shared" si="93"/>
        <v/>
      </c>
      <c r="K440" s="185" t="str">
        <f t="shared" si="94"/>
        <v/>
      </c>
      <c r="L440" s="185" t="str">
        <f t="shared" si="95"/>
        <v/>
      </c>
      <c r="M440" s="76" t="str">
        <f t="shared" si="96"/>
        <v/>
      </c>
      <c r="N440" s="26">
        <f t="shared" si="97"/>
        <v>0</v>
      </c>
      <c r="O440" s="235">
        <f t="shared" si="98"/>
        <v>0</v>
      </c>
      <c r="P440" s="235">
        <f t="shared" si="99"/>
        <v>0</v>
      </c>
      <c r="Q440" s="206">
        <f t="shared" si="100"/>
        <v>0</v>
      </c>
      <c r="R440" s="206">
        <f t="shared" si="89"/>
        <v>0</v>
      </c>
      <c r="S440" s="206">
        <f t="shared" si="90"/>
        <v>0</v>
      </c>
      <c r="T440" s="206">
        <f t="shared" si="91"/>
        <v>0</v>
      </c>
      <c r="U440" s="206">
        <f t="shared" si="91"/>
        <v>0</v>
      </c>
      <c r="V440" s="207" t="str">
        <f t="shared" si="92"/>
        <v/>
      </c>
    </row>
    <row r="441" spans="1:22" x14ac:dyDescent="0.3">
      <c r="A441" s="1" t="s">
        <v>733</v>
      </c>
      <c r="J441" s="185" t="str">
        <f t="shared" si="93"/>
        <v/>
      </c>
      <c r="K441" s="185" t="str">
        <f t="shared" si="94"/>
        <v/>
      </c>
      <c r="L441" s="185" t="str">
        <f t="shared" si="95"/>
        <v/>
      </c>
      <c r="M441" s="76" t="str">
        <f t="shared" si="96"/>
        <v/>
      </c>
      <c r="N441" s="26">
        <f t="shared" si="97"/>
        <v>0</v>
      </c>
      <c r="O441" s="235">
        <f t="shared" si="98"/>
        <v>0</v>
      </c>
      <c r="P441" s="235">
        <f t="shared" si="99"/>
        <v>0</v>
      </c>
      <c r="Q441" s="206">
        <f t="shared" si="100"/>
        <v>0</v>
      </c>
      <c r="R441" s="206">
        <f t="shared" si="89"/>
        <v>0</v>
      </c>
      <c r="S441" s="206">
        <f t="shared" si="90"/>
        <v>0</v>
      </c>
      <c r="T441" s="206">
        <f t="shared" si="91"/>
        <v>0</v>
      </c>
      <c r="U441" s="206">
        <f t="shared" si="91"/>
        <v>0</v>
      </c>
      <c r="V441" s="207" t="str">
        <f t="shared" si="92"/>
        <v/>
      </c>
    </row>
    <row r="442" spans="1:22" x14ac:dyDescent="0.3">
      <c r="A442" t="s">
        <v>907</v>
      </c>
      <c r="J442" s="185" t="str">
        <f t="shared" si="93"/>
        <v/>
      </c>
      <c r="K442" s="185" t="str">
        <f t="shared" si="94"/>
        <v/>
      </c>
      <c r="L442" s="185" t="str">
        <f t="shared" si="95"/>
        <v/>
      </c>
      <c r="M442" s="76" t="str">
        <f t="shared" si="96"/>
        <v/>
      </c>
      <c r="N442" s="26">
        <f t="shared" si="97"/>
        <v>0</v>
      </c>
      <c r="O442" s="235">
        <f t="shared" si="98"/>
        <v>0</v>
      </c>
      <c r="P442" s="235">
        <f t="shared" si="99"/>
        <v>0</v>
      </c>
      <c r="Q442" s="206">
        <f t="shared" si="100"/>
        <v>0</v>
      </c>
      <c r="R442" s="206">
        <f t="shared" si="89"/>
        <v>0</v>
      </c>
      <c r="S442" s="206">
        <f t="shared" si="90"/>
        <v>0</v>
      </c>
      <c r="T442" s="206">
        <f t="shared" si="91"/>
        <v>0</v>
      </c>
      <c r="U442" s="206">
        <f t="shared" si="91"/>
        <v>0</v>
      </c>
      <c r="V442" s="207" t="str">
        <f t="shared" si="92"/>
        <v/>
      </c>
    </row>
    <row r="443" spans="1:22" x14ac:dyDescent="0.3">
      <c r="A443" t="s">
        <v>729</v>
      </c>
      <c r="G443" s="77"/>
      <c r="J443" s="185" t="str">
        <f t="shared" si="93"/>
        <v/>
      </c>
      <c r="K443" s="185" t="str">
        <f t="shared" si="94"/>
        <v/>
      </c>
      <c r="L443" s="185" t="str">
        <f t="shared" si="95"/>
        <v/>
      </c>
      <c r="M443" s="76" t="str">
        <f t="shared" si="96"/>
        <v/>
      </c>
      <c r="N443" s="26">
        <f t="shared" si="97"/>
        <v>0</v>
      </c>
      <c r="O443" s="235">
        <f t="shared" si="98"/>
        <v>0</v>
      </c>
      <c r="P443" s="235">
        <f t="shared" si="99"/>
        <v>0</v>
      </c>
      <c r="Q443" s="206">
        <f t="shared" si="100"/>
        <v>0</v>
      </c>
      <c r="R443" s="206">
        <f t="shared" si="89"/>
        <v>0</v>
      </c>
      <c r="S443" s="206">
        <f t="shared" si="90"/>
        <v>0</v>
      </c>
      <c r="T443" s="206">
        <f t="shared" si="91"/>
        <v>0</v>
      </c>
      <c r="U443" s="206">
        <f t="shared" si="91"/>
        <v>0</v>
      </c>
      <c r="V443" s="207" t="str">
        <f t="shared" si="92"/>
        <v/>
      </c>
    </row>
    <row r="444" spans="1:22" x14ac:dyDescent="0.3">
      <c r="A444" t="s">
        <v>907</v>
      </c>
      <c r="G444" s="77"/>
      <c r="J444" s="185" t="str">
        <f t="shared" si="93"/>
        <v/>
      </c>
      <c r="K444" s="185" t="str">
        <f t="shared" si="94"/>
        <v/>
      </c>
      <c r="L444" s="185" t="str">
        <f t="shared" si="95"/>
        <v/>
      </c>
      <c r="M444" s="76" t="str">
        <f t="shared" si="96"/>
        <v/>
      </c>
      <c r="N444" s="26">
        <f t="shared" si="97"/>
        <v>0</v>
      </c>
      <c r="O444" s="235">
        <f t="shared" si="98"/>
        <v>0</v>
      </c>
      <c r="P444" s="235">
        <f t="shared" si="99"/>
        <v>0</v>
      </c>
      <c r="Q444" s="206">
        <f t="shared" si="100"/>
        <v>0</v>
      </c>
      <c r="R444" s="206">
        <f t="shared" si="89"/>
        <v>0</v>
      </c>
      <c r="S444" s="206">
        <f t="shared" si="90"/>
        <v>0</v>
      </c>
      <c r="T444" s="206">
        <f t="shared" si="91"/>
        <v>0</v>
      </c>
      <c r="U444" s="206">
        <f t="shared" si="91"/>
        <v>0</v>
      </c>
      <c r="V444" s="207" t="str">
        <f t="shared" si="92"/>
        <v/>
      </c>
    </row>
    <row r="445" spans="1:22" x14ac:dyDescent="0.3">
      <c r="A445" t="s">
        <v>342</v>
      </c>
      <c r="G445" s="77"/>
      <c r="J445" s="185" t="str">
        <f t="shared" si="93"/>
        <v/>
      </c>
      <c r="K445" s="185" t="str">
        <f t="shared" si="94"/>
        <v/>
      </c>
      <c r="L445" s="185" t="str">
        <f t="shared" si="95"/>
        <v/>
      </c>
      <c r="M445" s="76" t="str">
        <f t="shared" si="96"/>
        <v/>
      </c>
      <c r="N445" s="26">
        <f t="shared" si="97"/>
        <v>0</v>
      </c>
      <c r="O445" s="235">
        <f t="shared" si="98"/>
        <v>0</v>
      </c>
      <c r="P445" s="235">
        <f t="shared" si="99"/>
        <v>0</v>
      </c>
      <c r="Q445" s="206">
        <f t="shared" si="100"/>
        <v>0</v>
      </c>
      <c r="R445" s="206">
        <f t="shared" si="89"/>
        <v>0</v>
      </c>
      <c r="S445" s="206">
        <f t="shared" si="90"/>
        <v>0</v>
      </c>
      <c r="T445" s="206">
        <f t="shared" si="91"/>
        <v>0</v>
      </c>
      <c r="U445" s="206">
        <f t="shared" si="91"/>
        <v>0</v>
      </c>
      <c r="V445" s="207" t="str">
        <f t="shared" si="92"/>
        <v/>
      </c>
    </row>
    <row r="446" spans="1:22" x14ac:dyDescent="0.3">
      <c r="A446" t="s">
        <v>907</v>
      </c>
      <c r="G446" s="77"/>
      <c r="J446" s="185" t="str">
        <f t="shared" si="93"/>
        <v/>
      </c>
      <c r="K446" s="185" t="str">
        <f t="shared" si="94"/>
        <v/>
      </c>
      <c r="L446" s="185" t="str">
        <f t="shared" si="95"/>
        <v/>
      </c>
      <c r="M446" s="76" t="str">
        <f t="shared" si="96"/>
        <v/>
      </c>
      <c r="N446" s="26">
        <f t="shared" si="97"/>
        <v>0</v>
      </c>
      <c r="O446" s="235">
        <f t="shared" si="98"/>
        <v>0</v>
      </c>
      <c r="P446" s="235">
        <f t="shared" si="99"/>
        <v>0</v>
      </c>
      <c r="Q446" s="206">
        <f t="shared" si="100"/>
        <v>0</v>
      </c>
      <c r="R446" s="206">
        <f t="shared" si="89"/>
        <v>0</v>
      </c>
      <c r="S446" s="206">
        <f t="shared" si="90"/>
        <v>0</v>
      </c>
      <c r="T446" s="206">
        <f t="shared" si="91"/>
        <v>0</v>
      </c>
      <c r="U446" s="206">
        <f t="shared" si="91"/>
        <v>0</v>
      </c>
      <c r="V446" s="207" t="str">
        <f t="shared" si="92"/>
        <v/>
      </c>
    </row>
    <row r="447" spans="1:22" x14ac:dyDescent="0.3">
      <c r="A447" t="s">
        <v>725</v>
      </c>
      <c r="G447" s="77"/>
      <c r="J447" s="185" t="str">
        <f t="shared" si="93"/>
        <v/>
      </c>
      <c r="K447" s="185" t="str">
        <f t="shared" si="94"/>
        <v/>
      </c>
      <c r="L447" s="185" t="str">
        <f t="shared" si="95"/>
        <v/>
      </c>
      <c r="M447" s="76" t="str">
        <f t="shared" si="96"/>
        <v/>
      </c>
      <c r="N447" s="26">
        <f t="shared" si="97"/>
        <v>0</v>
      </c>
      <c r="O447" s="235">
        <f t="shared" si="98"/>
        <v>0</v>
      </c>
      <c r="P447" s="235">
        <f t="shared" si="99"/>
        <v>0</v>
      </c>
      <c r="Q447" s="206">
        <f t="shared" si="100"/>
        <v>0</v>
      </c>
      <c r="R447" s="206">
        <f t="shared" si="89"/>
        <v>0</v>
      </c>
      <c r="S447" s="206">
        <f t="shared" si="90"/>
        <v>0</v>
      </c>
      <c r="T447" s="206">
        <f t="shared" si="91"/>
        <v>0</v>
      </c>
      <c r="U447" s="206">
        <f t="shared" si="91"/>
        <v>0</v>
      </c>
      <c r="V447" s="207" t="str">
        <f t="shared" si="92"/>
        <v/>
      </c>
    </row>
    <row r="448" spans="1:22" x14ac:dyDescent="0.3">
      <c r="A448" t="s">
        <v>907</v>
      </c>
      <c r="G448" s="77"/>
      <c r="J448" s="185" t="str">
        <f t="shared" si="93"/>
        <v/>
      </c>
      <c r="K448" s="185" t="str">
        <f t="shared" si="94"/>
        <v/>
      </c>
      <c r="L448" s="185" t="str">
        <f t="shared" si="95"/>
        <v/>
      </c>
      <c r="M448" s="76" t="str">
        <f t="shared" si="96"/>
        <v/>
      </c>
      <c r="N448" s="26">
        <f t="shared" si="97"/>
        <v>0</v>
      </c>
      <c r="O448" s="235">
        <f t="shared" si="98"/>
        <v>0</v>
      </c>
      <c r="P448" s="235">
        <f t="shared" si="99"/>
        <v>0</v>
      </c>
      <c r="Q448" s="206">
        <f t="shared" si="100"/>
        <v>0</v>
      </c>
      <c r="R448" s="206">
        <f t="shared" si="89"/>
        <v>0</v>
      </c>
      <c r="S448" s="206">
        <f t="shared" si="90"/>
        <v>0</v>
      </c>
      <c r="T448" s="206">
        <f t="shared" si="91"/>
        <v>0</v>
      </c>
      <c r="U448" s="206">
        <f t="shared" si="91"/>
        <v>0</v>
      </c>
      <c r="V448" s="207" t="str">
        <f t="shared" si="92"/>
        <v/>
      </c>
    </row>
    <row r="449" spans="1:22" x14ac:dyDescent="0.3">
      <c r="A449" t="s">
        <v>724</v>
      </c>
      <c r="G449" s="77"/>
      <c r="J449" s="185" t="str">
        <f t="shared" si="93"/>
        <v/>
      </c>
      <c r="K449" s="185" t="str">
        <f t="shared" si="94"/>
        <v/>
      </c>
      <c r="L449" s="185" t="str">
        <f t="shared" si="95"/>
        <v/>
      </c>
      <c r="M449" s="76" t="str">
        <f t="shared" si="96"/>
        <v/>
      </c>
      <c r="N449" s="26">
        <f t="shared" si="97"/>
        <v>0</v>
      </c>
      <c r="O449" s="235">
        <f t="shared" si="98"/>
        <v>0</v>
      </c>
      <c r="P449" s="235">
        <f t="shared" si="99"/>
        <v>0</v>
      </c>
      <c r="Q449" s="206">
        <f t="shared" si="100"/>
        <v>0</v>
      </c>
      <c r="R449" s="206">
        <f t="shared" si="89"/>
        <v>0</v>
      </c>
      <c r="S449" s="206">
        <f t="shared" si="90"/>
        <v>0</v>
      </c>
      <c r="T449" s="206">
        <f t="shared" si="91"/>
        <v>0</v>
      </c>
      <c r="U449" s="206">
        <f t="shared" si="91"/>
        <v>0</v>
      </c>
      <c r="V449" s="207" t="str">
        <f t="shared" si="92"/>
        <v/>
      </c>
    </row>
    <row r="450" spans="1:22" x14ac:dyDescent="0.3">
      <c r="A450" t="s">
        <v>907</v>
      </c>
      <c r="G450" s="77"/>
      <c r="J450" s="185" t="str">
        <f t="shared" si="93"/>
        <v/>
      </c>
      <c r="K450" s="185" t="str">
        <f t="shared" si="94"/>
        <v/>
      </c>
      <c r="L450" s="185" t="str">
        <f t="shared" si="95"/>
        <v/>
      </c>
      <c r="M450" s="76" t="str">
        <f t="shared" si="96"/>
        <v/>
      </c>
      <c r="N450" s="26">
        <f t="shared" si="97"/>
        <v>0</v>
      </c>
      <c r="O450" s="235">
        <f t="shared" si="98"/>
        <v>0</v>
      </c>
      <c r="P450" s="235">
        <f t="shared" si="99"/>
        <v>0</v>
      </c>
      <c r="Q450" s="206">
        <f t="shared" si="100"/>
        <v>0</v>
      </c>
      <c r="R450" s="206">
        <f t="shared" si="89"/>
        <v>0</v>
      </c>
      <c r="S450" s="206">
        <f t="shared" si="90"/>
        <v>0</v>
      </c>
      <c r="T450" s="206">
        <f t="shared" si="91"/>
        <v>0</v>
      </c>
      <c r="U450" s="206">
        <f t="shared" si="91"/>
        <v>0</v>
      </c>
      <c r="V450" s="207" t="str">
        <f t="shared" si="92"/>
        <v/>
      </c>
    </row>
    <row r="451" spans="1:22" x14ac:dyDescent="0.3">
      <c r="A451" t="s">
        <v>730</v>
      </c>
      <c r="G451" s="77"/>
      <c r="J451" s="185" t="str">
        <f t="shared" si="93"/>
        <v/>
      </c>
      <c r="K451" s="185" t="str">
        <f t="shared" si="94"/>
        <v/>
      </c>
      <c r="L451" s="185" t="str">
        <f t="shared" si="95"/>
        <v/>
      </c>
      <c r="M451" s="76" t="str">
        <f t="shared" si="96"/>
        <v/>
      </c>
      <c r="N451" s="26">
        <f t="shared" si="97"/>
        <v>0</v>
      </c>
      <c r="O451" s="235">
        <f t="shared" si="98"/>
        <v>0</v>
      </c>
      <c r="P451" s="235">
        <f t="shared" si="99"/>
        <v>0</v>
      </c>
      <c r="Q451" s="206">
        <f t="shared" si="100"/>
        <v>0</v>
      </c>
      <c r="R451" s="206">
        <f t="shared" si="89"/>
        <v>0</v>
      </c>
      <c r="S451" s="206">
        <f t="shared" si="90"/>
        <v>0</v>
      </c>
      <c r="T451" s="206">
        <f t="shared" si="91"/>
        <v>0</v>
      </c>
      <c r="U451" s="206">
        <f t="shared" si="91"/>
        <v>0</v>
      </c>
      <c r="V451" s="207" t="str">
        <f t="shared" si="92"/>
        <v/>
      </c>
    </row>
    <row r="452" spans="1:22" x14ac:dyDescent="0.3">
      <c r="A452" t="s">
        <v>907</v>
      </c>
      <c r="G452" s="77"/>
      <c r="J452" s="185" t="str">
        <f t="shared" si="93"/>
        <v/>
      </c>
      <c r="K452" s="185" t="str">
        <f t="shared" si="94"/>
        <v/>
      </c>
      <c r="L452" s="185" t="str">
        <f t="shared" si="95"/>
        <v/>
      </c>
      <c r="M452" s="76" t="str">
        <f t="shared" si="96"/>
        <v/>
      </c>
      <c r="N452" s="26">
        <f t="shared" si="97"/>
        <v>0</v>
      </c>
      <c r="O452" s="235">
        <f t="shared" si="98"/>
        <v>0</v>
      </c>
      <c r="P452" s="235">
        <f t="shared" si="99"/>
        <v>0</v>
      </c>
      <c r="Q452" s="206">
        <f t="shared" si="100"/>
        <v>0</v>
      </c>
      <c r="R452" s="206">
        <f t="shared" si="89"/>
        <v>0</v>
      </c>
      <c r="S452" s="206">
        <f t="shared" si="90"/>
        <v>0</v>
      </c>
      <c r="T452" s="206">
        <f t="shared" si="91"/>
        <v>0</v>
      </c>
      <c r="U452" s="206">
        <f t="shared" si="91"/>
        <v>0</v>
      </c>
      <c r="V452" s="207" t="str">
        <f t="shared" si="92"/>
        <v/>
      </c>
    </row>
    <row r="453" spans="1:22" x14ac:dyDescent="0.3">
      <c r="A453" t="s">
        <v>1137</v>
      </c>
      <c r="G453" s="77"/>
      <c r="J453" s="185" t="str">
        <f t="shared" si="93"/>
        <v/>
      </c>
      <c r="K453" s="185" t="str">
        <f t="shared" si="94"/>
        <v/>
      </c>
      <c r="L453" s="185" t="str">
        <f t="shared" si="95"/>
        <v/>
      </c>
      <c r="M453" s="76" t="str">
        <f t="shared" si="96"/>
        <v/>
      </c>
      <c r="N453" s="26">
        <f t="shared" si="97"/>
        <v>0</v>
      </c>
      <c r="O453" s="235">
        <f t="shared" si="98"/>
        <v>0</v>
      </c>
      <c r="P453" s="235">
        <f t="shared" si="99"/>
        <v>0</v>
      </c>
      <c r="Q453" s="206">
        <f t="shared" si="100"/>
        <v>0</v>
      </c>
      <c r="R453" s="206">
        <f t="shared" si="89"/>
        <v>0</v>
      </c>
      <c r="S453" s="206">
        <f t="shared" si="90"/>
        <v>0</v>
      </c>
      <c r="T453" s="206">
        <f t="shared" si="91"/>
        <v>0</v>
      </c>
      <c r="U453" s="206">
        <f t="shared" si="91"/>
        <v>0</v>
      </c>
      <c r="V453" s="207" t="str">
        <f t="shared" si="92"/>
        <v/>
      </c>
    </row>
    <row r="454" spans="1:22" x14ac:dyDescent="0.3">
      <c r="A454" t="s">
        <v>907</v>
      </c>
      <c r="G454" s="77"/>
      <c r="J454" s="185" t="str">
        <f t="shared" si="93"/>
        <v/>
      </c>
      <c r="K454" s="185" t="str">
        <f t="shared" si="94"/>
        <v/>
      </c>
      <c r="L454" s="185" t="str">
        <f t="shared" si="95"/>
        <v/>
      </c>
      <c r="M454" s="76" t="str">
        <f t="shared" si="96"/>
        <v/>
      </c>
      <c r="N454" s="26">
        <f t="shared" si="97"/>
        <v>0</v>
      </c>
      <c r="O454" s="235">
        <f t="shared" si="98"/>
        <v>0</v>
      </c>
      <c r="P454" s="235">
        <f t="shared" si="99"/>
        <v>0</v>
      </c>
      <c r="Q454" s="206">
        <f t="shared" si="100"/>
        <v>0</v>
      </c>
      <c r="R454" s="206">
        <f t="shared" si="89"/>
        <v>0</v>
      </c>
      <c r="S454" s="206">
        <f t="shared" si="90"/>
        <v>0</v>
      </c>
      <c r="T454" s="206">
        <f t="shared" si="91"/>
        <v>0</v>
      </c>
      <c r="U454" s="206">
        <f t="shared" si="91"/>
        <v>0</v>
      </c>
      <c r="V454" s="207" t="str">
        <f t="shared" si="92"/>
        <v/>
      </c>
    </row>
    <row r="455" spans="1:22" x14ac:dyDescent="0.3">
      <c r="A455" t="s">
        <v>732</v>
      </c>
      <c r="G455" s="77"/>
      <c r="J455" s="185" t="str">
        <f t="shared" si="93"/>
        <v/>
      </c>
      <c r="K455" s="185" t="str">
        <f t="shared" si="94"/>
        <v/>
      </c>
      <c r="L455" s="185" t="str">
        <f t="shared" si="95"/>
        <v/>
      </c>
      <c r="M455" s="76" t="str">
        <f t="shared" si="96"/>
        <v/>
      </c>
      <c r="N455" s="26">
        <f t="shared" si="97"/>
        <v>0</v>
      </c>
      <c r="O455" s="235">
        <f t="shared" si="98"/>
        <v>0</v>
      </c>
      <c r="P455" s="235">
        <f t="shared" si="99"/>
        <v>0</v>
      </c>
      <c r="Q455" s="206">
        <f t="shared" si="100"/>
        <v>0</v>
      </c>
      <c r="R455" s="206">
        <f t="shared" si="89"/>
        <v>0</v>
      </c>
      <c r="S455" s="206">
        <f t="shared" si="90"/>
        <v>0</v>
      </c>
      <c r="T455" s="206">
        <f t="shared" si="91"/>
        <v>0</v>
      </c>
      <c r="U455" s="206">
        <f t="shared" si="91"/>
        <v>0</v>
      </c>
      <c r="V455" s="207" t="str">
        <f t="shared" si="92"/>
        <v/>
      </c>
    </row>
    <row r="456" spans="1:22" x14ac:dyDescent="0.3">
      <c r="A456" t="s">
        <v>907</v>
      </c>
      <c r="G456" s="77"/>
      <c r="J456" s="185" t="str">
        <f t="shared" si="93"/>
        <v/>
      </c>
      <c r="K456" s="185" t="str">
        <f t="shared" si="94"/>
        <v/>
      </c>
      <c r="L456" s="185" t="str">
        <f t="shared" si="95"/>
        <v/>
      </c>
      <c r="M456" s="76" t="str">
        <f t="shared" si="96"/>
        <v/>
      </c>
      <c r="N456" s="26">
        <f t="shared" si="97"/>
        <v>0</v>
      </c>
      <c r="O456" s="235">
        <f t="shared" si="98"/>
        <v>0</v>
      </c>
      <c r="P456" s="235">
        <f t="shared" si="99"/>
        <v>0</v>
      </c>
      <c r="Q456" s="206">
        <f t="shared" si="100"/>
        <v>0</v>
      </c>
      <c r="R456" s="206">
        <f t="shared" si="89"/>
        <v>0</v>
      </c>
      <c r="S456" s="206">
        <f t="shared" si="90"/>
        <v>0</v>
      </c>
      <c r="T456" s="206">
        <f t="shared" si="91"/>
        <v>0</v>
      </c>
      <c r="U456" s="206">
        <f t="shared" si="91"/>
        <v>0</v>
      </c>
      <c r="V456" s="207" t="str">
        <f t="shared" si="92"/>
        <v/>
      </c>
    </row>
    <row r="457" spans="1:22" x14ac:dyDescent="0.3">
      <c r="A457" t="s">
        <v>728</v>
      </c>
      <c r="G457" s="77"/>
      <c r="J457" s="185" t="str">
        <f t="shared" si="93"/>
        <v/>
      </c>
      <c r="K457" s="185" t="str">
        <f t="shared" si="94"/>
        <v/>
      </c>
      <c r="L457" s="185" t="str">
        <f t="shared" si="95"/>
        <v/>
      </c>
      <c r="M457" s="76" t="str">
        <f t="shared" si="96"/>
        <v/>
      </c>
      <c r="N457" s="26">
        <f t="shared" si="97"/>
        <v>0</v>
      </c>
      <c r="O457" s="235">
        <f t="shared" si="98"/>
        <v>0</v>
      </c>
      <c r="P457" s="235">
        <f t="shared" si="99"/>
        <v>0</v>
      </c>
      <c r="Q457" s="206">
        <f t="shared" si="100"/>
        <v>0</v>
      </c>
      <c r="R457" s="206">
        <f t="shared" si="89"/>
        <v>0</v>
      </c>
      <c r="S457" s="206">
        <f t="shared" si="90"/>
        <v>0</v>
      </c>
      <c r="T457" s="206">
        <f t="shared" si="91"/>
        <v>0</v>
      </c>
      <c r="U457" s="206">
        <f t="shared" si="91"/>
        <v>0</v>
      </c>
      <c r="V457" s="207" t="str">
        <f t="shared" si="92"/>
        <v/>
      </c>
    </row>
    <row r="458" spans="1:22" x14ac:dyDescent="0.3">
      <c r="A458" t="s">
        <v>1184</v>
      </c>
      <c r="G458" s="77"/>
      <c r="J458" s="185" t="str">
        <f t="shared" si="93"/>
        <v/>
      </c>
      <c r="K458" s="185" t="str">
        <f t="shared" si="94"/>
        <v/>
      </c>
      <c r="L458" s="185" t="str">
        <f t="shared" si="95"/>
        <v/>
      </c>
      <c r="M458" s="76" t="str">
        <f t="shared" si="96"/>
        <v/>
      </c>
      <c r="N458" s="26">
        <f t="shared" si="97"/>
        <v>0</v>
      </c>
      <c r="O458" s="235">
        <f t="shared" si="98"/>
        <v>0</v>
      </c>
      <c r="P458" s="235">
        <f t="shared" si="99"/>
        <v>0</v>
      </c>
      <c r="Q458" s="206">
        <f t="shared" si="100"/>
        <v>0</v>
      </c>
      <c r="R458" s="206">
        <f t="shared" si="89"/>
        <v>0</v>
      </c>
      <c r="S458" s="206">
        <f t="shared" si="90"/>
        <v>0</v>
      </c>
      <c r="T458" s="206">
        <f t="shared" si="91"/>
        <v>0</v>
      </c>
      <c r="U458" s="206">
        <f t="shared" si="91"/>
        <v>0</v>
      </c>
      <c r="V458" s="207" t="str">
        <f t="shared" si="92"/>
        <v/>
      </c>
    </row>
    <row r="459" spans="1:22" x14ac:dyDescent="0.3">
      <c r="A459" t="s">
        <v>1185</v>
      </c>
      <c r="G459" s="77"/>
      <c r="J459" s="185" t="str">
        <f t="shared" si="93"/>
        <v/>
      </c>
      <c r="K459" s="185" t="str">
        <f t="shared" si="94"/>
        <v/>
      </c>
      <c r="L459" s="185" t="str">
        <f t="shared" si="95"/>
        <v/>
      </c>
      <c r="M459" s="76" t="str">
        <f t="shared" si="96"/>
        <v/>
      </c>
      <c r="N459" s="26">
        <f t="shared" si="97"/>
        <v>0</v>
      </c>
      <c r="O459" s="235">
        <f t="shared" si="98"/>
        <v>0</v>
      </c>
      <c r="P459" s="235">
        <f t="shared" si="99"/>
        <v>0</v>
      </c>
      <c r="Q459" s="206">
        <f t="shared" si="100"/>
        <v>0</v>
      </c>
      <c r="R459" s="206">
        <f t="shared" si="89"/>
        <v>0</v>
      </c>
      <c r="S459" s="206">
        <f t="shared" si="90"/>
        <v>0</v>
      </c>
      <c r="T459" s="206">
        <f t="shared" si="91"/>
        <v>0</v>
      </c>
      <c r="U459" s="206">
        <f t="shared" si="91"/>
        <v>0</v>
      </c>
      <c r="V459" s="207" t="str">
        <f t="shared" si="92"/>
        <v/>
      </c>
    </row>
    <row r="460" spans="1:22" x14ac:dyDescent="0.3">
      <c r="A460" t="s">
        <v>1186</v>
      </c>
      <c r="G460" s="77"/>
      <c r="J460" s="185" t="str">
        <f t="shared" si="93"/>
        <v/>
      </c>
      <c r="K460" s="185" t="str">
        <f t="shared" si="94"/>
        <v/>
      </c>
      <c r="L460" s="185" t="str">
        <f t="shared" si="95"/>
        <v/>
      </c>
      <c r="M460" s="76" t="str">
        <f t="shared" si="96"/>
        <v/>
      </c>
      <c r="N460" s="26">
        <f t="shared" si="97"/>
        <v>0</v>
      </c>
      <c r="O460" s="235">
        <f t="shared" si="98"/>
        <v>0</v>
      </c>
      <c r="P460" s="235">
        <f t="shared" si="99"/>
        <v>0</v>
      </c>
      <c r="Q460" s="206">
        <f t="shared" si="100"/>
        <v>0</v>
      </c>
      <c r="R460" s="206">
        <f t="shared" si="89"/>
        <v>0</v>
      </c>
      <c r="S460" s="206">
        <f t="shared" si="90"/>
        <v>0</v>
      </c>
      <c r="T460" s="206">
        <f t="shared" si="91"/>
        <v>0</v>
      </c>
      <c r="U460" s="206">
        <f t="shared" si="91"/>
        <v>0</v>
      </c>
      <c r="V460" s="207" t="str">
        <f t="shared" si="92"/>
        <v/>
      </c>
    </row>
    <row r="461" spans="1:22" x14ac:dyDescent="0.3">
      <c r="A461" t="s">
        <v>1187</v>
      </c>
      <c r="G461" s="77"/>
      <c r="J461" s="185" t="str">
        <f t="shared" si="93"/>
        <v/>
      </c>
      <c r="K461" s="185" t="str">
        <f t="shared" si="94"/>
        <v/>
      </c>
      <c r="L461" s="185" t="str">
        <f t="shared" si="95"/>
        <v/>
      </c>
      <c r="M461" s="76" t="str">
        <f t="shared" si="96"/>
        <v/>
      </c>
      <c r="N461" s="26">
        <f t="shared" si="97"/>
        <v>0</v>
      </c>
      <c r="O461" s="235">
        <f t="shared" si="98"/>
        <v>0</v>
      </c>
      <c r="P461" s="235">
        <f t="shared" si="99"/>
        <v>0</v>
      </c>
      <c r="Q461" s="206">
        <f t="shared" si="100"/>
        <v>0</v>
      </c>
      <c r="R461" s="206">
        <f t="shared" si="89"/>
        <v>0</v>
      </c>
      <c r="S461" s="206">
        <f t="shared" si="90"/>
        <v>0</v>
      </c>
      <c r="T461" s="206">
        <f t="shared" si="91"/>
        <v>0</v>
      </c>
      <c r="U461" s="206">
        <f t="shared" si="91"/>
        <v>0</v>
      </c>
      <c r="V461" s="207" t="str">
        <f t="shared" si="92"/>
        <v/>
      </c>
    </row>
    <row r="462" spans="1:22" x14ac:dyDescent="0.3">
      <c r="A462" t="s">
        <v>1188</v>
      </c>
      <c r="G462" s="77"/>
      <c r="J462" s="185" t="str">
        <f t="shared" si="93"/>
        <v/>
      </c>
      <c r="K462" s="185" t="str">
        <f t="shared" si="94"/>
        <v/>
      </c>
      <c r="L462" s="185" t="str">
        <f t="shared" si="95"/>
        <v/>
      </c>
      <c r="M462" s="76" t="str">
        <f t="shared" si="96"/>
        <v/>
      </c>
      <c r="N462" s="26">
        <f t="shared" si="97"/>
        <v>0</v>
      </c>
      <c r="O462" s="235">
        <f t="shared" si="98"/>
        <v>0</v>
      </c>
      <c r="P462" s="235">
        <f t="shared" si="99"/>
        <v>0</v>
      </c>
      <c r="Q462" s="206">
        <f t="shared" si="100"/>
        <v>0</v>
      </c>
      <c r="R462" s="206">
        <f t="shared" si="89"/>
        <v>0</v>
      </c>
      <c r="S462" s="206">
        <f t="shared" si="90"/>
        <v>0</v>
      </c>
      <c r="T462" s="206">
        <f t="shared" si="91"/>
        <v>0</v>
      </c>
      <c r="U462" s="206">
        <f t="shared" si="91"/>
        <v>0</v>
      </c>
      <c r="V462" s="207" t="str">
        <f t="shared" si="92"/>
        <v/>
      </c>
    </row>
    <row r="463" spans="1:22" x14ac:dyDescent="0.3">
      <c r="A463" t="s">
        <v>1189</v>
      </c>
      <c r="G463" s="77"/>
      <c r="J463" s="185" t="str">
        <f t="shared" si="93"/>
        <v/>
      </c>
      <c r="K463" s="185" t="str">
        <f t="shared" si="94"/>
        <v/>
      </c>
      <c r="L463" s="185" t="str">
        <f t="shared" si="95"/>
        <v/>
      </c>
      <c r="M463" s="76" t="str">
        <f t="shared" si="96"/>
        <v/>
      </c>
      <c r="N463" s="26">
        <f t="shared" si="97"/>
        <v>0</v>
      </c>
      <c r="O463" s="235">
        <f t="shared" si="98"/>
        <v>0</v>
      </c>
      <c r="P463" s="235">
        <f t="shared" si="99"/>
        <v>0</v>
      </c>
      <c r="Q463" s="206">
        <f t="shared" si="100"/>
        <v>0</v>
      </c>
      <c r="R463" s="206">
        <f t="shared" si="89"/>
        <v>0</v>
      </c>
      <c r="S463" s="206">
        <f t="shared" si="90"/>
        <v>0</v>
      </c>
      <c r="T463" s="206">
        <f t="shared" si="91"/>
        <v>0</v>
      </c>
      <c r="U463" s="206">
        <f t="shared" si="91"/>
        <v>0</v>
      </c>
      <c r="V463" s="207" t="str">
        <f t="shared" si="92"/>
        <v/>
      </c>
    </row>
    <row r="464" spans="1:22" x14ac:dyDescent="0.3">
      <c r="A464" t="s">
        <v>1190</v>
      </c>
      <c r="G464" s="77"/>
      <c r="J464" s="185" t="str">
        <f t="shared" si="93"/>
        <v/>
      </c>
      <c r="K464" s="185" t="str">
        <f t="shared" si="94"/>
        <v/>
      </c>
      <c r="L464" s="185" t="str">
        <f t="shared" si="95"/>
        <v/>
      </c>
      <c r="M464" s="76" t="str">
        <f t="shared" si="96"/>
        <v/>
      </c>
      <c r="N464" s="26">
        <f t="shared" si="97"/>
        <v>0</v>
      </c>
      <c r="O464" s="235">
        <f t="shared" si="98"/>
        <v>0</v>
      </c>
      <c r="P464" s="235">
        <f t="shared" si="99"/>
        <v>0</v>
      </c>
      <c r="Q464" s="206">
        <f t="shared" si="100"/>
        <v>0</v>
      </c>
      <c r="R464" s="206">
        <f t="shared" si="89"/>
        <v>0</v>
      </c>
      <c r="S464" s="206">
        <f t="shared" si="90"/>
        <v>0</v>
      </c>
      <c r="T464" s="206">
        <f t="shared" si="91"/>
        <v>0</v>
      </c>
      <c r="U464" s="206">
        <f t="shared" si="91"/>
        <v>0</v>
      </c>
      <c r="V464" s="207" t="str">
        <f t="shared" si="92"/>
        <v/>
      </c>
    </row>
    <row r="465" spans="1:22" x14ac:dyDescent="0.3">
      <c r="A465" t="s">
        <v>907</v>
      </c>
      <c r="B465" t="s">
        <v>914</v>
      </c>
      <c r="C465" t="s">
        <v>915</v>
      </c>
      <c r="D465" t="s">
        <v>1191</v>
      </c>
      <c r="E465" t="s">
        <v>1192</v>
      </c>
      <c r="F465" t="s">
        <v>916</v>
      </c>
      <c r="G465" s="77"/>
      <c r="J465" s="185" t="str">
        <f t="shared" si="93"/>
        <v/>
      </c>
      <c r="K465" s="185" t="str">
        <f t="shared" si="94"/>
        <v/>
      </c>
      <c r="L465" s="185" t="str">
        <f t="shared" si="95"/>
        <v/>
      </c>
      <c r="M465" s="76" t="str">
        <f t="shared" si="96"/>
        <v/>
      </c>
      <c r="N465" s="26">
        <f t="shared" si="97"/>
        <v>0</v>
      </c>
      <c r="O465" s="235">
        <f t="shared" si="98"/>
        <v>0</v>
      </c>
      <c r="P465" s="235">
        <f t="shared" si="99"/>
        <v>0</v>
      </c>
      <c r="Q465" s="206">
        <f t="shared" si="100"/>
        <v>0</v>
      </c>
      <c r="R465" s="206">
        <f t="shared" si="89"/>
        <v>0</v>
      </c>
      <c r="S465" s="206">
        <f t="shared" si="90"/>
        <v>0</v>
      </c>
      <c r="T465" s="206">
        <f t="shared" si="91"/>
        <v>0</v>
      </c>
      <c r="U465" s="206">
        <f t="shared" si="91"/>
        <v>0</v>
      </c>
      <c r="V465" s="207" t="str">
        <f t="shared" si="92"/>
        <v/>
      </c>
    </row>
    <row r="466" spans="1:22" x14ac:dyDescent="0.3">
      <c r="B466" t="s">
        <v>918</v>
      </c>
      <c r="C466" t="s">
        <v>918</v>
      </c>
      <c r="D466" t="s">
        <v>404</v>
      </c>
      <c r="E466" t="s">
        <v>404</v>
      </c>
      <c r="F466" t="s">
        <v>1131</v>
      </c>
      <c r="G466" s="77"/>
      <c r="J466" s="185" t="str">
        <f t="shared" si="93"/>
        <v/>
      </c>
      <c r="K466" s="185" t="str">
        <f t="shared" si="94"/>
        <v/>
      </c>
      <c r="L466" s="185" t="str">
        <f t="shared" si="95"/>
        <v/>
      </c>
      <c r="M466" s="76" t="str">
        <f t="shared" si="96"/>
        <v/>
      </c>
      <c r="N466" s="26">
        <f t="shared" si="97"/>
        <v>0</v>
      </c>
      <c r="O466" s="235">
        <f t="shared" si="98"/>
        <v>0</v>
      </c>
      <c r="P466" s="235">
        <f t="shared" si="99"/>
        <v>0</v>
      </c>
      <c r="Q466" s="206">
        <f t="shared" si="100"/>
        <v>0</v>
      </c>
      <c r="R466" s="206">
        <f t="shared" si="89"/>
        <v>0</v>
      </c>
      <c r="S466" s="206">
        <f t="shared" si="90"/>
        <v>0</v>
      </c>
      <c r="T466" s="206">
        <f t="shared" si="91"/>
        <v>0</v>
      </c>
      <c r="U466" s="206">
        <f t="shared" si="91"/>
        <v>0</v>
      </c>
      <c r="V466" s="207" t="str">
        <f t="shared" si="92"/>
        <v/>
      </c>
    </row>
    <row r="467" spans="1:22" x14ac:dyDescent="0.3">
      <c r="A467" t="s">
        <v>920</v>
      </c>
      <c r="G467" s="77"/>
      <c r="J467" s="185" t="str">
        <f t="shared" si="93"/>
        <v/>
      </c>
      <c r="K467" s="185" t="str">
        <f t="shared" si="94"/>
        <v/>
      </c>
      <c r="L467" s="185" t="str">
        <f t="shared" si="95"/>
        <v/>
      </c>
      <c r="M467" s="76" t="str">
        <f t="shared" si="96"/>
        <v/>
      </c>
      <c r="N467" s="26">
        <f t="shared" si="97"/>
        <v>0</v>
      </c>
      <c r="O467" s="235">
        <f t="shared" si="98"/>
        <v>0</v>
      </c>
      <c r="P467" s="235">
        <f t="shared" si="99"/>
        <v>0</v>
      </c>
      <c r="Q467" s="206">
        <f t="shared" si="100"/>
        <v>0</v>
      </c>
      <c r="R467" s="206">
        <f t="shared" si="89"/>
        <v>0</v>
      </c>
      <c r="S467" s="206">
        <f t="shared" si="90"/>
        <v>0</v>
      </c>
      <c r="T467" s="206">
        <f t="shared" si="91"/>
        <v>0</v>
      </c>
      <c r="U467" s="206">
        <f t="shared" si="91"/>
        <v>0</v>
      </c>
      <c r="V467" s="207" t="str">
        <f t="shared" si="92"/>
        <v/>
      </c>
    </row>
    <row r="468" spans="1:22" x14ac:dyDescent="0.3">
      <c r="B468" t="s">
        <v>918</v>
      </c>
      <c r="C468" t="s">
        <v>918</v>
      </c>
      <c r="D468" t="s">
        <v>404</v>
      </c>
      <c r="E468" t="s">
        <v>404</v>
      </c>
      <c r="F468" t="s">
        <v>1131</v>
      </c>
      <c r="G468" s="77"/>
      <c r="J468" s="185" t="str">
        <f t="shared" si="93"/>
        <v/>
      </c>
      <c r="K468" s="185" t="str">
        <f t="shared" si="94"/>
        <v/>
      </c>
      <c r="L468" s="185" t="str">
        <f t="shared" si="95"/>
        <v/>
      </c>
      <c r="M468" s="76" t="str">
        <f t="shared" si="96"/>
        <v/>
      </c>
      <c r="N468" s="26">
        <f t="shared" si="97"/>
        <v>0</v>
      </c>
      <c r="O468" s="235">
        <f t="shared" si="98"/>
        <v>0</v>
      </c>
      <c r="P468" s="235">
        <f t="shared" si="99"/>
        <v>0</v>
      </c>
      <c r="Q468" s="206">
        <f t="shared" si="100"/>
        <v>0</v>
      </c>
      <c r="R468" s="206">
        <f t="shared" si="89"/>
        <v>0</v>
      </c>
      <c r="S468" s="206">
        <f t="shared" si="90"/>
        <v>0</v>
      </c>
      <c r="T468" s="206">
        <f t="shared" si="91"/>
        <v>0</v>
      </c>
      <c r="U468" s="206">
        <f t="shared" si="91"/>
        <v>0</v>
      </c>
      <c r="V468" s="207" t="str">
        <f t="shared" si="92"/>
        <v/>
      </c>
    </row>
    <row r="469" spans="1:22" x14ac:dyDescent="0.3">
      <c r="A469" t="s">
        <v>927</v>
      </c>
      <c r="G469" s="77"/>
      <c r="J469" s="185" t="str">
        <f t="shared" si="93"/>
        <v/>
      </c>
      <c r="K469" s="185" t="str">
        <f t="shared" si="94"/>
        <v/>
      </c>
      <c r="L469" s="185" t="str">
        <f t="shared" si="95"/>
        <v/>
      </c>
      <c r="M469" s="76" t="str">
        <f t="shared" si="96"/>
        <v/>
      </c>
      <c r="N469" s="26">
        <f t="shared" si="97"/>
        <v>0</v>
      </c>
      <c r="O469" s="235">
        <f t="shared" si="98"/>
        <v>0</v>
      </c>
      <c r="P469" s="235">
        <f t="shared" si="99"/>
        <v>0</v>
      </c>
      <c r="Q469" s="206">
        <f t="shared" si="100"/>
        <v>0</v>
      </c>
      <c r="R469" s="206">
        <f t="shared" si="89"/>
        <v>0</v>
      </c>
      <c r="S469" s="206">
        <f t="shared" si="90"/>
        <v>0</v>
      </c>
      <c r="T469" s="206">
        <f t="shared" si="91"/>
        <v>0</v>
      </c>
      <c r="U469" s="206">
        <f t="shared" si="91"/>
        <v>0</v>
      </c>
      <c r="V469" s="207" t="str">
        <f t="shared" si="92"/>
        <v/>
      </c>
    </row>
    <row r="470" spans="1:22" x14ac:dyDescent="0.3">
      <c r="B470" t="s">
        <v>918</v>
      </c>
      <c r="C470" t="s">
        <v>918</v>
      </c>
      <c r="D470" t="s">
        <v>404</v>
      </c>
      <c r="E470" t="s">
        <v>404</v>
      </c>
      <c r="F470" t="s">
        <v>1131</v>
      </c>
      <c r="G470" s="77"/>
      <c r="J470" s="185" t="str">
        <f t="shared" si="93"/>
        <v/>
      </c>
      <c r="K470" s="185" t="str">
        <f t="shared" si="94"/>
        <v/>
      </c>
      <c r="L470" s="185" t="str">
        <f t="shared" si="95"/>
        <v/>
      </c>
      <c r="M470" s="76" t="str">
        <f t="shared" si="96"/>
        <v/>
      </c>
      <c r="N470" s="26">
        <f t="shared" si="97"/>
        <v>0</v>
      </c>
      <c r="O470" s="235">
        <f t="shared" si="98"/>
        <v>0</v>
      </c>
      <c r="P470" s="235">
        <f t="shared" si="99"/>
        <v>0</v>
      </c>
      <c r="Q470" s="206">
        <f t="shared" si="100"/>
        <v>0</v>
      </c>
      <c r="R470" s="206">
        <f t="shared" si="89"/>
        <v>0</v>
      </c>
      <c r="S470" s="206">
        <f t="shared" si="90"/>
        <v>0</v>
      </c>
      <c r="T470" s="206">
        <f t="shared" si="91"/>
        <v>0</v>
      </c>
      <c r="U470" s="206">
        <f t="shared" si="91"/>
        <v>0</v>
      </c>
      <c r="V470" s="207" t="str">
        <f t="shared" si="92"/>
        <v/>
      </c>
    </row>
    <row r="471" spans="1:22" x14ac:dyDescent="0.3">
      <c r="A471" t="s">
        <v>929</v>
      </c>
      <c r="G471" s="77"/>
      <c r="J471" s="185" t="str">
        <f t="shared" si="93"/>
        <v/>
      </c>
      <c r="K471" s="185" t="str">
        <f t="shared" si="94"/>
        <v/>
      </c>
      <c r="L471" s="185" t="str">
        <f t="shared" si="95"/>
        <v/>
      </c>
      <c r="M471" s="76" t="str">
        <f t="shared" si="96"/>
        <v/>
      </c>
      <c r="N471" s="26">
        <f t="shared" si="97"/>
        <v>0</v>
      </c>
      <c r="O471" s="235">
        <f t="shared" si="98"/>
        <v>0</v>
      </c>
      <c r="P471" s="235">
        <f t="shared" si="99"/>
        <v>0</v>
      </c>
      <c r="Q471" s="206">
        <f t="shared" si="100"/>
        <v>0</v>
      </c>
      <c r="R471" s="206">
        <f t="shared" si="89"/>
        <v>0</v>
      </c>
      <c r="S471" s="206">
        <f t="shared" si="90"/>
        <v>0</v>
      </c>
      <c r="T471" s="206">
        <f t="shared" si="91"/>
        <v>0</v>
      </c>
      <c r="U471" s="206">
        <f t="shared" si="91"/>
        <v>0</v>
      </c>
      <c r="V471" s="207" t="str">
        <f t="shared" si="92"/>
        <v/>
      </c>
    </row>
    <row r="472" spans="1:22" x14ac:dyDescent="0.3">
      <c r="B472" t="s">
        <v>918</v>
      </c>
      <c r="C472" t="s">
        <v>918</v>
      </c>
      <c r="D472" t="s">
        <v>404</v>
      </c>
      <c r="E472" t="s">
        <v>404</v>
      </c>
      <c r="F472" t="s">
        <v>1131</v>
      </c>
      <c r="G472" s="77"/>
      <c r="J472" s="185" t="str">
        <f t="shared" si="93"/>
        <v/>
      </c>
      <c r="K472" s="185" t="str">
        <f t="shared" si="94"/>
        <v/>
      </c>
      <c r="L472" s="185" t="str">
        <f t="shared" si="95"/>
        <v/>
      </c>
      <c r="M472" s="76" t="str">
        <f t="shared" si="96"/>
        <v/>
      </c>
      <c r="N472" s="26">
        <f t="shared" si="97"/>
        <v>0</v>
      </c>
      <c r="O472" s="235">
        <f t="shared" si="98"/>
        <v>0</v>
      </c>
      <c r="P472" s="235">
        <f t="shared" si="99"/>
        <v>0</v>
      </c>
      <c r="Q472" s="206">
        <f t="shared" si="100"/>
        <v>0</v>
      </c>
      <c r="R472" s="206">
        <f t="shared" si="89"/>
        <v>0</v>
      </c>
      <c r="S472" s="206">
        <f t="shared" si="90"/>
        <v>0</v>
      </c>
      <c r="T472" s="206">
        <f t="shared" si="91"/>
        <v>0</v>
      </c>
      <c r="U472" s="206">
        <f t="shared" si="91"/>
        <v>0</v>
      </c>
      <c r="V472" s="207" t="str">
        <f t="shared" si="92"/>
        <v/>
      </c>
    </row>
    <row r="473" spans="1:22" x14ac:dyDescent="0.3">
      <c r="A473" t="s">
        <v>925</v>
      </c>
      <c r="G473" s="77"/>
      <c r="J473" s="185" t="str">
        <f t="shared" si="93"/>
        <v/>
      </c>
      <c r="K473" s="185" t="str">
        <f t="shared" si="94"/>
        <v/>
      </c>
      <c r="L473" s="185" t="str">
        <f t="shared" si="95"/>
        <v/>
      </c>
      <c r="M473" s="76" t="str">
        <f t="shared" si="96"/>
        <v/>
      </c>
      <c r="N473" s="26">
        <f t="shared" si="97"/>
        <v>0</v>
      </c>
      <c r="O473" s="235">
        <f t="shared" si="98"/>
        <v>0</v>
      </c>
      <c r="P473" s="235">
        <f t="shared" si="99"/>
        <v>0</v>
      </c>
      <c r="Q473" s="206">
        <f t="shared" si="100"/>
        <v>0</v>
      </c>
      <c r="R473" s="206">
        <f t="shared" si="89"/>
        <v>0</v>
      </c>
      <c r="S473" s="206">
        <f t="shared" si="90"/>
        <v>0</v>
      </c>
      <c r="T473" s="206">
        <f t="shared" si="91"/>
        <v>0</v>
      </c>
      <c r="U473" s="206">
        <f t="shared" si="91"/>
        <v>0</v>
      </c>
      <c r="V473" s="207" t="str">
        <f t="shared" si="92"/>
        <v/>
      </c>
    </row>
    <row r="474" spans="1:22" x14ac:dyDescent="0.3">
      <c r="B474" t="s">
        <v>918</v>
      </c>
      <c r="C474" t="s">
        <v>918</v>
      </c>
      <c r="D474" t="s">
        <v>404</v>
      </c>
      <c r="E474" t="s">
        <v>404</v>
      </c>
      <c r="F474" t="s">
        <v>1131</v>
      </c>
      <c r="G474" s="77"/>
      <c r="J474" s="185" t="str">
        <f t="shared" si="93"/>
        <v/>
      </c>
      <c r="K474" s="185" t="str">
        <f t="shared" si="94"/>
        <v/>
      </c>
      <c r="L474" s="185" t="str">
        <f t="shared" si="95"/>
        <v/>
      </c>
      <c r="M474" s="76" t="str">
        <f t="shared" si="96"/>
        <v/>
      </c>
      <c r="N474" s="26">
        <f t="shared" si="97"/>
        <v>0</v>
      </c>
      <c r="O474" s="235">
        <f t="shared" si="98"/>
        <v>0</v>
      </c>
      <c r="P474" s="235">
        <f t="shared" si="99"/>
        <v>0</v>
      </c>
      <c r="Q474" s="206">
        <f t="shared" si="100"/>
        <v>0</v>
      </c>
      <c r="R474" s="206">
        <f t="shared" si="89"/>
        <v>0</v>
      </c>
      <c r="S474" s="206">
        <f t="shared" si="90"/>
        <v>0</v>
      </c>
      <c r="T474" s="206">
        <f t="shared" si="91"/>
        <v>0</v>
      </c>
      <c r="U474" s="206">
        <f t="shared" si="91"/>
        <v>0</v>
      </c>
      <c r="V474" s="207" t="str">
        <f t="shared" si="92"/>
        <v/>
      </c>
    </row>
    <row r="475" spans="1:22" x14ac:dyDescent="0.3">
      <c r="A475" t="s">
        <v>1139</v>
      </c>
      <c r="G475" s="77"/>
      <c r="J475" s="185" t="str">
        <f t="shared" si="93"/>
        <v/>
      </c>
      <c r="K475" s="185" t="str">
        <f t="shared" si="94"/>
        <v/>
      </c>
      <c r="L475" s="185" t="str">
        <f t="shared" si="95"/>
        <v/>
      </c>
      <c r="M475" s="76" t="str">
        <f t="shared" si="96"/>
        <v/>
      </c>
      <c r="N475" s="26">
        <f t="shared" si="97"/>
        <v>0</v>
      </c>
      <c r="O475" s="235">
        <f t="shared" si="98"/>
        <v>0</v>
      </c>
      <c r="P475" s="235">
        <f t="shared" si="99"/>
        <v>0</v>
      </c>
      <c r="Q475" s="206">
        <f t="shared" si="100"/>
        <v>0</v>
      </c>
      <c r="R475" s="206">
        <f t="shared" ref="R475:R538" si="101">IF($J475=29,VALUE(LEFT(B475,LEN(B475)-2)),0)</f>
        <v>0</v>
      </c>
      <c r="S475" s="206">
        <f t="shared" ref="S475:S538" si="102">IF($J475=29,VALUE(LEFT(C475,LEN(C475)-2)),0)</f>
        <v>0</v>
      </c>
      <c r="T475" s="206">
        <f t="shared" ref="T475:U538" si="103">IF($J475=29,VALUE(LEFT(D475,LEN(D475)-2)),0)</f>
        <v>0</v>
      </c>
      <c r="U475" s="206">
        <f t="shared" si="103"/>
        <v>0</v>
      </c>
      <c r="V475" s="207" t="str">
        <f t="shared" ref="V475:V538" si="104">IFERROR(N475/SUM(R475:U475),"")</f>
        <v/>
      </c>
    </row>
    <row r="476" spans="1:22" x14ac:dyDescent="0.3">
      <c r="B476" t="s">
        <v>918</v>
      </c>
      <c r="C476" t="s">
        <v>918</v>
      </c>
      <c r="D476" t="s">
        <v>404</v>
      </c>
      <c r="E476" t="s">
        <v>404</v>
      </c>
      <c r="F476" t="s">
        <v>1131</v>
      </c>
      <c r="G476" s="77"/>
      <c r="J476" s="185" t="str">
        <f t="shared" si="93"/>
        <v/>
      </c>
      <c r="K476" s="185" t="str">
        <f t="shared" si="94"/>
        <v/>
      </c>
      <c r="L476" s="185" t="str">
        <f t="shared" si="95"/>
        <v/>
      </c>
      <c r="M476" s="76" t="str">
        <f t="shared" si="96"/>
        <v/>
      </c>
      <c r="N476" s="26">
        <f t="shared" si="97"/>
        <v>0</v>
      </c>
      <c r="O476" s="235">
        <f t="shared" si="98"/>
        <v>0</v>
      </c>
      <c r="P476" s="235">
        <f t="shared" si="99"/>
        <v>0</v>
      </c>
      <c r="Q476" s="206">
        <f t="shared" si="100"/>
        <v>0</v>
      </c>
      <c r="R476" s="206">
        <f t="shared" si="101"/>
        <v>0</v>
      </c>
      <c r="S476" s="206">
        <f t="shared" si="102"/>
        <v>0</v>
      </c>
      <c r="T476" s="206">
        <f t="shared" si="103"/>
        <v>0</v>
      </c>
      <c r="U476" s="206">
        <f t="shared" si="103"/>
        <v>0</v>
      </c>
      <c r="V476" s="207" t="str">
        <f t="shared" si="104"/>
        <v/>
      </c>
    </row>
    <row r="477" spans="1:22" x14ac:dyDescent="0.3">
      <c r="A477" t="s">
        <v>922</v>
      </c>
      <c r="G477" s="77"/>
      <c r="J477" s="185" t="str">
        <f t="shared" si="93"/>
        <v/>
      </c>
      <c r="K477" s="185" t="str">
        <f t="shared" si="94"/>
        <v/>
      </c>
      <c r="L477" s="185" t="str">
        <f t="shared" si="95"/>
        <v/>
      </c>
      <c r="M477" s="76" t="str">
        <f t="shared" si="96"/>
        <v/>
      </c>
      <c r="N477" s="26">
        <f t="shared" si="97"/>
        <v>0</v>
      </c>
      <c r="O477" s="235">
        <f t="shared" si="98"/>
        <v>0</v>
      </c>
      <c r="P477" s="235">
        <f t="shared" si="99"/>
        <v>0</v>
      </c>
      <c r="Q477" s="206">
        <f t="shared" si="100"/>
        <v>0</v>
      </c>
      <c r="R477" s="206">
        <f t="shared" si="101"/>
        <v>0</v>
      </c>
      <c r="S477" s="206">
        <f t="shared" si="102"/>
        <v>0</v>
      </c>
      <c r="T477" s="206">
        <f t="shared" si="103"/>
        <v>0</v>
      </c>
      <c r="U477" s="206">
        <f t="shared" si="103"/>
        <v>0</v>
      </c>
      <c r="V477" s="207" t="str">
        <f t="shared" si="104"/>
        <v/>
      </c>
    </row>
    <row r="478" spans="1:22" x14ac:dyDescent="0.3">
      <c r="B478" t="s">
        <v>918</v>
      </c>
      <c r="C478" t="s">
        <v>918</v>
      </c>
      <c r="D478" t="s">
        <v>404</v>
      </c>
      <c r="E478" t="s">
        <v>404</v>
      </c>
      <c r="F478" t="s">
        <v>1131</v>
      </c>
      <c r="G478" s="77"/>
      <c r="J478" s="185" t="str">
        <f t="shared" si="93"/>
        <v/>
      </c>
      <c r="K478" s="185" t="str">
        <f t="shared" si="94"/>
        <v/>
      </c>
      <c r="L478" s="185" t="str">
        <f t="shared" si="95"/>
        <v/>
      </c>
      <c r="M478" s="76" t="str">
        <f t="shared" si="96"/>
        <v/>
      </c>
      <c r="N478" s="26">
        <f t="shared" si="97"/>
        <v>0</v>
      </c>
      <c r="O478" s="235">
        <f t="shared" si="98"/>
        <v>0</v>
      </c>
      <c r="P478" s="235">
        <f t="shared" si="99"/>
        <v>0</v>
      </c>
      <c r="Q478" s="206">
        <f t="shared" si="100"/>
        <v>0</v>
      </c>
      <c r="R478" s="206">
        <f t="shared" si="101"/>
        <v>0</v>
      </c>
      <c r="S478" s="206">
        <f t="shared" si="102"/>
        <v>0</v>
      </c>
      <c r="T478" s="206">
        <f t="shared" si="103"/>
        <v>0</v>
      </c>
      <c r="U478" s="206">
        <f t="shared" si="103"/>
        <v>0</v>
      </c>
      <c r="V478" s="207" t="str">
        <f t="shared" si="104"/>
        <v/>
      </c>
    </row>
    <row r="479" spans="1:22" x14ac:dyDescent="0.3">
      <c r="A479" t="s">
        <v>928</v>
      </c>
      <c r="G479" s="77"/>
      <c r="J479" s="185" t="str">
        <f t="shared" si="93"/>
        <v/>
      </c>
      <c r="K479" s="185" t="str">
        <f t="shared" si="94"/>
        <v/>
      </c>
      <c r="L479" s="185" t="str">
        <f t="shared" si="95"/>
        <v/>
      </c>
      <c r="M479" s="76" t="str">
        <f t="shared" si="96"/>
        <v/>
      </c>
      <c r="N479" s="26">
        <f t="shared" si="97"/>
        <v>0</v>
      </c>
      <c r="O479" s="235">
        <f t="shared" si="98"/>
        <v>0</v>
      </c>
      <c r="P479" s="235">
        <f t="shared" si="99"/>
        <v>0</v>
      </c>
      <c r="Q479" s="206">
        <f t="shared" si="100"/>
        <v>0</v>
      </c>
      <c r="R479" s="206">
        <f t="shared" si="101"/>
        <v>0</v>
      </c>
      <c r="S479" s="206">
        <f t="shared" si="102"/>
        <v>0</v>
      </c>
      <c r="T479" s="206">
        <f t="shared" si="103"/>
        <v>0</v>
      </c>
      <c r="U479" s="206">
        <f t="shared" si="103"/>
        <v>0</v>
      </c>
      <c r="V479" s="207" t="str">
        <f t="shared" si="104"/>
        <v/>
      </c>
    </row>
    <row r="480" spans="1:22" x14ac:dyDescent="0.3">
      <c r="B480" t="s">
        <v>918</v>
      </c>
      <c r="C480" t="s">
        <v>918</v>
      </c>
      <c r="D480" t="s">
        <v>404</v>
      </c>
      <c r="E480" t="s">
        <v>404</v>
      </c>
      <c r="F480" t="s">
        <v>1131</v>
      </c>
      <c r="G480" s="77"/>
      <c r="J480" s="185" t="str">
        <f t="shared" si="93"/>
        <v/>
      </c>
      <c r="K480" s="185" t="str">
        <f t="shared" si="94"/>
        <v/>
      </c>
      <c r="L480" s="185" t="str">
        <f t="shared" si="95"/>
        <v/>
      </c>
      <c r="M480" s="76" t="str">
        <f t="shared" si="96"/>
        <v/>
      </c>
      <c r="N480" s="26">
        <f t="shared" si="97"/>
        <v>0</v>
      </c>
      <c r="O480" s="235">
        <f t="shared" si="98"/>
        <v>0</v>
      </c>
      <c r="P480" s="235">
        <f t="shared" si="99"/>
        <v>0</v>
      </c>
      <c r="Q480" s="206">
        <f t="shared" si="100"/>
        <v>0</v>
      </c>
      <c r="R480" s="206">
        <f t="shared" si="101"/>
        <v>0</v>
      </c>
      <c r="S480" s="206">
        <f t="shared" si="102"/>
        <v>0</v>
      </c>
      <c r="T480" s="206">
        <f t="shared" si="103"/>
        <v>0</v>
      </c>
      <c r="U480" s="206">
        <f t="shared" si="103"/>
        <v>0</v>
      </c>
      <c r="V480" s="207" t="str">
        <f t="shared" si="104"/>
        <v/>
      </c>
    </row>
    <row r="481" spans="1:22" x14ac:dyDescent="0.3">
      <c r="A481" t="s">
        <v>1140</v>
      </c>
      <c r="G481" s="77"/>
      <c r="J481" s="185" t="str">
        <f t="shared" si="93"/>
        <v/>
      </c>
      <c r="K481" s="185" t="str">
        <f t="shared" si="94"/>
        <v/>
      </c>
      <c r="L481" s="185" t="str">
        <f t="shared" si="95"/>
        <v/>
      </c>
      <c r="M481" s="76" t="str">
        <f t="shared" si="96"/>
        <v/>
      </c>
      <c r="N481" s="26">
        <f t="shared" si="97"/>
        <v>0</v>
      </c>
      <c r="O481" s="235">
        <f t="shared" si="98"/>
        <v>0</v>
      </c>
      <c r="P481" s="235">
        <f t="shared" si="99"/>
        <v>0</v>
      </c>
      <c r="Q481" s="206">
        <f t="shared" si="100"/>
        <v>0</v>
      </c>
      <c r="R481" s="206">
        <f t="shared" si="101"/>
        <v>0</v>
      </c>
      <c r="S481" s="206">
        <f t="shared" si="102"/>
        <v>0</v>
      </c>
      <c r="T481" s="206">
        <f t="shared" si="103"/>
        <v>0</v>
      </c>
      <c r="U481" s="206">
        <f t="shared" si="103"/>
        <v>0</v>
      </c>
      <c r="V481" s="207" t="str">
        <f t="shared" si="104"/>
        <v/>
      </c>
    </row>
    <row r="482" spans="1:22" x14ac:dyDescent="0.3">
      <c r="B482" t="s">
        <v>918</v>
      </c>
      <c r="C482" t="s">
        <v>918</v>
      </c>
      <c r="D482" t="s">
        <v>404</v>
      </c>
      <c r="E482" t="s">
        <v>404</v>
      </c>
      <c r="F482" t="s">
        <v>1131</v>
      </c>
      <c r="G482" s="77"/>
      <c r="J482" s="185" t="str">
        <f t="shared" si="93"/>
        <v/>
      </c>
      <c r="K482" s="185" t="str">
        <f t="shared" si="94"/>
        <v/>
      </c>
      <c r="L482" s="185" t="str">
        <f t="shared" si="95"/>
        <v/>
      </c>
      <c r="M482" s="76" t="str">
        <f t="shared" si="96"/>
        <v/>
      </c>
      <c r="N482" s="26">
        <f t="shared" si="97"/>
        <v>0</v>
      </c>
      <c r="O482" s="235">
        <f t="shared" si="98"/>
        <v>0</v>
      </c>
      <c r="P482" s="235">
        <f t="shared" si="99"/>
        <v>0</v>
      </c>
      <c r="Q482" s="206">
        <f t="shared" si="100"/>
        <v>0</v>
      </c>
      <c r="R482" s="206">
        <f t="shared" si="101"/>
        <v>0</v>
      </c>
      <c r="S482" s="206">
        <f t="shared" si="102"/>
        <v>0</v>
      </c>
      <c r="T482" s="206">
        <f t="shared" si="103"/>
        <v>0</v>
      </c>
      <c r="U482" s="206">
        <f t="shared" si="103"/>
        <v>0</v>
      </c>
      <c r="V482" s="207" t="str">
        <f t="shared" si="104"/>
        <v/>
      </c>
    </row>
    <row r="483" spans="1:22" x14ac:dyDescent="0.3">
      <c r="A483" t="s">
        <v>924</v>
      </c>
      <c r="G483" s="77"/>
      <c r="J483" s="185" t="str">
        <f t="shared" si="93"/>
        <v/>
      </c>
      <c r="K483" s="185" t="str">
        <f t="shared" si="94"/>
        <v/>
      </c>
      <c r="L483" s="185" t="str">
        <f t="shared" si="95"/>
        <v/>
      </c>
      <c r="M483" s="76" t="str">
        <f t="shared" si="96"/>
        <v/>
      </c>
      <c r="N483" s="26">
        <f t="shared" si="97"/>
        <v>0</v>
      </c>
      <c r="O483" s="235">
        <f t="shared" si="98"/>
        <v>0</v>
      </c>
      <c r="P483" s="235">
        <f t="shared" si="99"/>
        <v>0</v>
      </c>
      <c r="Q483" s="206">
        <f t="shared" si="100"/>
        <v>0</v>
      </c>
      <c r="R483" s="206">
        <f t="shared" si="101"/>
        <v>0</v>
      </c>
      <c r="S483" s="206">
        <f t="shared" si="102"/>
        <v>0</v>
      </c>
      <c r="T483" s="206">
        <f t="shared" si="103"/>
        <v>0</v>
      </c>
      <c r="U483" s="206">
        <f t="shared" si="103"/>
        <v>0</v>
      </c>
      <c r="V483" s="207" t="str">
        <f t="shared" si="104"/>
        <v/>
      </c>
    </row>
    <row r="484" spans="1:22" x14ac:dyDescent="0.3">
      <c r="B484" t="s">
        <v>918</v>
      </c>
      <c r="C484" t="s">
        <v>918</v>
      </c>
      <c r="D484" t="s">
        <v>404</v>
      </c>
      <c r="E484" t="s">
        <v>404</v>
      </c>
      <c r="F484" t="s">
        <v>1131</v>
      </c>
      <c r="G484" s="77"/>
      <c r="J484" s="185" t="str">
        <f t="shared" si="93"/>
        <v/>
      </c>
      <c r="K484" s="185" t="str">
        <f t="shared" si="94"/>
        <v/>
      </c>
      <c r="L484" s="185" t="str">
        <f t="shared" si="95"/>
        <v/>
      </c>
      <c r="M484" s="76" t="str">
        <f t="shared" si="96"/>
        <v/>
      </c>
      <c r="N484" s="26">
        <f t="shared" si="97"/>
        <v>0</v>
      </c>
      <c r="O484" s="235">
        <f t="shared" si="98"/>
        <v>0</v>
      </c>
      <c r="P484" s="235">
        <f t="shared" si="99"/>
        <v>0</v>
      </c>
      <c r="Q484" s="206">
        <f t="shared" si="100"/>
        <v>0</v>
      </c>
      <c r="R484" s="206">
        <f t="shared" si="101"/>
        <v>0</v>
      </c>
      <c r="S484" s="206">
        <f t="shared" si="102"/>
        <v>0</v>
      </c>
      <c r="T484" s="206">
        <f t="shared" si="103"/>
        <v>0</v>
      </c>
      <c r="U484" s="206">
        <f t="shared" si="103"/>
        <v>0</v>
      </c>
      <c r="V484" s="207" t="str">
        <f t="shared" si="104"/>
        <v/>
      </c>
    </row>
    <row r="485" spans="1:22" x14ac:dyDescent="0.3">
      <c r="A485" t="s">
        <v>923</v>
      </c>
      <c r="G485" s="77"/>
      <c r="J485" s="185" t="str">
        <f t="shared" si="93"/>
        <v/>
      </c>
      <c r="K485" s="185" t="str">
        <f t="shared" si="94"/>
        <v/>
      </c>
      <c r="L485" s="185" t="str">
        <f t="shared" si="95"/>
        <v/>
      </c>
      <c r="M485" s="76" t="str">
        <f t="shared" si="96"/>
        <v/>
      </c>
      <c r="N485" s="26">
        <f t="shared" si="97"/>
        <v>0</v>
      </c>
      <c r="O485" s="235">
        <f t="shared" si="98"/>
        <v>0</v>
      </c>
      <c r="P485" s="235">
        <f t="shared" si="99"/>
        <v>0</v>
      </c>
      <c r="Q485" s="206">
        <f t="shared" si="100"/>
        <v>0</v>
      </c>
      <c r="R485" s="206">
        <f t="shared" si="101"/>
        <v>0</v>
      </c>
      <c r="S485" s="206">
        <f t="shared" si="102"/>
        <v>0</v>
      </c>
      <c r="T485" s="206">
        <f t="shared" si="103"/>
        <v>0</v>
      </c>
      <c r="U485" s="206">
        <f t="shared" si="103"/>
        <v>0</v>
      </c>
      <c r="V485" s="207" t="str">
        <f t="shared" si="104"/>
        <v/>
      </c>
    </row>
    <row r="486" spans="1:22" x14ac:dyDescent="0.3">
      <c r="B486" t="s">
        <v>918</v>
      </c>
      <c r="C486" t="s">
        <v>918</v>
      </c>
      <c r="D486" t="s">
        <v>404</v>
      </c>
      <c r="E486" t="s">
        <v>404</v>
      </c>
      <c r="F486" t="s">
        <v>1131</v>
      </c>
      <c r="G486" s="77"/>
      <c r="J486" s="185" t="str">
        <f t="shared" si="93"/>
        <v/>
      </c>
      <c r="K486" s="185" t="str">
        <f t="shared" si="94"/>
        <v/>
      </c>
      <c r="L486" s="185" t="str">
        <f t="shared" si="95"/>
        <v/>
      </c>
      <c r="M486" s="76" t="str">
        <f t="shared" si="96"/>
        <v/>
      </c>
      <c r="N486" s="26">
        <f t="shared" si="97"/>
        <v>0</v>
      </c>
      <c r="O486" s="235">
        <f t="shared" si="98"/>
        <v>0</v>
      </c>
      <c r="P486" s="235">
        <f t="shared" si="99"/>
        <v>0</v>
      </c>
      <c r="Q486" s="206">
        <f t="shared" si="100"/>
        <v>0</v>
      </c>
      <c r="R486" s="206">
        <f t="shared" si="101"/>
        <v>0</v>
      </c>
      <c r="S486" s="206">
        <f t="shared" si="102"/>
        <v>0</v>
      </c>
      <c r="T486" s="206">
        <f t="shared" si="103"/>
        <v>0</v>
      </c>
      <c r="U486" s="206">
        <f t="shared" si="103"/>
        <v>0</v>
      </c>
      <c r="V486" s="207" t="str">
        <f t="shared" si="104"/>
        <v/>
      </c>
    </row>
    <row r="487" spans="1:22" x14ac:dyDescent="0.3">
      <c r="A487" s="185" t="s">
        <v>1111</v>
      </c>
      <c r="B487" s="185"/>
      <c r="C487" s="185"/>
      <c r="D487" s="185"/>
      <c r="E487" s="185"/>
      <c r="F487" s="185"/>
      <c r="G487" s="77"/>
      <c r="H487" s="185"/>
      <c r="J487" s="185" t="str">
        <f t="shared" si="93"/>
        <v/>
      </c>
      <c r="K487" s="185" t="str">
        <f t="shared" si="94"/>
        <v/>
      </c>
      <c r="L487" s="185" t="str">
        <f t="shared" si="95"/>
        <v/>
      </c>
      <c r="M487" s="76" t="str">
        <f t="shared" si="96"/>
        <v/>
      </c>
      <c r="N487" s="26">
        <f t="shared" si="97"/>
        <v>0</v>
      </c>
      <c r="O487" s="235">
        <f t="shared" si="98"/>
        <v>0</v>
      </c>
      <c r="P487" s="235">
        <f t="shared" si="99"/>
        <v>0</v>
      </c>
      <c r="Q487" s="206">
        <f t="shared" si="100"/>
        <v>0</v>
      </c>
      <c r="R487" s="206">
        <f t="shared" si="101"/>
        <v>0</v>
      </c>
      <c r="S487" s="206">
        <f t="shared" si="102"/>
        <v>0</v>
      </c>
      <c r="T487" s="206">
        <f t="shared" si="103"/>
        <v>0</v>
      </c>
      <c r="U487" s="206">
        <f t="shared" si="103"/>
        <v>0</v>
      </c>
      <c r="V487" s="207" t="str">
        <f t="shared" si="104"/>
        <v/>
      </c>
    </row>
    <row r="488" spans="1:22" x14ac:dyDescent="0.3">
      <c r="A488" s="185"/>
      <c r="B488" s="185" t="s">
        <v>918</v>
      </c>
      <c r="C488" s="185" t="s">
        <v>918</v>
      </c>
      <c r="D488" s="185" t="s">
        <v>404</v>
      </c>
      <c r="E488" s="185" t="s">
        <v>404</v>
      </c>
      <c r="F488" s="185" t="s">
        <v>1131</v>
      </c>
      <c r="G488" s="77"/>
      <c r="H488" s="185"/>
      <c r="J488" s="185" t="str">
        <f t="shared" si="93"/>
        <v/>
      </c>
      <c r="K488" s="185" t="str">
        <f t="shared" si="94"/>
        <v/>
      </c>
      <c r="L488" s="185" t="str">
        <f t="shared" si="95"/>
        <v/>
      </c>
      <c r="M488" s="76" t="str">
        <f t="shared" si="96"/>
        <v/>
      </c>
      <c r="N488" s="26">
        <f t="shared" si="97"/>
        <v>0</v>
      </c>
      <c r="O488" s="235">
        <f t="shared" si="98"/>
        <v>0</v>
      </c>
      <c r="P488" s="235">
        <f t="shared" si="99"/>
        <v>0</v>
      </c>
      <c r="Q488" s="206">
        <f t="shared" si="100"/>
        <v>0</v>
      </c>
      <c r="R488" s="206">
        <f t="shared" si="101"/>
        <v>0</v>
      </c>
      <c r="S488" s="206">
        <f t="shared" si="102"/>
        <v>0</v>
      </c>
      <c r="T488" s="206">
        <f t="shared" si="103"/>
        <v>0</v>
      </c>
      <c r="U488" s="206">
        <f t="shared" si="103"/>
        <v>0</v>
      </c>
      <c r="V488" s="207" t="str">
        <f t="shared" si="104"/>
        <v/>
      </c>
    </row>
    <row r="489" spans="1:22" x14ac:dyDescent="0.3">
      <c r="A489" s="185" t="s">
        <v>917</v>
      </c>
      <c r="B489" s="185"/>
      <c r="C489" s="185"/>
      <c r="D489" s="185"/>
      <c r="E489" s="185"/>
      <c r="F489" s="185"/>
      <c r="G489" s="77"/>
      <c r="H489" s="185"/>
      <c r="J489" s="185" t="str">
        <f t="shared" si="93"/>
        <v/>
      </c>
      <c r="K489" s="185" t="str">
        <f t="shared" si="94"/>
        <v/>
      </c>
      <c r="L489" s="185" t="str">
        <f t="shared" si="95"/>
        <v/>
      </c>
      <c r="M489" s="76" t="str">
        <f t="shared" si="96"/>
        <v/>
      </c>
      <c r="N489" s="26">
        <f t="shared" si="97"/>
        <v>0</v>
      </c>
      <c r="O489" s="235">
        <f t="shared" si="98"/>
        <v>0</v>
      </c>
      <c r="P489" s="235">
        <f t="shared" si="99"/>
        <v>0</v>
      </c>
      <c r="Q489" s="206">
        <f t="shared" si="100"/>
        <v>0</v>
      </c>
      <c r="R489" s="206">
        <f t="shared" si="101"/>
        <v>0</v>
      </c>
      <c r="S489" s="206">
        <f t="shared" si="102"/>
        <v>0</v>
      </c>
      <c r="T489" s="206">
        <f t="shared" si="103"/>
        <v>0</v>
      </c>
      <c r="U489" s="206">
        <f t="shared" si="103"/>
        <v>0</v>
      </c>
      <c r="V489" s="207" t="str">
        <f t="shared" si="104"/>
        <v/>
      </c>
    </row>
    <row r="490" spans="1:22" x14ac:dyDescent="0.3">
      <c r="A490" s="185"/>
      <c r="B490" s="185" t="s">
        <v>918</v>
      </c>
      <c r="C490" s="185" t="s">
        <v>918</v>
      </c>
      <c r="D490" s="185" t="s">
        <v>404</v>
      </c>
      <c r="E490" s="185" t="s">
        <v>404</v>
      </c>
      <c r="F490" s="185" t="s">
        <v>1131</v>
      </c>
      <c r="G490" s="77"/>
      <c r="H490" s="185"/>
      <c r="J490" s="185" t="str">
        <f t="shared" si="93"/>
        <v/>
      </c>
      <c r="K490" s="185" t="str">
        <f t="shared" si="94"/>
        <v/>
      </c>
      <c r="L490" s="185" t="str">
        <f t="shared" si="95"/>
        <v/>
      </c>
      <c r="M490" s="76" t="str">
        <f t="shared" si="96"/>
        <v/>
      </c>
      <c r="N490" s="26">
        <f t="shared" si="97"/>
        <v>0</v>
      </c>
      <c r="O490" s="235">
        <f t="shared" si="98"/>
        <v>0</v>
      </c>
      <c r="P490" s="235">
        <f t="shared" si="99"/>
        <v>0</v>
      </c>
      <c r="Q490" s="206">
        <f t="shared" si="100"/>
        <v>0</v>
      </c>
      <c r="R490" s="206">
        <f t="shared" si="101"/>
        <v>0</v>
      </c>
      <c r="S490" s="206">
        <f t="shared" si="102"/>
        <v>0</v>
      </c>
      <c r="T490" s="206">
        <f t="shared" si="103"/>
        <v>0</v>
      </c>
      <c r="U490" s="206">
        <f t="shared" si="103"/>
        <v>0</v>
      </c>
      <c r="V490" s="207" t="str">
        <f t="shared" si="104"/>
        <v/>
      </c>
    </row>
    <row r="491" spans="1:22" x14ac:dyDescent="0.3">
      <c r="A491" s="185" t="s">
        <v>919</v>
      </c>
      <c r="B491" s="185"/>
      <c r="C491" s="185"/>
      <c r="D491" s="185"/>
      <c r="E491" s="185"/>
      <c r="F491" s="185"/>
      <c r="G491" s="77"/>
      <c r="H491" s="185"/>
      <c r="J491" s="185" t="str">
        <f t="shared" si="93"/>
        <v/>
      </c>
      <c r="K491" s="185" t="str">
        <f t="shared" si="94"/>
        <v/>
      </c>
      <c r="L491" s="185" t="str">
        <f t="shared" si="95"/>
        <v/>
      </c>
      <c r="M491" s="76" t="str">
        <f t="shared" si="96"/>
        <v/>
      </c>
      <c r="N491" s="26">
        <f t="shared" si="97"/>
        <v>0</v>
      </c>
      <c r="O491" s="235">
        <f t="shared" si="98"/>
        <v>0</v>
      </c>
      <c r="P491" s="235">
        <f t="shared" si="99"/>
        <v>0</v>
      </c>
      <c r="Q491" s="206">
        <f t="shared" si="100"/>
        <v>0</v>
      </c>
      <c r="R491" s="206">
        <f t="shared" si="101"/>
        <v>0</v>
      </c>
      <c r="S491" s="206">
        <f t="shared" si="102"/>
        <v>0</v>
      </c>
      <c r="T491" s="206">
        <f t="shared" si="103"/>
        <v>0</v>
      </c>
      <c r="U491" s="206">
        <f t="shared" si="103"/>
        <v>0</v>
      </c>
      <c r="V491" s="207" t="str">
        <f t="shared" si="104"/>
        <v/>
      </c>
    </row>
    <row r="492" spans="1:22" x14ac:dyDescent="0.3">
      <c r="A492" s="185"/>
      <c r="B492" s="185" t="s">
        <v>918</v>
      </c>
      <c r="C492" s="185" t="s">
        <v>918</v>
      </c>
      <c r="D492" s="185" t="s">
        <v>404</v>
      </c>
      <c r="E492" s="185" t="s">
        <v>404</v>
      </c>
      <c r="F492" s="185" t="s">
        <v>1131</v>
      </c>
      <c r="G492" s="77"/>
      <c r="H492" s="185"/>
      <c r="J492" s="185" t="str">
        <f t="shared" si="93"/>
        <v/>
      </c>
      <c r="K492" s="185" t="str">
        <f t="shared" si="94"/>
        <v/>
      </c>
      <c r="L492" s="185" t="str">
        <f t="shared" si="95"/>
        <v/>
      </c>
      <c r="M492" s="76" t="str">
        <f t="shared" si="96"/>
        <v/>
      </c>
      <c r="N492" s="26">
        <f t="shared" si="97"/>
        <v>0</v>
      </c>
      <c r="O492" s="235">
        <f t="shared" si="98"/>
        <v>0</v>
      </c>
      <c r="P492" s="235">
        <f t="shared" si="99"/>
        <v>0</v>
      </c>
      <c r="Q492" s="206">
        <f t="shared" si="100"/>
        <v>0</v>
      </c>
      <c r="R492" s="206">
        <f t="shared" si="101"/>
        <v>0</v>
      </c>
      <c r="S492" s="206">
        <f t="shared" si="102"/>
        <v>0</v>
      </c>
      <c r="T492" s="206">
        <f t="shared" si="103"/>
        <v>0</v>
      </c>
      <c r="U492" s="206">
        <f t="shared" si="103"/>
        <v>0</v>
      </c>
      <c r="V492" s="207" t="str">
        <f t="shared" si="104"/>
        <v/>
      </c>
    </row>
    <row r="493" spans="1:22" x14ac:dyDescent="0.3">
      <c r="A493" s="189" t="s">
        <v>921</v>
      </c>
      <c r="B493" s="189"/>
      <c r="C493" s="189"/>
      <c r="D493" s="189"/>
      <c r="E493" s="189"/>
      <c r="F493" s="189"/>
      <c r="G493" s="77"/>
      <c r="H493" s="189"/>
      <c r="J493" s="185" t="str">
        <f t="shared" ref="J493:J556" si="105">IFERROR(IF(FIND("Liste des vols",A493),LEN(A493),""),"")</f>
        <v/>
      </c>
      <c r="K493" s="185" t="str">
        <f t="shared" ref="K493:K556" si="106">IF(J493="","",LEFT(A493,3))</f>
        <v/>
      </c>
      <c r="L493" s="185" t="str">
        <f t="shared" ref="L493:L556" si="107">IF(K493&lt;&gt;"",MID(A493,7,3),"")</f>
        <v/>
      </c>
      <c r="M493" s="76" t="str">
        <f t="shared" ref="M493:M556" si="108">IF(K493&lt;&gt;"",CONCATENATE(K493,"/",L493),"")</f>
        <v/>
      </c>
      <c r="N493" s="26">
        <f t="shared" ref="N493:N556" si="109">IF(J493=29,VALUE(LEFT(F493,LEN(F493)-2)),0)</f>
        <v>0</v>
      </c>
      <c r="O493" s="235">
        <f t="shared" ref="O493:O556" si="110">IF(J493=29,-VALUE(G493),0)</f>
        <v>0</v>
      </c>
      <c r="P493" s="235">
        <f t="shared" ref="P493:P556" si="111">IF(J493=29,VALUE(LEFT(H493,LEN(H493)-2)),0)</f>
        <v>0</v>
      </c>
      <c r="Q493" s="206">
        <f t="shared" ref="Q493:Q556" si="112">IFERROR(VALUE(LEFT(RIGHT(A493,LEN(A493)-11),LEN(A493)-28)),0)</f>
        <v>0</v>
      </c>
      <c r="R493" s="206">
        <f t="shared" si="101"/>
        <v>0</v>
      </c>
      <c r="S493" s="206">
        <f t="shared" si="102"/>
        <v>0</v>
      </c>
      <c r="T493" s="206">
        <f t="shared" si="103"/>
        <v>0</v>
      </c>
      <c r="U493" s="206">
        <f t="shared" si="103"/>
        <v>0</v>
      </c>
      <c r="V493" s="207" t="str">
        <f t="shared" si="104"/>
        <v/>
      </c>
    </row>
    <row r="494" spans="1:22" x14ac:dyDescent="0.3">
      <c r="A494" s="189"/>
      <c r="B494" s="189" t="s">
        <v>918</v>
      </c>
      <c r="C494" s="189" t="s">
        <v>918</v>
      </c>
      <c r="D494" s="189" t="s">
        <v>404</v>
      </c>
      <c r="E494" s="189" t="s">
        <v>404</v>
      </c>
      <c r="F494" s="189" t="s">
        <v>1131</v>
      </c>
      <c r="G494" s="77"/>
      <c r="H494" s="189"/>
      <c r="J494" s="185" t="str">
        <f t="shared" si="105"/>
        <v/>
      </c>
      <c r="K494" s="185" t="str">
        <f t="shared" si="106"/>
        <v/>
      </c>
      <c r="L494" s="185" t="str">
        <f t="shared" si="107"/>
        <v/>
      </c>
      <c r="M494" s="76" t="str">
        <f t="shared" si="108"/>
        <v/>
      </c>
      <c r="N494" s="26">
        <f t="shared" si="109"/>
        <v>0</v>
      </c>
      <c r="O494" s="235">
        <f t="shared" si="110"/>
        <v>0</v>
      </c>
      <c r="P494" s="235">
        <f t="shared" si="111"/>
        <v>0</v>
      </c>
      <c r="Q494" s="206">
        <f t="shared" si="112"/>
        <v>0</v>
      </c>
      <c r="R494" s="206">
        <f t="shared" si="101"/>
        <v>0</v>
      </c>
      <c r="S494" s="206">
        <f t="shared" si="102"/>
        <v>0</v>
      </c>
      <c r="T494" s="206">
        <f t="shared" si="103"/>
        <v>0</v>
      </c>
      <c r="U494" s="206">
        <f t="shared" si="103"/>
        <v>0</v>
      </c>
      <c r="V494" s="207" t="str">
        <f t="shared" si="104"/>
        <v/>
      </c>
    </row>
    <row r="495" spans="1:22" x14ac:dyDescent="0.3">
      <c r="A495" s="189" t="s">
        <v>1141</v>
      </c>
      <c r="B495" s="189"/>
      <c r="C495" s="189"/>
      <c r="D495" s="189"/>
      <c r="E495" s="189"/>
      <c r="F495" s="189"/>
      <c r="G495" s="77"/>
      <c r="H495" s="189"/>
      <c r="J495" s="185" t="str">
        <f t="shared" si="105"/>
        <v/>
      </c>
      <c r="K495" s="185" t="str">
        <f t="shared" si="106"/>
        <v/>
      </c>
      <c r="L495" s="185" t="str">
        <f t="shared" si="107"/>
        <v/>
      </c>
      <c r="M495" s="76" t="str">
        <f t="shared" si="108"/>
        <v/>
      </c>
      <c r="N495" s="26">
        <f t="shared" si="109"/>
        <v>0</v>
      </c>
      <c r="O495" s="235">
        <f t="shared" si="110"/>
        <v>0</v>
      </c>
      <c r="P495" s="235">
        <f t="shared" si="111"/>
        <v>0</v>
      </c>
      <c r="Q495" s="206">
        <f t="shared" si="112"/>
        <v>0</v>
      </c>
      <c r="R495" s="206">
        <f t="shared" si="101"/>
        <v>0</v>
      </c>
      <c r="S495" s="206">
        <f t="shared" si="102"/>
        <v>0</v>
      </c>
      <c r="T495" s="206">
        <f t="shared" si="103"/>
        <v>0</v>
      </c>
      <c r="U495" s="206">
        <f t="shared" si="103"/>
        <v>0</v>
      </c>
      <c r="V495" s="207" t="str">
        <f t="shared" si="104"/>
        <v/>
      </c>
    </row>
    <row r="496" spans="1:22" x14ac:dyDescent="0.3">
      <c r="A496" s="189"/>
      <c r="B496" s="189" t="s">
        <v>918</v>
      </c>
      <c r="C496" s="189" t="s">
        <v>918</v>
      </c>
      <c r="D496" s="189" t="s">
        <v>404</v>
      </c>
      <c r="E496" s="189" t="s">
        <v>404</v>
      </c>
      <c r="F496" s="189" t="s">
        <v>1131</v>
      </c>
      <c r="G496" s="77"/>
      <c r="H496" s="189"/>
      <c r="J496" s="185" t="str">
        <f t="shared" si="105"/>
        <v/>
      </c>
      <c r="K496" s="185" t="str">
        <f t="shared" si="106"/>
        <v/>
      </c>
      <c r="L496" s="185" t="str">
        <f t="shared" si="107"/>
        <v/>
      </c>
      <c r="M496" s="76" t="str">
        <f t="shared" si="108"/>
        <v/>
      </c>
      <c r="N496" s="26">
        <f t="shared" si="109"/>
        <v>0</v>
      </c>
      <c r="O496" s="235">
        <f t="shared" si="110"/>
        <v>0</v>
      </c>
      <c r="P496" s="235">
        <f t="shared" si="111"/>
        <v>0</v>
      </c>
      <c r="Q496" s="206">
        <f t="shared" si="112"/>
        <v>0</v>
      </c>
      <c r="R496" s="206">
        <f t="shared" si="101"/>
        <v>0</v>
      </c>
      <c r="S496" s="206">
        <f t="shared" si="102"/>
        <v>0</v>
      </c>
      <c r="T496" s="206">
        <f t="shared" si="103"/>
        <v>0</v>
      </c>
      <c r="U496" s="206">
        <f t="shared" si="103"/>
        <v>0</v>
      </c>
      <c r="V496" s="207" t="str">
        <f t="shared" si="104"/>
        <v/>
      </c>
    </row>
    <row r="497" spans="1:22" x14ac:dyDescent="0.3">
      <c r="A497" s="189" t="s">
        <v>930</v>
      </c>
      <c r="B497" s="189"/>
      <c r="C497" s="189"/>
      <c r="D497" s="189"/>
      <c r="E497" s="189"/>
      <c r="F497" s="189"/>
      <c r="G497" s="77"/>
      <c r="H497" s="189"/>
      <c r="J497" s="185" t="str">
        <f t="shared" si="105"/>
        <v/>
      </c>
      <c r="K497" s="185" t="str">
        <f t="shared" si="106"/>
        <v/>
      </c>
      <c r="L497" s="185" t="str">
        <f t="shared" si="107"/>
        <v/>
      </c>
      <c r="M497" s="76" t="str">
        <f t="shared" si="108"/>
        <v/>
      </c>
      <c r="N497" s="26">
        <f t="shared" si="109"/>
        <v>0</v>
      </c>
      <c r="O497" s="235">
        <f t="shared" si="110"/>
        <v>0</v>
      </c>
      <c r="P497" s="235">
        <f t="shared" si="111"/>
        <v>0</v>
      </c>
      <c r="Q497" s="206">
        <f t="shared" si="112"/>
        <v>0</v>
      </c>
      <c r="R497" s="206">
        <f t="shared" si="101"/>
        <v>0</v>
      </c>
      <c r="S497" s="206">
        <f t="shared" si="102"/>
        <v>0</v>
      </c>
      <c r="T497" s="206">
        <f t="shared" si="103"/>
        <v>0</v>
      </c>
      <c r="U497" s="206">
        <f t="shared" si="103"/>
        <v>0</v>
      </c>
      <c r="V497" s="207" t="str">
        <f t="shared" si="104"/>
        <v/>
      </c>
    </row>
    <row r="498" spans="1:22" x14ac:dyDescent="0.3">
      <c r="A498" s="189"/>
      <c r="B498" s="189" t="s">
        <v>918</v>
      </c>
      <c r="C498" s="189" t="s">
        <v>918</v>
      </c>
      <c r="D498" s="189" t="s">
        <v>404</v>
      </c>
      <c r="E498" s="189" t="s">
        <v>404</v>
      </c>
      <c r="F498" s="189" t="s">
        <v>1131</v>
      </c>
      <c r="G498" s="77"/>
      <c r="H498" s="189"/>
      <c r="J498" s="185" t="str">
        <f t="shared" si="105"/>
        <v/>
      </c>
      <c r="K498" s="185" t="str">
        <f t="shared" si="106"/>
        <v/>
      </c>
      <c r="L498" s="185" t="str">
        <f t="shared" si="107"/>
        <v/>
      </c>
      <c r="M498" s="76" t="str">
        <f t="shared" si="108"/>
        <v/>
      </c>
      <c r="N498" s="26">
        <f t="shared" si="109"/>
        <v>0</v>
      </c>
      <c r="O498" s="235">
        <f t="shared" si="110"/>
        <v>0</v>
      </c>
      <c r="P498" s="235">
        <f t="shared" si="111"/>
        <v>0</v>
      </c>
      <c r="Q498" s="206">
        <f t="shared" si="112"/>
        <v>0</v>
      </c>
      <c r="R498" s="206">
        <f t="shared" si="101"/>
        <v>0</v>
      </c>
      <c r="S498" s="206">
        <f t="shared" si="102"/>
        <v>0</v>
      </c>
      <c r="T498" s="206">
        <f t="shared" si="103"/>
        <v>0</v>
      </c>
      <c r="U498" s="206">
        <f t="shared" si="103"/>
        <v>0</v>
      </c>
      <c r="V498" s="207" t="str">
        <f t="shared" si="104"/>
        <v/>
      </c>
    </row>
    <row r="499" spans="1:22" x14ac:dyDescent="0.3">
      <c r="A499" s="189" t="s">
        <v>926</v>
      </c>
      <c r="B499" s="189"/>
      <c r="C499" s="189"/>
      <c r="D499" s="189"/>
      <c r="E499" s="189"/>
      <c r="F499" s="189"/>
      <c r="G499" s="77"/>
      <c r="H499" s="189"/>
      <c r="J499" s="185" t="str">
        <f t="shared" si="105"/>
        <v/>
      </c>
      <c r="K499" s="185" t="str">
        <f t="shared" si="106"/>
        <v/>
      </c>
      <c r="L499" s="185" t="str">
        <f t="shared" si="107"/>
        <v/>
      </c>
      <c r="M499" s="76" t="str">
        <f t="shared" si="108"/>
        <v/>
      </c>
      <c r="N499" s="26">
        <f t="shared" si="109"/>
        <v>0</v>
      </c>
      <c r="O499" s="235">
        <f t="shared" si="110"/>
        <v>0</v>
      </c>
      <c r="P499" s="235">
        <f t="shared" si="111"/>
        <v>0</v>
      </c>
      <c r="Q499" s="206">
        <f t="shared" si="112"/>
        <v>0</v>
      </c>
      <c r="R499" s="206">
        <f t="shared" si="101"/>
        <v>0</v>
      </c>
      <c r="S499" s="206">
        <f t="shared" si="102"/>
        <v>0</v>
      </c>
      <c r="T499" s="206">
        <f t="shared" si="103"/>
        <v>0</v>
      </c>
      <c r="U499" s="206">
        <f t="shared" si="103"/>
        <v>0</v>
      </c>
      <c r="V499" s="207" t="str">
        <f t="shared" si="104"/>
        <v/>
      </c>
    </row>
    <row r="500" spans="1:22" x14ac:dyDescent="0.3">
      <c r="A500" s="189"/>
      <c r="B500" s="189"/>
      <c r="C500" s="189"/>
      <c r="D500" s="189"/>
      <c r="E500" s="189"/>
      <c r="F500" s="189"/>
      <c r="G500" s="77"/>
      <c r="H500" s="189"/>
      <c r="J500" s="185" t="str">
        <f t="shared" si="105"/>
        <v/>
      </c>
      <c r="K500" s="185" t="str">
        <f t="shared" si="106"/>
        <v/>
      </c>
      <c r="L500" s="185" t="str">
        <f t="shared" si="107"/>
        <v/>
      </c>
      <c r="M500" s="76" t="str">
        <f t="shared" si="108"/>
        <v/>
      </c>
      <c r="N500" s="26">
        <f t="shared" si="109"/>
        <v>0</v>
      </c>
      <c r="O500" s="235">
        <f t="shared" si="110"/>
        <v>0</v>
      </c>
      <c r="P500" s="235">
        <f t="shared" si="111"/>
        <v>0</v>
      </c>
      <c r="Q500" s="206">
        <f t="shared" si="112"/>
        <v>0</v>
      </c>
      <c r="R500" s="206">
        <f t="shared" si="101"/>
        <v>0</v>
      </c>
      <c r="S500" s="206">
        <f t="shared" si="102"/>
        <v>0</v>
      </c>
      <c r="T500" s="206">
        <f t="shared" si="103"/>
        <v>0</v>
      </c>
      <c r="U500" s="206">
        <f t="shared" si="103"/>
        <v>0</v>
      </c>
      <c r="V500" s="207" t="str">
        <f t="shared" si="104"/>
        <v/>
      </c>
    </row>
    <row r="501" spans="1:22" x14ac:dyDescent="0.3">
      <c r="A501" s="189"/>
      <c r="B501" s="189"/>
      <c r="C501" s="189"/>
      <c r="D501" s="189"/>
      <c r="E501" s="189"/>
      <c r="F501" s="189"/>
      <c r="G501" s="77"/>
      <c r="H501" s="189"/>
      <c r="J501" s="185" t="str">
        <f t="shared" si="105"/>
        <v/>
      </c>
      <c r="K501" s="185" t="str">
        <f t="shared" si="106"/>
        <v/>
      </c>
      <c r="L501" s="185" t="str">
        <f t="shared" si="107"/>
        <v/>
      </c>
      <c r="M501" s="76" t="str">
        <f t="shared" si="108"/>
        <v/>
      </c>
      <c r="N501" s="26">
        <f t="shared" si="109"/>
        <v>0</v>
      </c>
      <c r="O501" s="235">
        <f t="shared" si="110"/>
        <v>0</v>
      </c>
      <c r="P501" s="235">
        <f t="shared" si="111"/>
        <v>0</v>
      </c>
      <c r="Q501" s="206">
        <f t="shared" si="112"/>
        <v>0</v>
      </c>
      <c r="R501" s="206">
        <f t="shared" si="101"/>
        <v>0</v>
      </c>
      <c r="S501" s="206">
        <f t="shared" si="102"/>
        <v>0</v>
      </c>
      <c r="T501" s="206">
        <f t="shared" si="103"/>
        <v>0</v>
      </c>
      <c r="U501" s="206">
        <f t="shared" si="103"/>
        <v>0</v>
      </c>
      <c r="V501" s="207" t="str">
        <f t="shared" si="104"/>
        <v/>
      </c>
    </row>
    <row r="502" spans="1:22" x14ac:dyDescent="0.3">
      <c r="A502" s="189" t="s">
        <v>1193</v>
      </c>
      <c r="B502" s="189" t="s">
        <v>31</v>
      </c>
      <c r="C502" s="189" t="s">
        <v>1194</v>
      </c>
      <c r="D502" s="189" t="s">
        <v>1191</v>
      </c>
      <c r="E502" s="189" t="s">
        <v>1192</v>
      </c>
      <c r="F502" s="189" t="s">
        <v>916</v>
      </c>
      <c r="G502" s="77"/>
      <c r="H502" s="189"/>
      <c r="J502" s="185" t="str">
        <f t="shared" si="105"/>
        <v/>
      </c>
      <c r="K502" s="185" t="str">
        <f t="shared" si="106"/>
        <v/>
      </c>
      <c r="L502" s="185" t="str">
        <f t="shared" si="107"/>
        <v/>
      </c>
      <c r="M502" s="76" t="str">
        <f t="shared" si="108"/>
        <v/>
      </c>
      <c r="N502" s="26">
        <f t="shared" si="109"/>
        <v>0</v>
      </c>
      <c r="O502" s="235">
        <f t="shared" si="110"/>
        <v>0</v>
      </c>
      <c r="P502" s="235">
        <f t="shared" si="111"/>
        <v>0</v>
      </c>
      <c r="Q502" s="206">
        <f t="shared" si="112"/>
        <v>0</v>
      </c>
      <c r="R502" s="206">
        <f t="shared" si="101"/>
        <v>0</v>
      </c>
      <c r="S502" s="206">
        <f t="shared" si="102"/>
        <v>0</v>
      </c>
      <c r="T502" s="206">
        <f t="shared" si="103"/>
        <v>0</v>
      </c>
      <c r="U502" s="206">
        <f t="shared" si="103"/>
        <v>0</v>
      </c>
      <c r="V502" s="207" t="str">
        <f t="shared" si="104"/>
        <v/>
      </c>
    </row>
    <row r="503" spans="1:22" x14ac:dyDescent="0.3">
      <c r="A503" s="189"/>
      <c r="B503" s="189" t="s">
        <v>453</v>
      </c>
      <c r="C503" s="189" t="s">
        <v>1032</v>
      </c>
      <c r="D503" s="189" t="s">
        <v>404</v>
      </c>
      <c r="E503" s="189" t="s">
        <v>404</v>
      </c>
      <c r="F503" s="189" t="s">
        <v>1131</v>
      </c>
      <c r="G503" s="77"/>
      <c r="H503" s="189"/>
      <c r="J503" s="185" t="str">
        <f t="shared" si="105"/>
        <v/>
      </c>
      <c r="K503" s="185" t="str">
        <f t="shared" si="106"/>
        <v/>
      </c>
      <c r="L503" s="185" t="str">
        <f t="shared" si="107"/>
        <v/>
      </c>
      <c r="M503" s="76" t="str">
        <f t="shared" si="108"/>
        <v/>
      </c>
      <c r="N503" s="26">
        <f t="shared" si="109"/>
        <v>0</v>
      </c>
      <c r="O503" s="235">
        <f t="shared" si="110"/>
        <v>0</v>
      </c>
      <c r="P503" s="235">
        <f t="shared" si="111"/>
        <v>0</v>
      </c>
      <c r="Q503" s="206">
        <f t="shared" si="112"/>
        <v>0</v>
      </c>
      <c r="R503" s="206">
        <f t="shared" si="101"/>
        <v>0</v>
      </c>
      <c r="S503" s="206">
        <f t="shared" si="102"/>
        <v>0</v>
      </c>
      <c r="T503" s="206">
        <f t="shared" si="103"/>
        <v>0</v>
      </c>
      <c r="U503" s="206">
        <f t="shared" si="103"/>
        <v>0</v>
      </c>
      <c r="V503" s="207" t="str">
        <f t="shared" si="104"/>
        <v/>
      </c>
    </row>
    <row r="504" spans="1:22" x14ac:dyDescent="0.3">
      <c r="A504" s="189" t="s">
        <v>1165</v>
      </c>
      <c r="B504" s="189"/>
      <c r="C504" s="189"/>
      <c r="D504" s="189"/>
      <c r="E504" s="189"/>
      <c r="F504" s="189"/>
      <c r="G504" s="77"/>
      <c r="H504" s="189"/>
      <c r="J504" s="185" t="str">
        <f t="shared" si="105"/>
        <v/>
      </c>
      <c r="K504" s="185" t="str">
        <f t="shared" si="106"/>
        <v/>
      </c>
      <c r="L504" s="185" t="str">
        <f t="shared" si="107"/>
        <v/>
      </c>
      <c r="M504" s="76" t="str">
        <f t="shared" si="108"/>
        <v/>
      </c>
      <c r="N504" s="26">
        <f t="shared" si="109"/>
        <v>0</v>
      </c>
      <c r="O504" s="235">
        <f t="shared" si="110"/>
        <v>0</v>
      </c>
      <c r="P504" s="235">
        <f t="shared" si="111"/>
        <v>0</v>
      </c>
      <c r="Q504" s="206">
        <f t="shared" si="112"/>
        <v>0</v>
      </c>
      <c r="R504" s="206">
        <f t="shared" si="101"/>
        <v>0</v>
      </c>
      <c r="S504" s="206">
        <f t="shared" si="102"/>
        <v>0</v>
      </c>
      <c r="T504" s="206">
        <f t="shared" si="103"/>
        <v>0</v>
      </c>
      <c r="U504" s="206">
        <f t="shared" si="103"/>
        <v>0</v>
      </c>
      <c r="V504" s="207" t="str">
        <f t="shared" si="104"/>
        <v/>
      </c>
    </row>
    <row r="505" spans="1:22" x14ac:dyDescent="0.3">
      <c r="A505" s="189" t="s">
        <v>1142</v>
      </c>
      <c r="B505" s="189"/>
      <c r="C505" s="189"/>
      <c r="D505" s="189"/>
      <c r="E505" s="189"/>
      <c r="F505" s="189"/>
      <c r="G505" s="77"/>
      <c r="H505" s="189"/>
      <c r="J505" s="185" t="str">
        <f t="shared" si="105"/>
        <v/>
      </c>
      <c r="K505" s="185" t="str">
        <f t="shared" si="106"/>
        <v/>
      </c>
      <c r="L505" s="185" t="str">
        <f t="shared" si="107"/>
        <v/>
      </c>
      <c r="M505" s="76" t="str">
        <f t="shared" si="108"/>
        <v/>
      </c>
      <c r="N505" s="26">
        <f t="shared" si="109"/>
        <v>0</v>
      </c>
      <c r="O505" s="235">
        <f t="shared" si="110"/>
        <v>0</v>
      </c>
      <c r="P505" s="235">
        <f t="shared" si="111"/>
        <v>0</v>
      </c>
      <c r="Q505" s="206">
        <f t="shared" si="112"/>
        <v>0</v>
      </c>
      <c r="R505" s="206">
        <f t="shared" si="101"/>
        <v>0</v>
      </c>
      <c r="S505" s="206">
        <f t="shared" si="102"/>
        <v>0</v>
      </c>
      <c r="T505" s="206">
        <f t="shared" si="103"/>
        <v>0</v>
      </c>
      <c r="U505" s="206">
        <f t="shared" si="103"/>
        <v>0</v>
      </c>
      <c r="V505" s="207" t="str">
        <f t="shared" si="104"/>
        <v/>
      </c>
    </row>
    <row r="506" spans="1:22" x14ac:dyDescent="0.3">
      <c r="A506" s="189"/>
      <c r="B506" s="189"/>
      <c r="C506" s="189"/>
      <c r="D506" s="189"/>
      <c r="E506" s="189"/>
      <c r="F506" s="189"/>
      <c r="G506" s="77"/>
      <c r="H506" s="189"/>
      <c r="J506" s="185" t="str">
        <f t="shared" si="105"/>
        <v/>
      </c>
      <c r="K506" s="185" t="str">
        <f t="shared" si="106"/>
        <v/>
      </c>
      <c r="L506" s="185" t="str">
        <f t="shared" si="107"/>
        <v/>
      </c>
      <c r="M506" s="76" t="str">
        <f t="shared" si="108"/>
        <v/>
      </c>
      <c r="N506" s="26">
        <f t="shared" si="109"/>
        <v>0</v>
      </c>
      <c r="O506" s="235">
        <f t="shared" si="110"/>
        <v>0</v>
      </c>
      <c r="P506" s="235">
        <f t="shared" si="111"/>
        <v>0</v>
      </c>
      <c r="Q506" s="206">
        <f t="shared" si="112"/>
        <v>0</v>
      </c>
      <c r="R506" s="206">
        <f t="shared" si="101"/>
        <v>0</v>
      </c>
      <c r="S506" s="206">
        <f t="shared" si="102"/>
        <v>0</v>
      </c>
      <c r="T506" s="206">
        <f t="shared" si="103"/>
        <v>0</v>
      </c>
      <c r="U506" s="206">
        <f t="shared" si="103"/>
        <v>0</v>
      </c>
      <c r="V506" s="207" t="str">
        <f t="shared" si="104"/>
        <v/>
      </c>
    </row>
    <row r="507" spans="1:22" x14ac:dyDescent="0.3">
      <c r="A507" s="189" t="s">
        <v>405</v>
      </c>
      <c r="B507" s="189"/>
      <c r="C507" s="189"/>
      <c r="D507" s="189"/>
      <c r="E507" s="189"/>
      <c r="F507" s="189"/>
      <c r="G507" s="77"/>
      <c r="H507" s="189"/>
      <c r="J507" s="185" t="str">
        <f t="shared" si="105"/>
        <v/>
      </c>
      <c r="K507" s="185" t="str">
        <f t="shared" si="106"/>
        <v/>
      </c>
      <c r="L507" s="185" t="str">
        <f t="shared" si="107"/>
        <v/>
      </c>
      <c r="M507" s="76" t="str">
        <f t="shared" si="108"/>
        <v/>
      </c>
      <c r="N507" s="26">
        <f t="shared" si="109"/>
        <v>0</v>
      </c>
      <c r="O507" s="235">
        <f t="shared" si="110"/>
        <v>0</v>
      </c>
      <c r="P507" s="235">
        <f t="shared" si="111"/>
        <v>0</v>
      </c>
      <c r="Q507" s="206">
        <f t="shared" si="112"/>
        <v>0</v>
      </c>
      <c r="R507" s="206">
        <f t="shared" si="101"/>
        <v>0</v>
      </c>
      <c r="S507" s="206">
        <f t="shared" si="102"/>
        <v>0</v>
      </c>
      <c r="T507" s="206">
        <f t="shared" si="103"/>
        <v>0</v>
      </c>
      <c r="U507" s="206">
        <f t="shared" si="103"/>
        <v>0</v>
      </c>
      <c r="V507" s="207" t="str">
        <f t="shared" si="104"/>
        <v/>
      </c>
    </row>
    <row r="508" spans="1:22" x14ac:dyDescent="0.3">
      <c r="A508" s="189" t="s">
        <v>1195</v>
      </c>
      <c r="B508" s="189"/>
      <c r="C508" s="189"/>
      <c r="D508" s="189"/>
      <c r="E508" s="189"/>
      <c r="F508" s="189"/>
      <c r="G508" s="77"/>
      <c r="H508" s="189"/>
      <c r="J508" s="185" t="str">
        <f t="shared" si="105"/>
        <v/>
      </c>
      <c r="K508" s="185" t="str">
        <f t="shared" si="106"/>
        <v/>
      </c>
      <c r="L508" s="185" t="str">
        <f t="shared" si="107"/>
        <v/>
      </c>
      <c r="M508" s="76" t="str">
        <f t="shared" si="108"/>
        <v/>
      </c>
      <c r="N508" s="26">
        <f t="shared" si="109"/>
        <v>0</v>
      </c>
      <c r="O508" s="235">
        <f t="shared" si="110"/>
        <v>0</v>
      </c>
      <c r="P508" s="235">
        <f t="shared" si="111"/>
        <v>0</v>
      </c>
      <c r="Q508" s="206">
        <f t="shared" si="112"/>
        <v>0</v>
      </c>
      <c r="R508" s="206">
        <f t="shared" si="101"/>
        <v>0</v>
      </c>
      <c r="S508" s="206">
        <f t="shared" si="102"/>
        <v>0</v>
      </c>
      <c r="T508" s="206">
        <f t="shared" si="103"/>
        <v>0</v>
      </c>
      <c r="U508" s="206">
        <f t="shared" si="103"/>
        <v>0</v>
      </c>
      <c r="V508" s="207" t="str">
        <f t="shared" si="104"/>
        <v/>
      </c>
    </row>
    <row r="509" spans="1:22" x14ac:dyDescent="0.3">
      <c r="A509" s="189" t="s">
        <v>1210</v>
      </c>
      <c r="B509" s="189"/>
      <c r="C509" s="189"/>
      <c r="D509" s="189"/>
      <c r="E509" s="189"/>
      <c r="F509" s="189"/>
      <c r="G509" s="77"/>
      <c r="H509" s="189"/>
      <c r="J509" s="185" t="str">
        <f t="shared" si="105"/>
        <v/>
      </c>
      <c r="K509" s="185" t="str">
        <f t="shared" si="106"/>
        <v/>
      </c>
      <c r="L509" s="185" t="str">
        <f t="shared" si="107"/>
        <v/>
      </c>
      <c r="M509" s="76" t="str">
        <f t="shared" si="108"/>
        <v/>
      </c>
      <c r="N509" s="26">
        <f t="shared" si="109"/>
        <v>0</v>
      </c>
      <c r="O509" s="235">
        <f t="shared" si="110"/>
        <v>0</v>
      </c>
      <c r="P509" s="235">
        <f t="shared" si="111"/>
        <v>0</v>
      </c>
      <c r="Q509" s="206">
        <f t="shared" si="112"/>
        <v>0</v>
      </c>
      <c r="R509" s="206">
        <f t="shared" si="101"/>
        <v>0</v>
      </c>
      <c r="S509" s="206">
        <f t="shared" si="102"/>
        <v>0</v>
      </c>
      <c r="T509" s="206">
        <f t="shared" si="103"/>
        <v>0</v>
      </c>
      <c r="U509" s="206">
        <f t="shared" si="103"/>
        <v>0</v>
      </c>
      <c r="V509" s="207" t="str">
        <f t="shared" si="104"/>
        <v/>
      </c>
    </row>
    <row r="510" spans="1:22" x14ac:dyDescent="0.3">
      <c r="A510" s="189" t="s">
        <v>1196</v>
      </c>
      <c r="B510" s="189"/>
      <c r="C510" s="189"/>
      <c r="D510" s="189"/>
      <c r="E510" s="189"/>
      <c r="F510" s="189"/>
      <c r="G510" s="77"/>
      <c r="H510" s="189"/>
      <c r="J510" s="185" t="str">
        <f t="shared" si="105"/>
        <v/>
      </c>
      <c r="K510" s="185" t="str">
        <f t="shared" si="106"/>
        <v/>
      </c>
      <c r="L510" s="185" t="str">
        <f t="shared" si="107"/>
        <v/>
      </c>
      <c r="M510" s="76" t="str">
        <f t="shared" si="108"/>
        <v/>
      </c>
      <c r="N510" s="26">
        <f t="shared" si="109"/>
        <v>0</v>
      </c>
      <c r="O510" s="235">
        <f t="shared" si="110"/>
        <v>0</v>
      </c>
      <c r="P510" s="235">
        <f t="shared" si="111"/>
        <v>0</v>
      </c>
      <c r="Q510" s="206">
        <f t="shared" si="112"/>
        <v>0</v>
      </c>
      <c r="R510" s="206">
        <f t="shared" si="101"/>
        <v>0</v>
      </c>
      <c r="S510" s="206">
        <f t="shared" si="102"/>
        <v>0</v>
      </c>
      <c r="T510" s="206">
        <f t="shared" si="103"/>
        <v>0</v>
      </c>
      <c r="U510" s="206">
        <f t="shared" si="103"/>
        <v>0</v>
      </c>
      <c r="V510" s="207" t="str">
        <f t="shared" si="104"/>
        <v/>
      </c>
    </row>
    <row r="511" spans="1:22" x14ac:dyDescent="0.3">
      <c r="A511" s="189" t="s">
        <v>1197</v>
      </c>
      <c r="B511" s="189"/>
      <c r="C511" s="189"/>
      <c r="D511" s="189"/>
      <c r="E511" s="189"/>
      <c r="F511" s="189"/>
      <c r="G511" s="77"/>
      <c r="H511" s="189"/>
      <c r="J511" s="185" t="str">
        <f t="shared" si="105"/>
        <v/>
      </c>
      <c r="K511" s="185" t="str">
        <f t="shared" si="106"/>
        <v/>
      </c>
      <c r="L511" s="185" t="str">
        <f t="shared" si="107"/>
        <v/>
      </c>
      <c r="M511" s="76" t="str">
        <f t="shared" si="108"/>
        <v/>
      </c>
      <c r="N511" s="26">
        <f t="shared" si="109"/>
        <v>0</v>
      </c>
      <c r="O511" s="235">
        <f t="shared" si="110"/>
        <v>0</v>
      </c>
      <c r="P511" s="235">
        <f t="shared" si="111"/>
        <v>0</v>
      </c>
      <c r="Q511" s="206">
        <f t="shared" si="112"/>
        <v>0</v>
      </c>
      <c r="R511" s="206">
        <f t="shared" si="101"/>
        <v>0</v>
      </c>
      <c r="S511" s="206">
        <f t="shared" si="102"/>
        <v>0</v>
      </c>
      <c r="T511" s="206">
        <f t="shared" si="103"/>
        <v>0</v>
      </c>
      <c r="U511" s="206">
        <f t="shared" si="103"/>
        <v>0</v>
      </c>
      <c r="V511" s="207" t="str">
        <f t="shared" si="104"/>
        <v/>
      </c>
    </row>
    <row r="512" spans="1:22" x14ac:dyDescent="0.3">
      <c r="A512" s="189" t="s">
        <v>1198</v>
      </c>
      <c r="B512" s="189"/>
      <c r="C512" s="189"/>
      <c r="D512" s="189"/>
      <c r="E512" s="189"/>
      <c r="F512" s="189"/>
      <c r="G512" s="77"/>
      <c r="H512" s="189"/>
      <c r="J512" s="185" t="str">
        <f t="shared" si="105"/>
        <v/>
      </c>
      <c r="K512" s="185" t="str">
        <f t="shared" si="106"/>
        <v/>
      </c>
      <c r="L512" s="185" t="str">
        <f t="shared" si="107"/>
        <v/>
      </c>
      <c r="M512" s="76" t="str">
        <f t="shared" si="108"/>
        <v/>
      </c>
      <c r="N512" s="26">
        <f t="shared" si="109"/>
        <v>0</v>
      </c>
      <c r="O512" s="235">
        <f t="shared" si="110"/>
        <v>0</v>
      </c>
      <c r="P512" s="235">
        <f t="shared" si="111"/>
        <v>0</v>
      </c>
      <c r="Q512" s="206">
        <f t="shared" si="112"/>
        <v>0</v>
      </c>
      <c r="R512" s="206">
        <f t="shared" si="101"/>
        <v>0</v>
      </c>
      <c r="S512" s="206">
        <f t="shared" si="102"/>
        <v>0</v>
      </c>
      <c r="T512" s="206">
        <f t="shared" si="103"/>
        <v>0</v>
      </c>
      <c r="U512" s="206">
        <f t="shared" si="103"/>
        <v>0</v>
      </c>
      <c r="V512" s="207" t="str">
        <f t="shared" si="104"/>
        <v/>
      </c>
    </row>
    <row r="513" spans="1:22" x14ac:dyDescent="0.3">
      <c r="A513" s="189" t="s">
        <v>1199</v>
      </c>
      <c r="B513" s="189"/>
      <c r="C513" s="189"/>
      <c r="D513" s="189"/>
      <c r="E513" s="189"/>
      <c r="F513" s="189"/>
      <c r="G513" s="77"/>
      <c r="H513" s="189"/>
      <c r="J513" s="185" t="str">
        <f t="shared" si="105"/>
        <v/>
      </c>
      <c r="K513" s="185" t="str">
        <f t="shared" si="106"/>
        <v/>
      </c>
      <c r="L513" s="185" t="str">
        <f t="shared" si="107"/>
        <v/>
      </c>
      <c r="M513" s="76" t="str">
        <f t="shared" si="108"/>
        <v/>
      </c>
      <c r="N513" s="26">
        <f t="shared" si="109"/>
        <v>0</v>
      </c>
      <c r="O513" s="235">
        <f t="shared" si="110"/>
        <v>0</v>
      </c>
      <c r="P513" s="235">
        <f t="shared" si="111"/>
        <v>0</v>
      </c>
      <c r="Q513" s="206">
        <f t="shared" si="112"/>
        <v>0</v>
      </c>
      <c r="R513" s="206">
        <f t="shared" si="101"/>
        <v>0</v>
      </c>
      <c r="S513" s="206">
        <f t="shared" si="102"/>
        <v>0</v>
      </c>
      <c r="T513" s="206">
        <f t="shared" si="103"/>
        <v>0</v>
      </c>
      <c r="U513" s="206">
        <f t="shared" si="103"/>
        <v>0</v>
      </c>
      <c r="V513" s="207" t="str">
        <f t="shared" si="104"/>
        <v/>
      </c>
    </row>
    <row r="514" spans="1:22" x14ac:dyDescent="0.3">
      <c r="A514" s="189" t="s">
        <v>409</v>
      </c>
      <c r="B514" s="189"/>
      <c r="C514" s="189"/>
      <c r="D514" s="189"/>
      <c r="E514" s="189"/>
      <c r="F514" s="189"/>
      <c r="G514" s="77"/>
      <c r="H514" s="189"/>
      <c r="J514" s="185" t="str">
        <f t="shared" si="105"/>
        <v/>
      </c>
      <c r="K514" s="185" t="str">
        <f t="shared" si="106"/>
        <v/>
      </c>
      <c r="L514" s="185" t="str">
        <f t="shared" si="107"/>
        <v/>
      </c>
      <c r="M514" s="76" t="str">
        <f t="shared" si="108"/>
        <v/>
      </c>
      <c r="N514" s="26">
        <f t="shared" si="109"/>
        <v>0</v>
      </c>
      <c r="O514" s="235">
        <f t="shared" si="110"/>
        <v>0</v>
      </c>
      <c r="P514" s="235">
        <f t="shared" si="111"/>
        <v>0</v>
      </c>
      <c r="Q514" s="206">
        <f t="shared" si="112"/>
        <v>0</v>
      </c>
      <c r="R514" s="206">
        <f t="shared" si="101"/>
        <v>0</v>
      </c>
      <c r="S514" s="206">
        <f t="shared" si="102"/>
        <v>0</v>
      </c>
      <c r="T514" s="206">
        <f t="shared" si="103"/>
        <v>0</v>
      </c>
      <c r="U514" s="206">
        <f t="shared" si="103"/>
        <v>0</v>
      </c>
      <c r="V514" s="207" t="str">
        <f t="shared" si="104"/>
        <v/>
      </c>
    </row>
    <row r="515" spans="1:22" x14ac:dyDescent="0.3">
      <c r="A515" s="189" t="s">
        <v>410</v>
      </c>
      <c r="B515" s="189"/>
      <c r="C515" s="189"/>
      <c r="D515" s="189"/>
      <c r="E515" s="189"/>
      <c r="F515" s="189"/>
      <c r="G515" s="77"/>
      <c r="H515" s="189"/>
      <c r="J515" s="185" t="str">
        <f t="shared" si="105"/>
        <v/>
      </c>
      <c r="K515" s="185" t="str">
        <f t="shared" si="106"/>
        <v/>
      </c>
      <c r="L515" s="185" t="str">
        <f t="shared" si="107"/>
        <v/>
      </c>
      <c r="M515" s="76" t="str">
        <f t="shared" si="108"/>
        <v/>
      </c>
      <c r="N515" s="26">
        <f t="shared" si="109"/>
        <v>0</v>
      </c>
      <c r="O515" s="235">
        <f t="shared" si="110"/>
        <v>0</v>
      </c>
      <c r="P515" s="235">
        <f t="shared" si="111"/>
        <v>0</v>
      </c>
      <c r="Q515" s="206">
        <f t="shared" si="112"/>
        <v>0</v>
      </c>
      <c r="R515" s="206">
        <f t="shared" si="101"/>
        <v>0</v>
      </c>
      <c r="S515" s="206">
        <f t="shared" si="102"/>
        <v>0</v>
      </c>
      <c r="T515" s="206">
        <f t="shared" si="103"/>
        <v>0</v>
      </c>
      <c r="U515" s="206">
        <f t="shared" si="103"/>
        <v>0</v>
      </c>
      <c r="V515" s="207" t="str">
        <f t="shared" si="104"/>
        <v/>
      </c>
    </row>
    <row r="516" spans="1:22" x14ac:dyDescent="0.3">
      <c r="A516" s="189" t="s">
        <v>1200</v>
      </c>
      <c r="B516" s="189"/>
      <c r="C516" s="189"/>
      <c r="D516" s="189"/>
      <c r="E516" s="189"/>
      <c r="F516" s="189"/>
      <c r="G516" s="77"/>
      <c r="H516" s="189"/>
      <c r="J516" s="185" t="str">
        <f t="shared" si="105"/>
        <v/>
      </c>
      <c r="K516" s="185" t="str">
        <f t="shared" si="106"/>
        <v/>
      </c>
      <c r="L516" s="185" t="str">
        <f t="shared" si="107"/>
        <v/>
      </c>
      <c r="M516" s="76" t="str">
        <f t="shared" si="108"/>
        <v/>
      </c>
      <c r="N516" s="26">
        <f t="shared" si="109"/>
        <v>0</v>
      </c>
      <c r="O516" s="235">
        <f t="shared" si="110"/>
        <v>0</v>
      </c>
      <c r="P516" s="235">
        <f t="shared" si="111"/>
        <v>0</v>
      </c>
      <c r="Q516" s="206">
        <f t="shared" si="112"/>
        <v>0</v>
      </c>
      <c r="R516" s="206">
        <f t="shared" si="101"/>
        <v>0</v>
      </c>
      <c r="S516" s="206">
        <f t="shared" si="102"/>
        <v>0</v>
      </c>
      <c r="T516" s="206">
        <f t="shared" si="103"/>
        <v>0</v>
      </c>
      <c r="U516" s="206">
        <f t="shared" si="103"/>
        <v>0</v>
      </c>
      <c r="V516" s="207" t="str">
        <f t="shared" si="104"/>
        <v/>
      </c>
    </row>
    <row r="517" spans="1:22" x14ac:dyDescent="0.3">
      <c r="A517" s="189" t="s">
        <v>412</v>
      </c>
      <c r="B517" s="189"/>
      <c r="C517" s="189"/>
      <c r="D517" s="189"/>
      <c r="E517" s="189"/>
      <c r="F517" s="189"/>
      <c r="G517" s="77"/>
      <c r="H517" s="189"/>
      <c r="J517" s="185" t="str">
        <f t="shared" si="105"/>
        <v/>
      </c>
      <c r="K517" s="185" t="str">
        <f t="shared" si="106"/>
        <v/>
      </c>
      <c r="L517" s="185" t="str">
        <f t="shared" si="107"/>
        <v/>
      </c>
      <c r="M517" s="76" t="str">
        <f t="shared" si="108"/>
        <v/>
      </c>
      <c r="N517" s="26">
        <f t="shared" si="109"/>
        <v>0</v>
      </c>
      <c r="O517" s="235">
        <f t="shared" si="110"/>
        <v>0</v>
      </c>
      <c r="P517" s="235">
        <f t="shared" si="111"/>
        <v>0</v>
      </c>
      <c r="Q517" s="206">
        <f t="shared" si="112"/>
        <v>0</v>
      </c>
      <c r="R517" s="206">
        <f t="shared" si="101"/>
        <v>0</v>
      </c>
      <c r="S517" s="206">
        <f t="shared" si="102"/>
        <v>0</v>
      </c>
      <c r="T517" s="206">
        <f t="shared" si="103"/>
        <v>0</v>
      </c>
      <c r="U517" s="206">
        <f t="shared" si="103"/>
        <v>0</v>
      </c>
      <c r="V517" s="207" t="str">
        <f t="shared" si="104"/>
        <v/>
      </c>
    </row>
    <row r="518" spans="1:22" x14ac:dyDescent="0.3">
      <c r="A518" s="204" t="s">
        <v>405</v>
      </c>
      <c r="B518" s="204"/>
      <c r="C518" s="204"/>
      <c r="D518" s="204"/>
      <c r="E518" s="204"/>
      <c r="F518" s="204"/>
      <c r="G518" s="77"/>
      <c r="H518" s="204"/>
      <c r="J518" s="185" t="str">
        <f t="shared" si="105"/>
        <v/>
      </c>
      <c r="K518" s="185" t="str">
        <f t="shared" si="106"/>
        <v/>
      </c>
      <c r="L518" s="185" t="str">
        <f t="shared" si="107"/>
        <v/>
      </c>
      <c r="M518" s="76" t="str">
        <f t="shared" si="108"/>
        <v/>
      </c>
      <c r="N518" s="26">
        <f t="shared" si="109"/>
        <v>0</v>
      </c>
      <c r="O518" s="235">
        <f t="shared" si="110"/>
        <v>0</v>
      </c>
      <c r="P518" s="235">
        <f t="shared" si="111"/>
        <v>0</v>
      </c>
      <c r="Q518" s="206">
        <f t="shared" si="112"/>
        <v>0</v>
      </c>
      <c r="R518" s="206">
        <f t="shared" si="101"/>
        <v>0</v>
      </c>
      <c r="S518" s="206">
        <f t="shared" si="102"/>
        <v>0</v>
      </c>
      <c r="T518" s="206">
        <f t="shared" si="103"/>
        <v>0</v>
      </c>
      <c r="U518" s="206">
        <f t="shared" si="103"/>
        <v>0</v>
      </c>
      <c r="V518" s="207" t="str">
        <f t="shared" si="104"/>
        <v/>
      </c>
    </row>
    <row r="519" spans="1:22" x14ac:dyDescent="0.3">
      <c r="A519" s="204" t="s">
        <v>413</v>
      </c>
      <c r="B519" s="204"/>
      <c r="C519" s="204"/>
      <c r="D519" s="204"/>
      <c r="E519" s="204"/>
      <c r="F519" s="204"/>
      <c r="G519" s="77"/>
      <c r="H519" s="204"/>
      <c r="J519" s="185" t="str">
        <f t="shared" si="105"/>
        <v/>
      </c>
      <c r="K519" s="185" t="str">
        <f t="shared" si="106"/>
        <v/>
      </c>
      <c r="L519" s="185" t="str">
        <f t="shared" si="107"/>
        <v/>
      </c>
      <c r="M519" s="76" t="str">
        <f t="shared" si="108"/>
        <v/>
      </c>
      <c r="N519" s="26">
        <f t="shared" si="109"/>
        <v>0</v>
      </c>
      <c r="O519" s="235">
        <f t="shared" si="110"/>
        <v>0</v>
      </c>
      <c r="P519" s="235">
        <f t="shared" si="111"/>
        <v>0</v>
      </c>
      <c r="Q519" s="206">
        <f t="shared" si="112"/>
        <v>0</v>
      </c>
      <c r="R519" s="206">
        <f t="shared" si="101"/>
        <v>0</v>
      </c>
      <c r="S519" s="206">
        <f t="shared" si="102"/>
        <v>0</v>
      </c>
      <c r="T519" s="206">
        <f t="shared" si="103"/>
        <v>0</v>
      </c>
      <c r="U519" s="206">
        <f t="shared" si="103"/>
        <v>0</v>
      </c>
      <c r="V519" s="207" t="str">
        <f t="shared" si="104"/>
        <v/>
      </c>
    </row>
    <row r="520" spans="1:22" x14ac:dyDescent="0.3">
      <c r="A520" s="204" t="s">
        <v>414</v>
      </c>
      <c r="B520" s="204"/>
      <c r="C520" s="204"/>
      <c r="D520" s="204"/>
      <c r="E520" s="204"/>
      <c r="F520" s="204"/>
      <c r="G520" s="77"/>
      <c r="H520" s="204"/>
      <c r="J520" s="185" t="str">
        <f t="shared" si="105"/>
        <v/>
      </c>
      <c r="K520" s="185" t="str">
        <f t="shared" si="106"/>
        <v/>
      </c>
      <c r="L520" s="185" t="str">
        <f t="shared" si="107"/>
        <v/>
      </c>
      <c r="M520" s="76" t="str">
        <f t="shared" si="108"/>
        <v/>
      </c>
      <c r="N520" s="26">
        <f t="shared" si="109"/>
        <v>0</v>
      </c>
      <c r="O520" s="235">
        <f t="shared" si="110"/>
        <v>0</v>
      </c>
      <c r="P520" s="235">
        <f t="shared" si="111"/>
        <v>0</v>
      </c>
      <c r="Q520" s="206">
        <f t="shared" si="112"/>
        <v>0</v>
      </c>
      <c r="R520" s="206">
        <f t="shared" si="101"/>
        <v>0</v>
      </c>
      <c r="S520" s="206">
        <f t="shared" si="102"/>
        <v>0</v>
      </c>
      <c r="T520" s="206">
        <f t="shared" si="103"/>
        <v>0</v>
      </c>
      <c r="U520" s="206">
        <f t="shared" si="103"/>
        <v>0</v>
      </c>
      <c r="V520" s="207" t="str">
        <f t="shared" si="104"/>
        <v/>
      </c>
    </row>
    <row r="521" spans="1:22" x14ac:dyDescent="0.3">
      <c r="A521" s="204" t="s">
        <v>1201</v>
      </c>
      <c r="B521" s="204"/>
      <c r="C521" s="204"/>
      <c r="D521" s="204"/>
      <c r="E521" s="204"/>
      <c r="F521" s="204"/>
      <c r="G521" s="77"/>
      <c r="H521" s="204"/>
      <c r="J521" s="185" t="str">
        <f t="shared" si="105"/>
        <v/>
      </c>
      <c r="K521" s="185" t="str">
        <f t="shared" si="106"/>
        <v/>
      </c>
      <c r="L521" s="185" t="str">
        <f t="shared" si="107"/>
        <v/>
      </c>
      <c r="M521" s="76" t="str">
        <f t="shared" si="108"/>
        <v/>
      </c>
      <c r="N521" s="26">
        <f t="shared" si="109"/>
        <v>0</v>
      </c>
      <c r="O521" s="235">
        <f t="shared" si="110"/>
        <v>0</v>
      </c>
      <c r="P521" s="235">
        <f t="shared" si="111"/>
        <v>0</v>
      </c>
      <c r="Q521" s="206">
        <f t="shared" si="112"/>
        <v>0</v>
      </c>
      <c r="R521" s="206">
        <f t="shared" si="101"/>
        <v>0</v>
      </c>
      <c r="S521" s="206">
        <f t="shared" si="102"/>
        <v>0</v>
      </c>
      <c r="T521" s="206">
        <f t="shared" si="103"/>
        <v>0</v>
      </c>
      <c r="U521" s="206">
        <f t="shared" si="103"/>
        <v>0</v>
      </c>
      <c r="V521" s="207" t="str">
        <f t="shared" si="104"/>
        <v/>
      </c>
    </row>
    <row r="522" spans="1:22" x14ac:dyDescent="0.3">
      <c r="A522" s="204"/>
      <c r="B522" s="204" t="s">
        <v>1191</v>
      </c>
      <c r="C522" s="204" t="s">
        <v>1202</v>
      </c>
      <c r="D522" s="204" t="s">
        <v>417</v>
      </c>
      <c r="E522" s="204" t="s">
        <v>1203</v>
      </c>
      <c r="F522" s="204" t="s">
        <v>1204</v>
      </c>
      <c r="G522" s="77" t="s">
        <v>1205</v>
      </c>
      <c r="H522" s="204" t="s">
        <v>97</v>
      </c>
      <c r="J522" s="185" t="str">
        <f t="shared" si="105"/>
        <v/>
      </c>
      <c r="K522" s="185" t="str">
        <f t="shared" si="106"/>
        <v/>
      </c>
      <c r="L522" s="185" t="str">
        <f t="shared" si="107"/>
        <v/>
      </c>
      <c r="M522" s="76" t="str">
        <f t="shared" si="108"/>
        <v/>
      </c>
      <c r="N522" s="26">
        <f t="shared" si="109"/>
        <v>0</v>
      </c>
      <c r="O522" s="235">
        <f t="shared" si="110"/>
        <v>0</v>
      </c>
      <c r="P522" s="235">
        <f t="shared" si="111"/>
        <v>0</v>
      </c>
      <c r="Q522" s="206">
        <f t="shared" si="112"/>
        <v>0</v>
      </c>
      <c r="R522" s="206">
        <f t="shared" si="101"/>
        <v>0</v>
      </c>
      <c r="S522" s="206">
        <f t="shared" si="102"/>
        <v>0</v>
      </c>
      <c r="T522" s="206">
        <f t="shared" si="103"/>
        <v>0</v>
      </c>
      <c r="U522" s="206">
        <f t="shared" si="103"/>
        <v>0</v>
      </c>
      <c r="V522" s="207" t="str">
        <f t="shared" si="104"/>
        <v/>
      </c>
    </row>
    <row r="523" spans="1:22" x14ac:dyDescent="0.3">
      <c r="A523" s="204" t="s">
        <v>1206</v>
      </c>
      <c r="B523" s="204" t="s">
        <v>422</v>
      </c>
      <c r="C523" s="204" t="s">
        <v>422</v>
      </c>
      <c r="D523" s="204" t="s">
        <v>422</v>
      </c>
      <c r="E523" s="204" t="s">
        <v>422</v>
      </c>
      <c r="F523" s="204" t="s">
        <v>422</v>
      </c>
      <c r="G523" s="77" t="s">
        <v>422</v>
      </c>
      <c r="H523" s="204" t="s">
        <v>422</v>
      </c>
      <c r="J523" s="185" t="str">
        <f t="shared" si="105"/>
        <v/>
      </c>
      <c r="K523" s="185" t="str">
        <f t="shared" si="106"/>
        <v/>
      </c>
      <c r="L523" s="185" t="str">
        <f t="shared" si="107"/>
        <v/>
      </c>
      <c r="M523" s="76" t="str">
        <f t="shared" si="108"/>
        <v/>
      </c>
      <c r="N523" s="26">
        <f t="shared" si="109"/>
        <v>0</v>
      </c>
      <c r="O523" s="235">
        <f t="shared" si="110"/>
        <v>0</v>
      </c>
      <c r="P523" s="235">
        <f t="shared" si="111"/>
        <v>0</v>
      </c>
      <c r="Q523" s="206">
        <f t="shared" si="112"/>
        <v>0</v>
      </c>
      <c r="R523" s="206">
        <f t="shared" si="101"/>
        <v>0</v>
      </c>
      <c r="S523" s="206">
        <f t="shared" si="102"/>
        <v>0</v>
      </c>
      <c r="T523" s="206">
        <f t="shared" si="103"/>
        <v>0</v>
      </c>
      <c r="U523" s="206">
        <f t="shared" si="103"/>
        <v>0</v>
      </c>
      <c r="V523" s="207" t="str">
        <f t="shared" si="104"/>
        <v/>
      </c>
    </row>
    <row r="524" spans="1:22" x14ac:dyDescent="0.3">
      <c r="A524" s="204" t="s">
        <v>1207</v>
      </c>
      <c r="B524" s="204" t="s">
        <v>422</v>
      </c>
      <c r="C524" s="204" t="s">
        <v>422</v>
      </c>
      <c r="D524" s="204" t="s">
        <v>422</v>
      </c>
      <c r="E524" s="204" t="s">
        <v>422</v>
      </c>
      <c r="F524" s="204" t="s">
        <v>422</v>
      </c>
      <c r="G524" s="77" t="s">
        <v>422</v>
      </c>
      <c r="H524" s="204" t="s">
        <v>422</v>
      </c>
      <c r="J524" s="185" t="str">
        <f t="shared" si="105"/>
        <v/>
      </c>
      <c r="K524" s="185" t="str">
        <f t="shared" si="106"/>
        <v/>
      </c>
      <c r="L524" s="185" t="str">
        <f t="shared" si="107"/>
        <v/>
      </c>
      <c r="M524" s="76" t="str">
        <f t="shared" si="108"/>
        <v/>
      </c>
      <c r="N524" s="26">
        <f t="shared" si="109"/>
        <v>0</v>
      </c>
      <c r="O524" s="235">
        <f t="shared" si="110"/>
        <v>0</v>
      </c>
      <c r="P524" s="235">
        <f t="shared" si="111"/>
        <v>0</v>
      </c>
      <c r="Q524" s="206">
        <f t="shared" si="112"/>
        <v>0</v>
      </c>
      <c r="R524" s="206">
        <f t="shared" si="101"/>
        <v>0</v>
      </c>
      <c r="S524" s="206">
        <f t="shared" si="102"/>
        <v>0</v>
      </c>
      <c r="T524" s="206">
        <f t="shared" si="103"/>
        <v>0</v>
      </c>
      <c r="U524" s="206">
        <f t="shared" si="103"/>
        <v>0</v>
      </c>
      <c r="V524" s="207" t="str">
        <f t="shared" si="104"/>
        <v/>
      </c>
    </row>
    <row r="525" spans="1:22" x14ac:dyDescent="0.3">
      <c r="A525" s="204" t="s">
        <v>1208</v>
      </c>
      <c r="B525" s="204" t="s">
        <v>422</v>
      </c>
      <c r="C525" s="204" t="s">
        <v>422</v>
      </c>
      <c r="D525" s="204" t="s">
        <v>422</v>
      </c>
      <c r="E525" s="204" t="s">
        <v>422</v>
      </c>
      <c r="F525" s="204" t="s">
        <v>422</v>
      </c>
      <c r="G525" s="77" t="s">
        <v>424</v>
      </c>
      <c r="H525" s="204" t="s">
        <v>422</v>
      </c>
      <c r="J525" s="185" t="str">
        <f t="shared" si="105"/>
        <v/>
      </c>
      <c r="K525" s="185" t="str">
        <f t="shared" si="106"/>
        <v/>
      </c>
      <c r="L525" s="185" t="str">
        <f t="shared" si="107"/>
        <v/>
      </c>
      <c r="M525" s="76" t="str">
        <f t="shared" si="108"/>
        <v/>
      </c>
      <c r="N525" s="26">
        <f t="shared" si="109"/>
        <v>0</v>
      </c>
      <c r="O525" s="235">
        <f t="shared" si="110"/>
        <v>0</v>
      </c>
      <c r="P525" s="235">
        <f t="shared" si="111"/>
        <v>0</v>
      </c>
      <c r="Q525" s="206">
        <f t="shared" si="112"/>
        <v>0</v>
      </c>
      <c r="R525" s="206">
        <f t="shared" si="101"/>
        <v>0</v>
      </c>
      <c r="S525" s="206">
        <f t="shared" si="102"/>
        <v>0</v>
      </c>
      <c r="T525" s="206">
        <f t="shared" si="103"/>
        <v>0</v>
      </c>
      <c r="U525" s="206">
        <f t="shared" si="103"/>
        <v>0</v>
      </c>
      <c r="V525" s="207" t="str">
        <f t="shared" si="104"/>
        <v/>
      </c>
    </row>
    <row r="526" spans="1:22" x14ac:dyDescent="0.3">
      <c r="A526" s="204" t="s">
        <v>425</v>
      </c>
      <c r="B526" s="204"/>
      <c r="C526" s="204"/>
      <c r="D526" s="204"/>
      <c r="E526" s="204"/>
      <c r="F526" s="204"/>
      <c r="G526" s="77"/>
      <c r="H526" s="204"/>
      <c r="J526" s="185" t="str">
        <f t="shared" si="105"/>
        <v/>
      </c>
      <c r="K526" s="185" t="str">
        <f t="shared" si="106"/>
        <v/>
      </c>
      <c r="L526" s="185" t="str">
        <f t="shared" si="107"/>
        <v/>
      </c>
      <c r="M526" s="76" t="str">
        <f t="shared" si="108"/>
        <v/>
      </c>
      <c r="N526" s="26">
        <f t="shared" si="109"/>
        <v>0</v>
      </c>
      <c r="O526" s="235">
        <f t="shared" si="110"/>
        <v>0</v>
      </c>
      <c r="P526" s="235">
        <f t="shared" si="111"/>
        <v>0</v>
      </c>
      <c r="Q526" s="206">
        <f t="shared" si="112"/>
        <v>0</v>
      </c>
      <c r="R526" s="206">
        <f t="shared" si="101"/>
        <v>0</v>
      </c>
      <c r="S526" s="206">
        <f t="shared" si="102"/>
        <v>0</v>
      </c>
      <c r="T526" s="206">
        <f t="shared" si="103"/>
        <v>0</v>
      </c>
      <c r="U526" s="206">
        <f t="shared" si="103"/>
        <v>0</v>
      </c>
      <c r="V526" s="207" t="str">
        <f t="shared" si="104"/>
        <v/>
      </c>
    </row>
    <row r="527" spans="1:22" x14ac:dyDescent="0.3">
      <c r="A527" s="204"/>
      <c r="B527" s="204"/>
      <c r="C527" s="204"/>
      <c r="D527" s="204"/>
      <c r="E527" s="204"/>
      <c r="F527" s="204"/>
      <c r="G527" s="77"/>
      <c r="H527" s="204"/>
      <c r="J527" s="185" t="str">
        <f t="shared" si="105"/>
        <v/>
      </c>
      <c r="K527" s="185" t="str">
        <f t="shared" si="106"/>
        <v/>
      </c>
      <c r="L527" s="185" t="str">
        <f t="shared" si="107"/>
        <v/>
      </c>
      <c r="M527" s="76" t="str">
        <f t="shared" si="108"/>
        <v/>
      </c>
      <c r="N527" s="26">
        <f t="shared" si="109"/>
        <v>0</v>
      </c>
      <c r="O527" s="235">
        <f t="shared" si="110"/>
        <v>0</v>
      </c>
      <c r="P527" s="235">
        <f t="shared" si="111"/>
        <v>0</v>
      </c>
      <c r="Q527" s="206">
        <f t="shared" si="112"/>
        <v>0</v>
      </c>
      <c r="R527" s="206">
        <f t="shared" si="101"/>
        <v>0</v>
      </c>
      <c r="S527" s="206">
        <f t="shared" si="102"/>
        <v>0</v>
      </c>
      <c r="T527" s="206">
        <f t="shared" si="103"/>
        <v>0</v>
      </c>
      <c r="U527" s="206">
        <f t="shared" si="103"/>
        <v>0</v>
      </c>
      <c r="V527" s="207" t="str">
        <f t="shared" si="104"/>
        <v/>
      </c>
    </row>
    <row r="528" spans="1:22" x14ac:dyDescent="0.3">
      <c r="A528" s="204"/>
      <c r="B528" s="204"/>
      <c r="C528" s="204"/>
      <c r="D528" s="204"/>
      <c r="E528" s="204"/>
      <c r="F528" s="204"/>
      <c r="G528" s="204"/>
      <c r="H528" s="204"/>
      <c r="J528" s="185" t="str">
        <f t="shared" si="105"/>
        <v/>
      </c>
      <c r="K528" s="185" t="str">
        <f t="shared" si="106"/>
        <v/>
      </c>
      <c r="L528" s="185" t="str">
        <f t="shared" si="107"/>
        <v/>
      </c>
      <c r="M528" s="76" t="str">
        <f t="shared" si="108"/>
        <v/>
      </c>
      <c r="N528" s="26">
        <f t="shared" si="109"/>
        <v>0</v>
      </c>
      <c r="O528" s="235">
        <f t="shared" si="110"/>
        <v>0</v>
      </c>
      <c r="P528" s="235">
        <f t="shared" si="111"/>
        <v>0</v>
      </c>
      <c r="Q528" s="206">
        <f t="shared" si="112"/>
        <v>0</v>
      </c>
      <c r="R528" s="206">
        <f t="shared" si="101"/>
        <v>0</v>
      </c>
      <c r="S528" s="206">
        <f t="shared" si="102"/>
        <v>0</v>
      </c>
      <c r="T528" s="206">
        <f t="shared" si="103"/>
        <v>0</v>
      </c>
      <c r="U528" s="206">
        <f t="shared" si="103"/>
        <v>0</v>
      </c>
      <c r="V528" s="207" t="str">
        <f t="shared" si="104"/>
        <v/>
      </c>
    </row>
    <row r="529" spans="1:22" x14ac:dyDescent="0.3">
      <c r="A529" s="204"/>
      <c r="B529" s="204"/>
      <c r="C529" s="204"/>
      <c r="D529" s="204"/>
      <c r="E529" s="204"/>
      <c r="F529" s="204"/>
      <c r="G529" s="204"/>
      <c r="H529" s="204"/>
      <c r="J529" s="185" t="str">
        <f t="shared" si="105"/>
        <v/>
      </c>
      <c r="K529" s="185" t="str">
        <f t="shared" si="106"/>
        <v/>
      </c>
      <c r="L529" s="185" t="str">
        <f t="shared" si="107"/>
        <v/>
      </c>
      <c r="M529" s="76" t="str">
        <f t="shared" si="108"/>
        <v/>
      </c>
      <c r="N529" s="26">
        <f t="shared" si="109"/>
        <v>0</v>
      </c>
      <c r="O529" s="235">
        <f t="shared" si="110"/>
        <v>0</v>
      </c>
      <c r="P529" s="235">
        <f t="shared" si="111"/>
        <v>0</v>
      </c>
      <c r="Q529" s="206">
        <f t="shared" si="112"/>
        <v>0</v>
      </c>
      <c r="R529" s="206">
        <f t="shared" si="101"/>
        <v>0</v>
      </c>
      <c r="S529" s="206">
        <f t="shared" si="102"/>
        <v>0</v>
      </c>
      <c r="T529" s="206">
        <f t="shared" si="103"/>
        <v>0</v>
      </c>
      <c r="U529" s="206">
        <f t="shared" si="103"/>
        <v>0</v>
      </c>
      <c r="V529" s="207" t="str">
        <f t="shared" si="104"/>
        <v/>
      </c>
    </row>
    <row r="530" spans="1:22" x14ac:dyDescent="0.3">
      <c r="A530" s="204"/>
      <c r="B530" s="204"/>
      <c r="C530" s="204"/>
      <c r="D530" s="204"/>
      <c r="E530" s="204"/>
      <c r="F530" s="204"/>
      <c r="G530" s="204"/>
      <c r="H530" s="204"/>
      <c r="J530" s="185" t="str">
        <f t="shared" si="105"/>
        <v/>
      </c>
      <c r="K530" s="185" t="str">
        <f t="shared" si="106"/>
        <v/>
      </c>
      <c r="L530" s="185" t="str">
        <f t="shared" si="107"/>
        <v/>
      </c>
      <c r="M530" s="76" t="str">
        <f t="shared" si="108"/>
        <v/>
      </c>
      <c r="N530" s="26">
        <f t="shared" si="109"/>
        <v>0</v>
      </c>
      <c r="O530" s="235">
        <f t="shared" si="110"/>
        <v>0</v>
      </c>
      <c r="P530" s="235">
        <f t="shared" si="111"/>
        <v>0</v>
      </c>
      <c r="Q530" s="206">
        <f t="shared" si="112"/>
        <v>0</v>
      </c>
      <c r="R530" s="206">
        <f t="shared" si="101"/>
        <v>0</v>
      </c>
      <c r="S530" s="206">
        <f t="shared" si="102"/>
        <v>0</v>
      </c>
      <c r="T530" s="206">
        <f t="shared" si="103"/>
        <v>0</v>
      </c>
      <c r="U530" s="206">
        <f t="shared" si="103"/>
        <v>0</v>
      </c>
      <c r="V530" s="207" t="str">
        <f t="shared" si="104"/>
        <v/>
      </c>
    </row>
    <row r="531" spans="1:22" x14ac:dyDescent="0.3">
      <c r="A531" s="204"/>
      <c r="B531" s="204"/>
      <c r="C531" s="204"/>
      <c r="D531" s="204"/>
      <c r="E531" s="204"/>
      <c r="F531" s="204"/>
      <c r="G531" s="204"/>
      <c r="H531" s="204"/>
      <c r="J531" s="185" t="str">
        <f t="shared" si="105"/>
        <v/>
      </c>
      <c r="K531" s="185" t="str">
        <f t="shared" si="106"/>
        <v/>
      </c>
      <c r="L531" s="185" t="str">
        <f t="shared" si="107"/>
        <v/>
      </c>
      <c r="M531" s="76" t="str">
        <f t="shared" si="108"/>
        <v/>
      </c>
      <c r="N531" s="26">
        <f t="shared" si="109"/>
        <v>0</v>
      </c>
      <c r="O531" s="235">
        <f t="shared" si="110"/>
        <v>0</v>
      </c>
      <c r="P531" s="235">
        <f t="shared" si="111"/>
        <v>0</v>
      </c>
      <c r="Q531" s="206">
        <f t="shared" si="112"/>
        <v>0</v>
      </c>
      <c r="R531" s="206">
        <f t="shared" si="101"/>
        <v>0</v>
      </c>
      <c r="S531" s="206">
        <f t="shared" si="102"/>
        <v>0</v>
      </c>
      <c r="T531" s="206">
        <f t="shared" si="103"/>
        <v>0</v>
      </c>
      <c r="U531" s="206">
        <f t="shared" si="103"/>
        <v>0</v>
      </c>
      <c r="V531" s="207" t="str">
        <f t="shared" si="104"/>
        <v/>
      </c>
    </row>
    <row r="532" spans="1:22" x14ac:dyDescent="0.3">
      <c r="A532" s="204"/>
      <c r="B532" s="204"/>
      <c r="C532" s="204"/>
      <c r="D532" s="204"/>
      <c r="E532" s="204"/>
      <c r="F532" s="204"/>
      <c r="G532" s="204"/>
      <c r="H532" s="204"/>
      <c r="J532" s="185" t="str">
        <f t="shared" si="105"/>
        <v/>
      </c>
      <c r="K532" s="185" t="str">
        <f t="shared" si="106"/>
        <v/>
      </c>
      <c r="L532" s="185" t="str">
        <f t="shared" si="107"/>
        <v/>
      </c>
      <c r="M532" s="76" t="str">
        <f t="shared" si="108"/>
        <v/>
      </c>
      <c r="N532" s="26">
        <f t="shared" si="109"/>
        <v>0</v>
      </c>
      <c r="O532" s="235">
        <f t="shared" si="110"/>
        <v>0</v>
      </c>
      <c r="P532" s="235">
        <f t="shared" si="111"/>
        <v>0</v>
      </c>
      <c r="Q532" s="206">
        <f t="shared" si="112"/>
        <v>0</v>
      </c>
      <c r="R532" s="206">
        <f t="shared" si="101"/>
        <v>0</v>
      </c>
      <c r="S532" s="206">
        <f t="shared" si="102"/>
        <v>0</v>
      </c>
      <c r="T532" s="206">
        <f t="shared" si="103"/>
        <v>0</v>
      </c>
      <c r="U532" s="206">
        <f t="shared" si="103"/>
        <v>0</v>
      </c>
      <c r="V532" s="207" t="str">
        <f t="shared" si="104"/>
        <v/>
      </c>
    </row>
    <row r="533" spans="1:22" x14ac:dyDescent="0.3">
      <c r="A533" s="204"/>
      <c r="B533" s="204"/>
      <c r="C533" s="204"/>
      <c r="D533" s="204"/>
      <c r="E533" s="204"/>
      <c r="F533" s="204"/>
      <c r="G533" s="204"/>
      <c r="H533" s="204"/>
      <c r="J533" s="185" t="str">
        <f t="shared" si="105"/>
        <v/>
      </c>
      <c r="K533" s="185" t="str">
        <f t="shared" si="106"/>
        <v/>
      </c>
      <c r="L533" s="185" t="str">
        <f t="shared" si="107"/>
        <v/>
      </c>
      <c r="M533" s="76" t="str">
        <f t="shared" si="108"/>
        <v/>
      </c>
      <c r="N533" s="26">
        <f t="shared" si="109"/>
        <v>0</v>
      </c>
      <c r="O533" s="235">
        <f t="shared" si="110"/>
        <v>0</v>
      </c>
      <c r="P533" s="235">
        <f t="shared" si="111"/>
        <v>0</v>
      </c>
      <c r="Q533" s="206">
        <f t="shared" si="112"/>
        <v>0</v>
      </c>
      <c r="R533" s="206">
        <f t="shared" si="101"/>
        <v>0</v>
      </c>
      <c r="S533" s="206">
        <f t="shared" si="102"/>
        <v>0</v>
      </c>
      <c r="T533" s="206">
        <f t="shared" si="103"/>
        <v>0</v>
      </c>
      <c r="U533" s="206">
        <f t="shared" si="103"/>
        <v>0</v>
      </c>
      <c r="V533" s="207" t="str">
        <f t="shared" si="104"/>
        <v/>
      </c>
    </row>
    <row r="534" spans="1:22" x14ac:dyDescent="0.3">
      <c r="A534" s="204"/>
      <c r="B534" s="204"/>
      <c r="C534" s="204"/>
      <c r="D534" s="204"/>
      <c r="E534" s="204"/>
      <c r="F534" s="204"/>
      <c r="G534" s="204"/>
      <c r="H534" s="204"/>
      <c r="J534" s="185" t="str">
        <f t="shared" si="105"/>
        <v/>
      </c>
      <c r="K534" s="185" t="str">
        <f t="shared" si="106"/>
        <v/>
      </c>
      <c r="L534" s="185" t="str">
        <f t="shared" si="107"/>
        <v/>
      </c>
      <c r="M534" s="76" t="str">
        <f t="shared" si="108"/>
        <v/>
      </c>
      <c r="N534" s="26">
        <f t="shared" si="109"/>
        <v>0</v>
      </c>
      <c r="O534" s="235">
        <f t="shared" si="110"/>
        <v>0</v>
      </c>
      <c r="P534" s="235">
        <f t="shared" si="111"/>
        <v>0</v>
      </c>
      <c r="Q534" s="206">
        <f t="shared" si="112"/>
        <v>0</v>
      </c>
      <c r="R534" s="206">
        <f t="shared" si="101"/>
        <v>0</v>
      </c>
      <c r="S534" s="206">
        <f t="shared" si="102"/>
        <v>0</v>
      </c>
      <c r="T534" s="206">
        <f t="shared" si="103"/>
        <v>0</v>
      </c>
      <c r="U534" s="206">
        <f t="shared" si="103"/>
        <v>0</v>
      </c>
      <c r="V534" s="207" t="str">
        <f t="shared" si="104"/>
        <v/>
      </c>
    </row>
    <row r="535" spans="1:22" x14ac:dyDescent="0.3">
      <c r="A535" s="204"/>
      <c r="B535" s="204"/>
      <c r="C535" s="204"/>
      <c r="D535" s="204"/>
      <c r="E535" s="204"/>
      <c r="F535" s="204"/>
      <c r="G535" s="204"/>
      <c r="H535" s="204"/>
      <c r="J535" s="185" t="str">
        <f t="shared" si="105"/>
        <v/>
      </c>
      <c r="K535" s="185" t="str">
        <f t="shared" si="106"/>
        <v/>
      </c>
      <c r="L535" s="185" t="str">
        <f t="shared" si="107"/>
        <v/>
      </c>
      <c r="M535" s="76" t="str">
        <f t="shared" si="108"/>
        <v/>
      </c>
      <c r="N535" s="26">
        <f t="shared" si="109"/>
        <v>0</v>
      </c>
      <c r="O535" s="235">
        <f t="shared" si="110"/>
        <v>0</v>
      </c>
      <c r="P535" s="235">
        <f t="shared" si="111"/>
        <v>0</v>
      </c>
      <c r="Q535" s="206">
        <f t="shared" si="112"/>
        <v>0</v>
      </c>
      <c r="R535" s="206">
        <f t="shared" si="101"/>
        <v>0</v>
      </c>
      <c r="S535" s="206">
        <f t="shared" si="102"/>
        <v>0</v>
      </c>
      <c r="T535" s="206">
        <f t="shared" si="103"/>
        <v>0</v>
      </c>
      <c r="U535" s="206">
        <f t="shared" si="103"/>
        <v>0</v>
      </c>
      <c r="V535" s="207" t="str">
        <f t="shared" si="104"/>
        <v/>
      </c>
    </row>
    <row r="536" spans="1:22" x14ac:dyDescent="0.3">
      <c r="A536" s="204"/>
      <c r="B536" s="204"/>
      <c r="C536" s="204"/>
      <c r="D536" s="204"/>
      <c r="E536" s="204"/>
      <c r="F536" s="204"/>
      <c r="G536" s="204"/>
      <c r="H536" s="204"/>
      <c r="J536" s="185" t="str">
        <f t="shared" si="105"/>
        <v/>
      </c>
      <c r="K536" s="185" t="str">
        <f t="shared" si="106"/>
        <v/>
      </c>
      <c r="L536" s="185" t="str">
        <f t="shared" si="107"/>
        <v/>
      </c>
      <c r="M536" s="76" t="str">
        <f t="shared" si="108"/>
        <v/>
      </c>
      <c r="N536" s="26">
        <f t="shared" si="109"/>
        <v>0</v>
      </c>
      <c r="O536" s="235">
        <f t="shared" si="110"/>
        <v>0</v>
      </c>
      <c r="P536" s="235">
        <f t="shared" si="111"/>
        <v>0</v>
      </c>
      <c r="Q536" s="206">
        <f t="shared" si="112"/>
        <v>0</v>
      </c>
      <c r="R536" s="206">
        <f t="shared" si="101"/>
        <v>0</v>
      </c>
      <c r="S536" s="206">
        <f t="shared" si="102"/>
        <v>0</v>
      </c>
      <c r="T536" s="206">
        <f t="shared" si="103"/>
        <v>0</v>
      </c>
      <c r="U536" s="206">
        <f t="shared" si="103"/>
        <v>0</v>
      </c>
      <c r="V536" s="207" t="str">
        <f t="shared" si="104"/>
        <v/>
      </c>
    </row>
    <row r="537" spans="1:22" x14ac:dyDescent="0.3">
      <c r="A537" s="204"/>
      <c r="B537" s="204"/>
      <c r="C537" s="204"/>
      <c r="D537" s="204"/>
      <c r="E537" s="204"/>
      <c r="F537" s="204"/>
      <c r="G537" s="204"/>
      <c r="H537" s="204"/>
      <c r="J537" s="185" t="str">
        <f t="shared" si="105"/>
        <v/>
      </c>
      <c r="K537" s="185" t="str">
        <f t="shared" si="106"/>
        <v/>
      </c>
      <c r="L537" s="185" t="str">
        <f t="shared" si="107"/>
        <v/>
      </c>
      <c r="M537" s="76" t="str">
        <f t="shared" si="108"/>
        <v/>
      </c>
      <c r="N537" s="26">
        <f t="shared" si="109"/>
        <v>0</v>
      </c>
      <c r="O537" s="235">
        <f t="shared" si="110"/>
        <v>0</v>
      </c>
      <c r="P537" s="235">
        <f t="shared" si="111"/>
        <v>0</v>
      </c>
      <c r="Q537" s="206">
        <f t="shared" si="112"/>
        <v>0</v>
      </c>
      <c r="R537" s="206">
        <f t="shared" si="101"/>
        <v>0</v>
      </c>
      <c r="S537" s="206">
        <f t="shared" si="102"/>
        <v>0</v>
      </c>
      <c r="T537" s="206">
        <f t="shared" si="103"/>
        <v>0</v>
      </c>
      <c r="U537" s="206">
        <f t="shared" si="103"/>
        <v>0</v>
      </c>
      <c r="V537" s="207" t="str">
        <f t="shared" si="104"/>
        <v/>
      </c>
    </row>
    <row r="538" spans="1:22" x14ac:dyDescent="0.3">
      <c r="A538" s="204"/>
      <c r="B538" s="204"/>
      <c r="C538" s="204"/>
      <c r="D538" s="204"/>
      <c r="E538" s="204"/>
      <c r="F538" s="204"/>
      <c r="G538" s="204"/>
      <c r="H538" s="204"/>
      <c r="J538" s="185" t="str">
        <f t="shared" si="105"/>
        <v/>
      </c>
      <c r="K538" s="185" t="str">
        <f t="shared" si="106"/>
        <v/>
      </c>
      <c r="L538" s="185" t="str">
        <f t="shared" si="107"/>
        <v/>
      </c>
      <c r="M538" s="76" t="str">
        <f t="shared" si="108"/>
        <v/>
      </c>
      <c r="N538" s="26">
        <f t="shared" si="109"/>
        <v>0</v>
      </c>
      <c r="O538" s="235">
        <f t="shared" si="110"/>
        <v>0</v>
      </c>
      <c r="P538" s="235">
        <f t="shared" si="111"/>
        <v>0</v>
      </c>
      <c r="Q538" s="206">
        <f t="shared" si="112"/>
        <v>0</v>
      </c>
      <c r="R538" s="206">
        <f t="shared" si="101"/>
        <v>0</v>
      </c>
      <c r="S538" s="206">
        <f t="shared" si="102"/>
        <v>0</v>
      </c>
      <c r="T538" s="206">
        <f t="shared" si="103"/>
        <v>0</v>
      </c>
      <c r="U538" s="206">
        <f t="shared" si="103"/>
        <v>0</v>
      </c>
      <c r="V538" s="207" t="str">
        <f t="shared" si="104"/>
        <v/>
      </c>
    </row>
    <row r="539" spans="1:22" x14ac:dyDescent="0.3">
      <c r="A539" s="204"/>
      <c r="B539" s="204"/>
      <c r="C539" s="204"/>
      <c r="D539" s="204"/>
      <c r="E539" s="204"/>
      <c r="F539" s="204"/>
      <c r="G539" s="204"/>
      <c r="H539" s="204"/>
      <c r="J539" s="185" t="str">
        <f t="shared" si="105"/>
        <v/>
      </c>
      <c r="K539" s="185" t="str">
        <f t="shared" si="106"/>
        <v/>
      </c>
      <c r="L539" s="185" t="str">
        <f t="shared" si="107"/>
        <v/>
      </c>
      <c r="M539" s="76" t="str">
        <f t="shared" si="108"/>
        <v/>
      </c>
      <c r="N539" s="26">
        <f t="shared" si="109"/>
        <v>0</v>
      </c>
      <c r="O539" s="235">
        <f t="shared" si="110"/>
        <v>0</v>
      </c>
      <c r="P539" s="235">
        <f t="shared" si="111"/>
        <v>0</v>
      </c>
      <c r="Q539" s="206">
        <f t="shared" si="112"/>
        <v>0</v>
      </c>
      <c r="R539" s="206">
        <f t="shared" ref="R539:R602" si="113">IF($J539=29,VALUE(LEFT(B539,LEN(B539)-2)),0)</f>
        <v>0</v>
      </c>
      <c r="S539" s="206">
        <f t="shared" ref="S539:S602" si="114">IF($J539=29,VALUE(LEFT(C539,LEN(C539)-2)),0)</f>
        <v>0</v>
      </c>
      <c r="T539" s="206">
        <f t="shared" ref="T539:U602" si="115">IF($J539=29,VALUE(LEFT(D539,LEN(D539)-2)),0)</f>
        <v>0</v>
      </c>
      <c r="U539" s="206">
        <f t="shared" si="115"/>
        <v>0</v>
      </c>
      <c r="V539" s="207" t="str">
        <f t="shared" ref="V539:V602" si="116">IFERROR(N539/SUM(R539:U539),"")</f>
        <v/>
      </c>
    </row>
    <row r="540" spans="1:22" x14ac:dyDescent="0.3">
      <c r="A540" s="204"/>
      <c r="B540" s="204"/>
      <c r="C540" s="204"/>
      <c r="D540" s="204"/>
      <c r="E540" s="204"/>
      <c r="F540" s="204"/>
      <c r="G540" s="204"/>
      <c r="H540" s="204"/>
      <c r="J540" s="185" t="str">
        <f t="shared" si="105"/>
        <v/>
      </c>
      <c r="K540" s="185" t="str">
        <f t="shared" si="106"/>
        <v/>
      </c>
      <c r="L540" s="185" t="str">
        <f t="shared" si="107"/>
        <v/>
      </c>
      <c r="M540" s="76" t="str">
        <f t="shared" si="108"/>
        <v/>
      </c>
      <c r="N540" s="26">
        <f t="shared" si="109"/>
        <v>0</v>
      </c>
      <c r="O540" s="235">
        <f t="shared" si="110"/>
        <v>0</v>
      </c>
      <c r="P540" s="235">
        <f t="shared" si="111"/>
        <v>0</v>
      </c>
      <c r="Q540" s="206">
        <f t="shared" si="112"/>
        <v>0</v>
      </c>
      <c r="R540" s="206">
        <f t="shared" si="113"/>
        <v>0</v>
      </c>
      <c r="S540" s="206">
        <f t="shared" si="114"/>
        <v>0</v>
      </c>
      <c r="T540" s="206">
        <f t="shared" si="115"/>
        <v>0</v>
      </c>
      <c r="U540" s="206">
        <f t="shared" si="115"/>
        <v>0</v>
      </c>
      <c r="V540" s="207" t="str">
        <f t="shared" si="116"/>
        <v/>
      </c>
    </row>
    <row r="541" spans="1:22" x14ac:dyDescent="0.3">
      <c r="A541" s="204"/>
      <c r="B541" s="204"/>
      <c r="C541" s="204"/>
      <c r="D541" s="204"/>
      <c r="E541" s="204"/>
      <c r="F541" s="204"/>
      <c r="G541" s="204"/>
      <c r="H541" s="204"/>
      <c r="J541" s="185" t="str">
        <f t="shared" si="105"/>
        <v/>
      </c>
      <c r="K541" s="185" t="str">
        <f t="shared" si="106"/>
        <v/>
      </c>
      <c r="L541" s="185" t="str">
        <f t="shared" si="107"/>
        <v/>
      </c>
      <c r="M541" s="76" t="str">
        <f t="shared" si="108"/>
        <v/>
      </c>
      <c r="N541" s="26">
        <f t="shared" si="109"/>
        <v>0</v>
      </c>
      <c r="O541" s="235">
        <f t="shared" si="110"/>
        <v>0</v>
      </c>
      <c r="P541" s="235">
        <f t="shared" si="111"/>
        <v>0</v>
      </c>
      <c r="Q541" s="206">
        <f t="shared" si="112"/>
        <v>0</v>
      </c>
      <c r="R541" s="206">
        <f t="shared" si="113"/>
        <v>0</v>
      </c>
      <c r="S541" s="206">
        <f t="shared" si="114"/>
        <v>0</v>
      </c>
      <c r="T541" s="206">
        <f t="shared" si="115"/>
        <v>0</v>
      </c>
      <c r="U541" s="206">
        <f t="shared" si="115"/>
        <v>0</v>
      </c>
      <c r="V541" s="207" t="str">
        <f t="shared" si="116"/>
        <v/>
      </c>
    </row>
    <row r="542" spans="1:22" x14ac:dyDescent="0.3">
      <c r="A542" s="204"/>
      <c r="B542" s="204"/>
      <c r="C542" s="204"/>
      <c r="D542" s="204"/>
      <c r="E542" s="204"/>
      <c r="F542" s="204"/>
      <c r="G542" s="204"/>
      <c r="H542" s="204"/>
      <c r="J542" s="185" t="str">
        <f t="shared" si="105"/>
        <v/>
      </c>
      <c r="K542" s="185" t="str">
        <f t="shared" si="106"/>
        <v/>
      </c>
      <c r="L542" s="185" t="str">
        <f t="shared" si="107"/>
        <v/>
      </c>
      <c r="M542" s="76" t="str">
        <f t="shared" si="108"/>
        <v/>
      </c>
      <c r="N542" s="26">
        <f t="shared" si="109"/>
        <v>0</v>
      </c>
      <c r="O542" s="235">
        <f t="shared" si="110"/>
        <v>0</v>
      </c>
      <c r="P542" s="235">
        <f t="shared" si="111"/>
        <v>0</v>
      </c>
      <c r="Q542" s="206">
        <f t="shared" si="112"/>
        <v>0</v>
      </c>
      <c r="R542" s="206">
        <f t="shared" si="113"/>
        <v>0</v>
      </c>
      <c r="S542" s="206">
        <f t="shared" si="114"/>
        <v>0</v>
      </c>
      <c r="T542" s="206">
        <f t="shared" si="115"/>
        <v>0</v>
      </c>
      <c r="U542" s="206">
        <f t="shared" si="115"/>
        <v>0</v>
      </c>
      <c r="V542" s="207" t="str">
        <f t="shared" si="116"/>
        <v/>
      </c>
    </row>
    <row r="543" spans="1:22" x14ac:dyDescent="0.3">
      <c r="A543" s="204"/>
      <c r="B543" s="204"/>
      <c r="C543" s="204"/>
      <c r="D543" s="204"/>
      <c r="E543" s="204"/>
      <c r="F543" s="204"/>
      <c r="G543" s="204"/>
      <c r="H543" s="204"/>
      <c r="J543" s="185" t="str">
        <f t="shared" si="105"/>
        <v/>
      </c>
      <c r="K543" s="185" t="str">
        <f t="shared" si="106"/>
        <v/>
      </c>
      <c r="L543" s="185" t="str">
        <f t="shared" si="107"/>
        <v/>
      </c>
      <c r="M543" s="76" t="str">
        <f t="shared" si="108"/>
        <v/>
      </c>
      <c r="N543" s="26">
        <f t="shared" si="109"/>
        <v>0</v>
      </c>
      <c r="O543" s="235">
        <f t="shared" si="110"/>
        <v>0</v>
      </c>
      <c r="P543" s="235">
        <f t="shared" si="111"/>
        <v>0</v>
      </c>
      <c r="Q543" s="206">
        <f t="shared" si="112"/>
        <v>0</v>
      </c>
      <c r="R543" s="206">
        <f t="shared" si="113"/>
        <v>0</v>
      </c>
      <c r="S543" s="206">
        <f t="shared" si="114"/>
        <v>0</v>
      </c>
      <c r="T543" s="206">
        <f t="shared" si="115"/>
        <v>0</v>
      </c>
      <c r="U543" s="206">
        <f t="shared" si="115"/>
        <v>0</v>
      </c>
      <c r="V543" s="207" t="str">
        <f t="shared" si="116"/>
        <v/>
      </c>
    </row>
    <row r="544" spans="1:22" x14ac:dyDescent="0.3">
      <c r="A544" s="204"/>
      <c r="B544" s="204"/>
      <c r="C544" s="204"/>
      <c r="D544" s="204"/>
      <c r="E544" s="204"/>
      <c r="F544" s="204"/>
      <c r="G544" s="204"/>
      <c r="H544" s="204"/>
      <c r="J544" s="185" t="str">
        <f t="shared" si="105"/>
        <v/>
      </c>
      <c r="K544" s="185" t="str">
        <f t="shared" si="106"/>
        <v/>
      </c>
      <c r="L544" s="185" t="str">
        <f t="shared" si="107"/>
        <v/>
      </c>
      <c r="M544" s="76" t="str">
        <f t="shared" si="108"/>
        <v/>
      </c>
      <c r="N544" s="26">
        <f t="shared" si="109"/>
        <v>0</v>
      </c>
      <c r="O544" s="235">
        <f t="shared" si="110"/>
        <v>0</v>
      </c>
      <c r="P544" s="235">
        <f t="shared" si="111"/>
        <v>0</v>
      </c>
      <c r="Q544" s="206">
        <f t="shared" si="112"/>
        <v>0</v>
      </c>
      <c r="R544" s="206">
        <f t="shared" si="113"/>
        <v>0</v>
      </c>
      <c r="S544" s="206">
        <f t="shared" si="114"/>
        <v>0</v>
      </c>
      <c r="T544" s="206">
        <f t="shared" si="115"/>
        <v>0</v>
      </c>
      <c r="U544" s="206">
        <f t="shared" si="115"/>
        <v>0</v>
      </c>
      <c r="V544" s="207" t="str">
        <f t="shared" si="116"/>
        <v/>
      </c>
    </row>
    <row r="545" spans="1:22" x14ac:dyDescent="0.3">
      <c r="A545" s="204"/>
      <c r="B545" s="204"/>
      <c r="C545" s="204"/>
      <c r="D545" s="204"/>
      <c r="E545" s="204"/>
      <c r="F545" s="204"/>
      <c r="G545" s="204"/>
      <c r="H545" s="204"/>
      <c r="J545" s="185" t="str">
        <f t="shared" si="105"/>
        <v/>
      </c>
      <c r="K545" s="185" t="str">
        <f t="shared" si="106"/>
        <v/>
      </c>
      <c r="L545" s="185" t="str">
        <f t="shared" si="107"/>
        <v/>
      </c>
      <c r="M545" s="76" t="str">
        <f t="shared" si="108"/>
        <v/>
      </c>
      <c r="N545" s="26">
        <f t="shared" si="109"/>
        <v>0</v>
      </c>
      <c r="O545" s="235">
        <f t="shared" si="110"/>
        <v>0</v>
      </c>
      <c r="P545" s="235">
        <f t="shared" si="111"/>
        <v>0</v>
      </c>
      <c r="Q545" s="206">
        <f t="shared" si="112"/>
        <v>0</v>
      </c>
      <c r="R545" s="206">
        <f t="shared" si="113"/>
        <v>0</v>
      </c>
      <c r="S545" s="206">
        <f t="shared" si="114"/>
        <v>0</v>
      </c>
      <c r="T545" s="206">
        <f t="shared" si="115"/>
        <v>0</v>
      </c>
      <c r="U545" s="206">
        <f t="shared" si="115"/>
        <v>0</v>
      </c>
      <c r="V545" s="207" t="str">
        <f t="shared" si="116"/>
        <v/>
      </c>
    </row>
    <row r="546" spans="1:22" x14ac:dyDescent="0.3">
      <c r="A546" s="204"/>
      <c r="B546" s="204"/>
      <c r="C546" s="204"/>
      <c r="D546" s="204"/>
      <c r="E546" s="204"/>
      <c r="F546" s="204"/>
      <c r="G546" s="204"/>
      <c r="H546" s="204"/>
      <c r="J546" s="185" t="str">
        <f t="shared" si="105"/>
        <v/>
      </c>
      <c r="K546" s="185" t="str">
        <f t="shared" si="106"/>
        <v/>
      </c>
      <c r="L546" s="185" t="str">
        <f t="shared" si="107"/>
        <v/>
      </c>
      <c r="M546" s="76" t="str">
        <f t="shared" si="108"/>
        <v/>
      </c>
      <c r="N546" s="26">
        <f t="shared" si="109"/>
        <v>0</v>
      </c>
      <c r="O546" s="235">
        <f t="shared" si="110"/>
        <v>0</v>
      </c>
      <c r="P546" s="235">
        <f t="shared" si="111"/>
        <v>0</v>
      </c>
      <c r="Q546" s="206">
        <f t="shared" si="112"/>
        <v>0</v>
      </c>
      <c r="R546" s="206">
        <f t="shared" si="113"/>
        <v>0</v>
      </c>
      <c r="S546" s="206">
        <f t="shared" si="114"/>
        <v>0</v>
      </c>
      <c r="T546" s="206">
        <f t="shared" si="115"/>
        <v>0</v>
      </c>
      <c r="U546" s="206">
        <f t="shared" si="115"/>
        <v>0</v>
      </c>
      <c r="V546" s="207" t="str">
        <f t="shared" si="116"/>
        <v/>
      </c>
    </row>
    <row r="547" spans="1:22" x14ac:dyDescent="0.3">
      <c r="A547" s="204"/>
      <c r="B547" s="204"/>
      <c r="C547" s="204"/>
      <c r="D547" s="204"/>
      <c r="E547" s="204"/>
      <c r="F547" s="204"/>
      <c r="G547" s="204"/>
      <c r="H547" s="204"/>
      <c r="J547" s="185" t="str">
        <f t="shared" si="105"/>
        <v/>
      </c>
      <c r="K547" s="185" t="str">
        <f t="shared" si="106"/>
        <v/>
      </c>
      <c r="L547" s="185" t="str">
        <f t="shared" si="107"/>
        <v/>
      </c>
      <c r="M547" s="76" t="str">
        <f t="shared" si="108"/>
        <v/>
      </c>
      <c r="N547" s="26">
        <f t="shared" si="109"/>
        <v>0</v>
      </c>
      <c r="O547" s="235">
        <f t="shared" si="110"/>
        <v>0</v>
      </c>
      <c r="P547" s="235">
        <f t="shared" si="111"/>
        <v>0</v>
      </c>
      <c r="Q547" s="206">
        <f t="shared" si="112"/>
        <v>0</v>
      </c>
      <c r="R547" s="206">
        <f t="shared" si="113"/>
        <v>0</v>
      </c>
      <c r="S547" s="206">
        <f t="shared" si="114"/>
        <v>0</v>
      </c>
      <c r="T547" s="206">
        <f t="shared" si="115"/>
        <v>0</v>
      </c>
      <c r="U547" s="206">
        <f t="shared" si="115"/>
        <v>0</v>
      </c>
      <c r="V547" s="207" t="str">
        <f t="shared" si="116"/>
        <v/>
      </c>
    </row>
    <row r="548" spans="1:22" x14ac:dyDescent="0.3">
      <c r="A548" s="204"/>
      <c r="B548" s="204"/>
      <c r="C548" s="204"/>
      <c r="D548" s="204"/>
      <c r="E548" s="204"/>
      <c r="F548" s="204"/>
      <c r="G548" s="204"/>
      <c r="H548" s="204"/>
      <c r="J548" s="185" t="str">
        <f t="shared" si="105"/>
        <v/>
      </c>
      <c r="K548" s="185" t="str">
        <f t="shared" si="106"/>
        <v/>
      </c>
      <c r="L548" s="185" t="str">
        <f t="shared" si="107"/>
        <v/>
      </c>
      <c r="M548" s="76" t="str">
        <f t="shared" si="108"/>
        <v/>
      </c>
      <c r="N548" s="26">
        <f t="shared" si="109"/>
        <v>0</v>
      </c>
      <c r="O548" s="235">
        <f t="shared" si="110"/>
        <v>0</v>
      </c>
      <c r="P548" s="235">
        <f t="shared" si="111"/>
        <v>0</v>
      </c>
      <c r="Q548" s="206">
        <f t="shared" si="112"/>
        <v>0</v>
      </c>
      <c r="R548" s="206">
        <f t="shared" si="113"/>
        <v>0</v>
      </c>
      <c r="S548" s="206">
        <f t="shared" si="114"/>
        <v>0</v>
      </c>
      <c r="T548" s="206">
        <f t="shared" si="115"/>
        <v>0</v>
      </c>
      <c r="U548" s="206">
        <f t="shared" si="115"/>
        <v>0</v>
      </c>
      <c r="V548" s="207" t="str">
        <f t="shared" si="116"/>
        <v/>
      </c>
    </row>
    <row r="549" spans="1:22" x14ac:dyDescent="0.3">
      <c r="A549" s="204"/>
      <c r="B549" s="204"/>
      <c r="C549" s="204"/>
      <c r="D549" s="204"/>
      <c r="E549" s="204"/>
      <c r="F549" s="204"/>
      <c r="G549" s="204"/>
      <c r="H549" s="204"/>
      <c r="J549" s="185" t="str">
        <f t="shared" si="105"/>
        <v/>
      </c>
      <c r="K549" s="185" t="str">
        <f t="shared" si="106"/>
        <v/>
      </c>
      <c r="L549" s="185" t="str">
        <f t="shared" si="107"/>
        <v/>
      </c>
      <c r="M549" s="76" t="str">
        <f t="shared" si="108"/>
        <v/>
      </c>
      <c r="N549" s="26">
        <f t="shared" si="109"/>
        <v>0</v>
      </c>
      <c r="O549" s="235">
        <f t="shared" si="110"/>
        <v>0</v>
      </c>
      <c r="P549" s="235">
        <f t="shared" si="111"/>
        <v>0</v>
      </c>
      <c r="Q549" s="206">
        <f t="shared" si="112"/>
        <v>0</v>
      </c>
      <c r="R549" s="206">
        <f t="shared" si="113"/>
        <v>0</v>
      </c>
      <c r="S549" s="206">
        <f t="shared" si="114"/>
        <v>0</v>
      </c>
      <c r="T549" s="206">
        <f t="shared" si="115"/>
        <v>0</v>
      </c>
      <c r="U549" s="206">
        <f t="shared" si="115"/>
        <v>0</v>
      </c>
      <c r="V549" s="207" t="str">
        <f t="shared" si="116"/>
        <v/>
      </c>
    </row>
    <row r="550" spans="1:22" x14ac:dyDescent="0.3">
      <c r="J550" s="185" t="str">
        <f t="shared" si="105"/>
        <v/>
      </c>
      <c r="K550" s="185" t="str">
        <f t="shared" si="106"/>
        <v/>
      </c>
      <c r="L550" s="185" t="str">
        <f t="shared" si="107"/>
        <v/>
      </c>
      <c r="M550" s="76" t="str">
        <f t="shared" si="108"/>
        <v/>
      </c>
      <c r="N550" s="26">
        <f t="shared" si="109"/>
        <v>0</v>
      </c>
      <c r="O550" s="235">
        <f t="shared" si="110"/>
        <v>0</v>
      </c>
      <c r="P550" s="235">
        <f t="shared" si="111"/>
        <v>0</v>
      </c>
      <c r="Q550" s="206">
        <f t="shared" si="112"/>
        <v>0</v>
      </c>
      <c r="R550" s="206">
        <f t="shared" si="113"/>
        <v>0</v>
      </c>
      <c r="S550" s="206">
        <f t="shared" si="114"/>
        <v>0</v>
      </c>
      <c r="T550" s="206">
        <f t="shared" si="115"/>
        <v>0</v>
      </c>
      <c r="U550" s="206">
        <f t="shared" si="115"/>
        <v>0</v>
      </c>
      <c r="V550" s="207" t="str">
        <f t="shared" si="116"/>
        <v/>
      </c>
    </row>
    <row r="551" spans="1:22" x14ac:dyDescent="0.3">
      <c r="J551" s="185" t="str">
        <f t="shared" si="105"/>
        <v/>
      </c>
      <c r="K551" s="185" t="str">
        <f t="shared" si="106"/>
        <v/>
      </c>
      <c r="L551" s="185" t="str">
        <f t="shared" si="107"/>
        <v/>
      </c>
      <c r="M551" s="76" t="str">
        <f t="shared" si="108"/>
        <v/>
      </c>
      <c r="N551" s="26">
        <f t="shared" si="109"/>
        <v>0</v>
      </c>
      <c r="O551" s="235">
        <f t="shared" si="110"/>
        <v>0</v>
      </c>
      <c r="P551" s="235">
        <f t="shared" si="111"/>
        <v>0</v>
      </c>
      <c r="Q551" s="206">
        <f t="shared" si="112"/>
        <v>0</v>
      </c>
      <c r="R551" s="206">
        <f t="shared" si="113"/>
        <v>0</v>
      </c>
      <c r="S551" s="206">
        <f t="shared" si="114"/>
        <v>0</v>
      </c>
      <c r="T551" s="206">
        <f t="shared" si="115"/>
        <v>0</v>
      </c>
      <c r="U551" s="206">
        <f t="shared" si="115"/>
        <v>0</v>
      </c>
      <c r="V551" s="207" t="str">
        <f t="shared" si="116"/>
        <v/>
      </c>
    </row>
    <row r="552" spans="1:22" x14ac:dyDescent="0.3">
      <c r="J552" s="185" t="str">
        <f t="shared" si="105"/>
        <v/>
      </c>
      <c r="K552" s="185" t="str">
        <f t="shared" si="106"/>
        <v/>
      </c>
      <c r="L552" s="185" t="str">
        <f t="shared" si="107"/>
        <v/>
      </c>
      <c r="M552" s="76" t="str">
        <f t="shared" si="108"/>
        <v/>
      </c>
      <c r="N552" s="26">
        <f t="shared" si="109"/>
        <v>0</v>
      </c>
      <c r="O552" s="235">
        <f t="shared" si="110"/>
        <v>0</v>
      </c>
      <c r="P552" s="235">
        <f t="shared" si="111"/>
        <v>0</v>
      </c>
      <c r="Q552" s="206">
        <f t="shared" si="112"/>
        <v>0</v>
      </c>
      <c r="R552" s="206">
        <f t="shared" si="113"/>
        <v>0</v>
      </c>
      <c r="S552" s="206">
        <f t="shared" si="114"/>
        <v>0</v>
      </c>
      <c r="T552" s="206">
        <f t="shared" si="115"/>
        <v>0</v>
      </c>
      <c r="U552" s="206">
        <f t="shared" si="115"/>
        <v>0</v>
      </c>
      <c r="V552" s="207" t="str">
        <f t="shared" si="116"/>
        <v/>
      </c>
    </row>
    <row r="553" spans="1:22" x14ac:dyDescent="0.3">
      <c r="J553" s="185" t="str">
        <f t="shared" si="105"/>
        <v/>
      </c>
      <c r="K553" s="185" t="str">
        <f t="shared" si="106"/>
        <v/>
      </c>
      <c r="L553" s="185" t="str">
        <f t="shared" si="107"/>
        <v/>
      </c>
      <c r="M553" s="76" t="str">
        <f t="shared" si="108"/>
        <v/>
      </c>
      <c r="N553" s="26">
        <f t="shared" si="109"/>
        <v>0</v>
      </c>
      <c r="O553" s="235">
        <f t="shared" si="110"/>
        <v>0</v>
      </c>
      <c r="P553" s="235">
        <f t="shared" si="111"/>
        <v>0</v>
      </c>
      <c r="Q553" s="206">
        <f t="shared" si="112"/>
        <v>0</v>
      </c>
      <c r="R553" s="206">
        <f t="shared" si="113"/>
        <v>0</v>
      </c>
      <c r="S553" s="206">
        <f t="shared" si="114"/>
        <v>0</v>
      </c>
      <c r="T553" s="206">
        <f t="shared" si="115"/>
        <v>0</v>
      </c>
      <c r="U553" s="206">
        <f t="shared" si="115"/>
        <v>0</v>
      </c>
      <c r="V553" s="207" t="str">
        <f t="shared" si="116"/>
        <v/>
      </c>
    </row>
    <row r="554" spans="1:22" x14ac:dyDescent="0.3">
      <c r="J554" s="185" t="str">
        <f t="shared" si="105"/>
        <v/>
      </c>
      <c r="K554" s="185" t="str">
        <f t="shared" si="106"/>
        <v/>
      </c>
      <c r="L554" s="185" t="str">
        <f t="shared" si="107"/>
        <v/>
      </c>
      <c r="M554" s="76" t="str">
        <f t="shared" si="108"/>
        <v/>
      </c>
      <c r="N554" s="26">
        <f t="shared" si="109"/>
        <v>0</v>
      </c>
      <c r="O554" s="235">
        <f t="shared" si="110"/>
        <v>0</v>
      </c>
      <c r="P554" s="235">
        <f t="shared" si="111"/>
        <v>0</v>
      </c>
      <c r="Q554" s="206">
        <f t="shared" si="112"/>
        <v>0</v>
      </c>
      <c r="R554" s="206">
        <f t="shared" si="113"/>
        <v>0</v>
      </c>
      <c r="S554" s="206">
        <f t="shared" si="114"/>
        <v>0</v>
      </c>
      <c r="T554" s="206">
        <f t="shared" si="115"/>
        <v>0</v>
      </c>
      <c r="U554" s="206">
        <f t="shared" si="115"/>
        <v>0</v>
      </c>
      <c r="V554" s="207" t="str">
        <f t="shared" si="116"/>
        <v/>
      </c>
    </row>
    <row r="555" spans="1:22" x14ac:dyDescent="0.3">
      <c r="J555" s="185" t="str">
        <f t="shared" si="105"/>
        <v/>
      </c>
      <c r="K555" s="185" t="str">
        <f t="shared" si="106"/>
        <v/>
      </c>
      <c r="L555" s="185" t="str">
        <f t="shared" si="107"/>
        <v/>
      </c>
      <c r="M555" s="76" t="str">
        <f t="shared" si="108"/>
        <v/>
      </c>
      <c r="N555" s="26">
        <f t="shared" si="109"/>
        <v>0</v>
      </c>
      <c r="O555" s="235">
        <f t="shared" si="110"/>
        <v>0</v>
      </c>
      <c r="P555" s="235">
        <f t="shared" si="111"/>
        <v>0</v>
      </c>
      <c r="Q555" s="206">
        <f t="shared" si="112"/>
        <v>0</v>
      </c>
      <c r="R555" s="206">
        <f t="shared" si="113"/>
        <v>0</v>
      </c>
      <c r="S555" s="206">
        <f t="shared" si="114"/>
        <v>0</v>
      </c>
      <c r="T555" s="206">
        <f t="shared" si="115"/>
        <v>0</v>
      </c>
      <c r="U555" s="206">
        <f t="shared" si="115"/>
        <v>0</v>
      </c>
      <c r="V555" s="207" t="str">
        <f t="shared" si="116"/>
        <v/>
      </c>
    </row>
    <row r="556" spans="1:22" x14ac:dyDescent="0.3">
      <c r="J556" s="185" t="str">
        <f t="shared" si="105"/>
        <v/>
      </c>
      <c r="K556" s="185" t="str">
        <f t="shared" si="106"/>
        <v/>
      </c>
      <c r="L556" s="185" t="str">
        <f t="shared" si="107"/>
        <v/>
      </c>
      <c r="M556" s="76" t="str">
        <f t="shared" si="108"/>
        <v/>
      </c>
      <c r="N556" s="26">
        <f t="shared" si="109"/>
        <v>0</v>
      </c>
      <c r="O556" s="235">
        <f t="shared" si="110"/>
        <v>0</v>
      </c>
      <c r="P556" s="235">
        <f t="shared" si="111"/>
        <v>0</v>
      </c>
      <c r="Q556" s="206">
        <f t="shared" si="112"/>
        <v>0</v>
      </c>
      <c r="R556" s="206">
        <f t="shared" si="113"/>
        <v>0</v>
      </c>
      <c r="S556" s="206">
        <f t="shared" si="114"/>
        <v>0</v>
      </c>
      <c r="T556" s="206">
        <f t="shared" si="115"/>
        <v>0</v>
      </c>
      <c r="U556" s="206">
        <f t="shared" si="115"/>
        <v>0</v>
      </c>
      <c r="V556" s="207" t="str">
        <f t="shared" si="116"/>
        <v/>
      </c>
    </row>
    <row r="557" spans="1:22" x14ac:dyDescent="0.3">
      <c r="J557" s="185" t="str">
        <f t="shared" ref="J557:J620" si="117">IFERROR(IF(FIND("Liste des vols",A557),LEN(A557),""),"")</f>
        <v/>
      </c>
      <c r="K557" s="185" t="str">
        <f t="shared" ref="K557:K620" si="118">IF(J557="","",LEFT(A557,3))</f>
        <v/>
      </c>
      <c r="L557" s="185" t="str">
        <f t="shared" ref="L557:L620" si="119">IF(K557&lt;&gt;"",MID(A557,7,3),"")</f>
        <v/>
      </c>
      <c r="M557" s="76" t="str">
        <f t="shared" ref="M557:M620" si="120">IF(K557&lt;&gt;"",CONCATENATE(K557,"/",L557),"")</f>
        <v/>
      </c>
      <c r="N557" s="26">
        <f t="shared" ref="N557:N620" si="121">IF(J557=29,VALUE(LEFT(F557,LEN(F557)-2)),0)</f>
        <v>0</v>
      </c>
      <c r="O557" s="235">
        <f t="shared" ref="O557:O620" si="122">IF(J557=29,-VALUE(G557),0)</f>
        <v>0</v>
      </c>
      <c r="P557" s="235">
        <f t="shared" ref="P557:P620" si="123">IF(J557=29,VALUE(LEFT(H557,LEN(H557)-2)),0)</f>
        <v>0</v>
      </c>
      <c r="Q557" s="206">
        <f t="shared" ref="Q557:Q620" si="124">IFERROR(VALUE(LEFT(RIGHT(A557,LEN(A557)-11),LEN(A557)-28)),0)</f>
        <v>0</v>
      </c>
      <c r="R557" s="206">
        <f t="shared" si="113"/>
        <v>0</v>
      </c>
      <c r="S557" s="206">
        <f t="shared" si="114"/>
        <v>0</v>
      </c>
      <c r="T557" s="206">
        <f t="shared" si="115"/>
        <v>0</v>
      </c>
      <c r="U557" s="206">
        <f t="shared" si="115"/>
        <v>0</v>
      </c>
      <c r="V557" s="207" t="str">
        <f t="shared" si="116"/>
        <v/>
      </c>
    </row>
    <row r="558" spans="1:22" x14ac:dyDescent="0.3">
      <c r="J558" s="185" t="str">
        <f t="shared" si="117"/>
        <v/>
      </c>
      <c r="K558" s="185" t="str">
        <f t="shared" si="118"/>
        <v/>
      </c>
      <c r="L558" s="185" t="str">
        <f t="shared" si="119"/>
        <v/>
      </c>
      <c r="M558" s="76" t="str">
        <f t="shared" si="120"/>
        <v/>
      </c>
      <c r="N558" s="26">
        <f t="shared" si="121"/>
        <v>0</v>
      </c>
      <c r="O558" s="235">
        <f t="shared" si="122"/>
        <v>0</v>
      </c>
      <c r="P558" s="235">
        <f t="shared" si="123"/>
        <v>0</v>
      </c>
      <c r="Q558" s="206">
        <f t="shared" si="124"/>
        <v>0</v>
      </c>
      <c r="R558" s="206">
        <f t="shared" si="113"/>
        <v>0</v>
      </c>
      <c r="S558" s="206">
        <f t="shared" si="114"/>
        <v>0</v>
      </c>
      <c r="T558" s="206">
        <f t="shared" si="115"/>
        <v>0</v>
      </c>
      <c r="U558" s="206">
        <f t="shared" si="115"/>
        <v>0</v>
      </c>
      <c r="V558" s="207" t="str">
        <f t="shared" si="116"/>
        <v/>
      </c>
    </row>
    <row r="559" spans="1:22" x14ac:dyDescent="0.3">
      <c r="J559" s="185" t="str">
        <f t="shared" si="117"/>
        <v/>
      </c>
      <c r="K559" s="185" t="str">
        <f t="shared" si="118"/>
        <v/>
      </c>
      <c r="L559" s="185" t="str">
        <f t="shared" si="119"/>
        <v/>
      </c>
      <c r="M559" s="76" t="str">
        <f t="shared" si="120"/>
        <v/>
      </c>
      <c r="N559" s="26">
        <f t="shared" si="121"/>
        <v>0</v>
      </c>
      <c r="O559" s="235">
        <f t="shared" si="122"/>
        <v>0</v>
      </c>
      <c r="P559" s="235">
        <f t="shared" si="123"/>
        <v>0</v>
      </c>
      <c r="Q559" s="206">
        <f t="shared" si="124"/>
        <v>0</v>
      </c>
      <c r="R559" s="206">
        <f t="shared" si="113"/>
        <v>0</v>
      </c>
      <c r="S559" s="206">
        <f t="shared" si="114"/>
        <v>0</v>
      </c>
      <c r="T559" s="206">
        <f t="shared" si="115"/>
        <v>0</v>
      </c>
      <c r="U559" s="206">
        <f t="shared" si="115"/>
        <v>0</v>
      </c>
      <c r="V559" s="207" t="str">
        <f t="shared" si="116"/>
        <v/>
      </c>
    </row>
    <row r="560" spans="1:22" x14ac:dyDescent="0.3">
      <c r="J560" s="185" t="str">
        <f t="shared" si="117"/>
        <v/>
      </c>
      <c r="K560" s="185" t="str">
        <f t="shared" si="118"/>
        <v/>
      </c>
      <c r="L560" s="185" t="str">
        <f t="shared" si="119"/>
        <v/>
      </c>
      <c r="M560" s="76" t="str">
        <f t="shared" si="120"/>
        <v/>
      </c>
      <c r="N560" s="26">
        <f t="shared" si="121"/>
        <v>0</v>
      </c>
      <c r="O560" s="235">
        <f t="shared" si="122"/>
        <v>0</v>
      </c>
      <c r="P560" s="235">
        <f t="shared" si="123"/>
        <v>0</v>
      </c>
      <c r="Q560" s="206">
        <f t="shared" si="124"/>
        <v>0</v>
      </c>
      <c r="R560" s="206">
        <f t="shared" si="113"/>
        <v>0</v>
      </c>
      <c r="S560" s="206">
        <f t="shared" si="114"/>
        <v>0</v>
      </c>
      <c r="T560" s="206">
        <f t="shared" si="115"/>
        <v>0</v>
      </c>
      <c r="U560" s="206">
        <f t="shared" si="115"/>
        <v>0</v>
      </c>
      <c r="V560" s="207" t="str">
        <f t="shared" si="116"/>
        <v/>
      </c>
    </row>
    <row r="561" spans="10:22" x14ac:dyDescent="0.3">
      <c r="J561" s="185" t="str">
        <f t="shared" si="117"/>
        <v/>
      </c>
      <c r="K561" s="185" t="str">
        <f t="shared" si="118"/>
        <v/>
      </c>
      <c r="L561" s="185" t="str">
        <f t="shared" si="119"/>
        <v/>
      </c>
      <c r="M561" s="76" t="str">
        <f t="shared" si="120"/>
        <v/>
      </c>
      <c r="N561" s="26">
        <f t="shared" si="121"/>
        <v>0</v>
      </c>
      <c r="O561" s="235">
        <f t="shared" si="122"/>
        <v>0</v>
      </c>
      <c r="P561" s="235">
        <f t="shared" si="123"/>
        <v>0</v>
      </c>
      <c r="Q561" s="206">
        <f t="shared" si="124"/>
        <v>0</v>
      </c>
      <c r="R561" s="206">
        <f t="shared" si="113"/>
        <v>0</v>
      </c>
      <c r="S561" s="206">
        <f t="shared" si="114"/>
        <v>0</v>
      </c>
      <c r="T561" s="206">
        <f t="shared" si="115"/>
        <v>0</v>
      </c>
      <c r="U561" s="206">
        <f t="shared" si="115"/>
        <v>0</v>
      </c>
      <c r="V561" s="207" t="str">
        <f t="shared" si="116"/>
        <v/>
      </c>
    </row>
    <row r="562" spans="10:22" x14ac:dyDescent="0.3">
      <c r="J562" s="185" t="str">
        <f t="shared" si="117"/>
        <v/>
      </c>
      <c r="K562" s="185" t="str">
        <f t="shared" si="118"/>
        <v/>
      </c>
      <c r="L562" s="185" t="str">
        <f t="shared" si="119"/>
        <v/>
      </c>
      <c r="M562" s="76" t="str">
        <f t="shared" si="120"/>
        <v/>
      </c>
      <c r="N562" s="26">
        <f t="shared" si="121"/>
        <v>0</v>
      </c>
      <c r="O562" s="235">
        <f t="shared" si="122"/>
        <v>0</v>
      </c>
      <c r="P562" s="235">
        <f t="shared" si="123"/>
        <v>0</v>
      </c>
      <c r="Q562" s="206">
        <f t="shared" si="124"/>
        <v>0</v>
      </c>
      <c r="R562" s="206">
        <f t="shared" si="113"/>
        <v>0</v>
      </c>
      <c r="S562" s="206">
        <f t="shared" si="114"/>
        <v>0</v>
      </c>
      <c r="T562" s="206">
        <f t="shared" si="115"/>
        <v>0</v>
      </c>
      <c r="U562" s="206">
        <f t="shared" si="115"/>
        <v>0</v>
      </c>
      <c r="V562" s="207" t="str">
        <f t="shared" si="116"/>
        <v/>
      </c>
    </row>
    <row r="563" spans="10:22" x14ac:dyDescent="0.3">
      <c r="J563" s="185" t="str">
        <f t="shared" si="117"/>
        <v/>
      </c>
      <c r="K563" s="185" t="str">
        <f t="shared" si="118"/>
        <v/>
      </c>
      <c r="L563" s="185" t="str">
        <f t="shared" si="119"/>
        <v/>
      </c>
      <c r="M563" s="76" t="str">
        <f t="shared" si="120"/>
        <v/>
      </c>
      <c r="N563" s="26">
        <f t="shared" si="121"/>
        <v>0</v>
      </c>
      <c r="O563" s="235">
        <f t="shared" si="122"/>
        <v>0</v>
      </c>
      <c r="P563" s="235">
        <f t="shared" si="123"/>
        <v>0</v>
      </c>
      <c r="Q563" s="206">
        <f t="shared" si="124"/>
        <v>0</v>
      </c>
      <c r="R563" s="206">
        <f t="shared" si="113"/>
        <v>0</v>
      </c>
      <c r="S563" s="206">
        <f t="shared" si="114"/>
        <v>0</v>
      </c>
      <c r="T563" s="206">
        <f t="shared" si="115"/>
        <v>0</v>
      </c>
      <c r="U563" s="206">
        <f t="shared" si="115"/>
        <v>0</v>
      </c>
      <c r="V563" s="207" t="str">
        <f t="shared" si="116"/>
        <v/>
      </c>
    </row>
    <row r="564" spans="10:22" x14ac:dyDescent="0.3">
      <c r="J564" s="185" t="str">
        <f t="shared" si="117"/>
        <v/>
      </c>
      <c r="K564" s="185" t="str">
        <f t="shared" si="118"/>
        <v/>
      </c>
      <c r="L564" s="185" t="str">
        <f t="shared" si="119"/>
        <v/>
      </c>
      <c r="M564" s="76" t="str">
        <f t="shared" si="120"/>
        <v/>
      </c>
      <c r="N564" s="26">
        <f t="shared" si="121"/>
        <v>0</v>
      </c>
      <c r="O564" s="235">
        <f t="shared" si="122"/>
        <v>0</v>
      </c>
      <c r="P564" s="235">
        <f t="shared" si="123"/>
        <v>0</v>
      </c>
      <c r="Q564" s="206">
        <f t="shared" si="124"/>
        <v>0</v>
      </c>
      <c r="R564" s="206">
        <f t="shared" si="113"/>
        <v>0</v>
      </c>
      <c r="S564" s="206">
        <f t="shared" si="114"/>
        <v>0</v>
      </c>
      <c r="T564" s="206">
        <f t="shared" si="115"/>
        <v>0</v>
      </c>
      <c r="U564" s="206">
        <f t="shared" si="115"/>
        <v>0</v>
      </c>
      <c r="V564" s="207" t="str">
        <f t="shared" si="116"/>
        <v/>
      </c>
    </row>
    <row r="565" spans="10:22" x14ac:dyDescent="0.3">
      <c r="J565" s="185" t="str">
        <f t="shared" si="117"/>
        <v/>
      </c>
      <c r="K565" s="185" t="str">
        <f t="shared" si="118"/>
        <v/>
      </c>
      <c r="L565" s="185" t="str">
        <f t="shared" si="119"/>
        <v/>
      </c>
      <c r="M565" s="76" t="str">
        <f t="shared" si="120"/>
        <v/>
      </c>
      <c r="N565" s="26">
        <f t="shared" si="121"/>
        <v>0</v>
      </c>
      <c r="O565" s="235">
        <f t="shared" si="122"/>
        <v>0</v>
      </c>
      <c r="P565" s="235">
        <f t="shared" si="123"/>
        <v>0</v>
      </c>
      <c r="Q565" s="206">
        <f t="shared" si="124"/>
        <v>0</v>
      </c>
      <c r="R565" s="206">
        <f t="shared" si="113"/>
        <v>0</v>
      </c>
      <c r="S565" s="206">
        <f t="shared" si="114"/>
        <v>0</v>
      </c>
      <c r="T565" s="206">
        <f t="shared" si="115"/>
        <v>0</v>
      </c>
      <c r="U565" s="206">
        <f t="shared" si="115"/>
        <v>0</v>
      </c>
      <c r="V565" s="207" t="str">
        <f t="shared" si="116"/>
        <v/>
      </c>
    </row>
    <row r="566" spans="10:22" x14ac:dyDescent="0.3">
      <c r="J566" s="185" t="str">
        <f t="shared" si="117"/>
        <v/>
      </c>
      <c r="K566" s="185" t="str">
        <f t="shared" si="118"/>
        <v/>
      </c>
      <c r="L566" s="185" t="str">
        <f t="shared" si="119"/>
        <v/>
      </c>
      <c r="M566" s="76" t="str">
        <f t="shared" si="120"/>
        <v/>
      </c>
      <c r="N566" s="26">
        <f t="shared" si="121"/>
        <v>0</v>
      </c>
      <c r="O566" s="235">
        <f t="shared" si="122"/>
        <v>0</v>
      </c>
      <c r="P566" s="235">
        <f t="shared" si="123"/>
        <v>0</v>
      </c>
      <c r="Q566" s="206">
        <f t="shared" si="124"/>
        <v>0</v>
      </c>
      <c r="R566" s="206">
        <f t="shared" si="113"/>
        <v>0</v>
      </c>
      <c r="S566" s="206">
        <f t="shared" si="114"/>
        <v>0</v>
      </c>
      <c r="T566" s="206">
        <f t="shared" si="115"/>
        <v>0</v>
      </c>
      <c r="U566" s="206">
        <f t="shared" si="115"/>
        <v>0</v>
      </c>
      <c r="V566" s="207" t="str">
        <f t="shared" si="116"/>
        <v/>
      </c>
    </row>
    <row r="567" spans="10:22" x14ac:dyDescent="0.3">
      <c r="J567" s="185" t="str">
        <f t="shared" si="117"/>
        <v/>
      </c>
      <c r="K567" s="185" t="str">
        <f t="shared" si="118"/>
        <v/>
      </c>
      <c r="L567" s="185" t="str">
        <f t="shared" si="119"/>
        <v/>
      </c>
      <c r="M567" s="76" t="str">
        <f t="shared" si="120"/>
        <v/>
      </c>
      <c r="N567" s="26">
        <f t="shared" si="121"/>
        <v>0</v>
      </c>
      <c r="O567" s="235">
        <f t="shared" si="122"/>
        <v>0</v>
      </c>
      <c r="P567" s="235">
        <f t="shared" si="123"/>
        <v>0</v>
      </c>
      <c r="Q567" s="206">
        <f t="shared" si="124"/>
        <v>0</v>
      </c>
      <c r="R567" s="206">
        <f t="shared" si="113"/>
        <v>0</v>
      </c>
      <c r="S567" s="206">
        <f t="shared" si="114"/>
        <v>0</v>
      </c>
      <c r="T567" s="206">
        <f t="shared" si="115"/>
        <v>0</v>
      </c>
      <c r="U567" s="206">
        <f t="shared" si="115"/>
        <v>0</v>
      </c>
      <c r="V567" s="207" t="str">
        <f t="shared" si="116"/>
        <v/>
      </c>
    </row>
    <row r="568" spans="10:22" x14ac:dyDescent="0.3">
      <c r="J568" s="185" t="str">
        <f t="shared" si="117"/>
        <v/>
      </c>
      <c r="K568" s="185" t="str">
        <f t="shared" si="118"/>
        <v/>
      </c>
      <c r="L568" s="185" t="str">
        <f t="shared" si="119"/>
        <v/>
      </c>
      <c r="M568" s="76" t="str">
        <f t="shared" si="120"/>
        <v/>
      </c>
      <c r="N568" s="26">
        <f t="shared" si="121"/>
        <v>0</v>
      </c>
      <c r="O568" s="235">
        <f t="shared" si="122"/>
        <v>0</v>
      </c>
      <c r="P568" s="235">
        <f t="shared" si="123"/>
        <v>0</v>
      </c>
      <c r="Q568" s="206">
        <f t="shared" si="124"/>
        <v>0</v>
      </c>
      <c r="R568" s="206">
        <f t="shared" si="113"/>
        <v>0</v>
      </c>
      <c r="S568" s="206">
        <f t="shared" si="114"/>
        <v>0</v>
      </c>
      <c r="T568" s="206">
        <f t="shared" si="115"/>
        <v>0</v>
      </c>
      <c r="U568" s="206">
        <f t="shared" si="115"/>
        <v>0</v>
      </c>
      <c r="V568" s="207" t="str">
        <f t="shared" si="116"/>
        <v/>
      </c>
    </row>
    <row r="569" spans="10:22" x14ac:dyDescent="0.3">
      <c r="J569" s="185" t="str">
        <f t="shared" si="117"/>
        <v/>
      </c>
      <c r="K569" s="185" t="str">
        <f t="shared" si="118"/>
        <v/>
      </c>
      <c r="L569" s="185" t="str">
        <f t="shared" si="119"/>
        <v/>
      </c>
      <c r="M569" s="76" t="str">
        <f t="shared" si="120"/>
        <v/>
      </c>
      <c r="N569" s="26">
        <f t="shared" si="121"/>
        <v>0</v>
      </c>
      <c r="O569" s="235">
        <f t="shared" si="122"/>
        <v>0</v>
      </c>
      <c r="P569" s="235">
        <f t="shared" si="123"/>
        <v>0</v>
      </c>
      <c r="Q569" s="206">
        <f t="shared" si="124"/>
        <v>0</v>
      </c>
      <c r="R569" s="206">
        <f t="shared" si="113"/>
        <v>0</v>
      </c>
      <c r="S569" s="206">
        <f t="shared" si="114"/>
        <v>0</v>
      </c>
      <c r="T569" s="206">
        <f t="shared" si="115"/>
        <v>0</v>
      </c>
      <c r="U569" s="206">
        <f t="shared" si="115"/>
        <v>0</v>
      </c>
      <c r="V569" s="207" t="str">
        <f t="shared" si="116"/>
        <v/>
      </c>
    </row>
    <row r="570" spans="10:22" x14ac:dyDescent="0.3">
      <c r="J570" s="185" t="str">
        <f t="shared" si="117"/>
        <v/>
      </c>
      <c r="K570" s="185" t="str">
        <f t="shared" si="118"/>
        <v/>
      </c>
      <c r="L570" s="185" t="str">
        <f t="shared" si="119"/>
        <v/>
      </c>
      <c r="M570" s="76" t="str">
        <f t="shared" si="120"/>
        <v/>
      </c>
      <c r="N570" s="26">
        <f t="shared" si="121"/>
        <v>0</v>
      </c>
      <c r="O570" s="235">
        <f t="shared" si="122"/>
        <v>0</v>
      </c>
      <c r="P570" s="235">
        <f t="shared" si="123"/>
        <v>0</v>
      </c>
      <c r="Q570" s="206">
        <f t="shared" si="124"/>
        <v>0</v>
      </c>
      <c r="R570" s="206">
        <f t="shared" si="113"/>
        <v>0</v>
      </c>
      <c r="S570" s="206">
        <f t="shared" si="114"/>
        <v>0</v>
      </c>
      <c r="T570" s="206">
        <f t="shared" si="115"/>
        <v>0</v>
      </c>
      <c r="U570" s="206">
        <f t="shared" si="115"/>
        <v>0</v>
      </c>
      <c r="V570" s="207" t="str">
        <f t="shared" si="116"/>
        <v/>
      </c>
    </row>
    <row r="571" spans="10:22" x14ac:dyDescent="0.3">
      <c r="J571" s="185" t="str">
        <f t="shared" si="117"/>
        <v/>
      </c>
      <c r="K571" s="185" t="str">
        <f t="shared" si="118"/>
        <v/>
      </c>
      <c r="L571" s="185" t="str">
        <f t="shared" si="119"/>
        <v/>
      </c>
      <c r="M571" s="76" t="str">
        <f t="shared" si="120"/>
        <v/>
      </c>
      <c r="N571" s="26">
        <f t="shared" si="121"/>
        <v>0</v>
      </c>
      <c r="O571" s="235">
        <f t="shared" si="122"/>
        <v>0</v>
      </c>
      <c r="P571" s="235">
        <f t="shared" si="123"/>
        <v>0</v>
      </c>
      <c r="Q571" s="206">
        <f t="shared" si="124"/>
        <v>0</v>
      </c>
      <c r="R571" s="206">
        <f t="shared" si="113"/>
        <v>0</v>
      </c>
      <c r="S571" s="206">
        <f t="shared" si="114"/>
        <v>0</v>
      </c>
      <c r="T571" s="206">
        <f t="shared" si="115"/>
        <v>0</v>
      </c>
      <c r="U571" s="206">
        <f t="shared" si="115"/>
        <v>0</v>
      </c>
      <c r="V571" s="207" t="str">
        <f t="shared" si="116"/>
        <v/>
      </c>
    </row>
    <row r="572" spans="10:22" x14ac:dyDescent="0.3">
      <c r="J572" s="185" t="str">
        <f t="shared" si="117"/>
        <v/>
      </c>
      <c r="K572" s="185" t="str">
        <f t="shared" si="118"/>
        <v/>
      </c>
      <c r="L572" s="185" t="str">
        <f t="shared" si="119"/>
        <v/>
      </c>
      <c r="M572" s="76" t="str">
        <f t="shared" si="120"/>
        <v/>
      </c>
      <c r="N572" s="26">
        <f t="shared" si="121"/>
        <v>0</v>
      </c>
      <c r="O572" s="235">
        <f t="shared" si="122"/>
        <v>0</v>
      </c>
      <c r="P572" s="235">
        <f t="shared" si="123"/>
        <v>0</v>
      </c>
      <c r="Q572" s="206">
        <f t="shared" si="124"/>
        <v>0</v>
      </c>
      <c r="R572" s="206">
        <f t="shared" si="113"/>
        <v>0</v>
      </c>
      <c r="S572" s="206">
        <f t="shared" si="114"/>
        <v>0</v>
      </c>
      <c r="T572" s="206">
        <f t="shared" si="115"/>
        <v>0</v>
      </c>
      <c r="U572" s="206">
        <f t="shared" si="115"/>
        <v>0</v>
      </c>
      <c r="V572" s="207" t="str">
        <f t="shared" si="116"/>
        <v/>
      </c>
    </row>
    <row r="573" spans="10:22" x14ac:dyDescent="0.3">
      <c r="J573" s="185" t="str">
        <f t="shared" si="117"/>
        <v/>
      </c>
      <c r="K573" s="185" t="str">
        <f t="shared" si="118"/>
        <v/>
      </c>
      <c r="L573" s="185" t="str">
        <f t="shared" si="119"/>
        <v/>
      </c>
      <c r="M573" s="76" t="str">
        <f t="shared" si="120"/>
        <v/>
      </c>
      <c r="N573" s="26">
        <f t="shared" si="121"/>
        <v>0</v>
      </c>
      <c r="O573" s="235">
        <f t="shared" si="122"/>
        <v>0</v>
      </c>
      <c r="P573" s="235">
        <f t="shared" si="123"/>
        <v>0</v>
      </c>
      <c r="Q573" s="206">
        <f t="shared" si="124"/>
        <v>0</v>
      </c>
      <c r="R573" s="206">
        <f t="shared" si="113"/>
        <v>0</v>
      </c>
      <c r="S573" s="206">
        <f t="shared" si="114"/>
        <v>0</v>
      </c>
      <c r="T573" s="206">
        <f t="shared" si="115"/>
        <v>0</v>
      </c>
      <c r="U573" s="206">
        <f t="shared" si="115"/>
        <v>0</v>
      </c>
      <c r="V573" s="207" t="str">
        <f t="shared" si="116"/>
        <v/>
      </c>
    </row>
    <row r="574" spans="10:22" x14ac:dyDescent="0.3">
      <c r="J574" s="185" t="str">
        <f t="shared" si="117"/>
        <v/>
      </c>
      <c r="K574" s="185" t="str">
        <f t="shared" si="118"/>
        <v/>
      </c>
      <c r="L574" s="185" t="str">
        <f t="shared" si="119"/>
        <v/>
      </c>
      <c r="M574" s="76" t="str">
        <f t="shared" si="120"/>
        <v/>
      </c>
      <c r="N574" s="26">
        <f t="shared" si="121"/>
        <v>0</v>
      </c>
      <c r="O574" s="235">
        <f t="shared" si="122"/>
        <v>0</v>
      </c>
      <c r="P574" s="235">
        <f t="shared" si="123"/>
        <v>0</v>
      </c>
      <c r="Q574" s="206">
        <f t="shared" si="124"/>
        <v>0</v>
      </c>
      <c r="R574" s="206">
        <f t="shared" si="113"/>
        <v>0</v>
      </c>
      <c r="S574" s="206">
        <f t="shared" si="114"/>
        <v>0</v>
      </c>
      <c r="T574" s="206">
        <f t="shared" si="115"/>
        <v>0</v>
      </c>
      <c r="U574" s="206">
        <f t="shared" si="115"/>
        <v>0</v>
      </c>
      <c r="V574" s="207" t="str">
        <f t="shared" si="116"/>
        <v/>
      </c>
    </row>
    <row r="575" spans="10:22" x14ac:dyDescent="0.3">
      <c r="J575" s="185" t="str">
        <f t="shared" si="117"/>
        <v/>
      </c>
      <c r="K575" s="185" t="str">
        <f t="shared" si="118"/>
        <v/>
      </c>
      <c r="L575" s="185" t="str">
        <f t="shared" si="119"/>
        <v/>
      </c>
      <c r="M575" s="76" t="str">
        <f t="shared" si="120"/>
        <v/>
      </c>
      <c r="N575" s="26">
        <f t="shared" si="121"/>
        <v>0</v>
      </c>
      <c r="O575" s="235">
        <f t="shared" si="122"/>
        <v>0</v>
      </c>
      <c r="P575" s="235">
        <f t="shared" si="123"/>
        <v>0</v>
      </c>
      <c r="Q575" s="206">
        <f t="shared" si="124"/>
        <v>0</v>
      </c>
      <c r="R575" s="206">
        <f t="shared" si="113"/>
        <v>0</v>
      </c>
      <c r="S575" s="206">
        <f t="shared" si="114"/>
        <v>0</v>
      </c>
      <c r="T575" s="206">
        <f t="shared" si="115"/>
        <v>0</v>
      </c>
      <c r="U575" s="206">
        <f t="shared" si="115"/>
        <v>0</v>
      </c>
      <c r="V575" s="207" t="str">
        <f t="shared" si="116"/>
        <v/>
      </c>
    </row>
    <row r="576" spans="10:22" x14ac:dyDescent="0.3">
      <c r="J576" s="185" t="str">
        <f t="shared" si="117"/>
        <v/>
      </c>
      <c r="K576" s="185" t="str">
        <f t="shared" si="118"/>
        <v/>
      </c>
      <c r="L576" s="185" t="str">
        <f t="shared" si="119"/>
        <v/>
      </c>
      <c r="M576" s="76" t="str">
        <f t="shared" si="120"/>
        <v/>
      </c>
      <c r="N576" s="26">
        <f t="shared" si="121"/>
        <v>0</v>
      </c>
      <c r="O576" s="235">
        <f t="shared" si="122"/>
        <v>0</v>
      </c>
      <c r="P576" s="235">
        <f t="shared" si="123"/>
        <v>0</v>
      </c>
      <c r="Q576" s="206">
        <f t="shared" si="124"/>
        <v>0</v>
      </c>
      <c r="R576" s="206">
        <f t="shared" si="113"/>
        <v>0</v>
      </c>
      <c r="S576" s="206">
        <f t="shared" si="114"/>
        <v>0</v>
      </c>
      <c r="T576" s="206">
        <f t="shared" si="115"/>
        <v>0</v>
      </c>
      <c r="U576" s="206">
        <f t="shared" si="115"/>
        <v>0</v>
      </c>
      <c r="V576" s="207" t="str">
        <f t="shared" si="116"/>
        <v/>
      </c>
    </row>
    <row r="577" spans="10:22" x14ac:dyDescent="0.3">
      <c r="J577" s="185" t="str">
        <f t="shared" si="117"/>
        <v/>
      </c>
      <c r="K577" s="185" t="str">
        <f t="shared" si="118"/>
        <v/>
      </c>
      <c r="L577" s="185" t="str">
        <f t="shared" si="119"/>
        <v/>
      </c>
      <c r="M577" s="76" t="str">
        <f t="shared" si="120"/>
        <v/>
      </c>
      <c r="N577" s="26">
        <f t="shared" si="121"/>
        <v>0</v>
      </c>
      <c r="O577" s="235">
        <f t="shared" si="122"/>
        <v>0</v>
      </c>
      <c r="P577" s="235">
        <f t="shared" si="123"/>
        <v>0</v>
      </c>
      <c r="Q577" s="206">
        <f t="shared" si="124"/>
        <v>0</v>
      </c>
      <c r="R577" s="206">
        <f t="shared" si="113"/>
        <v>0</v>
      </c>
      <c r="S577" s="206">
        <f t="shared" si="114"/>
        <v>0</v>
      </c>
      <c r="T577" s="206">
        <f t="shared" si="115"/>
        <v>0</v>
      </c>
      <c r="U577" s="206">
        <f t="shared" si="115"/>
        <v>0</v>
      </c>
      <c r="V577" s="207" t="str">
        <f t="shared" si="116"/>
        <v/>
      </c>
    </row>
    <row r="578" spans="10:22" x14ac:dyDescent="0.3">
      <c r="J578" s="185" t="str">
        <f t="shared" si="117"/>
        <v/>
      </c>
      <c r="K578" s="185" t="str">
        <f t="shared" si="118"/>
        <v/>
      </c>
      <c r="L578" s="185" t="str">
        <f t="shared" si="119"/>
        <v/>
      </c>
      <c r="M578" s="76" t="str">
        <f t="shared" si="120"/>
        <v/>
      </c>
      <c r="N578" s="26">
        <f t="shared" si="121"/>
        <v>0</v>
      </c>
      <c r="O578" s="235">
        <f t="shared" si="122"/>
        <v>0</v>
      </c>
      <c r="P578" s="235">
        <f t="shared" si="123"/>
        <v>0</v>
      </c>
      <c r="Q578" s="206">
        <f t="shared" si="124"/>
        <v>0</v>
      </c>
      <c r="R578" s="206">
        <f t="shared" si="113"/>
        <v>0</v>
      </c>
      <c r="S578" s="206">
        <f t="shared" si="114"/>
        <v>0</v>
      </c>
      <c r="T578" s="206">
        <f t="shared" si="115"/>
        <v>0</v>
      </c>
      <c r="U578" s="206">
        <f t="shared" si="115"/>
        <v>0</v>
      </c>
      <c r="V578" s="207" t="str">
        <f t="shared" si="116"/>
        <v/>
      </c>
    </row>
    <row r="579" spans="10:22" x14ac:dyDescent="0.3">
      <c r="J579" s="185" t="str">
        <f t="shared" si="117"/>
        <v/>
      </c>
      <c r="K579" s="185" t="str">
        <f t="shared" si="118"/>
        <v/>
      </c>
      <c r="L579" s="185" t="str">
        <f t="shared" si="119"/>
        <v/>
      </c>
      <c r="M579" s="76" t="str">
        <f t="shared" si="120"/>
        <v/>
      </c>
      <c r="N579" s="26">
        <f t="shared" si="121"/>
        <v>0</v>
      </c>
      <c r="O579" s="235">
        <f t="shared" si="122"/>
        <v>0</v>
      </c>
      <c r="P579" s="235">
        <f t="shared" si="123"/>
        <v>0</v>
      </c>
      <c r="Q579" s="206">
        <f t="shared" si="124"/>
        <v>0</v>
      </c>
      <c r="R579" s="206">
        <f t="shared" si="113"/>
        <v>0</v>
      </c>
      <c r="S579" s="206">
        <f t="shared" si="114"/>
        <v>0</v>
      </c>
      <c r="T579" s="206">
        <f t="shared" si="115"/>
        <v>0</v>
      </c>
      <c r="U579" s="206">
        <f t="shared" si="115"/>
        <v>0</v>
      </c>
      <c r="V579" s="207" t="str">
        <f t="shared" si="116"/>
        <v/>
      </c>
    </row>
    <row r="580" spans="10:22" x14ac:dyDescent="0.3">
      <c r="J580" s="185" t="str">
        <f t="shared" si="117"/>
        <v/>
      </c>
      <c r="K580" s="185" t="str">
        <f t="shared" si="118"/>
        <v/>
      </c>
      <c r="L580" s="185" t="str">
        <f t="shared" si="119"/>
        <v/>
      </c>
      <c r="M580" s="76" t="str">
        <f t="shared" si="120"/>
        <v/>
      </c>
      <c r="N580" s="26">
        <f t="shared" si="121"/>
        <v>0</v>
      </c>
      <c r="O580" s="235">
        <f t="shared" si="122"/>
        <v>0</v>
      </c>
      <c r="P580" s="235">
        <f t="shared" si="123"/>
        <v>0</v>
      </c>
      <c r="Q580" s="206">
        <f t="shared" si="124"/>
        <v>0</v>
      </c>
      <c r="R580" s="206">
        <f t="shared" si="113"/>
        <v>0</v>
      </c>
      <c r="S580" s="206">
        <f t="shared" si="114"/>
        <v>0</v>
      </c>
      <c r="T580" s="206">
        <f t="shared" si="115"/>
        <v>0</v>
      </c>
      <c r="U580" s="206">
        <f t="shared" si="115"/>
        <v>0</v>
      </c>
      <c r="V580" s="207" t="str">
        <f t="shared" si="116"/>
        <v/>
      </c>
    </row>
    <row r="581" spans="10:22" x14ac:dyDescent="0.3">
      <c r="J581" s="185" t="str">
        <f t="shared" si="117"/>
        <v/>
      </c>
      <c r="K581" s="185" t="str">
        <f t="shared" si="118"/>
        <v/>
      </c>
      <c r="L581" s="185" t="str">
        <f t="shared" si="119"/>
        <v/>
      </c>
      <c r="M581" s="76" t="str">
        <f t="shared" si="120"/>
        <v/>
      </c>
      <c r="N581" s="26">
        <f t="shared" si="121"/>
        <v>0</v>
      </c>
      <c r="O581" s="235">
        <f t="shared" si="122"/>
        <v>0</v>
      </c>
      <c r="P581" s="235">
        <f t="shared" si="123"/>
        <v>0</v>
      </c>
      <c r="Q581" s="206">
        <f t="shared" si="124"/>
        <v>0</v>
      </c>
      <c r="R581" s="206">
        <f t="shared" si="113"/>
        <v>0</v>
      </c>
      <c r="S581" s="206">
        <f t="shared" si="114"/>
        <v>0</v>
      </c>
      <c r="T581" s="206">
        <f t="shared" si="115"/>
        <v>0</v>
      </c>
      <c r="U581" s="206">
        <f t="shared" si="115"/>
        <v>0</v>
      </c>
      <c r="V581" s="207" t="str">
        <f t="shared" si="116"/>
        <v/>
      </c>
    </row>
    <row r="582" spans="10:22" x14ac:dyDescent="0.3">
      <c r="J582" s="185" t="str">
        <f t="shared" si="117"/>
        <v/>
      </c>
      <c r="K582" s="185" t="str">
        <f t="shared" si="118"/>
        <v/>
      </c>
      <c r="L582" s="185" t="str">
        <f t="shared" si="119"/>
        <v/>
      </c>
      <c r="M582" s="76" t="str">
        <f t="shared" si="120"/>
        <v/>
      </c>
      <c r="N582" s="26">
        <f t="shared" si="121"/>
        <v>0</v>
      </c>
      <c r="O582" s="235">
        <f t="shared" si="122"/>
        <v>0</v>
      </c>
      <c r="P582" s="235">
        <f t="shared" si="123"/>
        <v>0</v>
      </c>
      <c r="Q582" s="206">
        <f t="shared" si="124"/>
        <v>0</v>
      </c>
      <c r="R582" s="206">
        <f t="shared" si="113"/>
        <v>0</v>
      </c>
      <c r="S582" s="206">
        <f t="shared" si="114"/>
        <v>0</v>
      </c>
      <c r="T582" s="206">
        <f t="shared" si="115"/>
        <v>0</v>
      </c>
      <c r="U582" s="206">
        <f t="shared" si="115"/>
        <v>0</v>
      </c>
      <c r="V582" s="207" t="str">
        <f t="shared" si="116"/>
        <v/>
      </c>
    </row>
    <row r="583" spans="10:22" x14ac:dyDescent="0.3">
      <c r="J583" s="185" t="str">
        <f t="shared" si="117"/>
        <v/>
      </c>
      <c r="K583" s="185" t="str">
        <f t="shared" si="118"/>
        <v/>
      </c>
      <c r="L583" s="185" t="str">
        <f t="shared" si="119"/>
        <v/>
      </c>
      <c r="M583" s="76" t="str">
        <f t="shared" si="120"/>
        <v/>
      </c>
      <c r="N583" s="26">
        <f t="shared" si="121"/>
        <v>0</v>
      </c>
      <c r="O583" s="235">
        <f t="shared" si="122"/>
        <v>0</v>
      </c>
      <c r="P583" s="235">
        <f t="shared" si="123"/>
        <v>0</v>
      </c>
      <c r="Q583" s="206">
        <f t="shared" si="124"/>
        <v>0</v>
      </c>
      <c r="R583" s="206">
        <f t="shared" si="113"/>
        <v>0</v>
      </c>
      <c r="S583" s="206">
        <f t="shared" si="114"/>
        <v>0</v>
      </c>
      <c r="T583" s="206">
        <f t="shared" si="115"/>
        <v>0</v>
      </c>
      <c r="U583" s="206">
        <f t="shared" si="115"/>
        <v>0</v>
      </c>
      <c r="V583" s="207" t="str">
        <f t="shared" si="116"/>
        <v/>
      </c>
    </row>
    <row r="584" spans="10:22" x14ac:dyDescent="0.3">
      <c r="J584" s="185" t="str">
        <f t="shared" si="117"/>
        <v/>
      </c>
      <c r="K584" s="185" t="str">
        <f t="shared" si="118"/>
        <v/>
      </c>
      <c r="L584" s="185" t="str">
        <f t="shared" si="119"/>
        <v/>
      </c>
      <c r="M584" s="76" t="str">
        <f t="shared" si="120"/>
        <v/>
      </c>
      <c r="N584" s="26">
        <f t="shared" si="121"/>
        <v>0</v>
      </c>
      <c r="O584" s="235">
        <f t="shared" si="122"/>
        <v>0</v>
      </c>
      <c r="P584" s="235">
        <f t="shared" si="123"/>
        <v>0</v>
      </c>
      <c r="Q584" s="206">
        <f t="shared" si="124"/>
        <v>0</v>
      </c>
      <c r="R584" s="206">
        <f t="shared" si="113"/>
        <v>0</v>
      </c>
      <c r="S584" s="206">
        <f t="shared" si="114"/>
        <v>0</v>
      </c>
      <c r="T584" s="206">
        <f t="shared" si="115"/>
        <v>0</v>
      </c>
      <c r="U584" s="206">
        <f t="shared" si="115"/>
        <v>0</v>
      </c>
      <c r="V584" s="207" t="str">
        <f t="shared" si="116"/>
        <v/>
      </c>
    </row>
    <row r="585" spans="10:22" x14ac:dyDescent="0.3">
      <c r="J585" s="185" t="str">
        <f t="shared" si="117"/>
        <v/>
      </c>
      <c r="K585" s="185" t="str">
        <f t="shared" si="118"/>
        <v/>
      </c>
      <c r="L585" s="185" t="str">
        <f t="shared" si="119"/>
        <v/>
      </c>
      <c r="M585" s="76" t="str">
        <f t="shared" si="120"/>
        <v/>
      </c>
      <c r="N585" s="26">
        <f t="shared" si="121"/>
        <v>0</v>
      </c>
      <c r="O585" s="235">
        <f t="shared" si="122"/>
        <v>0</v>
      </c>
      <c r="P585" s="235">
        <f t="shared" si="123"/>
        <v>0</v>
      </c>
      <c r="Q585" s="206">
        <f t="shared" si="124"/>
        <v>0</v>
      </c>
      <c r="R585" s="206">
        <f t="shared" si="113"/>
        <v>0</v>
      </c>
      <c r="S585" s="206">
        <f t="shared" si="114"/>
        <v>0</v>
      </c>
      <c r="T585" s="206">
        <f t="shared" si="115"/>
        <v>0</v>
      </c>
      <c r="U585" s="206">
        <f t="shared" si="115"/>
        <v>0</v>
      </c>
      <c r="V585" s="207" t="str">
        <f t="shared" si="116"/>
        <v/>
      </c>
    </row>
    <row r="586" spans="10:22" x14ac:dyDescent="0.3">
      <c r="J586" s="185" t="str">
        <f t="shared" si="117"/>
        <v/>
      </c>
      <c r="K586" s="185" t="str">
        <f t="shared" si="118"/>
        <v/>
      </c>
      <c r="L586" s="185" t="str">
        <f t="shared" si="119"/>
        <v/>
      </c>
      <c r="M586" s="76" t="str">
        <f t="shared" si="120"/>
        <v/>
      </c>
      <c r="N586" s="26">
        <f t="shared" si="121"/>
        <v>0</v>
      </c>
      <c r="O586" s="235">
        <f t="shared" si="122"/>
        <v>0</v>
      </c>
      <c r="P586" s="235">
        <f t="shared" si="123"/>
        <v>0</v>
      </c>
      <c r="Q586" s="206">
        <f t="shared" si="124"/>
        <v>0</v>
      </c>
      <c r="R586" s="206">
        <f t="shared" si="113"/>
        <v>0</v>
      </c>
      <c r="S586" s="206">
        <f t="shared" si="114"/>
        <v>0</v>
      </c>
      <c r="T586" s="206">
        <f t="shared" si="115"/>
        <v>0</v>
      </c>
      <c r="U586" s="206">
        <f t="shared" si="115"/>
        <v>0</v>
      </c>
      <c r="V586" s="207" t="str">
        <f t="shared" si="116"/>
        <v/>
      </c>
    </row>
    <row r="587" spans="10:22" x14ac:dyDescent="0.3">
      <c r="J587" s="185" t="str">
        <f t="shared" si="117"/>
        <v/>
      </c>
      <c r="K587" s="185" t="str">
        <f t="shared" si="118"/>
        <v/>
      </c>
      <c r="L587" s="185" t="str">
        <f t="shared" si="119"/>
        <v/>
      </c>
      <c r="M587" s="76" t="str">
        <f t="shared" si="120"/>
        <v/>
      </c>
      <c r="N587" s="26">
        <f t="shared" si="121"/>
        <v>0</v>
      </c>
      <c r="O587" s="235">
        <f t="shared" si="122"/>
        <v>0</v>
      </c>
      <c r="P587" s="235">
        <f t="shared" si="123"/>
        <v>0</v>
      </c>
      <c r="Q587" s="206">
        <f t="shared" si="124"/>
        <v>0</v>
      </c>
      <c r="R587" s="206">
        <f t="shared" si="113"/>
        <v>0</v>
      </c>
      <c r="S587" s="206">
        <f t="shared" si="114"/>
        <v>0</v>
      </c>
      <c r="T587" s="206">
        <f t="shared" si="115"/>
        <v>0</v>
      </c>
      <c r="U587" s="206">
        <f t="shared" si="115"/>
        <v>0</v>
      </c>
      <c r="V587" s="207" t="str">
        <f t="shared" si="116"/>
        <v/>
      </c>
    </row>
    <row r="588" spans="10:22" x14ac:dyDescent="0.3">
      <c r="J588" s="185" t="str">
        <f t="shared" si="117"/>
        <v/>
      </c>
      <c r="K588" s="185" t="str">
        <f t="shared" si="118"/>
        <v/>
      </c>
      <c r="L588" s="185" t="str">
        <f t="shared" si="119"/>
        <v/>
      </c>
      <c r="M588" s="76" t="str">
        <f t="shared" si="120"/>
        <v/>
      </c>
      <c r="N588" s="26">
        <f t="shared" si="121"/>
        <v>0</v>
      </c>
      <c r="O588" s="235">
        <f t="shared" si="122"/>
        <v>0</v>
      </c>
      <c r="P588" s="235">
        <f t="shared" si="123"/>
        <v>0</v>
      </c>
      <c r="Q588" s="206">
        <f t="shared" si="124"/>
        <v>0</v>
      </c>
      <c r="R588" s="206">
        <f t="shared" si="113"/>
        <v>0</v>
      </c>
      <c r="S588" s="206">
        <f t="shared" si="114"/>
        <v>0</v>
      </c>
      <c r="T588" s="206">
        <f t="shared" si="115"/>
        <v>0</v>
      </c>
      <c r="U588" s="206">
        <f t="shared" si="115"/>
        <v>0</v>
      </c>
      <c r="V588" s="207" t="str">
        <f t="shared" si="116"/>
        <v/>
      </c>
    </row>
    <row r="589" spans="10:22" x14ac:dyDescent="0.3">
      <c r="J589" s="185" t="str">
        <f t="shared" si="117"/>
        <v/>
      </c>
      <c r="K589" s="185" t="str">
        <f t="shared" si="118"/>
        <v/>
      </c>
      <c r="L589" s="185" t="str">
        <f t="shared" si="119"/>
        <v/>
      </c>
      <c r="M589" s="76" t="str">
        <f t="shared" si="120"/>
        <v/>
      </c>
      <c r="N589" s="26">
        <f t="shared" si="121"/>
        <v>0</v>
      </c>
      <c r="O589" s="235">
        <f t="shared" si="122"/>
        <v>0</v>
      </c>
      <c r="P589" s="235">
        <f t="shared" si="123"/>
        <v>0</v>
      </c>
      <c r="Q589" s="206">
        <f t="shared" si="124"/>
        <v>0</v>
      </c>
      <c r="R589" s="206">
        <f t="shared" si="113"/>
        <v>0</v>
      </c>
      <c r="S589" s="206">
        <f t="shared" si="114"/>
        <v>0</v>
      </c>
      <c r="T589" s="206">
        <f t="shared" si="115"/>
        <v>0</v>
      </c>
      <c r="U589" s="206">
        <f t="shared" si="115"/>
        <v>0</v>
      </c>
      <c r="V589" s="207" t="str">
        <f t="shared" si="116"/>
        <v/>
      </c>
    </row>
    <row r="590" spans="10:22" x14ac:dyDescent="0.3">
      <c r="J590" s="185" t="str">
        <f t="shared" si="117"/>
        <v/>
      </c>
      <c r="K590" s="185" t="str">
        <f t="shared" si="118"/>
        <v/>
      </c>
      <c r="L590" s="185" t="str">
        <f t="shared" si="119"/>
        <v/>
      </c>
      <c r="M590" s="76" t="str">
        <f t="shared" si="120"/>
        <v/>
      </c>
      <c r="N590" s="26">
        <f t="shared" si="121"/>
        <v>0</v>
      </c>
      <c r="O590" s="235">
        <f t="shared" si="122"/>
        <v>0</v>
      </c>
      <c r="P590" s="235">
        <f t="shared" si="123"/>
        <v>0</v>
      </c>
      <c r="Q590" s="206">
        <f t="shared" si="124"/>
        <v>0</v>
      </c>
      <c r="R590" s="206">
        <f t="shared" si="113"/>
        <v>0</v>
      </c>
      <c r="S590" s="206">
        <f t="shared" si="114"/>
        <v>0</v>
      </c>
      <c r="T590" s="206">
        <f t="shared" si="115"/>
        <v>0</v>
      </c>
      <c r="U590" s="206">
        <f t="shared" si="115"/>
        <v>0</v>
      </c>
      <c r="V590" s="207" t="str">
        <f t="shared" si="116"/>
        <v/>
      </c>
    </row>
    <row r="591" spans="10:22" x14ac:dyDescent="0.3">
      <c r="J591" s="185" t="str">
        <f t="shared" si="117"/>
        <v/>
      </c>
      <c r="K591" s="185" t="str">
        <f t="shared" si="118"/>
        <v/>
      </c>
      <c r="L591" s="185" t="str">
        <f t="shared" si="119"/>
        <v/>
      </c>
      <c r="M591" s="76" t="str">
        <f t="shared" si="120"/>
        <v/>
      </c>
      <c r="N591" s="26">
        <f t="shared" si="121"/>
        <v>0</v>
      </c>
      <c r="O591" s="235">
        <f t="shared" si="122"/>
        <v>0</v>
      </c>
      <c r="P591" s="235">
        <f t="shared" si="123"/>
        <v>0</v>
      </c>
      <c r="Q591" s="206">
        <f t="shared" si="124"/>
        <v>0</v>
      </c>
      <c r="R591" s="206">
        <f t="shared" si="113"/>
        <v>0</v>
      </c>
      <c r="S591" s="206">
        <f t="shared" si="114"/>
        <v>0</v>
      </c>
      <c r="T591" s="206">
        <f t="shared" si="115"/>
        <v>0</v>
      </c>
      <c r="U591" s="206">
        <f t="shared" si="115"/>
        <v>0</v>
      </c>
      <c r="V591" s="207" t="str">
        <f t="shared" si="116"/>
        <v/>
      </c>
    </row>
    <row r="592" spans="10:22" x14ac:dyDescent="0.3">
      <c r="J592" s="185" t="str">
        <f t="shared" si="117"/>
        <v/>
      </c>
      <c r="K592" s="185" t="str">
        <f t="shared" si="118"/>
        <v/>
      </c>
      <c r="L592" s="185" t="str">
        <f t="shared" si="119"/>
        <v/>
      </c>
      <c r="M592" s="76" t="str">
        <f t="shared" si="120"/>
        <v/>
      </c>
      <c r="N592" s="26">
        <f t="shared" si="121"/>
        <v>0</v>
      </c>
      <c r="O592" s="235">
        <f t="shared" si="122"/>
        <v>0</v>
      </c>
      <c r="P592" s="235">
        <f t="shared" si="123"/>
        <v>0</v>
      </c>
      <c r="Q592" s="206">
        <f t="shared" si="124"/>
        <v>0</v>
      </c>
      <c r="R592" s="206">
        <f t="shared" si="113"/>
        <v>0</v>
      </c>
      <c r="S592" s="206">
        <f t="shared" si="114"/>
        <v>0</v>
      </c>
      <c r="T592" s="206">
        <f t="shared" si="115"/>
        <v>0</v>
      </c>
      <c r="U592" s="206">
        <f t="shared" si="115"/>
        <v>0</v>
      </c>
      <c r="V592" s="207" t="str">
        <f t="shared" si="116"/>
        <v/>
      </c>
    </row>
    <row r="593" spans="10:22" x14ac:dyDescent="0.3">
      <c r="J593" s="185" t="str">
        <f t="shared" si="117"/>
        <v/>
      </c>
      <c r="K593" s="185" t="str">
        <f t="shared" si="118"/>
        <v/>
      </c>
      <c r="L593" s="185" t="str">
        <f t="shared" si="119"/>
        <v/>
      </c>
      <c r="M593" s="76" t="str">
        <f t="shared" si="120"/>
        <v/>
      </c>
      <c r="N593" s="26">
        <f t="shared" si="121"/>
        <v>0</v>
      </c>
      <c r="O593" s="235">
        <f t="shared" si="122"/>
        <v>0</v>
      </c>
      <c r="P593" s="235">
        <f t="shared" si="123"/>
        <v>0</v>
      </c>
      <c r="Q593" s="206">
        <f t="shared" si="124"/>
        <v>0</v>
      </c>
      <c r="R593" s="206">
        <f t="shared" si="113"/>
        <v>0</v>
      </c>
      <c r="S593" s="206">
        <f t="shared" si="114"/>
        <v>0</v>
      </c>
      <c r="T593" s="206">
        <f t="shared" si="115"/>
        <v>0</v>
      </c>
      <c r="U593" s="206">
        <f t="shared" si="115"/>
        <v>0</v>
      </c>
      <c r="V593" s="207" t="str">
        <f t="shared" si="116"/>
        <v/>
      </c>
    </row>
    <row r="594" spans="10:22" x14ac:dyDescent="0.3">
      <c r="J594" s="185" t="str">
        <f t="shared" si="117"/>
        <v/>
      </c>
      <c r="K594" s="185" t="str">
        <f t="shared" si="118"/>
        <v/>
      </c>
      <c r="L594" s="185" t="str">
        <f t="shared" si="119"/>
        <v/>
      </c>
      <c r="M594" s="76" t="str">
        <f t="shared" si="120"/>
        <v/>
      </c>
      <c r="N594" s="26">
        <f t="shared" si="121"/>
        <v>0</v>
      </c>
      <c r="O594" s="235">
        <f t="shared" si="122"/>
        <v>0</v>
      </c>
      <c r="P594" s="235">
        <f t="shared" si="123"/>
        <v>0</v>
      </c>
      <c r="Q594" s="206">
        <f t="shared" si="124"/>
        <v>0</v>
      </c>
      <c r="R594" s="206">
        <f t="shared" si="113"/>
        <v>0</v>
      </c>
      <c r="S594" s="206">
        <f t="shared" si="114"/>
        <v>0</v>
      </c>
      <c r="T594" s="206">
        <f t="shared" si="115"/>
        <v>0</v>
      </c>
      <c r="U594" s="206">
        <f t="shared" si="115"/>
        <v>0</v>
      </c>
      <c r="V594" s="207" t="str">
        <f t="shared" si="116"/>
        <v/>
      </c>
    </row>
    <row r="595" spans="10:22" x14ac:dyDescent="0.3">
      <c r="J595" s="185" t="str">
        <f t="shared" si="117"/>
        <v/>
      </c>
      <c r="K595" s="185" t="str">
        <f t="shared" si="118"/>
        <v/>
      </c>
      <c r="L595" s="185" t="str">
        <f t="shared" si="119"/>
        <v/>
      </c>
      <c r="M595" s="76" t="str">
        <f t="shared" si="120"/>
        <v/>
      </c>
      <c r="N595" s="26">
        <f t="shared" si="121"/>
        <v>0</v>
      </c>
      <c r="O595" s="235">
        <f t="shared" si="122"/>
        <v>0</v>
      </c>
      <c r="P595" s="235">
        <f t="shared" si="123"/>
        <v>0</v>
      </c>
      <c r="Q595" s="206">
        <f t="shared" si="124"/>
        <v>0</v>
      </c>
      <c r="R595" s="206">
        <f t="shared" si="113"/>
        <v>0</v>
      </c>
      <c r="S595" s="206">
        <f t="shared" si="114"/>
        <v>0</v>
      </c>
      <c r="T595" s="206">
        <f t="shared" si="115"/>
        <v>0</v>
      </c>
      <c r="U595" s="206">
        <f t="shared" si="115"/>
        <v>0</v>
      </c>
      <c r="V595" s="207" t="str">
        <f t="shared" si="116"/>
        <v/>
      </c>
    </row>
    <row r="596" spans="10:22" x14ac:dyDescent="0.3">
      <c r="J596" s="185" t="str">
        <f t="shared" si="117"/>
        <v/>
      </c>
      <c r="K596" s="185" t="str">
        <f t="shared" si="118"/>
        <v/>
      </c>
      <c r="L596" s="185" t="str">
        <f t="shared" si="119"/>
        <v/>
      </c>
      <c r="M596" s="76" t="str">
        <f t="shared" si="120"/>
        <v/>
      </c>
      <c r="N596" s="26">
        <f t="shared" si="121"/>
        <v>0</v>
      </c>
      <c r="O596" s="235">
        <f t="shared" si="122"/>
        <v>0</v>
      </c>
      <c r="P596" s="235">
        <f t="shared" si="123"/>
        <v>0</v>
      </c>
      <c r="Q596" s="206">
        <f t="shared" si="124"/>
        <v>0</v>
      </c>
      <c r="R596" s="206">
        <f t="shared" si="113"/>
        <v>0</v>
      </c>
      <c r="S596" s="206">
        <f t="shared" si="114"/>
        <v>0</v>
      </c>
      <c r="T596" s="206">
        <f t="shared" si="115"/>
        <v>0</v>
      </c>
      <c r="U596" s="206">
        <f t="shared" si="115"/>
        <v>0</v>
      </c>
      <c r="V596" s="207" t="str">
        <f t="shared" si="116"/>
        <v/>
      </c>
    </row>
    <row r="597" spans="10:22" x14ac:dyDescent="0.3">
      <c r="J597" s="185" t="str">
        <f t="shared" si="117"/>
        <v/>
      </c>
      <c r="K597" s="185" t="str">
        <f t="shared" si="118"/>
        <v/>
      </c>
      <c r="L597" s="185" t="str">
        <f t="shared" si="119"/>
        <v/>
      </c>
      <c r="M597" s="76" t="str">
        <f t="shared" si="120"/>
        <v/>
      </c>
      <c r="N597" s="26">
        <f t="shared" si="121"/>
        <v>0</v>
      </c>
      <c r="O597" s="235">
        <f t="shared" si="122"/>
        <v>0</v>
      </c>
      <c r="P597" s="235">
        <f t="shared" si="123"/>
        <v>0</v>
      </c>
      <c r="Q597" s="206">
        <f t="shared" si="124"/>
        <v>0</v>
      </c>
      <c r="R597" s="206">
        <f t="shared" si="113"/>
        <v>0</v>
      </c>
      <c r="S597" s="206">
        <f t="shared" si="114"/>
        <v>0</v>
      </c>
      <c r="T597" s="206">
        <f t="shared" si="115"/>
        <v>0</v>
      </c>
      <c r="U597" s="206">
        <f t="shared" si="115"/>
        <v>0</v>
      </c>
      <c r="V597" s="207" t="str">
        <f t="shared" si="116"/>
        <v/>
      </c>
    </row>
    <row r="598" spans="10:22" x14ac:dyDescent="0.3">
      <c r="J598" s="185" t="str">
        <f t="shared" si="117"/>
        <v/>
      </c>
      <c r="K598" s="185" t="str">
        <f t="shared" si="118"/>
        <v/>
      </c>
      <c r="L598" s="185" t="str">
        <f t="shared" si="119"/>
        <v/>
      </c>
      <c r="M598" s="76" t="str">
        <f t="shared" si="120"/>
        <v/>
      </c>
      <c r="N598" s="26">
        <f t="shared" si="121"/>
        <v>0</v>
      </c>
      <c r="O598" s="235">
        <f t="shared" si="122"/>
        <v>0</v>
      </c>
      <c r="P598" s="235">
        <f t="shared" si="123"/>
        <v>0</v>
      </c>
      <c r="Q598" s="206">
        <f t="shared" si="124"/>
        <v>0</v>
      </c>
      <c r="R598" s="206">
        <f t="shared" si="113"/>
        <v>0</v>
      </c>
      <c r="S598" s="206">
        <f t="shared" si="114"/>
        <v>0</v>
      </c>
      <c r="T598" s="206">
        <f t="shared" si="115"/>
        <v>0</v>
      </c>
      <c r="U598" s="206">
        <f t="shared" si="115"/>
        <v>0</v>
      </c>
      <c r="V598" s="207" t="str">
        <f t="shared" si="116"/>
        <v/>
      </c>
    </row>
    <row r="599" spans="10:22" x14ac:dyDescent="0.3">
      <c r="J599" s="185" t="str">
        <f t="shared" si="117"/>
        <v/>
      </c>
      <c r="K599" s="185" t="str">
        <f t="shared" si="118"/>
        <v/>
      </c>
      <c r="L599" s="185" t="str">
        <f t="shared" si="119"/>
        <v/>
      </c>
      <c r="M599" s="76" t="str">
        <f t="shared" si="120"/>
        <v/>
      </c>
      <c r="N599" s="26">
        <f t="shared" si="121"/>
        <v>0</v>
      </c>
      <c r="O599" s="235">
        <f t="shared" si="122"/>
        <v>0</v>
      </c>
      <c r="P599" s="235">
        <f t="shared" si="123"/>
        <v>0</v>
      </c>
      <c r="Q599" s="206">
        <f t="shared" si="124"/>
        <v>0</v>
      </c>
      <c r="R599" s="206">
        <f t="shared" si="113"/>
        <v>0</v>
      </c>
      <c r="S599" s="206">
        <f t="shared" si="114"/>
        <v>0</v>
      </c>
      <c r="T599" s="206">
        <f t="shared" si="115"/>
        <v>0</v>
      </c>
      <c r="U599" s="206">
        <f t="shared" si="115"/>
        <v>0</v>
      </c>
      <c r="V599" s="207" t="str">
        <f t="shared" si="116"/>
        <v/>
      </c>
    </row>
    <row r="600" spans="10:22" x14ac:dyDescent="0.3">
      <c r="J600" s="185" t="str">
        <f t="shared" si="117"/>
        <v/>
      </c>
      <c r="K600" s="185" t="str">
        <f t="shared" si="118"/>
        <v/>
      </c>
      <c r="L600" s="185" t="str">
        <f t="shared" si="119"/>
        <v/>
      </c>
      <c r="M600" s="76" t="str">
        <f t="shared" si="120"/>
        <v/>
      </c>
      <c r="N600" s="26">
        <f t="shared" si="121"/>
        <v>0</v>
      </c>
      <c r="O600" s="235">
        <f t="shared" si="122"/>
        <v>0</v>
      </c>
      <c r="P600" s="235">
        <f t="shared" si="123"/>
        <v>0</v>
      </c>
      <c r="Q600" s="206">
        <f t="shared" si="124"/>
        <v>0</v>
      </c>
      <c r="R600" s="206">
        <f t="shared" si="113"/>
        <v>0</v>
      </c>
      <c r="S600" s="206">
        <f t="shared" si="114"/>
        <v>0</v>
      </c>
      <c r="T600" s="206">
        <f t="shared" si="115"/>
        <v>0</v>
      </c>
      <c r="U600" s="206">
        <f t="shared" si="115"/>
        <v>0</v>
      </c>
      <c r="V600" s="207" t="str">
        <f t="shared" si="116"/>
        <v/>
      </c>
    </row>
    <row r="601" spans="10:22" x14ac:dyDescent="0.3">
      <c r="J601" s="185" t="str">
        <f t="shared" si="117"/>
        <v/>
      </c>
      <c r="K601" s="185" t="str">
        <f t="shared" si="118"/>
        <v/>
      </c>
      <c r="L601" s="185" t="str">
        <f t="shared" si="119"/>
        <v/>
      </c>
      <c r="M601" s="76" t="str">
        <f t="shared" si="120"/>
        <v/>
      </c>
      <c r="N601" s="26">
        <f t="shared" si="121"/>
        <v>0</v>
      </c>
      <c r="O601" s="235">
        <f t="shared" si="122"/>
        <v>0</v>
      </c>
      <c r="P601" s="235">
        <f t="shared" si="123"/>
        <v>0</v>
      </c>
      <c r="Q601" s="206">
        <f t="shared" si="124"/>
        <v>0</v>
      </c>
      <c r="R601" s="206">
        <f t="shared" si="113"/>
        <v>0</v>
      </c>
      <c r="S601" s="206">
        <f t="shared" si="114"/>
        <v>0</v>
      </c>
      <c r="T601" s="206">
        <f t="shared" si="115"/>
        <v>0</v>
      </c>
      <c r="U601" s="206">
        <f t="shared" si="115"/>
        <v>0</v>
      </c>
      <c r="V601" s="207" t="str">
        <f t="shared" si="116"/>
        <v/>
      </c>
    </row>
    <row r="602" spans="10:22" x14ac:dyDescent="0.3">
      <c r="J602" s="185" t="str">
        <f t="shared" si="117"/>
        <v/>
      </c>
      <c r="K602" s="185" t="str">
        <f t="shared" si="118"/>
        <v/>
      </c>
      <c r="L602" s="185" t="str">
        <f t="shared" si="119"/>
        <v/>
      </c>
      <c r="M602" s="76" t="str">
        <f t="shared" si="120"/>
        <v/>
      </c>
      <c r="N602" s="26">
        <f t="shared" si="121"/>
        <v>0</v>
      </c>
      <c r="O602" s="235">
        <f t="shared" si="122"/>
        <v>0</v>
      </c>
      <c r="P602" s="235">
        <f t="shared" si="123"/>
        <v>0</v>
      </c>
      <c r="Q602" s="206">
        <f t="shared" si="124"/>
        <v>0</v>
      </c>
      <c r="R602" s="206">
        <f t="shared" si="113"/>
        <v>0</v>
      </c>
      <c r="S602" s="206">
        <f t="shared" si="114"/>
        <v>0</v>
      </c>
      <c r="T602" s="206">
        <f t="shared" si="115"/>
        <v>0</v>
      </c>
      <c r="U602" s="206">
        <f t="shared" si="115"/>
        <v>0</v>
      </c>
      <c r="V602" s="207" t="str">
        <f t="shared" si="116"/>
        <v/>
      </c>
    </row>
    <row r="603" spans="10:22" x14ac:dyDescent="0.3">
      <c r="J603" s="185" t="str">
        <f t="shared" si="117"/>
        <v/>
      </c>
      <c r="K603" s="185" t="str">
        <f t="shared" si="118"/>
        <v/>
      </c>
      <c r="L603" s="185" t="str">
        <f t="shared" si="119"/>
        <v/>
      </c>
      <c r="M603" s="76" t="str">
        <f t="shared" si="120"/>
        <v/>
      </c>
      <c r="N603" s="26">
        <f t="shared" si="121"/>
        <v>0</v>
      </c>
      <c r="O603" s="235">
        <f t="shared" si="122"/>
        <v>0</v>
      </c>
      <c r="P603" s="235">
        <f t="shared" si="123"/>
        <v>0</v>
      </c>
      <c r="Q603" s="206">
        <f t="shared" si="124"/>
        <v>0</v>
      </c>
      <c r="R603" s="206">
        <f t="shared" ref="R603:R666" si="125">IF($J603=29,VALUE(LEFT(B603,LEN(B603)-2)),0)</f>
        <v>0</v>
      </c>
      <c r="S603" s="206">
        <f t="shared" ref="S603:S666" si="126">IF($J603=29,VALUE(LEFT(C603,LEN(C603)-2)),0)</f>
        <v>0</v>
      </c>
      <c r="T603" s="206">
        <f t="shared" ref="T603:U666" si="127">IF($J603=29,VALUE(LEFT(D603,LEN(D603)-2)),0)</f>
        <v>0</v>
      </c>
      <c r="U603" s="206">
        <f t="shared" si="127"/>
        <v>0</v>
      </c>
      <c r="V603" s="207" t="str">
        <f t="shared" ref="V603:V666" si="128">IFERROR(N603/SUM(R603:U603),"")</f>
        <v/>
      </c>
    </row>
    <row r="604" spans="10:22" x14ac:dyDescent="0.3">
      <c r="J604" s="185" t="str">
        <f t="shared" si="117"/>
        <v/>
      </c>
      <c r="K604" s="185" t="str">
        <f t="shared" si="118"/>
        <v/>
      </c>
      <c r="L604" s="185" t="str">
        <f t="shared" si="119"/>
        <v/>
      </c>
      <c r="M604" s="76" t="str">
        <f t="shared" si="120"/>
        <v/>
      </c>
      <c r="N604" s="26">
        <f t="shared" si="121"/>
        <v>0</v>
      </c>
      <c r="O604" s="235">
        <f t="shared" si="122"/>
        <v>0</v>
      </c>
      <c r="P604" s="235">
        <f t="shared" si="123"/>
        <v>0</v>
      </c>
      <c r="Q604" s="206">
        <f t="shared" si="124"/>
        <v>0</v>
      </c>
      <c r="R604" s="206">
        <f t="shared" si="125"/>
        <v>0</v>
      </c>
      <c r="S604" s="206">
        <f t="shared" si="126"/>
        <v>0</v>
      </c>
      <c r="T604" s="206">
        <f t="shared" si="127"/>
        <v>0</v>
      </c>
      <c r="U604" s="206">
        <f t="shared" si="127"/>
        <v>0</v>
      </c>
      <c r="V604" s="207" t="str">
        <f t="shared" si="128"/>
        <v/>
      </c>
    </row>
    <row r="605" spans="10:22" x14ac:dyDescent="0.3">
      <c r="J605" s="185" t="str">
        <f t="shared" si="117"/>
        <v/>
      </c>
      <c r="K605" s="185" t="str">
        <f t="shared" si="118"/>
        <v/>
      </c>
      <c r="L605" s="185" t="str">
        <f t="shared" si="119"/>
        <v/>
      </c>
      <c r="M605" s="76" t="str">
        <f t="shared" si="120"/>
        <v/>
      </c>
      <c r="N605" s="26">
        <f t="shared" si="121"/>
        <v>0</v>
      </c>
      <c r="O605" s="235">
        <f t="shared" si="122"/>
        <v>0</v>
      </c>
      <c r="P605" s="235">
        <f t="shared" si="123"/>
        <v>0</v>
      </c>
      <c r="Q605" s="206">
        <f t="shared" si="124"/>
        <v>0</v>
      </c>
      <c r="R605" s="206">
        <f t="shared" si="125"/>
        <v>0</v>
      </c>
      <c r="S605" s="206">
        <f t="shared" si="126"/>
        <v>0</v>
      </c>
      <c r="T605" s="206">
        <f t="shared" si="127"/>
        <v>0</v>
      </c>
      <c r="U605" s="206">
        <f t="shared" si="127"/>
        <v>0</v>
      </c>
      <c r="V605" s="207" t="str">
        <f t="shared" si="128"/>
        <v/>
      </c>
    </row>
    <row r="606" spans="10:22" x14ac:dyDescent="0.3">
      <c r="J606" s="185" t="str">
        <f t="shared" si="117"/>
        <v/>
      </c>
      <c r="K606" s="185" t="str">
        <f t="shared" si="118"/>
        <v/>
      </c>
      <c r="L606" s="185" t="str">
        <f t="shared" si="119"/>
        <v/>
      </c>
      <c r="M606" s="76" t="str">
        <f t="shared" si="120"/>
        <v/>
      </c>
      <c r="N606" s="26">
        <f t="shared" si="121"/>
        <v>0</v>
      </c>
      <c r="O606" s="235">
        <f t="shared" si="122"/>
        <v>0</v>
      </c>
      <c r="P606" s="235">
        <f t="shared" si="123"/>
        <v>0</v>
      </c>
      <c r="Q606" s="206">
        <f t="shared" si="124"/>
        <v>0</v>
      </c>
      <c r="R606" s="206">
        <f t="shared" si="125"/>
        <v>0</v>
      </c>
      <c r="S606" s="206">
        <f t="shared" si="126"/>
        <v>0</v>
      </c>
      <c r="T606" s="206">
        <f t="shared" si="127"/>
        <v>0</v>
      </c>
      <c r="U606" s="206">
        <f t="shared" si="127"/>
        <v>0</v>
      </c>
      <c r="V606" s="207" t="str">
        <f t="shared" si="128"/>
        <v/>
      </c>
    </row>
    <row r="607" spans="10:22" x14ac:dyDescent="0.3">
      <c r="J607" s="185" t="str">
        <f t="shared" si="117"/>
        <v/>
      </c>
      <c r="K607" s="185" t="str">
        <f t="shared" si="118"/>
        <v/>
      </c>
      <c r="L607" s="185" t="str">
        <f t="shared" si="119"/>
        <v/>
      </c>
      <c r="M607" s="76" t="str">
        <f t="shared" si="120"/>
        <v/>
      </c>
      <c r="N607" s="26">
        <f t="shared" si="121"/>
        <v>0</v>
      </c>
      <c r="O607" s="235">
        <f t="shared" si="122"/>
        <v>0</v>
      </c>
      <c r="P607" s="235">
        <f t="shared" si="123"/>
        <v>0</v>
      </c>
      <c r="Q607" s="206">
        <f t="shared" si="124"/>
        <v>0</v>
      </c>
      <c r="R607" s="206">
        <f t="shared" si="125"/>
        <v>0</v>
      </c>
      <c r="S607" s="206">
        <f t="shared" si="126"/>
        <v>0</v>
      </c>
      <c r="T607" s="206">
        <f t="shared" si="127"/>
        <v>0</v>
      </c>
      <c r="U607" s="206">
        <f t="shared" si="127"/>
        <v>0</v>
      </c>
      <c r="V607" s="207" t="str">
        <f t="shared" si="128"/>
        <v/>
      </c>
    </row>
    <row r="608" spans="10:22" x14ac:dyDescent="0.3">
      <c r="J608" s="185" t="str">
        <f t="shared" si="117"/>
        <v/>
      </c>
      <c r="K608" s="185" t="str">
        <f t="shared" si="118"/>
        <v/>
      </c>
      <c r="L608" s="185" t="str">
        <f t="shared" si="119"/>
        <v/>
      </c>
      <c r="M608" s="76" t="str">
        <f t="shared" si="120"/>
        <v/>
      </c>
      <c r="N608" s="26">
        <f t="shared" si="121"/>
        <v>0</v>
      </c>
      <c r="O608" s="235">
        <f t="shared" si="122"/>
        <v>0</v>
      </c>
      <c r="P608" s="235">
        <f t="shared" si="123"/>
        <v>0</v>
      </c>
      <c r="Q608" s="206">
        <f t="shared" si="124"/>
        <v>0</v>
      </c>
      <c r="R608" s="206">
        <f t="shared" si="125"/>
        <v>0</v>
      </c>
      <c r="S608" s="206">
        <f t="shared" si="126"/>
        <v>0</v>
      </c>
      <c r="T608" s="206">
        <f t="shared" si="127"/>
        <v>0</v>
      </c>
      <c r="U608" s="206">
        <f t="shared" si="127"/>
        <v>0</v>
      </c>
      <c r="V608" s="207" t="str">
        <f t="shared" si="128"/>
        <v/>
      </c>
    </row>
    <row r="609" spans="10:22" x14ac:dyDescent="0.3">
      <c r="J609" s="185" t="str">
        <f t="shared" si="117"/>
        <v/>
      </c>
      <c r="K609" s="185" t="str">
        <f t="shared" si="118"/>
        <v/>
      </c>
      <c r="L609" s="185" t="str">
        <f t="shared" si="119"/>
        <v/>
      </c>
      <c r="M609" s="76" t="str">
        <f t="shared" si="120"/>
        <v/>
      </c>
      <c r="N609" s="26">
        <f t="shared" si="121"/>
        <v>0</v>
      </c>
      <c r="O609" s="235">
        <f t="shared" si="122"/>
        <v>0</v>
      </c>
      <c r="P609" s="235">
        <f t="shared" si="123"/>
        <v>0</v>
      </c>
      <c r="Q609" s="206">
        <f t="shared" si="124"/>
        <v>0</v>
      </c>
      <c r="R609" s="206">
        <f t="shared" si="125"/>
        <v>0</v>
      </c>
      <c r="S609" s="206">
        <f t="shared" si="126"/>
        <v>0</v>
      </c>
      <c r="T609" s="206">
        <f t="shared" si="127"/>
        <v>0</v>
      </c>
      <c r="U609" s="206">
        <f t="shared" si="127"/>
        <v>0</v>
      </c>
      <c r="V609" s="207" t="str">
        <f t="shared" si="128"/>
        <v/>
      </c>
    </row>
    <row r="610" spans="10:22" x14ac:dyDescent="0.3">
      <c r="J610" s="185" t="str">
        <f t="shared" si="117"/>
        <v/>
      </c>
      <c r="K610" s="185" t="str">
        <f t="shared" si="118"/>
        <v/>
      </c>
      <c r="L610" s="185" t="str">
        <f t="shared" si="119"/>
        <v/>
      </c>
      <c r="M610" s="76" t="str">
        <f t="shared" si="120"/>
        <v/>
      </c>
      <c r="N610" s="26">
        <f t="shared" si="121"/>
        <v>0</v>
      </c>
      <c r="O610" s="235">
        <f t="shared" si="122"/>
        <v>0</v>
      </c>
      <c r="P610" s="235">
        <f t="shared" si="123"/>
        <v>0</v>
      </c>
      <c r="Q610" s="206">
        <f t="shared" si="124"/>
        <v>0</v>
      </c>
      <c r="R610" s="206">
        <f t="shared" si="125"/>
        <v>0</v>
      </c>
      <c r="S610" s="206">
        <f t="shared" si="126"/>
        <v>0</v>
      </c>
      <c r="T610" s="206">
        <f t="shared" si="127"/>
        <v>0</v>
      </c>
      <c r="U610" s="206">
        <f t="shared" si="127"/>
        <v>0</v>
      </c>
      <c r="V610" s="207" t="str">
        <f t="shared" si="128"/>
        <v/>
      </c>
    </row>
    <row r="611" spans="10:22" x14ac:dyDescent="0.3">
      <c r="J611" s="185" t="str">
        <f t="shared" si="117"/>
        <v/>
      </c>
      <c r="K611" s="185" t="str">
        <f t="shared" si="118"/>
        <v/>
      </c>
      <c r="L611" s="185" t="str">
        <f t="shared" si="119"/>
        <v/>
      </c>
      <c r="M611" s="76" t="str">
        <f t="shared" si="120"/>
        <v/>
      </c>
      <c r="N611" s="26">
        <f t="shared" si="121"/>
        <v>0</v>
      </c>
      <c r="O611" s="235">
        <f t="shared" si="122"/>
        <v>0</v>
      </c>
      <c r="P611" s="235">
        <f t="shared" si="123"/>
        <v>0</v>
      </c>
      <c r="Q611" s="206">
        <f t="shared" si="124"/>
        <v>0</v>
      </c>
      <c r="R611" s="206">
        <f t="shared" si="125"/>
        <v>0</v>
      </c>
      <c r="S611" s="206">
        <f t="shared" si="126"/>
        <v>0</v>
      </c>
      <c r="T611" s="206">
        <f t="shared" si="127"/>
        <v>0</v>
      </c>
      <c r="U611" s="206">
        <f t="shared" si="127"/>
        <v>0</v>
      </c>
      <c r="V611" s="207" t="str">
        <f t="shared" si="128"/>
        <v/>
      </c>
    </row>
    <row r="612" spans="10:22" x14ac:dyDescent="0.3">
      <c r="J612" s="185" t="str">
        <f t="shared" si="117"/>
        <v/>
      </c>
      <c r="K612" s="185" t="str">
        <f t="shared" si="118"/>
        <v/>
      </c>
      <c r="L612" s="185" t="str">
        <f t="shared" si="119"/>
        <v/>
      </c>
      <c r="M612" s="76" t="str">
        <f t="shared" si="120"/>
        <v/>
      </c>
      <c r="N612" s="26">
        <f t="shared" si="121"/>
        <v>0</v>
      </c>
      <c r="O612" s="235">
        <f t="shared" si="122"/>
        <v>0</v>
      </c>
      <c r="P612" s="235">
        <f t="shared" si="123"/>
        <v>0</v>
      </c>
      <c r="Q612" s="206">
        <f t="shared" si="124"/>
        <v>0</v>
      </c>
      <c r="R612" s="206">
        <f t="shared" si="125"/>
        <v>0</v>
      </c>
      <c r="S612" s="206">
        <f t="shared" si="126"/>
        <v>0</v>
      </c>
      <c r="T612" s="206">
        <f t="shared" si="127"/>
        <v>0</v>
      </c>
      <c r="U612" s="206">
        <f t="shared" si="127"/>
        <v>0</v>
      </c>
      <c r="V612" s="207" t="str">
        <f t="shared" si="128"/>
        <v/>
      </c>
    </row>
    <row r="613" spans="10:22" x14ac:dyDescent="0.3">
      <c r="J613" s="185" t="str">
        <f t="shared" si="117"/>
        <v/>
      </c>
      <c r="K613" s="185" t="str">
        <f t="shared" si="118"/>
        <v/>
      </c>
      <c r="L613" s="185" t="str">
        <f t="shared" si="119"/>
        <v/>
      </c>
      <c r="M613" s="76" t="str">
        <f t="shared" si="120"/>
        <v/>
      </c>
      <c r="N613" s="26">
        <f t="shared" si="121"/>
        <v>0</v>
      </c>
      <c r="O613" s="235">
        <f t="shared" si="122"/>
        <v>0</v>
      </c>
      <c r="P613" s="235">
        <f t="shared" si="123"/>
        <v>0</v>
      </c>
      <c r="Q613" s="206">
        <f t="shared" si="124"/>
        <v>0</v>
      </c>
      <c r="R613" s="206">
        <f t="shared" si="125"/>
        <v>0</v>
      </c>
      <c r="S613" s="206">
        <f t="shared" si="126"/>
        <v>0</v>
      </c>
      <c r="T613" s="206">
        <f t="shared" si="127"/>
        <v>0</v>
      </c>
      <c r="U613" s="206">
        <f t="shared" si="127"/>
        <v>0</v>
      </c>
      <c r="V613" s="207" t="str">
        <f t="shared" si="128"/>
        <v/>
      </c>
    </row>
    <row r="614" spans="10:22" x14ac:dyDescent="0.3">
      <c r="J614" s="185" t="str">
        <f t="shared" si="117"/>
        <v/>
      </c>
      <c r="K614" s="185" t="str">
        <f t="shared" si="118"/>
        <v/>
      </c>
      <c r="L614" s="185" t="str">
        <f t="shared" si="119"/>
        <v/>
      </c>
      <c r="M614" s="76" t="str">
        <f t="shared" si="120"/>
        <v/>
      </c>
      <c r="N614" s="26">
        <f t="shared" si="121"/>
        <v>0</v>
      </c>
      <c r="O614" s="235">
        <f t="shared" si="122"/>
        <v>0</v>
      </c>
      <c r="P614" s="235">
        <f t="shared" si="123"/>
        <v>0</v>
      </c>
      <c r="Q614" s="206">
        <f t="shared" si="124"/>
        <v>0</v>
      </c>
      <c r="R614" s="206">
        <f t="shared" si="125"/>
        <v>0</v>
      </c>
      <c r="S614" s="206">
        <f t="shared" si="126"/>
        <v>0</v>
      </c>
      <c r="T614" s="206">
        <f t="shared" si="127"/>
        <v>0</v>
      </c>
      <c r="U614" s="206">
        <f t="shared" si="127"/>
        <v>0</v>
      </c>
      <c r="V614" s="207" t="str">
        <f t="shared" si="128"/>
        <v/>
      </c>
    </row>
    <row r="615" spans="10:22" x14ac:dyDescent="0.3">
      <c r="J615" s="185" t="str">
        <f t="shared" si="117"/>
        <v/>
      </c>
      <c r="K615" s="185" t="str">
        <f t="shared" si="118"/>
        <v/>
      </c>
      <c r="L615" s="185" t="str">
        <f t="shared" si="119"/>
        <v/>
      </c>
      <c r="M615" s="76" t="str">
        <f t="shared" si="120"/>
        <v/>
      </c>
      <c r="N615" s="26">
        <f t="shared" si="121"/>
        <v>0</v>
      </c>
      <c r="O615" s="235">
        <f t="shared" si="122"/>
        <v>0</v>
      </c>
      <c r="P615" s="235">
        <f t="shared" si="123"/>
        <v>0</v>
      </c>
      <c r="Q615" s="206">
        <f t="shared" si="124"/>
        <v>0</v>
      </c>
      <c r="R615" s="206">
        <f t="shared" si="125"/>
        <v>0</v>
      </c>
      <c r="S615" s="206">
        <f t="shared" si="126"/>
        <v>0</v>
      </c>
      <c r="T615" s="206">
        <f t="shared" si="127"/>
        <v>0</v>
      </c>
      <c r="U615" s="206">
        <f t="shared" si="127"/>
        <v>0</v>
      </c>
      <c r="V615" s="207" t="str">
        <f t="shared" si="128"/>
        <v/>
      </c>
    </row>
    <row r="616" spans="10:22" x14ac:dyDescent="0.3">
      <c r="J616" s="185" t="str">
        <f t="shared" si="117"/>
        <v/>
      </c>
      <c r="K616" s="185" t="str">
        <f t="shared" si="118"/>
        <v/>
      </c>
      <c r="L616" s="185" t="str">
        <f t="shared" si="119"/>
        <v/>
      </c>
      <c r="M616" s="76" t="str">
        <f t="shared" si="120"/>
        <v/>
      </c>
      <c r="N616" s="26">
        <f t="shared" si="121"/>
        <v>0</v>
      </c>
      <c r="O616" s="235">
        <f t="shared" si="122"/>
        <v>0</v>
      </c>
      <c r="P616" s="235">
        <f t="shared" si="123"/>
        <v>0</v>
      </c>
      <c r="Q616" s="206">
        <f t="shared" si="124"/>
        <v>0</v>
      </c>
      <c r="R616" s="206">
        <f t="shared" si="125"/>
        <v>0</v>
      </c>
      <c r="S616" s="206">
        <f t="shared" si="126"/>
        <v>0</v>
      </c>
      <c r="T616" s="206">
        <f t="shared" si="127"/>
        <v>0</v>
      </c>
      <c r="U616" s="206">
        <f t="shared" si="127"/>
        <v>0</v>
      </c>
      <c r="V616" s="207" t="str">
        <f t="shared" si="128"/>
        <v/>
      </c>
    </row>
    <row r="617" spans="10:22" x14ac:dyDescent="0.3">
      <c r="J617" s="185" t="str">
        <f t="shared" si="117"/>
        <v/>
      </c>
      <c r="K617" s="185" t="str">
        <f t="shared" si="118"/>
        <v/>
      </c>
      <c r="L617" s="185" t="str">
        <f t="shared" si="119"/>
        <v/>
      </c>
      <c r="M617" s="76" t="str">
        <f t="shared" si="120"/>
        <v/>
      </c>
      <c r="N617" s="26">
        <f t="shared" si="121"/>
        <v>0</v>
      </c>
      <c r="O617" s="235">
        <f t="shared" si="122"/>
        <v>0</v>
      </c>
      <c r="P617" s="235">
        <f t="shared" si="123"/>
        <v>0</v>
      </c>
      <c r="Q617" s="206">
        <f t="shared" si="124"/>
        <v>0</v>
      </c>
      <c r="R617" s="206">
        <f t="shared" si="125"/>
        <v>0</v>
      </c>
      <c r="S617" s="206">
        <f t="shared" si="126"/>
        <v>0</v>
      </c>
      <c r="T617" s="206">
        <f t="shared" si="127"/>
        <v>0</v>
      </c>
      <c r="U617" s="206">
        <f t="shared" si="127"/>
        <v>0</v>
      </c>
      <c r="V617" s="207" t="str">
        <f t="shared" si="128"/>
        <v/>
      </c>
    </row>
    <row r="618" spans="10:22" x14ac:dyDescent="0.3">
      <c r="J618" s="185" t="str">
        <f t="shared" si="117"/>
        <v/>
      </c>
      <c r="K618" s="185" t="str">
        <f t="shared" si="118"/>
        <v/>
      </c>
      <c r="L618" s="185" t="str">
        <f t="shared" si="119"/>
        <v/>
      </c>
      <c r="M618" s="76" t="str">
        <f t="shared" si="120"/>
        <v/>
      </c>
      <c r="N618" s="26">
        <f t="shared" si="121"/>
        <v>0</v>
      </c>
      <c r="O618" s="235">
        <f t="shared" si="122"/>
        <v>0</v>
      </c>
      <c r="P618" s="235">
        <f t="shared" si="123"/>
        <v>0</v>
      </c>
      <c r="Q618" s="206">
        <f t="shared" si="124"/>
        <v>0</v>
      </c>
      <c r="R618" s="206">
        <f t="shared" si="125"/>
        <v>0</v>
      </c>
      <c r="S618" s="206">
        <f t="shared" si="126"/>
        <v>0</v>
      </c>
      <c r="T618" s="206">
        <f t="shared" si="127"/>
        <v>0</v>
      </c>
      <c r="U618" s="206">
        <f t="shared" si="127"/>
        <v>0</v>
      </c>
      <c r="V618" s="207" t="str">
        <f t="shared" si="128"/>
        <v/>
      </c>
    </row>
    <row r="619" spans="10:22" x14ac:dyDescent="0.3">
      <c r="J619" s="185" t="str">
        <f t="shared" si="117"/>
        <v/>
      </c>
      <c r="K619" s="185" t="str">
        <f t="shared" si="118"/>
        <v/>
      </c>
      <c r="L619" s="185" t="str">
        <f t="shared" si="119"/>
        <v/>
      </c>
      <c r="M619" s="76" t="str">
        <f t="shared" si="120"/>
        <v/>
      </c>
      <c r="N619" s="26">
        <f t="shared" si="121"/>
        <v>0</v>
      </c>
      <c r="O619" s="235">
        <f t="shared" si="122"/>
        <v>0</v>
      </c>
      <c r="P619" s="235">
        <f t="shared" si="123"/>
        <v>0</v>
      </c>
      <c r="Q619" s="206">
        <f t="shared" si="124"/>
        <v>0</v>
      </c>
      <c r="R619" s="206">
        <f t="shared" si="125"/>
        <v>0</v>
      </c>
      <c r="S619" s="206">
        <f t="shared" si="126"/>
        <v>0</v>
      </c>
      <c r="T619" s="206">
        <f t="shared" si="127"/>
        <v>0</v>
      </c>
      <c r="U619" s="206">
        <f t="shared" si="127"/>
        <v>0</v>
      </c>
      <c r="V619" s="207" t="str">
        <f t="shared" si="128"/>
        <v/>
      </c>
    </row>
    <row r="620" spans="10:22" x14ac:dyDescent="0.3">
      <c r="J620" s="185" t="str">
        <f t="shared" si="117"/>
        <v/>
      </c>
      <c r="K620" s="185" t="str">
        <f t="shared" si="118"/>
        <v/>
      </c>
      <c r="L620" s="185" t="str">
        <f t="shared" si="119"/>
        <v/>
      </c>
      <c r="M620" s="76" t="str">
        <f t="shared" si="120"/>
        <v/>
      </c>
      <c r="N620" s="26">
        <f t="shared" si="121"/>
        <v>0</v>
      </c>
      <c r="O620" s="235">
        <f t="shared" si="122"/>
        <v>0</v>
      </c>
      <c r="P620" s="235">
        <f t="shared" si="123"/>
        <v>0</v>
      </c>
      <c r="Q620" s="206">
        <f t="shared" si="124"/>
        <v>0</v>
      </c>
      <c r="R620" s="206">
        <f t="shared" si="125"/>
        <v>0</v>
      </c>
      <c r="S620" s="206">
        <f t="shared" si="126"/>
        <v>0</v>
      </c>
      <c r="T620" s="206">
        <f t="shared" si="127"/>
        <v>0</v>
      </c>
      <c r="U620" s="206">
        <f t="shared" si="127"/>
        <v>0</v>
      </c>
      <c r="V620" s="207" t="str">
        <f t="shared" si="128"/>
        <v/>
      </c>
    </row>
    <row r="621" spans="10:22" x14ac:dyDescent="0.3">
      <c r="J621" s="185" t="str">
        <f t="shared" ref="J621:J684" si="129">IFERROR(IF(FIND("Liste des vols",A621),LEN(A621),""),"")</f>
        <v/>
      </c>
      <c r="K621" s="185" t="str">
        <f t="shared" ref="K621:K684" si="130">IF(J621="","",LEFT(A621,3))</f>
        <v/>
      </c>
      <c r="L621" s="185" t="str">
        <f t="shared" ref="L621:L684" si="131">IF(K621&lt;&gt;"",MID(A621,7,3),"")</f>
        <v/>
      </c>
      <c r="M621" s="76" t="str">
        <f t="shared" ref="M621:M684" si="132">IF(K621&lt;&gt;"",CONCATENATE(K621,"/",L621),"")</f>
        <v/>
      </c>
      <c r="N621" s="26">
        <f t="shared" ref="N621:N684" si="133">IF(J621=29,VALUE(LEFT(F621,LEN(F621)-2)),0)</f>
        <v>0</v>
      </c>
      <c r="O621" s="235">
        <f t="shared" ref="O621:O684" si="134">IF(J621=29,-VALUE(G621),0)</f>
        <v>0</v>
      </c>
      <c r="P621" s="235">
        <f t="shared" ref="P621:P684" si="135">IF(J621=29,VALUE(LEFT(H621,LEN(H621)-2)),0)</f>
        <v>0</v>
      </c>
      <c r="Q621" s="206">
        <f t="shared" ref="Q621:Q684" si="136">IFERROR(VALUE(LEFT(RIGHT(A621,LEN(A621)-11),LEN(A621)-28)),0)</f>
        <v>0</v>
      </c>
      <c r="R621" s="206">
        <f t="shared" si="125"/>
        <v>0</v>
      </c>
      <c r="S621" s="206">
        <f t="shared" si="126"/>
        <v>0</v>
      </c>
      <c r="T621" s="206">
        <f t="shared" si="127"/>
        <v>0</v>
      </c>
      <c r="U621" s="206">
        <f t="shared" si="127"/>
        <v>0</v>
      </c>
      <c r="V621" s="207" t="str">
        <f t="shared" si="128"/>
        <v/>
      </c>
    </row>
    <row r="622" spans="10:22" x14ac:dyDescent="0.3">
      <c r="J622" s="185" t="str">
        <f t="shared" si="129"/>
        <v/>
      </c>
      <c r="K622" s="185" t="str">
        <f t="shared" si="130"/>
        <v/>
      </c>
      <c r="L622" s="185" t="str">
        <f t="shared" si="131"/>
        <v/>
      </c>
      <c r="M622" s="76" t="str">
        <f t="shared" si="132"/>
        <v/>
      </c>
      <c r="N622" s="26">
        <f t="shared" si="133"/>
        <v>0</v>
      </c>
      <c r="O622" s="235">
        <f t="shared" si="134"/>
        <v>0</v>
      </c>
      <c r="P622" s="235">
        <f t="shared" si="135"/>
        <v>0</v>
      </c>
      <c r="Q622" s="206">
        <f t="shared" si="136"/>
        <v>0</v>
      </c>
      <c r="R622" s="206">
        <f t="shared" si="125"/>
        <v>0</v>
      </c>
      <c r="S622" s="206">
        <f t="shared" si="126"/>
        <v>0</v>
      </c>
      <c r="T622" s="206">
        <f t="shared" si="127"/>
        <v>0</v>
      </c>
      <c r="U622" s="206">
        <f t="shared" si="127"/>
        <v>0</v>
      </c>
      <c r="V622" s="207" t="str">
        <f t="shared" si="128"/>
        <v/>
      </c>
    </row>
    <row r="623" spans="10:22" x14ac:dyDescent="0.3">
      <c r="J623" s="185" t="str">
        <f t="shared" si="129"/>
        <v/>
      </c>
      <c r="K623" s="185" t="str">
        <f t="shared" si="130"/>
        <v/>
      </c>
      <c r="L623" s="185" t="str">
        <f t="shared" si="131"/>
        <v/>
      </c>
      <c r="M623" s="76" t="str">
        <f t="shared" si="132"/>
        <v/>
      </c>
      <c r="N623" s="26">
        <f t="shared" si="133"/>
        <v>0</v>
      </c>
      <c r="O623" s="235">
        <f t="shared" si="134"/>
        <v>0</v>
      </c>
      <c r="P623" s="235">
        <f t="shared" si="135"/>
        <v>0</v>
      </c>
      <c r="Q623" s="206">
        <f t="shared" si="136"/>
        <v>0</v>
      </c>
      <c r="R623" s="206">
        <f t="shared" si="125"/>
        <v>0</v>
      </c>
      <c r="S623" s="206">
        <f t="shared" si="126"/>
        <v>0</v>
      </c>
      <c r="T623" s="206">
        <f t="shared" si="127"/>
        <v>0</v>
      </c>
      <c r="U623" s="206">
        <f t="shared" si="127"/>
        <v>0</v>
      </c>
      <c r="V623" s="207" t="str">
        <f t="shared" si="128"/>
        <v/>
      </c>
    </row>
    <row r="624" spans="10:22" x14ac:dyDescent="0.3">
      <c r="J624" s="185" t="str">
        <f t="shared" si="129"/>
        <v/>
      </c>
      <c r="K624" s="185" t="str">
        <f t="shared" si="130"/>
        <v/>
      </c>
      <c r="L624" s="185" t="str">
        <f t="shared" si="131"/>
        <v/>
      </c>
      <c r="M624" s="76" t="str">
        <f t="shared" si="132"/>
        <v/>
      </c>
      <c r="N624" s="26">
        <f t="shared" si="133"/>
        <v>0</v>
      </c>
      <c r="O624" s="235">
        <f t="shared" si="134"/>
        <v>0</v>
      </c>
      <c r="P624" s="235">
        <f t="shared" si="135"/>
        <v>0</v>
      </c>
      <c r="Q624" s="206">
        <f t="shared" si="136"/>
        <v>0</v>
      </c>
      <c r="R624" s="206">
        <f t="shared" si="125"/>
        <v>0</v>
      </c>
      <c r="S624" s="206">
        <f t="shared" si="126"/>
        <v>0</v>
      </c>
      <c r="T624" s="206">
        <f t="shared" si="127"/>
        <v>0</v>
      </c>
      <c r="U624" s="206">
        <f t="shared" si="127"/>
        <v>0</v>
      </c>
      <c r="V624" s="207" t="str">
        <f t="shared" si="128"/>
        <v/>
      </c>
    </row>
    <row r="625" spans="10:22" x14ac:dyDescent="0.3">
      <c r="J625" s="185" t="str">
        <f t="shared" si="129"/>
        <v/>
      </c>
      <c r="K625" s="185" t="str">
        <f t="shared" si="130"/>
        <v/>
      </c>
      <c r="L625" s="185" t="str">
        <f t="shared" si="131"/>
        <v/>
      </c>
      <c r="M625" s="76" t="str">
        <f t="shared" si="132"/>
        <v/>
      </c>
      <c r="N625" s="26">
        <f t="shared" si="133"/>
        <v>0</v>
      </c>
      <c r="O625" s="235">
        <f t="shared" si="134"/>
        <v>0</v>
      </c>
      <c r="P625" s="235">
        <f t="shared" si="135"/>
        <v>0</v>
      </c>
      <c r="Q625" s="206">
        <f t="shared" si="136"/>
        <v>0</v>
      </c>
      <c r="R625" s="206">
        <f t="shared" si="125"/>
        <v>0</v>
      </c>
      <c r="S625" s="206">
        <f t="shared" si="126"/>
        <v>0</v>
      </c>
      <c r="T625" s="206">
        <f t="shared" si="127"/>
        <v>0</v>
      </c>
      <c r="U625" s="206">
        <f t="shared" si="127"/>
        <v>0</v>
      </c>
      <c r="V625" s="207" t="str">
        <f t="shared" si="128"/>
        <v/>
      </c>
    </row>
    <row r="626" spans="10:22" x14ac:dyDescent="0.3">
      <c r="J626" s="185" t="str">
        <f t="shared" si="129"/>
        <v/>
      </c>
      <c r="K626" s="185" t="str">
        <f t="shared" si="130"/>
        <v/>
      </c>
      <c r="L626" s="185" t="str">
        <f t="shared" si="131"/>
        <v/>
      </c>
      <c r="M626" s="76" t="str">
        <f t="shared" si="132"/>
        <v/>
      </c>
      <c r="N626" s="26">
        <f t="shared" si="133"/>
        <v>0</v>
      </c>
      <c r="O626" s="235">
        <f t="shared" si="134"/>
        <v>0</v>
      </c>
      <c r="P626" s="235">
        <f t="shared" si="135"/>
        <v>0</v>
      </c>
      <c r="Q626" s="206">
        <f t="shared" si="136"/>
        <v>0</v>
      </c>
      <c r="R626" s="206">
        <f t="shared" si="125"/>
        <v>0</v>
      </c>
      <c r="S626" s="206">
        <f t="shared" si="126"/>
        <v>0</v>
      </c>
      <c r="T626" s="206">
        <f t="shared" si="127"/>
        <v>0</v>
      </c>
      <c r="U626" s="206">
        <f t="shared" si="127"/>
        <v>0</v>
      </c>
      <c r="V626" s="207" t="str">
        <f t="shared" si="128"/>
        <v/>
      </c>
    </row>
    <row r="627" spans="10:22" x14ac:dyDescent="0.3">
      <c r="J627" s="185" t="str">
        <f t="shared" si="129"/>
        <v/>
      </c>
      <c r="K627" s="185" t="str">
        <f t="shared" si="130"/>
        <v/>
      </c>
      <c r="L627" s="185" t="str">
        <f t="shared" si="131"/>
        <v/>
      </c>
      <c r="M627" s="76" t="str">
        <f t="shared" si="132"/>
        <v/>
      </c>
      <c r="N627" s="26">
        <f t="shared" si="133"/>
        <v>0</v>
      </c>
      <c r="O627" s="235">
        <f t="shared" si="134"/>
        <v>0</v>
      </c>
      <c r="P627" s="235">
        <f t="shared" si="135"/>
        <v>0</v>
      </c>
      <c r="Q627" s="206">
        <f t="shared" si="136"/>
        <v>0</v>
      </c>
      <c r="R627" s="206">
        <f t="shared" si="125"/>
        <v>0</v>
      </c>
      <c r="S627" s="206">
        <f t="shared" si="126"/>
        <v>0</v>
      </c>
      <c r="T627" s="206">
        <f t="shared" si="127"/>
        <v>0</v>
      </c>
      <c r="U627" s="206">
        <f t="shared" si="127"/>
        <v>0</v>
      </c>
      <c r="V627" s="207" t="str">
        <f t="shared" si="128"/>
        <v/>
      </c>
    </row>
    <row r="628" spans="10:22" x14ac:dyDescent="0.3">
      <c r="J628" s="185" t="str">
        <f t="shared" si="129"/>
        <v/>
      </c>
      <c r="K628" s="185" t="str">
        <f t="shared" si="130"/>
        <v/>
      </c>
      <c r="L628" s="185" t="str">
        <f t="shared" si="131"/>
        <v/>
      </c>
      <c r="M628" s="76" t="str">
        <f t="shared" si="132"/>
        <v/>
      </c>
      <c r="N628" s="26">
        <f t="shared" si="133"/>
        <v>0</v>
      </c>
      <c r="O628" s="235">
        <f t="shared" si="134"/>
        <v>0</v>
      </c>
      <c r="P628" s="235">
        <f t="shared" si="135"/>
        <v>0</v>
      </c>
      <c r="Q628" s="206">
        <f t="shared" si="136"/>
        <v>0</v>
      </c>
      <c r="R628" s="206">
        <f t="shared" si="125"/>
        <v>0</v>
      </c>
      <c r="S628" s="206">
        <f t="shared" si="126"/>
        <v>0</v>
      </c>
      <c r="T628" s="206">
        <f t="shared" si="127"/>
        <v>0</v>
      </c>
      <c r="U628" s="206">
        <f t="shared" si="127"/>
        <v>0</v>
      </c>
      <c r="V628" s="207" t="str">
        <f t="shared" si="128"/>
        <v/>
      </c>
    </row>
    <row r="629" spans="10:22" x14ac:dyDescent="0.3">
      <c r="J629" s="185" t="str">
        <f t="shared" si="129"/>
        <v/>
      </c>
      <c r="K629" s="185" t="str">
        <f t="shared" si="130"/>
        <v/>
      </c>
      <c r="L629" s="185" t="str">
        <f t="shared" si="131"/>
        <v/>
      </c>
      <c r="M629" s="76" t="str">
        <f t="shared" si="132"/>
        <v/>
      </c>
      <c r="N629" s="26">
        <f t="shared" si="133"/>
        <v>0</v>
      </c>
      <c r="O629" s="235">
        <f t="shared" si="134"/>
        <v>0</v>
      </c>
      <c r="P629" s="235">
        <f t="shared" si="135"/>
        <v>0</v>
      </c>
      <c r="Q629" s="206">
        <f t="shared" si="136"/>
        <v>0</v>
      </c>
      <c r="R629" s="206">
        <f t="shared" si="125"/>
        <v>0</v>
      </c>
      <c r="S629" s="206">
        <f t="shared" si="126"/>
        <v>0</v>
      </c>
      <c r="T629" s="206">
        <f t="shared" si="127"/>
        <v>0</v>
      </c>
      <c r="U629" s="206">
        <f t="shared" si="127"/>
        <v>0</v>
      </c>
      <c r="V629" s="207" t="str">
        <f t="shared" si="128"/>
        <v/>
      </c>
    </row>
    <row r="630" spans="10:22" x14ac:dyDescent="0.3">
      <c r="J630" s="185" t="str">
        <f t="shared" si="129"/>
        <v/>
      </c>
      <c r="K630" s="185" t="str">
        <f t="shared" si="130"/>
        <v/>
      </c>
      <c r="L630" s="185" t="str">
        <f t="shared" si="131"/>
        <v/>
      </c>
      <c r="M630" s="76" t="str">
        <f t="shared" si="132"/>
        <v/>
      </c>
      <c r="N630" s="26">
        <f t="shared" si="133"/>
        <v>0</v>
      </c>
      <c r="O630" s="235">
        <f t="shared" si="134"/>
        <v>0</v>
      </c>
      <c r="P630" s="235">
        <f t="shared" si="135"/>
        <v>0</v>
      </c>
      <c r="Q630" s="206">
        <f t="shared" si="136"/>
        <v>0</v>
      </c>
      <c r="R630" s="206">
        <f t="shared" si="125"/>
        <v>0</v>
      </c>
      <c r="S630" s="206">
        <f t="shared" si="126"/>
        <v>0</v>
      </c>
      <c r="T630" s="206">
        <f t="shared" si="127"/>
        <v>0</v>
      </c>
      <c r="U630" s="206">
        <f t="shared" si="127"/>
        <v>0</v>
      </c>
      <c r="V630" s="207" t="str">
        <f t="shared" si="128"/>
        <v/>
      </c>
    </row>
    <row r="631" spans="10:22" x14ac:dyDescent="0.3">
      <c r="J631" s="185" t="str">
        <f t="shared" si="129"/>
        <v/>
      </c>
      <c r="K631" s="185" t="str">
        <f t="shared" si="130"/>
        <v/>
      </c>
      <c r="L631" s="185" t="str">
        <f t="shared" si="131"/>
        <v/>
      </c>
      <c r="M631" s="76" t="str">
        <f t="shared" si="132"/>
        <v/>
      </c>
      <c r="N631" s="26">
        <f t="shared" si="133"/>
        <v>0</v>
      </c>
      <c r="O631" s="235">
        <f t="shared" si="134"/>
        <v>0</v>
      </c>
      <c r="P631" s="235">
        <f t="shared" si="135"/>
        <v>0</v>
      </c>
      <c r="Q631" s="206">
        <f t="shared" si="136"/>
        <v>0</v>
      </c>
      <c r="R631" s="206">
        <f t="shared" si="125"/>
        <v>0</v>
      </c>
      <c r="S631" s="206">
        <f t="shared" si="126"/>
        <v>0</v>
      </c>
      <c r="T631" s="206">
        <f t="shared" si="127"/>
        <v>0</v>
      </c>
      <c r="U631" s="206">
        <f t="shared" si="127"/>
        <v>0</v>
      </c>
      <c r="V631" s="207" t="str">
        <f t="shared" si="128"/>
        <v/>
      </c>
    </row>
    <row r="632" spans="10:22" x14ac:dyDescent="0.3">
      <c r="J632" s="185" t="str">
        <f t="shared" si="129"/>
        <v/>
      </c>
      <c r="K632" s="185" t="str">
        <f t="shared" si="130"/>
        <v/>
      </c>
      <c r="L632" s="185" t="str">
        <f t="shared" si="131"/>
        <v/>
      </c>
      <c r="M632" s="76" t="str">
        <f t="shared" si="132"/>
        <v/>
      </c>
      <c r="N632" s="26">
        <f t="shared" si="133"/>
        <v>0</v>
      </c>
      <c r="O632" s="235">
        <f t="shared" si="134"/>
        <v>0</v>
      </c>
      <c r="P632" s="235">
        <f t="shared" si="135"/>
        <v>0</v>
      </c>
      <c r="Q632" s="206">
        <f t="shared" si="136"/>
        <v>0</v>
      </c>
      <c r="R632" s="206">
        <f t="shared" si="125"/>
        <v>0</v>
      </c>
      <c r="S632" s="206">
        <f t="shared" si="126"/>
        <v>0</v>
      </c>
      <c r="T632" s="206">
        <f t="shared" si="127"/>
        <v>0</v>
      </c>
      <c r="U632" s="206">
        <f t="shared" si="127"/>
        <v>0</v>
      </c>
      <c r="V632" s="207" t="str">
        <f t="shared" si="128"/>
        <v/>
      </c>
    </row>
    <row r="633" spans="10:22" x14ac:dyDescent="0.3">
      <c r="J633" s="185" t="str">
        <f t="shared" si="129"/>
        <v/>
      </c>
      <c r="K633" s="185" t="str">
        <f t="shared" si="130"/>
        <v/>
      </c>
      <c r="L633" s="185" t="str">
        <f t="shared" si="131"/>
        <v/>
      </c>
      <c r="M633" s="76" t="str">
        <f t="shared" si="132"/>
        <v/>
      </c>
      <c r="N633" s="26">
        <f t="shared" si="133"/>
        <v>0</v>
      </c>
      <c r="O633" s="235">
        <f t="shared" si="134"/>
        <v>0</v>
      </c>
      <c r="P633" s="235">
        <f t="shared" si="135"/>
        <v>0</v>
      </c>
      <c r="Q633" s="206">
        <f t="shared" si="136"/>
        <v>0</v>
      </c>
      <c r="R633" s="206">
        <f t="shared" si="125"/>
        <v>0</v>
      </c>
      <c r="S633" s="206">
        <f t="shared" si="126"/>
        <v>0</v>
      </c>
      <c r="T633" s="206">
        <f t="shared" si="127"/>
        <v>0</v>
      </c>
      <c r="U633" s="206">
        <f t="shared" si="127"/>
        <v>0</v>
      </c>
      <c r="V633" s="207" t="str">
        <f t="shared" si="128"/>
        <v/>
      </c>
    </row>
    <row r="634" spans="10:22" x14ac:dyDescent="0.3">
      <c r="J634" s="185" t="str">
        <f t="shared" si="129"/>
        <v/>
      </c>
      <c r="K634" s="185" t="str">
        <f t="shared" si="130"/>
        <v/>
      </c>
      <c r="L634" s="185" t="str">
        <f t="shared" si="131"/>
        <v/>
      </c>
      <c r="M634" s="76" t="str">
        <f t="shared" si="132"/>
        <v/>
      </c>
      <c r="N634" s="26">
        <f t="shared" si="133"/>
        <v>0</v>
      </c>
      <c r="O634" s="235">
        <f t="shared" si="134"/>
        <v>0</v>
      </c>
      <c r="P634" s="235">
        <f t="shared" si="135"/>
        <v>0</v>
      </c>
      <c r="Q634" s="206">
        <f t="shared" si="136"/>
        <v>0</v>
      </c>
      <c r="R634" s="206">
        <f t="shared" si="125"/>
        <v>0</v>
      </c>
      <c r="S634" s="206">
        <f t="shared" si="126"/>
        <v>0</v>
      </c>
      <c r="T634" s="206">
        <f t="shared" si="127"/>
        <v>0</v>
      </c>
      <c r="U634" s="206">
        <f t="shared" si="127"/>
        <v>0</v>
      </c>
      <c r="V634" s="207" t="str">
        <f t="shared" si="128"/>
        <v/>
      </c>
    </row>
    <row r="635" spans="10:22" x14ac:dyDescent="0.3">
      <c r="J635" s="185" t="str">
        <f t="shared" si="129"/>
        <v/>
      </c>
      <c r="K635" s="185" t="str">
        <f t="shared" si="130"/>
        <v/>
      </c>
      <c r="L635" s="185" t="str">
        <f t="shared" si="131"/>
        <v/>
      </c>
      <c r="M635" s="76" t="str">
        <f t="shared" si="132"/>
        <v/>
      </c>
      <c r="N635" s="26">
        <f t="shared" si="133"/>
        <v>0</v>
      </c>
      <c r="O635" s="235">
        <f t="shared" si="134"/>
        <v>0</v>
      </c>
      <c r="P635" s="235">
        <f t="shared" si="135"/>
        <v>0</v>
      </c>
      <c r="Q635" s="206">
        <f t="shared" si="136"/>
        <v>0</v>
      </c>
      <c r="R635" s="206">
        <f t="shared" si="125"/>
        <v>0</v>
      </c>
      <c r="S635" s="206">
        <f t="shared" si="126"/>
        <v>0</v>
      </c>
      <c r="T635" s="206">
        <f t="shared" si="127"/>
        <v>0</v>
      </c>
      <c r="U635" s="206">
        <f t="shared" si="127"/>
        <v>0</v>
      </c>
      <c r="V635" s="207" t="str">
        <f t="shared" si="128"/>
        <v/>
      </c>
    </row>
    <row r="636" spans="10:22" x14ac:dyDescent="0.3">
      <c r="J636" s="185" t="str">
        <f t="shared" si="129"/>
        <v/>
      </c>
      <c r="K636" s="185" t="str">
        <f t="shared" si="130"/>
        <v/>
      </c>
      <c r="L636" s="185" t="str">
        <f t="shared" si="131"/>
        <v/>
      </c>
      <c r="M636" s="76" t="str">
        <f t="shared" si="132"/>
        <v/>
      </c>
      <c r="N636" s="26">
        <f t="shared" si="133"/>
        <v>0</v>
      </c>
      <c r="O636" s="235">
        <f t="shared" si="134"/>
        <v>0</v>
      </c>
      <c r="P636" s="235">
        <f t="shared" si="135"/>
        <v>0</v>
      </c>
      <c r="Q636" s="206">
        <f t="shared" si="136"/>
        <v>0</v>
      </c>
      <c r="R636" s="206">
        <f t="shared" si="125"/>
        <v>0</v>
      </c>
      <c r="S636" s="206">
        <f t="shared" si="126"/>
        <v>0</v>
      </c>
      <c r="T636" s="206">
        <f t="shared" si="127"/>
        <v>0</v>
      </c>
      <c r="U636" s="206">
        <f t="shared" si="127"/>
        <v>0</v>
      </c>
      <c r="V636" s="207" t="str">
        <f t="shared" si="128"/>
        <v/>
      </c>
    </row>
    <row r="637" spans="10:22" x14ac:dyDescent="0.3">
      <c r="J637" s="185" t="str">
        <f t="shared" si="129"/>
        <v/>
      </c>
      <c r="K637" s="185" t="str">
        <f t="shared" si="130"/>
        <v/>
      </c>
      <c r="L637" s="185" t="str">
        <f t="shared" si="131"/>
        <v/>
      </c>
      <c r="M637" s="76" t="str">
        <f t="shared" si="132"/>
        <v/>
      </c>
      <c r="N637" s="26">
        <f t="shared" si="133"/>
        <v>0</v>
      </c>
      <c r="O637" s="235">
        <f t="shared" si="134"/>
        <v>0</v>
      </c>
      <c r="P637" s="235">
        <f t="shared" si="135"/>
        <v>0</v>
      </c>
      <c r="Q637" s="206">
        <f t="shared" si="136"/>
        <v>0</v>
      </c>
      <c r="R637" s="206">
        <f t="shared" si="125"/>
        <v>0</v>
      </c>
      <c r="S637" s="206">
        <f t="shared" si="126"/>
        <v>0</v>
      </c>
      <c r="T637" s="206">
        <f t="shared" si="127"/>
        <v>0</v>
      </c>
      <c r="U637" s="206">
        <f t="shared" si="127"/>
        <v>0</v>
      </c>
      <c r="V637" s="207" t="str">
        <f t="shared" si="128"/>
        <v/>
      </c>
    </row>
    <row r="638" spans="10:22" x14ac:dyDescent="0.3">
      <c r="J638" s="185" t="str">
        <f t="shared" si="129"/>
        <v/>
      </c>
      <c r="K638" s="185" t="str">
        <f t="shared" si="130"/>
        <v/>
      </c>
      <c r="L638" s="185" t="str">
        <f t="shared" si="131"/>
        <v/>
      </c>
      <c r="M638" s="76" t="str">
        <f t="shared" si="132"/>
        <v/>
      </c>
      <c r="N638" s="26">
        <f t="shared" si="133"/>
        <v>0</v>
      </c>
      <c r="O638" s="235">
        <f t="shared" si="134"/>
        <v>0</v>
      </c>
      <c r="P638" s="235">
        <f t="shared" si="135"/>
        <v>0</v>
      </c>
      <c r="Q638" s="206">
        <f t="shared" si="136"/>
        <v>0</v>
      </c>
      <c r="R638" s="206">
        <f t="shared" si="125"/>
        <v>0</v>
      </c>
      <c r="S638" s="206">
        <f t="shared" si="126"/>
        <v>0</v>
      </c>
      <c r="T638" s="206">
        <f t="shared" si="127"/>
        <v>0</v>
      </c>
      <c r="U638" s="206">
        <f t="shared" si="127"/>
        <v>0</v>
      </c>
      <c r="V638" s="207" t="str">
        <f t="shared" si="128"/>
        <v/>
      </c>
    </row>
    <row r="639" spans="10:22" x14ac:dyDescent="0.3">
      <c r="J639" s="185" t="str">
        <f t="shared" si="129"/>
        <v/>
      </c>
      <c r="K639" s="185" t="str">
        <f t="shared" si="130"/>
        <v/>
      </c>
      <c r="L639" s="185" t="str">
        <f t="shared" si="131"/>
        <v/>
      </c>
      <c r="M639" s="76" t="str">
        <f t="shared" si="132"/>
        <v/>
      </c>
      <c r="N639" s="26">
        <f t="shared" si="133"/>
        <v>0</v>
      </c>
      <c r="O639" s="235">
        <f t="shared" si="134"/>
        <v>0</v>
      </c>
      <c r="P639" s="235">
        <f t="shared" si="135"/>
        <v>0</v>
      </c>
      <c r="Q639" s="206">
        <f t="shared" si="136"/>
        <v>0</v>
      </c>
      <c r="R639" s="206">
        <f t="shared" si="125"/>
        <v>0</v>
      </c>
      <c r="S639" s="206">
        <f t="shared" si="126"/>
        <v>0</v>
      </c>
      <c r="T639" s="206">
        <f t="shared" si="127"/>
        <v>0</v>
      </c>
      <c r="U639" s="206">
        <f t="shared" si="127"/>
        <v>0</v>
      </c>
      <c r="V639" s="207" t="str">
        <f t="shared" si="128"/>
        <v/>
      </c>
    </row>
    <row r="640" spans="10:22" x14ac:dyDescent="0.3">
      <c r="J640" s="185" t="str">
        <f t="shared" si="129"/>
        <v/>
      </c>
      <c r="K640" s="185" t="str">
        <f t="shared" si="130"/>
        <v/>
      </c>
      <c r="L640" s="185" t="str">
        <f t="shared" si="131"/>
        <v/>
      </c>
      <c r="M640" s="76" t="str">
        <f t="shared" si="132"/>
        <v/>
      </c>
      <c r="N640" s="26">
        <f t="shared" si="133"/>
        <v>0</v>
      </c>
      <c r="O640" s="235">
        <f t="shared" si="134"/>
        <v>0</v>
      </c>
      <c r="P640" s="235">
        <f t="shared" si="135"/>
        <v>0</v>
      </c>
      <c r="Q640" s="206">
        <f t="shared" si="136"/>
        <v>0</v>
      </c>
      <c r="R640" s="206">
        <f t="shared" si="125"/>
        <v>0</v>
      </c>
      <c r="S640" s="206">
        <f t="shared" si="126"/>
        <v>0</v>
      </c>
      <c r="T640" s="206">
        <f t="shared" si="127"/>
        <v>0</v>
      </c>
      <c r="U640" s="206">
        <f t="shared" si="127"/>
        <v>0</v>
      </c>
      <c r="V640" s="207" t="str">
        <f t="shared" si="128"/>
        <v/>
      </c>
    </row>
    <row r="641" spans="10:22" x14ac:dyDescent="0.3">
      <c r="J641" s="185" t="str">
        <f t="shared" si="129"/>
        <v/>
      </c>
      <c r="K641" s="185" t="str">
        <f t="shared" si="130"/>
        <v/>
      </c>
      <c r="L641" s="185" t="str">
        <f t="shared" si="131"/>
        <v/>
      </c>
      <c r="M641" s="76" t="str">
        <f t="shared" si="132"/>
        <v/>
      </c>
      <c r="N641" s="26">
        <f t="shared" si="133"/>
        <v>0</v>
      </c>
      <c r="O641" s="235">
        <f t="shared" si="134"/>
        <v>0</v>
      </c>
      <c r="P641" s="235">
        <f t="shared" si="135"/>
        <v>0</v>
      </c>
      <c r="Q641" s="206">
        <f t="shared" si="136"/>
        <v>0</v>
      </c>
      <c r="R641" s="206">
        <f t="shared" si="125"/>
        <v>0</v>
      </c>
      <c r="S641" s="206">
        <f t="shared" si="126"/>
        <v>0</v>
      </c>
      <c r="T641" s="206">
        <f t="shared" si="127"/>
        <v>0</v>
      </c>
      <c r="U641" s="206">
        <f t="shared" si="127"/>
        <v>0</v>
      </c>
      <c r="V641" s="207" t="str">
        <f t="shared" si="128"/>
        <v/>
      </c>
    </row>
    <row r="642" spans="10:22" x14ac:dyDescent="0.3">
      <c r="J642" s="185" t="str">
        <f t="shared" si="129"/>
        <v/>
      </c>
      <c r="K642" s="185" t="str">
        <f t="shared" si="130"/>
        <v/>
      </c>
      <c r="L642" s="185" t="str">
        <f t="shared" si="131"/>
        <v/>
      </c>
      <c r="M642" s="76" t="str">
        <f t="shared" si="132"/>
        <v/>
      </c>
      <c r="N642" s="26">
        <f t="shared" si="133"/>
        <v>0</v>
      </c>
      <c r="O642" s="235">
        <f t="shared" si="134"/>
        <v>0</v>
      </c>
      <c r="P642" s="235">
        <f t="shared" si="135"/>
        <v>0</v>
      </c>
      <c r="Q642" s="206">
        <f t="shared" si="136"/>
        <v>0</v>
      </c>
      <c r="R642" s="206">
        <f t="shared" si="125"/>
        <v>0</v>
      </c>
      <c r="S642" s="206">
        <f t="shared" si="126"/>
        <v>0</v>
      </c>
      <c r="T642" s="206">
        <f t="shared" si="127"/>
        <v>0</v>
      </c>
      <c r="U642" s="206">
        <f t="shared" si="127"/>
        <v>0</v>
      </c>
      <c r="V642" s="207" t="str">
        <f t="shared" si="128"/>
        <v/>
      </c>
    </row>
    <row r="643" spans="10:22" x14ac:dyDescent="0.3">
      <c r="J643" s="185" t="str">
        <f t="shared" si="129"/>
        <v/>
      </c>
      <c r="K643" s="185" t="str">
        <f t="shared" si="130"/>
        <v/>
      </c>
      <c r="L643" s="185" t="str">
        <f t="shared" si="131"/>
        <v/>
      </c>
      <c r="M643" s="76" t="str">
        <f t="shared" si="132"/>
        <v/>
      </c>
      <c r="N643" s="26">
        <f t="shared" si="133"/>
        <v>0</v>
      </c>
      <c r="O643" s="235">
        <f t="shared" si="134"/>
        <v>0</v>
      </c>
      <c r="P643" s="235">
        <f t="shared" si="135"/>
        <v>0</v>
      </c>
      <c r="Q643" s="206">
        <f t="shared" si="136"/>
        <v>0</v>
      </c>
      <c r="R643" s="206">
        <f t="shared" si="125"/>
        <v>0</v>
      </c>
      <c r="S643" s="206">
        <f t="shared" si="126"/>
        <v>0</v>
      </c>
      <c r="T643" s="206">
        <f t="shared" si="127"/>
        <v>0</v>
      </c>
      <c r="U643" s="206">
        <f t="shared" si="127"/>
        <v>0</v>
      </c>
      <c r="V643" s="207" t="str">
        <f t="shared" si="128"/>
        <v/>
      </c>
    </row>
    <row r="644" spans="10:22" x14ac:dyDescent="0.3">
      <c r="J644" s="185" t="str">
        <f t="shared" si="129"/>
        <v/>
      </c>
      <c r="K644" s="185" t="str">
        <f t="shared" si="130"/>
        <v/>
      </c>
      <c r="L644" s="185" t="str">
        <f t="shared" si="131"/>
        <v/>
      </c>
      <c r="M644" s="76" t="str">
        <f t="shared" si="132"/>
        <v/>
      </c>
      <c r="N644" s="26">
        <f t="shared" si="133"/>
        <v>0</v>
      </c>
      <c r="O644" s="235">
        <f t="shared" si="134"/>
        <v>0</v>
      </c>
      <c r="P644" s="235">
        <f t="shared" si="135"/>
        <v>0</v>
      </c>
      <c r="Q644" s="206">
        <f t="shared" si="136"/>
        <v>0</v>
      </c>
      <c r="R644" s="206">
        <f t="shared" si="125"/>
        <v>0</v>
      </c>
      <c r="S644" s="206">
        <f t="shared" si="126"/>
        <v>0</v>
      </c>
      <c r="T644" s="206">
        <f t="shared" si="127"/>
        <v>0</v>
      </c>
      <c r="U644" s="206">
        <f t="shared" si="127"/>
        <v>0</v>
      </c>
      <c r="V644" s="207" t="str">
        <f t="shared" si="128"/>
        <v/>
      </c>
    </row>
    <row r="645" spans="10:22" x14ac:dyDescent="0.3">
      <c r="J645" s="185" t="str">
        <f t="shared" si="129"/>
        <v/>
      </c>
      <c r="K645" s="185" t="str">
        <f t="shared" si="130"/>
        <v/>
      </c>
      <c r="L645" s="185" t="str">
        <f t="shared" si="131"/>
        <v/>
      </c>
      <c r="M645" s="76" t="str">
        <f t="shared" si="132"/>
        <v/>
      </c>
      <c r="N645" s="26">
        <f t="shared" si="133"/>
        <v>0</v>
      </c>
      <c r="O645" s="235">
        <f t="shared" si="134"/>
        <v>0</v>
      </c>
      <c r="P645" s="235">
        <f t="shared" si="135"/>
        <v>0</v>
      </c>
      <c r="Q645" s="206">
        <f t="shared" si="136"/>
        <v>0</v>
      </c>
      <c r="R645" s="206">
        <f t="shared" si="125"/>
        <v>0</v>
      </c>
      <c r="S645" s="206">
        <f t="shared" si="126"/>
        <v>0</v>
      </c>
      <c r="T645" s="206">
        <f t="shared" si="127"/>
        <v>0</v>
      </c>
      <c r="U645" s="206">
        <f t="shared" si="127"/>
        <v>0</v>
      </c>
      <c r="V645" s="207" t="str">
        <f t="shared" si="128"/>
        <v/>
      </c>
    </row>
    <row r="646" spans="10:22" x14ac:dyDescent="0.3">
      <c r="J646" s="185" t="str">
        <f t="shared" si="129"/>
        <v/>
      </c>
      <c r="K646" s="185" t="str">
        <f t="shared" si="130"/>
        <v/>
      </c>
      <c r="L646" s="185" t="str">
        <f t="shared" si="131"/>
        <v/>
      </c>
      <c r="M646" s="76" t="str">
        <f t="shared" si="132"/>
        <v/>
      </c>
      <c r="N646" s="26">
        <f t="shared" si="133"/>
        <v>0</v>
      </c>
      <c r="O646" s="235">
        <f t="shared" si="134"/>
        <v>0</v>
      </c>
      <c r="P646" s="235">
        <f t="shared" si="135"/>
        <v>0</v>
      </c>
      <c r="Q646" s="206">
        <f t="shared" si="136"/>
        <v>0</v>
      </c>
      <c r="R646" s="206">
        <f t="shared" si="125"/>
        <v>0</v>
      </c>
      <c r="S646" s="206">
        <f t="shared" si="126"/>
        <v>0</v>
      </c>
      <c r="T646" s="206">
        <f t="shared" si="127"/>
        <v>0</v>
      </c>
      <c r="U646" s="206">
        <f t="shared" si="127"/>
        <v>0</v>
      </c>
      <c r="V646" s="207" t="str">
        <f t="shared" si="128"/>
        <v/>
      </c>
    </row>
    <row r="647" spans="10:22" x14ac:dyDescent="0.3">
      <c r="J647" s="185" t="str">
        <f t="shared" si="129"/>
        <v/>
      </c>
      <c r="K647" s="185" t="str">
        <f t="shared" si="130"/>
        <v/>
      </c>
      <c r="L647" s="185" t="str">
        <f t="shared" si="131"/>
        <v/>
      </c>
      <c r="M647" s="76" t="str">
        <f t="shared" si="132"/>
        <v/>
      </c>
      <c r="N647" s="26">
        <f t="shared" si="133"/>
        <v>0</v>
      </c>
      <c r="O647" s="235">
        <f t="shared" si="134"/>
        <v>0</v>
      </c>
      <c r="P647" s="235">
        <f t="shared" si="135"/>
        <v>0</v>
      </c>
      <c r="Q647" s="206">
        <f t="shared" si="136"/>
        <v>0</v>
      </c>
      <c r="R647" s="206">
        <f t="shared" si="125"/>
        <v>0</v>
      </c>
      <c r="S647" s="206">
        <f t="shared" si="126"/>
        <v>0</v>
      </c>
      <c r="T647" s="206">
        <f t="shared" si="127"/>
        <v>0</v>
      </c>
      <c r="U647" s="206">
        <f t="shared" si="127"/>
        <v>0</v>
      </c>
      <c r="V647" s="207" t="str">
        <f t="shared" si="128"/>
        <v/>
      </c>
    </row>
    <row r="648" spans="10:22" x14ac:dyDescent="0.3">
      <c r="J648" s="185" t="str">
        <f t="shared" si="129"/>
        <v/>
      </c>
      <c r="K648" s="185" t="str">
        <f t="shared" si="130"/>
        <v/>
      </c>
      <c r="L648" s="185" t="str">
        <f t="shared" si="131"/>
        <v/>
      </c>
      <c r="M648" s="76" t="str">
        <f t="shared" si="132"/>
        <v/>
      </c>
      <c r="N648" s="26">
        <f t="shared" si="133"/>
        <v>0</v>
      </c>
      <c r="O648" s="235">
        <f t="shared" si="134"/>
        <v>0</v>
      </c>
      <c r="P648" s="235">
        <f t="shared" si="135"/>
        <v>0</v>
      </c>
      <c r="Q648" s="206">
        <f t="shared" si="136"/>
        <v>0</v>
      </c>
      <c r="R648" s="206">
        <f t="shared" si="125"/>
        <v>0</v>
      </c>
      <c r="S648" s="206">
        <f t="shared" si="126"/>
        <v>0</v>
      </c>
      <c r="T648" s="206">
        <f t="shared" si="127"/>
        <v>0</v>
      </c>
      <c r="U648" s="206">
        <f t="shared" si="127"/>
        <v>0</v>
      </c>
      <c r="V648" s="207" t="str">
        <f t="shared" si="128"/>
        <v/>
      </c>
    </row>
    <row r="649" spans="10:22" x14ac:dyDescent="0.3">
      <c r="J649" s="185" t="str">
        <f t="shared" si="129"/>
        <v/>
      </c>
      <c r="K649" s="185" t="str">
        <f t="shared" si="130"/>
        <v/>
      </c>
      <c r="L649" s="185" t="str">
        <f t="shared" si="131"/>
        <v/>
      </c>
      <c r="M649" s="76" t="str">
        <f t="shared" si="132"/>
        <v/>
      </c>
      <c r="N649" s="26">
        <f t="shared" si="133"/>
        <v>0</v>
      </c>
      <c r="O649" s="235">
        <f t="shared" si="134"/>
        <v>0</v>
      </c>
      <c r="P649" s="235">
        <f t="shared" si="135"/>
        <v>0</v>
      </c>
      <c r="Q649" s="206">
        <f t="shared" si="136"/>
        <v>0</v>
      </c>
      <c r="R649" s="206">
        <f t="shared" si="125"/>
        <v>0</v>
      </c>
      <c r="S649" s="206">
        <f t="shared" si="126"/>
        <v>0</v>
      </c>
      <c r="T649" s="206">
        <f t="shared" si="127"/>
        <v>0</v>
      </c>
      <c r="U649" s="206">
        <f t="shared" si="127"/>
        <v>0</v>
      </c>
      <c r="V649" s="207" t="str">
        <f t="shared" si="128"/>
        <v/>
      </c>
    </row>
    <row r="650" spans="10:22" x14ac:dyDescent="0.3">
      <c r="J650" s="185" t="str">
        <f t="shared" si="129"/>
        <v/>
      </c>
      <c r="K650" s="185" t="str">
        <f t="shared" si="130"/>
        <v/>
      </c>
      <c r="L650" s="185" t="str">
        <f t="shared" si="131"/>
        <v/>
      </c>
      <c r="M650" s="76" t="str">
        <f t="shared" si="132"/>
        <v/>
      </c>
      <c r="N650" s="26">
        <f t="shared" si="133"/>
        <v>0</v>
      </c>
      <c r="O650" s="235">
        <f t="shared" si="134"/>
        <v>0</v>
      </c>
      <c r="P650" s="235">
        <f t="shared" si="135"/>
        <v>0</v>
      </c>
      <c r="Q650" s="206">
        <f t="shared" si="136"/>
        <v>0</v>
      </c>
      <c r="R650" s="206">
        <f t="shared" si="125"/>
        <v>0</v>
      </c>
      <c r="S650" s="206">
        <f t="shared" si="126"/>
        <v>0</v>
      </c>
      <c r="T650" s="206">
        <f t="shared" si="127"/>
        <v>0</v>
      </c>
      <c r="U650" s="206">
        <f t="shared" si="127"/>
        <v>0</v>
      </c>
      <c r="V650" s="207" t="str">
        <f t="shared" si="128"/>
        <v/>
      </c>
    </row>
    <row r="651" spans="10:22" x14ac:dyDescent="0.3">
      <c r="J651" s="185" t="str">
        <f t="shared" si="129"/>
        <v/>
      </c>
      <c r="K651" s="185" t="str">
        <f t="shared" si="130"/>
        <v/>
      </c>
      <c r="L651" s="185" t="str">
        <f t="shared" si="131"/>
        <v/>
      </c>
      <c r="M651" s="76" t="str">
        <f t="shared" si="132"/>
        <v/>
      </c>
      <c r="N651" s="26">
        <f t="shared" si="133"/>
        <v>0</v>
      </c>
      <c r="O651" s="235">
        <f t="shared" si="134"/>
        <v>0</v>
      </c>
      <c r="P651" s="235">
        <f t="shared" si="135"/>
        <v>0</v>
      </c>
      <c r="Q651" s="206">
        <f t="shared" si="136"/>
        <v>0</v>
      </c>
      <c r="R651" s="206">
        <f t="shared" si="125"/>
        <v>0</v>
      </c>
      <c r="S651" s="206">
        <f t="shared" si="126"/>
        <v>0</v>
      </c>
      <c r="T651" s="206">
        <f t="shared" si="127"/>
        <v>0</v>
      </c>
      <c r="U651" s="206">
        <f t="shared" si="127"/>
        <v>0</v>
      </c>
      <c r="V651" s="207" t="str">
        <f t="shared" si="128"/>
        <v/>
      </c>
    </row>
    <row r="652" spans="10:22" x14ac:dyDescent="0.3">
      <c r="J652" s="185" t="str">
        <f t="shared" si="129"/>
        <v/>
      </c>
      <c r="K652" s="185" t="str">
        <f t="shared" si="130"/>
        <v/>
      </c>
      <c r="L652" s="185" t="str">
        <f t="shared" si="131"/>
        <v/>
      </c>
      <c r="M652" s="76" t="str">
        <f t="shared" si="132"/>
        <v/>
      </c>
      <c r="N652" s="26">
        <f t="shared" si="133"/>
        <v>0</v>
      </c>
      <c r="O652" s="235">
        <f t="shared" si="134"/>
        <v>0</v>
      </c>
      <c r="P652" s="235">
        <f t="shared" si="135"/>
        <v>0</v>
      </c>
      <c r="Q652" s="206">
        <f t="shared" si="136"/>
        <v>0</v>
      </c>
      <c r="R652" s="206">
        <f t="shared" si="125"/>
        <v>0</v>
      </c>
      <c r="S652" s="206">
        <f t="shared" si="126"/>
        <v>0</v>
      </c>
      <c r="T652" s="206">
        <f t="shared" si="127"/>
        <v>0</v>
      </c>
      <c r="U652" s="206">
        <f t="shared" si="127"/>
        <v>0</v>
      </c>
      <c r="V652" s="207" t="str">
        <f t="shared" si="128"/>
        <v/>
      </c>
    </row>
    <row r="653" spans="10:22" x14ac:dyDescent="0.3">
      <c r="J653" s="185" t="str">
        <f t="shared" si="129"/>
        <v/>
      </c>
      <c r="K653" s="185" t="str">
        <f t="shared" si="130"/>
        <v/>
      </c>
      <c r="L653" s="185" t="str">
        <f t="shared" si="131"/>
        <v/>
      </c>
      <c r="M653" s="76" t="str">
        <f t="shared" si="132"/>
        <v/>
      </c>
      <c r="N653" s="26">
        <f t="shared" si="133"/>
        <v>0</v>
      </c>
      <c r="O653" s="235">
        <f t="shared" si="134"/>
        <v>0</v>
      </c>
      <c r="P653" s="235">
        <f t="shared" si="135"/>
        <v>0</v>
      </c>
      <c r="Q653" s="206">
        <f t="shared" si="136"/>
        <v>0</v>
      </c>
      <c r="R653" s="206">
        <f t="shared" si="125"/>
        <v>0</v>
      </c>
      <c r="S653" s="206">
        <f t="shared" si="126"/>
        <v>0</v>
      </c>
      <c r="T653" s="206">
        <f t="shared" si="127"/>
        <v>0</v>
      </c>
      <c r="U653" s="206">
        <f t="shared" si="127"/>
        <v>0</v>
      </c>
      <c r="V653" s="207" t="str">
        <f t="shared" si="128"/>
        <v/>
      </c>
    </row>
    <row r="654" spans="10:22" x14ac:dyDescent="0.3">
      <c r="J654" s="185" t="str">
        <f t="shared" si="129"/>
        <v/>
      </c>
      <c r="K654" s="185" t="str">
        <f t="shared" si="130"/>
        <v/>
      </c>
      <c r="L654" s="185" t="str">
        <f t="shared" si="131"/>
        <v/>
      </c>
      <c r="M654" s="76" t="str">
        <f t="shared" si="132"/>
        <v/>
      </c>
      <c r="N654" s="26">
        <f t="shared" si="133"/>
        <v>0</v>
      </c>
      <c r="O654" s="235">
        <f t="shared" si="134"/>
        <v>0</v>
      </c>
      <c r="P654" s="235">
        <f t="shared" si="135"/>
        <v>0</v>
      </c>
      <c r="Q654" s="206">
        <f t="shared" si="136"/>
        <v>0</v>
      </c>
      <c r="R654" s="206">
        <f t="shared" si="125"/>
        <v>0</v>
      </c>
      <c r="S654" s="206">
        <f t="shared" si="126"/>
        <v>0</v>
      </c>
      <c r="T654" s="206">
        <f t="shared" si="127"/>
        <v>0</v>
      </c>
      <c r="U654" s="206">
        <f t="shared" si="127"/>
        <v>0</v>
      </c>
      <c r="V654" s="207" t="str">
        <f t="shared" si="128"/>
        <v/>
      </c>
    </row>
    <row r="655" spans="10:22" x14ac:dyDescent="0.3">
      <c r="J655" s="185" t="str">
        <f t="shared" si="129"/>
        <v/>
      </c>
      <c r="K655" s="185" t="str">
        <f t="shared" si="130"/>
        <v/>
      </c>
      <c r="L655" s="185" t="str">
        <f t="shared" si="131"/>
        <v/>
      </c>
      <c r="M655" s="76" t="str">
        <f t="shared" si="132"/>
        <v/>
      </c>
      <c r="N655" s="26">
        <f t="shared" si="133"/>
        <v>0</v>
      </c>
      <c r="O655" s="235">
        <f t="shared" si="134"/>
        <v>0</v>
      </c>
      <c r="P655" s="235">
        <f t="shared" si="135"/>
        <v>0</v>
      </c>
      <c r="Q655" s="206">
        <f t="shared" si="136"/>
        <v>0</v>
      </c>
      <c r="R655" s="206">
        <f t="shared" si="125"/>
        <v>0</v>
      </c>
      <c r="S655" s="206">
        <f t="shared" si="126"/>
        <v>0</v>
      </c>
      <c r="T655" s="206">
        <f t="shared" si="127"/>
        <v>0</v>
      </c>
      <c r="U655" s="206">
        <f t="shared" si="127"/>
        <v>0</v>
      </c>
      <c r="V655" s="207" t="str">
        <f t="shared" si="128"/>
        <v/>
      </c>
    </row>
    <row r="656" spans="10:22" x14ac:dyDescent="0.3">
      <c r="J656" s="185" t="str">
        <f t="shared" si="129"/>
        <v/>
      </c>
      <c r="K656" s="185" t="str">
        <f t="shared" si="130"/>
        <v/>
      </c>
      <c r="L656" s="185" t="str">
        <f t="shared" si="131"/>
        <v/>
      </c>
      <c r="M656" s="76" t="str">
        <f t="shared" si="132"/>
        <v/>
      </c>
      <c r="N656" s="26">
        <f t="shared" si="133"/>
        <v>0</v>
      </c>
      <c r="O656" s="235">
        <f t="shared" si="134"/>
        <v>0</v>
      </c>
      <c r="P656" s="235">
        <f t="shared" si="135"/>
        <v>0</v>
      </c>
      <c r="Q656" s="206">
        <f t="shared" si="136"/>
        <v>0</v>
      </c>
      <c r="R656" s="206">
        <f t="shared" si="125"/>
        <v>0</v>
      </c>
      <c r="S656" s="206">
        <f t="shared" si="126"/>
        <v>0</v>
      </c>
      <c r="T656" s="206">
        <f t="shared" si="127"/>
        <v>0</v>
      </c>
      <c r="U656" s="206">
        <f t="shared" si="127"/>
        <v>0</v>
      </c>
      <c r="V656" s="207" t="str">
        <f t="shared" si="128"/>
        <v/>
      </c>
    </row>
    <row r="657" spans="10:22" x14ac:dyDescent="0.3">
      <c r="J657" s="185" t="str">
        <f t="shared" si="129"/>
        <v/>
      </c>
      <c r="K657" s="185" t="str">
        <f t="shared" si="130"/>
        <v/>
      </c>
      <c r="L657" s="185" t="str">
        <f t="shared" si="131"/>
        <v/>
      </c>
      <c r="M657" s="76" t="str">
        <f t="shared" si="132"/>
        <v/>
      </c>
      <c r="N657" s="26">
        <f t="shared" si="133"/>
        <v>0</v>
      </c>
      <c r="O657" s="235">
        <f t="shared" si="134"/>
        <v>0</v>
      </c>
      <c r="P657" s="235">
        <f t="shared" si="135"/>
        <v>0</v>
      </c>
      <c r="Q657" s="206">
        <f t="shared" si="136"/>
        <v>0</v>
      </c>
      <c r="R657" s="206">
        <f t="shared" si="125"/>
        <v>0</v>
      </c>
      <c r="S657" s="206">
        <f t="shared" si="126"/>
        <v>0</v>
      </c>
      <c r="T657" s="206">
        <f t="shared" si="127"/>
        <v>0</v>
      </c>
      <c r="U657" s="206">
        <f t="shared" si="127"/>
        <v>0</v>
      </c>
      <c r="V657" s="207" t="str">
        <f t="shared" si="128"/>
        <v/>
      </c>
    </row>
    <row r="658" spans="10:22" x14ac:dyDescent="0.3">
      <c r="J658" s="185" t="str">
        <f t="shared" si="129"/>
        <v/>
      </c>
      <c r="K658" s="185" t="str">
        <f t="shared" si="130"/>
        <v/>
      </c>
      <c r="L658" s="185" t="str">
        <f t="shared" si="131"/>
        <v/>
      </c>
      <c r="M658" s="76" t="str">
        <f t="shared" si="132"/>
        <v/>
      </c>
      <c r="N658" s="26">
        <f t="shared" si="133"/>
        <v>0</v>
      </c>
      <c r="O658" s="235">
        <f t="shared" si="134"/>
        <v>0</v>
      </c>
      <c r="P658" s="235">
        <f t="shared" si="135"/>
        <v>0</v>
      </c>
      <c r="Q658" s="206">
        <f t="shared" si="136"/>
        <v>0</v>
      </c>
      <c r="R658" s="206">
        <f t="shared" si="125"/>
        <v>0</v>
      </c>
      <c r="S658" s="206">
        <f t="shared" si="126"/>
        <v>0</v>
      </c>
      <c r="T658" s="206">
        <f t="shared" si="127"/>
        <v>0</v>
      </c>
      <c r="U658" s="206">
        <f t="shared" si="127"/>
        <v>0</v>
      </c>
      <c r="V658" s="207" t="str">
        <f t="shared" si="128"/>
        <v/>
      </c>
    </row>
    <row r="659" spans="10:22" x14ac:dyDescent="0.3">
      <c r="J659" s="185" t="str">
        <f t="shared" si="129"/>
        <v/>
      </c>
      <c r="K659" s="185" t="str">
        <f t="shared" si="130"/>
        <v/>
      </c>
      <c r="L659" s="185" t="str">
        <f t="shared" si="131"/>
        <v/>
      </c>
      <c r="M659" s="76" t="str">
        <f t="shared" si="132"/>
        <v/>
      </c>
      <c r="N659" s="26">
        <f t="shared" si="133"/>
        <v>0</v>
      </c>
      <c r="O659" s="235">
        <f t="shared" si="134"/>
        <v>0</v>
      </c>
      <c r="P659" s="235">
        <f t="shared" si="135"/>
        <v>0</v>
      </c>
      <c r="Q659" s="206">
        <f t="shared" si="136"/>
        <v>0</v>
      </c>
      <c r="R659" s="206">
        <f t="shared" si="125"/>
        <v>0</v>
      </c>
      <c r="S659" s="206">
        <f t="shared" si="126"/>
        <v>0</v>
      </c>
      <c r="T659" s="206">
        <f t="shared" si="127"/>
        <v>0</v>
      </c>
      <c r="U659" s="206">
        <f t="shared" si="127"/>
        <v>0</v>
      </c>
      <c r="V659" s="207" t="str">
        <f t="shared" si="128"/>
        <v/>
      </c>
    </row>
    <row r="660" spans="10:22" x14ac:dyDescent="0.3">
      <c r="J660" s="185" t="str">
        <f t="shared" si="129"/>
        <v/>
      </c>
      <c r="K660" s="185" t="str">
        <f t="shared" si="130"/>
        <v/>
      </c>
      <c r="L660" s="185" t="str">
        <f t="shared" si="131"/>
        <v/>
      </c>
      <c r="M660" s="76" t="str">
        <f t="shared" si="132"/>
        <v/>
      </c>
      <c r="N660" s="26">
        <f t="shared" si="133"/>
        <v>0</v>
      </c>
      <c r="O660" s="235">
        <f t="shared" si="134"/>
        <v>0</v>
      </c>
      <c r="P660" s="235">
        <f t="shared" si="135"/>
        <v>0</v>
      </c>
      <c r="Q660" s="206">
        <f t="shared" si="136"/>
        <v>0</v>
      </c>
      <c r="R660" s="206">
        <f t="shared" si="125"/>
        <v>0</v>
      </c>
      <c r="S660" s="206">
        <f t="shared" si="126"/>
        <v>0</v>
      </c>
      <c r="T660" s="206">
        <f t="shared" si="127"/>
        <v>0</v>
      </c>
      <c r="U660" s="206">
        <f t="shared" si="127"/>
        <v>0</v>
      </c>
      <c r="V660" s="207" t="str">
        <f t="shared" si="128"/>
        <v/>
      </c>
    </row>
    <row r="661" spans="10:22" x14ac:dyDescent="0.3">
      <c r="J661" s="185" t="str">
        <f t="shared" si="129"/>
        <v/>
      </c>
      <c r="K661" s="185" t="str">
        <f t="shared" si="130"/>
        <v/>
      </c>
      <c r="L661" s="185" t="str">
        <f t="shared" si="131"/>
        <v/>
      </c>
      <c r="M661" s="76" t="str">
        <f t="shared" si="132"/>
        <v/>
      </c>
      <c r="N661" s="26">
        <f t="shared" si="133"/>
        <v>0</v>
      </c>
      <c r="O661" s="235">
        <f t="shared" si="134"/>
        <v>0</v>
      </c>
      <c r="P661" s="235">
        <f t="shared" si="135"/>
        <v>0</v>
      </c>
      <c r="Q661" s="206">
        <f t="shared" si="136"/>
        <v>0</v>
      </c>
      <c r="R661" s="206">
        <f t="shared" si="125"/>
        <v>0</v>
      </c>
      <c r="S661" s="206">
        <f t="shared" si="126"/>
        <v>0</v>
      </c>
      <c r="T661" s="206">
        <f t="shared" si="127"/>
        <v>0</v>
      </c>
      <c r="U661" s="206">
        <f t="shared" si="127"/>
        <v>0</v>
      </c>
      <c r="V661" s="207" t="str">
        <f t="shared" si="128"/>
        <v/>
      </c>
    </row>
    <row r="662" spans="10:22" x14ac:dyDescent="0.3">
      <c r="J662" s="185" t="str">
        <f t="shared" si="129"/>
        <v/>
      </c>
      <c r="K662" s="185" t="str">
        <f t="shared" si="130"/>
        <v/>
      </c>
      <c r="L662" s="185" t="str">
        <f t="shared" si="131"/>
        <v/>
      </c>
      <c r="M662" s="76" t="str">
        <f t="shared" si="132"/>
        <v/>
      </c>
      <c r="N662" s="26">
        <f t="shared" si="133"/>
        <v>0</v>
      </c>
      <c r="O662" s="235">
        <f t="shared" si="134"/>
        <v>0</v>
      </c>
      <c r="P662" s="235">
        <f t="shared" si="135"/>
        <v>0</v>
      </c>
      <c r="Q662" s="206">
        <f t="shared" si="136"/>
        <v>0</v>
      </c>
      <c r="R662" s="206">
        <f t="shared" si="125"/>
        <v>0</v>
      </c>
      <c r="S662" s="206">
        <f t="shared" si="126"/>
        <v>0</v>
      </c>
      <c r="T662" s="206">
        <f t="shared" si="127"/>
        <v>0</v>
      </c>
      <c r="U662" s="206">
        <f t="shared" si="127"/>
        <v>0</v>
      </c>
      <c r="V662" s="207" t="str">
        <f t="shared" si="128"/>
        <v/>
      </c>
    </row>
    <row r="663" spans="10:22" x14ac:dyDescent="0.3">
      <c r="J663" s="185" t="str">
        <f t="shared" si="129"/>
        <v/>
      </c>
      <c r="K663" s="185" t="str">
        <f t="shared" si="130"/>
        <v/>
      </c>
      <c r="L663" s="185" t="str">
        <f t="shared" si="131"/>
        <v/>
      </c>
      <c r="M663" s="76" t="str">
        <f t="shared" si="132"/>
        <v/>
      </c>
      <c r="N663" s="26">
        <f t="shared" si="133"/>
        <v>0</v>
      </c>
      <c r="O663" s="235">
        <f t="shared" si="134"/>
        <v>0</v>
      </c>
      <c r="P663" s="235">
        <f t="shared" si="135"/>
        <v>0</v>
      </c>
      <c r="Q663" s="206">
        <f t="shared" si="136"/>
        <v>0</v>
      </c>
      <c r="R663" s="206">
        <f t="shared" si="125"/>
        <v>0</v>
      </c>
      <c r="S663" s="206">
        <f t="shared" si="126"/>
        <v>0</v>
      </c>
      <c r="T663" s="206">
        <f t="shared" si="127"/>
        <v>0</v>
      </c>
      <c r="U663" s="206">
        <f t="shared" si="127"/>
        <v>0</v>
      </c>
      <c r="V663" s="207" t="str">
        <f t="shared" si="128"/>
        <v/>
      </c>
    </row>
    <row r="664" spans="10:22" x14ac:dyDescent="0.3">
      <c r="J664" s="185" t="str">
        <f t="shared" si="129"/>
        <v/>
      </c>
      <c r="K664" s="185" t="str">
        <f t="shared" si="130"/>
        <v/>
      </c>
      <c r="L664" s="185" t="str">
        <f t="shared" si="131"/>
        <v/>
      </c>
      <c r="M664" s="76" t="str">
        <f t="shared" si="132"/>
        <v/>
      </c>
      <c r="N664" s="26">
        <f t="shared" si="133"/>
        <v>0</v>
      </c>
      <c r="O664" s="235">
        <f t="shared" si="134"/>
        <v>0</v>
      </c>
      <c r="P664" s="235">
        <f t="shared" si="135"/>
        <v>0</v>
      </c>
      <c r="Q664" s="206">
        <f t="shared" si="136"/>
        <v>0</v>
      </c>
      <c r="R664" s="206">
        <f t="shared" si="125"/>
        <v>0</v>
      </c>
      <c r="S664" s="206">
        <f t="shared" si="126"/>
        <v>0</v>
      </c>
      <c r="T664" s="206">
        <f t="shared" si="127"/>
        <v>0</v>
      </c>
      <c r="U664" s="206">
        <f t="shared" si="127"/>
        <v>0</v>
      </c>
      <c r="V664" s="207" t="str">
        <f t="shared" si="128"/>
        <v/>
      </c>
    </row>
    <row r="665" spans="10:22" x14ac:dyDescent="0.3">
      <c r="J665" s="185" t="str">
        <f t="shared" si="129"/>
        <v/>
      </c>
      <c r="K665" s="185" t="str">
        <f t="shared" si="130"/>
        <v/>
      </c>
      <c r="L665" s="185" t="str">
        <f t="shared" si="131"/>
        <v/>
      </c>
      <c r="M665" s="76" t="str">
        <f t="shared" si="132"/>
        <v/>
      </c>
      <c r="N665" s="26">
        <f t="shared" si="133"/>
        <v>0</v>
      </c>
      <c r="O665" s="235">
        <f t="shared" si="134"/>
        <v>0</v>
      </c>
      <c r="P665" s="235">
        <f t="shared" si="135"/>
        <v>0</v>
      </c>
      <c r="Q665" s="206">
        <f t="shared" si="136"/>
        <v>0</v>
      </c>
      <c r="R665" s="206">
        <f t="shared" si="125"/>
        <v>0</v>
      </c>
      <c r="S665" s="206">
        <f t="shared" si="126"/>
        <v>0</v>
      </c>
      <c r="T665" s="206">
        <f t="shared" si="127"/>
        <v>0</v>
      </c>
      <c r="U665" s="206">
        <f t="shared" si="127"/>
        <v>0</v>
      </c>
      <c r="V665" s="207" t="str">
        <f t="shared" si="128"/>
        <v/>
      </c>
    </row>
    <row r="666" spans="10:22" x14ac:dyDescent="0.3">
      <c r="J666" s="185" t="str">
        <f t="shared" si="129"/>
        <v/>
      </c>
      <c r="K666" s="185" t="str">
        <f t="shared" si="130"/>
        <v/>
      </c>
      <c r="L666" s="185" t="str">
        <f t="shared" si="131"/>
        <v/>
      </c>
      <c r="M666" s="76" t="str">
        <f t="shared" si="132"/>
        <v/>
      </c>
      <c r="N666" s="26">
        <f t="shared" si="133"/>
        <v>0</v>
      </c>
      <c r="O666" s="235">
        <f t="shared" si="134"/>
        <v>0</v>
      </c>
      <c r="P666" s="235">
        <f t="shared" si="135"/>
        <v>0</v>
      </c>
      <c r="Q666" s="206">
        <f t="shared" si="136"/>
        <v>0</v>
      </c>
      <c r="R666" s="206">
        <f t="shared" si="125"/>
        <v>0</v>
      </c>
      <c r="S666" s="206">
        <f t="shared" si="126"/>
        <v>0</v>
      </c>
      <c r="T666" s="206">
        <f t="shared" si="127"/>
        <v>0</v>
      </c>
      <c r="U666" s="206">
        <f t="shared" si="127"/>
        <v>0</v>
      </c>
      <c r="V666" s="207" t="str">
        <f t="shared" si="128"/>
        <v/>
      </c>
    </row>
    <row r="667" spans="10:22" x14ac:dyDescent="0.3">
      <c r="J667" s="185" t="str">
        <f t="shared" si="129"/>
        <v/>
      </c>
      <c r="K667" s="185" t="str">
        <f t="shared" si="130"/>
        <v/>
      </c>
      <c r="L667" s="185" t="str">
        <f t="shared" si="131"/>
        <v/>
      </c>
      <c r="M667" s="76" t="str">
        <f t="shared" si="132"/>
        <v/>
      </c>
      <c r="N667" s="26">
        <f t="shared" si="133"/>
        <v>0</v>
      </c>
      <c r="O667" s="235">
        <f t="shared" si="134"/>
        <v>0</v>
      </c>
      <c r="P667" s="235">
        <f t="shared" si="135"/>
        <v>0</v>
      </c>
      <c r="Q667" s="206">
        <f t="shared" si="136"/>
        <v>0</v>
      </c>
      <c r="R667" s="206">
        <f t="shared" ref="R667:R730" si="137">IF($J667=29,VALUE(LEFT(B667,LEN(B667)-2)),0)</f>
        <v>0</v>
      </c>
      <c r="S667" s="206">
        <f t="shared" ref="S667:S730" si="138">IF($J667=29,VALUE(LEFT(C667,LEN(C667)-2)),0)</f>
        <v>0</v>
      </c>
      <c r="T667" s="206">
        <f t="shared" ref="T667:U730" si="139">IF($J667=29,VALUE(LEFT(D667,LEN(D667)-2)),0)</f>
        <v>0</v>
      </c>
      <c r="U667" s="206">
        <f t="shared" si="139"/>
        <v>0</v>
      </c>
      <c r="V667" s="207" t="str">
        <f t="shared" ref="V667:V730" si="140">IFERROR(N667/SUM(R667:U667),"")</f>
        <v/>
      </c>
    </row>
    <row r="668" spans="10:22" x14ac:dyDescent="0.3">
      <c r="J668" s="185" t="str">
        <f t="shared" si="129"/>
        <v/>
      </c>
      <c r="K668" s="185" t="str">
        <f t="shared" si="130"/>
        <v/>
      </c>
      <c r="L668" s="185" t="str">
        <f t="shared" si="131"/>
        <v/>
      </c>
      <c r="M668" s="76" t="str">
        <f t="shared" si="132"/>
        <v/>
      </c>
      <c r="N668" s="26">
        <f t="shared" si="133"/>
        <v>0</v>
      </c>
      <c r="O668" s="235">
        <f t="shared" si="134"/>
        <v>0</v>
      </c>
      <c r="P668" s="235">
        <f t="shared" si="135"/>
        <v>0</v>
      </c>
      <c r="Q668" s="206">
        <f t="shared" si="136"/>
        <v>0</v>
      </c>
      <c r="R668" s="206">
        <f t="shared" si="137"/>
        <v>0</v>
      </c>
      <c r="S668" s="206">
        <f t="shared" si="138"/>
        <v>0</v>
      </c>
      <c r="T668" s="206">
        <f t="shared" si="139"/>
        <v>0</v>
      </c>
      <c r="U668" s="206">
        <f t="shared" si="139"/>
        <v>0</v>
      </c>
      <c r="V668" s="207" t="str">
        <f t="shared" si="140"/>
        <v/>
      </c>
    </row>
    <row r="669" spans="10:22" x14ac:dyDescent="0.3">
      <c r="J669" s="185" t="str">
        <f t="shared" si="129"/>
        <v/>
      </c>
      <c r="K669" s="185" t="str">
        <f t="shared" si="130"/>
        <v/>
      </c>
      <c r="L669" s="185" t="str">
        <f t="shared" si="131"/>
        <v/>
      </c>
      <c r="M669" s="76" t="str">
        <f t="shared" si="132"/>
        <v/>
      </c>
      <c r="N669" s="26">
        <f t="shared" si="133"/>
        <v>0</v>
      </c>
      <c r="O669" s="235">
        <f t="shared" si="134"/>
        <v>0</v>
      </c>
      <c r="P669" s="235">
        <f t="shared" si="135"/>
        <v>0</v>
      </c>
      <c r="Q669" s="206">
        <f t="shared" si="136"/>
        <v>0</v>
      </c>
      <c r="R669" s="206">
        <f t="shared" si="137"/>
        <v>0</v>
      </c>
      <c r="S669" s="206">
        <f t="shared" si="138"/>
        <v>0</v>
      </c>
      <c r="T669" s="206">
        <f t="shared" si="139"/>
        <v>0</v>
      </c>
      <c r="U669" s="206">
        <f t="shared" si="139"/>
        <v>0</v>
      </c>
      <c r="V669" s="207" t="str">
        <f t="shared" si="140"/>
        <v/>
      </c>
    </row>
    <row r="670" spans="10:22" x14ac:dyDescent="0.3">
      <c r="J670" s="185" t="str">
        <f t="shared" si="129"/>
        <v/>
      </c>
      <c r="K670" s="185" t="str">
        <f t="shared" si="130"/>
        <v/>
      </c>
      <c r="L670" s="185" t="str">
        <f t="shared" si="131"/>
        <v/>
      </c>
      <c r="M670" s="76" t="str">
        <f t="shared" si="132"/>
        <v/>
      </c>
      <c r="N670" s="26">
        <f t="shared" si="133"/>
        <v>0</v>
      </c>
      <c r="O670" s="235">
        <f t="shared" si="134"/>
        <v>0</v>
      </c>
      <c r="P670" s="235">
        <f t="shared" si="135"/>
        <v>0</v>
      </c>
      <c r="Q670" s="206">
        <f t="shared" si="136"/>
        <v>0</v>
      </c>
      <c r="R670" s="206">
        <f t="shared" si="137"/>
        <v>0</v>
      </c>
      <c r="S670" s="206">
        <f t="shared" si="138"/>
        <v>0</v>
      </c>
      <c r="T670" s="206">
        <f t="shared" si="139"/>
        <v>0</v>
      </c>
      <c r="U670" s="206">
        <f t="shared" si="139"/>
        <v>0</v>
      </c>
      <c r="V670" s="207" t="str">
        <f t="shared" si="140"/>
        <v/>
      </c>
    </row>
    <row r="671" spans="10:22" x14ac:dyDescent="0.3">
      <c r="J671" s="185" t="str">
        <f t="shared" si="129"/>
        <v/>
      </c>
      <c r="K671" s="185" t="str">
        <f t="shared" si="130"/>
        <v/>
      </c>
      <c r="L671" s="185" t="str">
        <f t="shared" si="131"/>
        <v/>
      </c>
      <c r="M671" s="76" t="str">
        <f t="shared" si="132"/>
        <v/>
      </c>
      <c r="N671" s="26">
        <f t="shared" si="133"/>
        <v>0</v>
      </c>
      <c r="O671" s="235">
        <f t="shared" si="134"/>
        <v>0</v>
      </c>
      <c r="P671" s="235">
        <f t="shared" si="135"/>
        <v>0</v>
      </c>
      <c r="Q671" s="206">
        <f t="shared" si="136"/>
        <v>0</v>
      </c>
      <c r="R671" s="206">
        <f t="shared" si="137"/>
        <v>0</v>
      </c>
      <c r="S671" s="206">
        <f t="shared" si="138"/>
        <v>0</v>
      </c>
      <c r="T671" s="206">
        <f t="shared" si="139"/>
        <v>0</v>
      </c>
      <c r="U671" s="206">
        <f t="shared" si="139"/>
        <v>0</v>
      </c>
      <c r="V671" s="207" t="str">
        <f t="shared" si="140"/>
        <v/>
      </c>
    </row>
    <row r="672" spans="10:22" x14ac:dyDescent="0.3">
      <c r="J672" s="185" t="str">
        <f t="shared" si="129"/>
        <v/>
      </c>
      <c r="K672" s="185" t="str">
        <f t="shared" si="130"/>
        <v/>
      </c>
      <c r="L672" s="185" t="str">
        <f t="shared" si="131"/>
        <v/>
      </c>
      <c r="M672" s="76" t="str">
        <f t="shared" si="132"/>
        <v/>
      </c>
      <c r="N672" s="26">
        <f t="shared" si="133"/>
        <v>0</v>
      </c>
      <c r="O672" s="235">
        <f t="shared" si="134"/>
        <v>0</v>
      </c>
      <c r="P672" s="235">
        <f t="shared" si="135"/>
        <v>0</v>
      </c>
      <c r="Q672" s="206">
        <f t="shared" si="136"/>
        <v>0</v>
      </c>
      <c r="R672" s="206">
        <f t="shared" si="137"/>
        <v>0</v>
      </c>
      <c r="S672" s="206">
        <f t="shared" si="138"/>
        <v>0</v>
      </c>
      <c r="T672" s="206">
        <f t="shared" si="139"/>
        <v>0</v>
      </c>
      <c r="U672" s="206">
        <f t="shared" si="139"/>
        <v>0</v>
      </c>
      <c r="V672" s="207" t="str">
        <f t="shared" si="140"/>
        <v/>
      </c>
    </row>
    <row r="673" spans="10:22" x14ac:dyDescent="0.3">
      <c r="J673" s="185" t="str">
        <f t="shared" si="129"/>
        <v/>
      </c>
      <c r="K673" s="185" t="str">
        <f t="shared" si="130"/>
        <v/>
      </c>
      <c r="L673" s="185" t="str">
        <f t="shared" si="131"/>
        <v/>
      </c>
      <c r="M673" s="76" t="str">
        <f t="shared" si="132"/>
        <v/>
      </c>
      <c r="N673" s="26">
        <f t="shared" si="133"/>
        <v>0</v>
      </c>
      <c r="O673" s="235">
        <f t="shared" si="134"/>
        <v>0</v>
      </c>
      <c r="P673" s="235">
        <f t="shared" si="135"/>
        <v>0</v>
      </c>
      <c r="Q673" s="206">
        <f t="shared" si="136"/>
        <v>0</v>
      </c>
      <c r="R673" s="206">
        <f t="shared" si="137"/>
        <v>0</v>
      </c>
      <c r="S673" s="206">
        <f t="shared" si="138"/>
        <v>0</v>
      </c>
      <c r="T673" s="206">
        <f t="shared" si="139"/>
        <v>0</v>
      </c>
      <c r="U673" s="206">
        <f t="shared" si="139"/>
        <v>0</v>
      </c>
      <c r="V673" s="207" t="str">
        <f t="shared" si="140"/>
        <v/>
      </c>
    </row>
    <row r="674" spans="10:22" x14ac:dyDescent="0.3">
      <c r="J674" s="185" t="str">
        <f t="shared" si="129"/>
        <v/>
      </c>
      <c r="K674" s="185" t="str">
        <f t="shared" si="130"/>
        <v/>
      </c>
      <c r="L674" s="185" t="str">
        <f t="shared" si="131"/>
        <v/>
      </c>
      <c r="M674" s="76" t="str">
        <f t="shared" si="132"/>
        <v/>
      </c>
      <c r="N674" s="26">
        <f t="shared" si="133"/>
        <v>0</v>
      </c>
      <c r="O674" s="235">
        <f t="shared" si="134"/>
        <v>0</v>
      </c>
      <c r="P674" s="235">
        <f t="shared" si="135"/>
        <v>0</v>
      </c>
      <c r="Q674" s="206">
        <f t="shared" si="136"/>
        <v>0</v>
      </c>
      <c r="R674" s="206">
        <f t="shared" si="137"/>
        <v>0</v>
      </c>
      <c r="S674" s="206">
        <f t="shared" si="138"/>
        <v>0</v>
      </c>
      <c r="T674" s="206">
        <f t="shared" si="139"/>
        <v>0</v>
      </c>
      <c r="U674" s="206">
        <f t="shared" si="139"/>
        <v>0</v>
      </c>
      <c r="V674" s="207" t="str">
        <f t="shared" si="140"/>
        <v/>
      </c>
    </row>
    <row r="675" spans="10:22" x14ac:dyDescent="0.3">
      <c r="J675" s="185" t="str">
        <f t="shared" si="129"/>
        <v/>
      </c>
      <c r="K675" s="185" t="str">
        <f t="shared" si="130"/>
        <v/>
      </c>
      <c r="L675" s="185" t="str">
        <f t="shared" si="131"/>
        <v/>
      </c>
      <c r="M675" s="76" t="str">
        <f t="shared" si="132"/>
        <v/>
      </c>
      <c r="N675" s="26">
        <f t="shared" si="133"/>
        <v>0</v>
      </c>
      <c r="O675" s="235">
        <f t="shared" si="134"/>
        <v>0</v>
      </c>
      <c r="P675" s="235">
        <f t="shared" si="135"/>
        <v>0</v>
      </c>
      <c r="Q675" s="206">
        <f t="shared" si="136"/>
        <v>0</v>
      </c>
      <c r="R675" s="206">
        <f t="shared" si="137"/>
        <v>0</v>
      </c>
      <c r="S675" s="206">
        <f t="shared" si="138"/>
        <v>0</v>
      </c>
      <c r="T675" s="206">
        <f t="shared" si="139"/>
        <v>0</v>
      </c>
      <c r="U675" s="206">
        <f t="shared" si="139"/>
        <v>0</v>
      </c>
      <c r="V675" s="207" t="str">
        <f t="shared" si="140"/>
        <v/>
      </c>
    </row>
    <row r="676" spans="10:22" x14ac:dyDescent="0.3">
      <c r="J676" s="185" t="str">
        <f t="shared" si="129"/>
        <v/>
      </c>
      <c r="K676" s="185" t="str">
        <f t="shared" si="130"/>
        <v/>
      </c>
      <c r="L676" s="185" t="str">
        <f t="shared" si="131"/>
        <v/>
      </c>
      <c r="M676" s="76" t="str">
        <f t="shared" si="132"/>
        <v/>
      </c>
      <c r="N676" s="26">
        <f t="shared" si="133"/>
        <v>0</v>
      </c>
      <c r="O676" s="235">
        <f t="shared" si="134"/>
        <v>0</v>
      </c>
      <c r="P676" s="235">
        <f t="shared" si="135"/>
        <v>0</v>
      </c>
      <c r="Q676" s="206">
        <f t="shared" si="136"/>
        <v>0</v>
      </c>
      <c r="R676" s="206">
        <f t="shared" si="137"/>
        <v>0</v>
      </c>
      <c r="S676" s="206">
        <f t="shared" si="138"/>
        <v>0</v>
      </c>
      <c r="T676" s="206">
        <f t="shared" si="139"/>
        <v>0</v>
      </c>
      <c r="U676" s="206">
        <f t="shared" si="139"/>
        <v>0</v>
      </c>
      <c r="V676" s="207" t="str">
        <f t="shared" si="140"/>
        <v/>
      </c>
    </row>
    <row r="677" spans="10:22" x14ac:dyDescent="0.3">
      <c r="J677" s="185" t="str">
        <f t="shared" si="129"/>
        <v/>
      </c>
      <c r="K677" s="185" t="str">
        <f t="shared" si="130"/>
        <v/>
      </c>
      <c r="L677" s="185" t="str">
        <f t="shared" si="131"/>
        <v/>
      </c>
      <c r="M677" s="76" t="str">
        <f t="shared" si="132"/>
        <v/>
      </c>
      <c r="N677" s="26">
        <f t="shared" si="133"/>
        <v>0</v>
      </c>
      <c r="O677" s="235">
        <f t="shared" si="134"/>
        <v>0</v>
      </c>
      <c r="P677" s="235">
        <f t="shared" si="135"/>
        <v>0</v>
      </c>
      <c r="Q677" s="206">
        <f t="shared" si="136"/>
        <v>0</v>
      </c>
      <c r="R677" s="206">
        <f t="shared" si="137"/>
        <v>0</v>
      </c>
      <c r="S677" s="206">
        <f t="shared" si="138"/>
        <v>0</v>
      </c>
      <c r="T677" s="206">
        <f t="shared" si="139"/>
        <v>0</v>
      </c>
      <c r="U677" s="206">
        <f t="shared" si="139"/>
        <v>0</v>
      </c>
      <c r="V677" s="207" t="str">
        <f t="shared" si="140"/>
        <v/>
      </c>
    </row>
    <row r="678" spans="10:22" x14ac:dyDescent="0.3">
      <c r="J678" s="185" t="str">
        <f t="shared" si="129"/>
        <v/>
      </c>
      <c r="K678" s="185" t="str">
        <f t="shared" si="130"/>
        <v/>
      </c>
      <c r="L678" s="185" t="str">
        <f t="shared" si="131"/>
        <v/>
      </c>
      <c r="M678" s="76" t="str">
        <f t="shared" si="132"/>
        <v/>
      </c>
      <c r="N678" s="26">
        <f t="shared" si="133"/>
        <v>0</v>
      </c>
      <c r="O678" s="235">
        <f t="shared" si="134"/>
        <v>0</v>
      </c>
      <c r="P678" s="235">
        <f t="shared" si="135"/>
        <v>0</v>
      </c>
      <c r="Q678" s="206">
        <f t="shared" si="136"/>
        <v>0</v>
      </c>
      <c r="R678" s="206">
        <f t="shared" si="137"/>
        <v>0</v>
      </c>
      <c r="S678" s="206">
        <f t="shared" si="138"/>
        <v>0</v>
      </c>
      <c r="T678" s="206">
        <f t="shared" si="139"/>
        <v>0</v>
      </c>
      <c r="U678" s="206">
        <f t="shared" si="139"/>
        <v>0</v>
      </c>
      <c r="V678" s="207" t="str">
        <f t="shared" si="140"/>
        <v/>
      </c>
    </row>
    <row r="679" spans="10:22" x14ac:dyDescent="0.3">
      <c r="J679" s="185" t="str">
        <f t="shared" si="129"/>
        <v/>
      </c>
      <c r="K679" s="185" t="str">
        <f t="shared" si="130"/>
        <v/>
      </c>
      <c r="L679" s="185" t="str">
        <f t="shared" si="131"/>
        <v/>
      </c>
      <c r="M679" s="76" t="str">
        <f t="shared" si="132"/>
        <v/>
      </c>
      <c r="N679" s="26">
        <f t="shared" si="133"/>
        <v>0</v>
      </c>
      <c r="O679" s="235">
        <f t="shared" si="134"/>
        <v>0</v>
      </c>
      <c r="P679" s="235">
        <f t="shared" si="135"/>
        <v>0</v>
      </c>
      <c r="Q679" s="206">
        <f t="shared" si="136"/>
        <v>0</v>
      </c>
      <c r="R679" s="206">
        <f t="shared" si="137"/>
        <v>0</v>
      </c>
      <c r="S679" s="206">
        <f t="shared" si="138"/>
        <v>0</v>
      </c>
      <c r="T679" s="206">
        <f t="shared" si="139"/>
        <v>0</v>
      </c>
      <c r="U679" s="206">
        <f t="shared" si="139"/>
        <v>0</v>
      </c>
      <c r="V679" s="207" t="str">
        <f t="shared" si="140"/>
        <v/>
      </c>
    </row>
    <row r="680" spans="10:22" x14ac:dyDescent="0.3">
      <c r="J680" s="185" t="str">
        <f t="shared" si="129"/>
        <v/>
      </c>
      <c r="K680" s="185" t="str">
        <f t="shared" si="130"/>
        <v/>
      </c>
      <c r="L680" s="185" t="str">
        <f t="shared" si="131"/>
        <v/>
      </c>
      <c r="M680" s="76" t="str">
        <f t="shared" si="132"/>
        <v/>
      </c>
      <c r="N680" s="26">
        <f t="shared" si="133"/>
        <v>0</v>
      </c>
      <c r="O680" s="235">
        <f t="shared" si="134"/>
        <v>0</v>
      </c>
      <c r="P680" s="235">
        <f t="shared" si="135"/>
        <v>0</v>
      </c>
      <c r="Q680" s="206">
        <f t="shared" si="136"/>
        <v>0</v>
      </c>
      <c r="R680" s="206">
        <f t="shared" si="137"/>
        <v>0</v>
      </c>
      <c r="S680" s="206">
        <f t="shared" si="138"/>
        <v>0</v>
      </c>
      <c r="T680" s="206">
        <f t="shared" si="139"/>
        <v>0</v>
      </c>
      <c r="U680" s="206">
        <f t="shared" si="139"/>
        <v>0</v>
      </c>
      <c r="V680" s="207" t="str">
        <f t="shared" si="140"/>
        <v/>
      </c>
    </row>
    <row r="681" spans="10:22" x14ac:dyDescent="0.3">
      <c r="J681" s="185" t="str">
        <f t="shared" si="129"/>
        <v/>
      </c>
      <c r="K681" s="185" t="str">
        <f t="shared" si="130"/>
        <v/>
      </c>
      <c r="L681" s="185" t="str">
        <f t="shared" si="131"/>
        <v/>
      </c>
      <c r="M681" s="76" t="str">
        <f t="shared" si="132"/>
        <v/>
      </c>
      <c r="N681" s="26">
        <f t="shared" si="133"/>
        <v>0</v>
      </c>
      <c r="O681" s="235">
        <f t="shared" si="134"/>
        <v>0</v>
      </c>
      <c r="P681" s="235">
        <f t="shared" si="135"/>
        <v>0</v>
      </c>
      <c r="Q681" s="206">
        <f t="shared" si="136"/>
        <v>0</v>
      </c>
      <c r="R681" s="206">
        <f t="shared" si="137"/>
        <v>0</v>
      </c>
      <c r="S681" s="206">
        <f t="shared" si="138"/>
        <v>0</v>
      </c>
      <c r="T681" s="206">
        <f t="shared" si="139"/>
        <v>0</v>
      </c>
      <c r="U681" s="206">
        <f t="shared" si="139"/>
        <v>0</v>
      </c>
      <c r="V681" s="207" t="str">
        <f t="shared" si="140"/>
        <v/>
      </c>
    </row>
    <row r="682" spans="10:22" x14ac:dyDescent="0.3">
      <c r="J682" s="185" t="str">
        <f t="shared" si="129"/>
        <v/>
      </c>
      <c r="K682" s="185" t="str">
        <f t="shared" si="130"/>
        <v/>
      </c>
      <c r="L682" s="185" t="str">
        <f t="shared" si="131"/>
        <v/>
      </c>
      <c r="M682" s="76" t="str">
        <f t="shared" si="132"/>
        <v/>
      </c>
      <c r="N682" s="26">
        <f t="shared" si="133"/>
        <v>0</v>
      </c>
      <c r="O682" s="235">
        <f t="shared" si="134"/>
        <v>0</v>
      </c>
      <c r="P682" s="235">
        <f t="shared" si="135"/>
        <v>0</v>
      </c>
      <c r="Q682" s="206">
        <f t="shared" si="136"/>
        <v>0</v>
      </c>
      <c r="R682" s="206">
        <f t="shared" si="137"/>
        <v>0</v>
      </c>
      <c r="S682" s="206">
        <f t="shared" si="138"/>
        <v>0</v>
      </c>
      <c r="T682" s="206">
        <f t="shared" si="139"/>
        <v>0</v>
      </c>
      <c r="U682" s="206">
        <f t="shared" si="139"/>
        <v>0</v>
      </c>
      <c r="V682" s="207" t="str">
        <f t="shared" si="140"/>
        <v/>
      </c>
    </row>
    <row r="683" spans="10:22" x14ac:dyDescent="0.3">
      <c r="J683" s="185" t="str">
        <f t="shared" si="129"/>
        <v/>
      </c>
      <c r="K683" s="185" t="str">
        <f t="shared" si="130"/>
        <v/>
      </c>
      <c r="L683" s="185" t="str">
        <f t="shared" si="131"/>
        <v/>
      </c>
      <c r="M683" s="76" t="str">
        <f t="shared" si="132"/>
        <v/>
      </c>
      <c r="N683" s="26">
        <f t="shared" si="133"/>
        <v>0</v>
      </c>
      <c r="O683" s="235">
        <f t="shared" si="134"/>
        <v>0</v>
      </c>
      <c r="P683" s="235">
        <f t="shared" si="135"/>
        <v>0</v>
      </c>
      <c r="Q683" s="206">
        <f t="shared" si="136"/>
        <v>0</v>
      </c>
      <c r="R683" s="206">
        <f t="shared" si="137"/>
        <v>0</v>
      </c>
      <c r="S683" s="206">
        <f t="shared" si="138"/>
        <v>0</v>
      </c>
      <c r="T683" s="206">
        <f t="shared" si="139"/>
        <v>0</v>
      </c>
      <c r="U683" s="206">
        <f t="shared" si="139"/>
        <v>0</v>
      </c>
      <c r="V683" s="207" t="str">
        <f t="shared" si="140"/>
        <v/>
      </c>
    </row>
    <row r="684" spans="10:22" x14ac:dyDescent="0.3">
      <c r="J684" s="185" t="str">
        <f t="shared" si="129"/>
        <v/>
      </c>
      <c r="K684" s="185" t="str">
        <f t="shared" si="130"/>
        <v/>
      </c>
      <c r="L684" s="185" t="str">
        <f t="shared" si="131"/>
        <v/>
      </c>
      <c r="M684" s="76" t="str">
        <f t="shared" si="132"/>
        <v/>
      </c>
      <c r="N684" s="26">
        <f t="shared" si="133"/>
        <v>0</v>
      </c>
      <c r="O684" s="235">
        <f t="shared" si="134"/>
        <v>0</v>
      </c>
      <c r="P684" s="235">
        <f t="shared" si="135"/>
        <v>0</v>
      </c>
      <c r="Q684" s="206">
        <f t="shared" si="136"/>
        <v>0</v>
      </c>
      <c r="R684" s="206">
        <f t="shared" si="137"/>
        <v>0</v>
      </c>
      <c r="S684" s="206">
        <f t="shared" si="138"/>
        <v>0</v>
      </c>
      <c r="T684" s="206">
        <f t="shared" si="139"/>
        <v>0</v>
      </c>
      <c r="U684" s="206">
        <f t="shared" si="139"/>
        <v>0</v>
      </c>
      <c r="V684" s="207" t="str">
        <f t="shared" si="140"/>
        <v/>
      </c>
    </row>
    <row r="685" spans="10:22" x14ac:dyDescent="0.3">
      <c r="J685" s="185" t="str">
        <f t="shared" ref="J685:J748" si="141">IFERROR(IF(FIND("Liste des vols",A685),LEN(A685),""),"")</f>
        <v/>
      </c>
      <c r="K685" s="185" t="str">
        <f t="shared" ref="K685:K748" si="142">IF(J685="","",LEFT(A685,3))</f>
        <v/>
      </c>
      <c r="L685" s="185" t="str">
        <f t="shared" ref="L685:L748" si="143">IF(K685&lt;&gt;"",MID(A685,7,3),"")</f>
        <v/>
      </c>
      <c r="M685" s="76" t="str">
        <f t="shared" ref="M685:M748" si="144">IF(K685&lt;&gt;"",CONCATENATE(K685,"/",L685),"")</f>
        <v/>
      </c>
      <c r="N685" s="26">
        <f t="shared" ref="N685:N748" si="145">IF(J685=29,VALUE(LEFT(F685,LEN(F685)-2)),0)</f>
        <v>0</v>
      </c>
      <c r="O685" s="235">
        <f t="shared" ref="O685:O748" si="146">IF(J685=29,-VALUE(G685),0)</f>
        <v>0</v>
      </c>
      <c r="P685" s="235">
        <f t="shared" ref="P685:P748" si="147">IF(J685=29,VALUE(LEFT(H685,LEN(H685)-2)),0)</f>
        <v>0</v>
      </c>
      <c r="Q685" s="206">
        <f t="shared" ref="Q685:Q748" si="148">IFERROR(VALUE(LEFT(RIGHT(A685,LEN(A685)-11),LEN(A685)-28)),0)</f>
        <v>0</v>
      </c>
      <c r="R685" s="206">
        <f t="shared" si="137"/>
        <v>0</v>
      </c>
      <c r="S685" s="206">
        <f t="shared" si="138"/>
        <v>0</v>
      </c>
      <c r="T685" s="206">
        <f t="shared" si="139"/>
        <v>0</v>
      </c>
      <c r="U685" s="206">
        <f t="shared" si="139"/>
        <v>0</v>
      </c>
      <c r="V685" s="207" t="str">
        <f t="shared" si="140"/>
        <v/>
      </c>
    </row>
    <row r="686" spans="10:22" x14ac:dyDescent="0.3">
      <c r="J686" s="185" t="str">
        <f t="shared" si="141"/>
        <v/>
      </c>
      <c r="K686" s="185" t="str">
        <f t="shared" si="142"/>
        <v/>
      </c>
      <c r="L686" s="185" t="str">
        <f t="shared" si="143"/>
        <v/>
      </c>
      <c r="M686" s="76" t="str">
        <f t="shared" si="144"/>
        <v/>
      </c>
      <c r="N686" s="26">
        <f t="shared" si="145"/>
        <v>0</v>
      </c>
      <c r="O686" s="235">
        <f t="shared" si="146"/>
        <v>0</v>
      </c>
      <c r="P686" s="235">
        <f t="shared" si="147"/>
        <v>0</v>
      </c>
      <c r="Q686" s="206">
        <f t="shared" si="148"/>
        <v>0</v>
      </c>
      <c r="R686" s="206">
        <f t="shared" si="137"/>
        <v>0</v>
      </c>
      <c r="S686" s="206">
        <f t="shared" si="138"/>
        <v>0</v>
      </c>
      <c r="T686" s="206">
        <f t="shared" si="139"/>
        <v>0</v>
      </c>
      <c r="U686" s="206">
        <f t="shared" si="139"/>
        <v>0</v>
      </c>
      <c r="V686" s="207" t="str">
        <f t="shared" si="140"/>
        <v/>
      </c>
    </row>
    <row r="687" spans="10:22" x14ac:dyDescent="0.3">
      <c r="J687" s="185" t="str">
        <f t="shared" si="141"/>
        <v/>
      </c>
      <c r="K687" s="185" t="str">
        <f t="shared" si="142"/>
        <v/>
      </c>
      <c r="L687" s="185" t="str">
        <f t="shared" si="143"/>
        <v/>
      </c>
      <c r="M687" s="76" t="str">
        <f t="shared" si="144"/>
        <v/>
      </c>
      <c r="N687" s="26">
        <f t="shared" si="145"/>
        <v>0</v>
      </c>
      <c r="O687" s="235">
        <f t="shared" si="146"/>
        <v>0</v>
      </c>
      <c r="P687" s="235">
        <f t="shared" si="147"/>
        <v>0</v>
      </c>
      <c r="Q687" s="206">
        <f t="shared" si="148"/>
        <v>0</v>
      </c>
      <c r="R687" s="206">
        <f t="shared" si="137"/>
        <v>0</v>
      </c>
      <c r="S687" s="206">
        <f t="shared" si="138"/>
        <v>0</v>
      </c>
      <c r="T687" s="206">
        <f t="shared" si="139"/>
        <v>0</v>
      </c>
      <c r="U687" s="206">
        <f t="shared" si="139"/>
        <v>0</v>
      </c>
      <c r="V687" s="207" t="str">
        <f t="shared" si="140"/>
        <v/>
      </c>
    </row>
    <row r="688" spans="10:22" x14ac:dyDescent="0.3">
      <c r="J688" s="185" t="str">
        <f t="shared" si="141"/>
        <v/>
      </c>
      <c r="K688" s="185" t="str">
        <f t="shared" si="142"/>
        <v/>
      </c>
      <c r="L688" s="185" t="str">
        <f t="shared" si="143"/>
        <v/>
      </c>
      <c r="M688" s="76" t="str">
        <f t="shared" si="144"/>
        <v/>
      </c>
      <c r="N688" s="26">
        <f t="shared" si="145"/>
        <v>0</v>
      </c>
      <c r="O688" s="235">
        <f t="shared" si="146"/>
        <v>0</v>
      </c>
      <c r="P688" s="235">
        <f t="shared" si="147"/>
        <v>0</v>
      </c>
      <c r="Q688" s="206">
        <f t="shared" si="148"/>
        <v>0</v>
      </c>
      <c r="R688" s="206">
        <f t="shared" si="137"/>
        <v>0</v>
      </c>
      <c r="S688" s="206">
        <f t="shared" si="138"/>
        <v>0</v>
      </c>
      <c r="T688" s="206">
        <f t="shared" si="139"/>
        <v>0</v>
      </c>
      <c r="U688" s="206">
        <f t="shared" si="139"/>
        <v>0</v>
      </c>
      <c r="V688" s="207" t="str">
        <f t="shared" si="140"/>
        <v/>
      </c>
    </row>
    <row r="689" spans="10:22" x14ac:dyDescent="0.3">
      <c r="J689" s="185" t="str">
        <f t="shared" si="141"/>
        <v/>
      </c>
      <c r="K689" s="185" t="str">
        <f t="shared" si="142"/>
        <v/>
      </c>
      <c r="L689" s="185" t="str">
        <f t="shared" si="143"/>
        <v/>
      </c>
      <c r="M689" s="76" t="str">
        <f t="shared" si="144"/>
        <v/>
      </c>
      <c r="N689" s="26">
        <f t="shared" si="145"/>
        <v>0</v>
      </c>
      <c r="O689" s="235">
        <f t="shared" si="146"/>
        <v>0</v>
      </c>
      <c r="P689" s="235">
        <f t="shared" si="147"/>
        <v>0</v>
      </c>
      <c r="Q689" s="206">
        <f t="shared" si="148"/>
        <v>0</v>
      </c>
      <c r="R689" s="206">
        <f t="shared" si="137"/>
        <v>0</v>
      </c>
      <c r="S689" s="206">
        <f t="shared" si="138"/>
        <v>0</v>
      </c>
      <c r="T689" s="206">
        <f t="shared" si="139"/>
        <v>0</v>
      </c>
      <c r="U689" s="206">
        <f t="shared" si="139"/>
        <v>0</v>
      </c>
      <c r="V689" s="207" t="str">
        <f t="shared" si="140"/>
        <v/>
      </c>
    </row>
    <row r="690" spans="10:22" x14ac:dyDescent="0.3">
      <c r="J690" s="185" t="str">
        <f t="shared" si="141"/>
        <v/>
      </c>
      <c r="K690" s="185" t="str">
        <f t="shared" si="142"/>
        <v/>
      </c>
      <c r="L690" s="185" t="str">
        <f t="shared" si="143"/>
        <v/>
      </c>
      <c r="M690" s="76" t="str">
        <f t="shared" si="144"/>
        <v/>
      </c>
      <c r="N690" s="26">
        <f t="shared" si="145"/>
        <v>0</v>
      </c>
      <c r="O690" s="235">
        <f t="shared" si="146"/>
        <v>0</v>
      </c>
      <c r="P690" s="235">
        <f t="shared" si="147"/>
        <v>0</v>
      </c>
      <c r="Q690" s="206">
        <f t="shared" si="148"/>
        <v>0</v>
      </c>
      <c r="R690" s="206">
        <f t="shared" si="137"/>
        <v>0</v>
      </c>
      <c r="S690" s="206">
        <f t="shared" si="138"/>
        <v>0</v>
      </c>
      <c r="T690" s="206">
        <f t="shared" si="139"/>
        <v>0</v>
      </c>
      <c r="U690" s="206">
        <f t="shared" si="139"/>
        <v>0</v>
      </c>
      <c r="V690" s="207" t="str">
        <f t="shared" si="140"/>
        <v/>
      </c>
    </row>
    <row r="691" spans="10:22" x14ac:dyDescent="0.3">
      <c r="J691" s="185" t="str">
        <f t="shared" si="141"/>
        <v/>
      </c>
      <c r="K691" s="185" t="str">
        <f t="shared" si="142"/>
        <v/>
      </c>
      <c r="L691" s="185" t="str">
        <f t="shared" si="143"/>
        <v/>
      </c>
      <c r="M691" s="76" t="str">
        <f t="shared" si="144"/>
        <v/>
      </c>
      <c r="N691" s="26">
        <f t="shared" si="145"/>
        <v>0</v>
      </c>
      <c r="O691" s="235">
        <f t="shared" si="146"/>
        <v>0</v>
      </c>
      <c r="P691" s="235">
        <f t="shared" si="147"/>
        <v>0</v>
      </c>
      <c r="Q691" s="206">
        <f t="shared" si="148"/>
        <v>0</v>
      </c>
      <c r="R691" s="206">
        <f t="shared" si="137"/>
        <v>0</v>
      </c>
      <c r="S691" s="206">
        <f t="shared" si="138"/>
        <v>0</v>
      </c>
      <c r="T691" s="206">
        <f t="shared" si="139"/>
        <v>0</v>
      </c>
      <c r="U691" s="206">
        <f t="shared" si="139"/>
        <v>0</v>
      </c>
      <c r="V691" s="207" t="str">
        <f t="shared" si="140"/>
        <v/>
      </c>
    </row>
    <row r="692" spans="10:22" x14ac:dyDescent="0.3">
      <c r="J692" s="185" t="str">
        <f t="shared" si="141"/>
        <v/>
      </c>
      <c r="K692" s="185" t="str">
        <f t="shared" si="142"/>
        <v/>
      </c>
      <c r="L692" s="185" t="str">
        <f t="shared" si="143"/>
        <v/>
      </c>
      <c r="M692" s="76" t="str">
        <f t="shared" si="144"/>
        <v/>
      </c>
      <c r="N692" s="26">
        <f t="shared" si="145"/>
        <v>0</v>
      </c>
      <c r="O692" s="235">
        <f t="shared" si="146"/>
        <v>0</v>
      </c>
      <c r="P692" s="235">
        <f t="shared" si="147"/>
        <v>0</v>
      </c>
      <c r="Q692" s="206">
        <f t="shared" si="148"/>
        <v>0</v>
      </c>
      <c r="R692" s="206">
        <f t="shared" si="137"/>
        <v>0</v>
      </c>
      <c r="S692" s="206">
        <f t="shared" si="138"/>
        <v>0</v>
      </c>
      <c r="T692" s="206">
        <f t="shared" si="139"/>
        <v>0</v>
      </c>
      <c r="U692" s="206">
        <f t="shared" si="139"/>
        <v>0</v>
      </c>
      <c r="V692" s="207" t="str">
        <f t="shared" si="140"/>
        <v/>
      </c>
    </row>
    <row r="693" spans="10:22" x14ac:dyDescent="0.3">
      <c r="J693" s="185" t="str">
        <f t="shared" si="141"/>
        <v/>
      </c>
      <c r="K693" s="185" t="str">
        <f t="shared" si="142"/>
        <v/>
      </c>
      <c r="L693" s="185" t="str">
        <f t="shared" si="143"/>
        <v/>
      </c>
      <c r="M693" s="76" t="str">
        <f t="shared" si="144"/>
        <v/>
      </c>
      <c r="N693" s="26">
        <f t="shared" si="145"/>
        <v>0</v>
      </c>
      <c r="O693" s="235">
        <f t="shared" si="146"/>
        <v>0</v>
      </c>
      <c r="P693" s="235">
        <f t="shared" si="147"/>
        <v>0</v>
      </c>
      <c r="Q693" s="206">
        <f t="shared" si="148"/>
        <v>0</v>
      </c>
      <c r="R693" s="206">
        <f t="shared" si="137"/>
        <v>0</v>
      </c>
      <c r="S693" s="206">
        <f t="shared" si="138"/>
        <v>0</v>
      </c>
      <c r="T693" s="206">
        <f t="shared" si="139"/>
        <v>0</v>
      </c>
      <c r="U693" s="206">
        <f t="shared" si="139"/>
        <v>0</v>
      </c>
      <c r="V693" s="207" t="str">
        <f t="shared" si="140"/>
        <v/>
      </c>
    </row>
    <row r="694" spans="10:22" x14ac:dyDescent="0.3">
      <c r="J694" s="185" t="str">
        <f t="shared" si="141"/>
        <v/>
      </c>
      <c r="K694" s="185" t="str">
        <f t="shared" si="142"/>
        <v/>
      </c>
      <c r="L694" s="185" t="str">
        <f t="shared" si="143"/>
        <v/>
      </c>
      <c r="M694" s="76" t="str">
        <f t="shared" si="144"/>
        <v/>
      </c>
      <c r="N694" s="26">
        <f t="shared" si="145"/>
        <v>0</v>
      </c>
      <c r="O694" s="235">
        <f t="shared" si="146"/>
        <v>0</v>
      </c>
      <c r="P694" s="235">
        <f t="shared" si="147"/>
        <v>0</v>
      </c>
      <c r="Q694" s="206">
        <f t="shared" si="148"/>
        <v>0</v>
      </c>
      <c r="R694" s="206">
        <f t="shared" si="137"/>
        <v>0</v>
      </c>
      <c r="S694" s="206">
        <f t="shared" si="138"/>
        <v>0</v>
      </c>
      <c r="T694" s="206">
        <f t="shared" si="139"/>
        <v>0</v>
      </c>
      <c r="U694" s="206">
        <f t="shared" si="139"/>
        <v>0</v>
      </c>
      <c r="V694" s="207" t="str">
        <f t="shared" si="140"/>
        <v/>
      </c>
    </row>
    <row r="695" spans="10:22" x14ac:dyDescent="0.3">
      <c r="J695" s="185" t="str">
        <f t="shared" si="141"/>
        <v/>
      </c>
      <c r="K695" s="185" t="str">
        <f t="shared" si="142"/>
        <v/>
      </c>
      <c r="L695" s="185" t="str">
        <f t="shared" si="143"/>
        <v/>
      </c>
      <c r="M695" s="76" t="str">
        <f t="shared" si="144"/>
        <v/>
      </c>
      <c r="N695" s="26">
        <f t="shared" si="145"/>
        <v>0</v>
      </c>
      <c r="O695" s="235">
        <f t="shared" si="146"/>
        <v>0</v>
      </c>
      <c r="P695" s="235">
        <f t="shared" si="147"/>
        <v>0</v>
      </c>
      <c r="Q695" s="206">
        <f t="shared" si="148"/>
        <v>0</v>
      </c>
      <c r="R695" s="206">
        <f t="shared" si="137"/>
        <v>0</v>
      </c>
      <c r="S695" s="206">
        <f t="shared" si="138"/>
        <v>0</v>
      </c>
      <c r="T695" s="206">
        <f t="shared" si="139"/>
        <v>0</v>
      </c>
      <c r="U695" s="206">
        <f t="shared" si="139"/>
        <v>0</v>
      </c>
      <c r="V695" s="207" t="str">
        <f t="shared" si="140"/>
        <v/>
      </c>
    </row>
    <row r="696" spans="10:22" x14ac:dyDescent="0.3">
      <c r="J696" s="185" t="str">
        <f t="shared" si="141"/>
        <v/>
      </c>
      <c r="K696" s="185" t="str">
        <f t="shared" si="142"/>
        <v/>
      </c>
      <c r="L696" s="185" t="str">
        <f t="shared" si="143"/>
        <v/>
      </c>
      <c r="M696" s="76" t="str">
        <f t="shared" si="144"/>
        <v/>
      </c>
      <c r="N696" s="26">
        <f t="shared" si="145"/>
        <v>0</v>
      </c>
      <c r="O696" s="235">
        <f t="shared" si="146"/>
        <v>0</v>
      </c>
      <c r="P696" s="235">
        <f t="shared" si="147"/>
        <v>0</v>
      </c>
      <c r="Q696" s="206">
        <f t="shared" si="148"/>
        <v>0</v>
      </c>
      <c r="R696" s="206">
        <f t="shared" si="137"/>
        <v>0</v>
      </c>
      <c r="S696" s="206">
        <f t="shared" si="138"/>
        <v>0</v>
      </c>
      <c r="T696" s="206">
        <f t="shared" si="139"/>
        <v>0</v>
      </c>
      <c r="U696" s="206">
        <f t="shared" si="139"/>
        <v>0</v>
      </c>
      <c r="V696" s="207" t="str">
        <f t="shared" si="140"/>
        <v/>
      </c>
    </row>
    <row r="697" spans="10:22" x14ac:dyDescent="0.3">
      <c r="J697" s="185" t="str">
        <f t="shared" si="141"/>
        <v/>
      </c>
      <c r="K697" s="185" t="str">
        <f t="shared" si="142"/>
        <v/>
      </c>
      <c r="L697" s="185" t="str">
        <f t="shared" si="143"/>
        <v/>
      </c>
      <c r="M697" s="76" t="str">
        <f t="shared" si="144"/>
        <v/>
      </c>
      <c r="N697" s="26">
        <f t="shared" si="145"/>
        <v>0</v>
      </c>
      <c r="O697" s="235">
        <f t="shared" si="146"/>
        <v>0</v>
      </c>
      <c r="P697" s="235">
        <f t="shared" si="147"/>
        <v>0</v>
      </c>
      <c r="Q697" s="206">
        <f t="shared" si="148"/>
        <v>0</v>
      </c>
      <c r="R697" s="206">
        <f t="shared" si="137"/>
        <v>0</v>
      </c>
      <c r="S697" s="206">
        <f t="shared" si="138"/>
        <v>0</v>
      </c>
      <c r="T697" s="206">
        <f t="shared" si="139"/>
        <v>0</v>
      </c>
      <c r="U697" s="206">
        <f t="shared" si="139"/>
        <v>0</v>
      </c>
      <c r="V697" s="207" t="str">
        <f t="shared" si="140"/>
        <v/>
      </c>
    </row>
    <row r="698" spans="10:22" x14ac:dyDescent="0.3">
      <c r="J698" s="185" t="str">
        <f t="shared" si="141"/>
        <v/>
      </c>
      <c r="K698" s="185" t="str">
        <f t="shared" si="142"/>
        <v/>
      </c>
      <c r="L698" s="185" t="str">
        <f t="shared" si="143"/>
        <v/>
      </c>
      <c r="M698" s="76" t="str">
        <f t="shared" si="144"/>
        <v/>
      </c>
      <c r="N698" s="26">
        <f t="shared" si="145"/>
        <v>0</v>
      </c>
      <c r="O698" s="235">
        <f t="shared" si="146"/>
        <v>0</v>
      </c>
      <c r="P698" s="235">
        <f t="shared" si="147"/>
        <v>0</v>
      </c>
      <c r="Q698" s="206">
        <f t="shared" si="148"/>
        <v>0</v>
      </c>
      <c r="R698" s="206">
        <f t="shared" si="137"/>
        <v>0</v>
      </c>
      <c r="S698" s="206">
        <f t="shared" si="138"/>
        <v>0</v>
      </c>
      <c r="T698" s="206">
        <f t="shared" si="139"/>
        <v>0</v>
      </c>
      <c r="U698" s="206">
        <f t="shared" si="139"/>
        <v>0</v>
      </c>
      <c r="V698" s="207" t="str">
        <f t="shared" si="140"/>
        <v/>
      </c>
    </row>
    <row r="699" spans="10:22" x14ac:dyDescent="0.3">
      <c r="J699" s="185" t="str">
        <f t="shared" si="141"/>
        <v/>
      </c>
      <c r="K699" s="185" t="str">
        <f t="shared" si="142"/>
        <v/>
      </c>
      <c r="L699" s="185" t="str">
        <f t="shared" si="143"/>
        <v/>
      </c>
      <c r="M699" s="76" t="str">
        <f t="shared" si="144"/>
        <v/>
      </c>
      <c r="N699" s="26">
        <f t="shared" si="145"/>
        <v>0</v>
      </c>
      <c r="O699" s="235">
        <f t="shared" si="146"/>
        <v>0</v>
      </c>
      <c r="P699" s="235">
        <f t="shared" si="147"/>
        <v>0</v>
      </c>
      <c r="Q699" s="206">
        <f t="shared" si="148"/>
        <v>0</v>
      </c>
      <c r="R699" s="206">
        <f t="shared" si="137"/>
        <v>0</v>
      </c>
      <c r="S699" s="206">
        <f t="shared" si="138"/>
        <v>0</v>
      </c>
      <c r="T699" s="206">
        <f t="shared" si="139"/>
        <v>0</v>
      </c>
      <c r="U699" s="206">
        <f t="shared" si="139"/>
        <v>0</v>
      </c>
      <c r="V699" s="207" t="str">
        <f t="shared" si="140"/>
        <v/>
      </c>
    </row>
    <row r="700" spans="10:22" x14ac:dyDescent="0.3">
      <c r="J700" s="185" t="str">
        <f t="shared" si="141"/>
        <v/>
      </c>
      <c r="K700" s="185" t="str">
        <f t="shared" si="142"/>
        <v/>
      </c>
      <c r="L700" s="185" t="str">
        <f t="shared" si="143"/>
        <v/>
      </c>
      <c r="M700" s="76" t="str">
        <f t="shared" si="144"/>
        <v/>
      </c>
      <c r="N700" s="26">
        <f t="shared" si="145"/>
        <v>0</v>
      </c>
      <c r="O700" s="235">
        <f t="shared" si="146"/>
        <v>0</v>
      </c>
      <c r="P700" s="235">
        <f t="shared" si="147"/>
        <v>0</v>
      </c>
      <c r="Q700" s="206">
        <f t="shared" si="148"/>
        <v>0</v>
      </c>
      <c r="R700" s="206">
        <f t="shared" si="137"/>
        <v>0</v>
      </c>
      <c r="S700" s="206">
        <f t="shared" si="138"/>
        <v>0</v>
      </c>
      <c r="T700" s="206">
        <f t="shared" si="139"/>
        <v>0</v>
      </c>
      <c r="U700" s="206">
        <f t="shared" si="139"/>
        <v>0</v>
      </c>
      <c r="V700" s="207" t="str">
        <f t="shared" si="140"/>
        <v/>
      </c>
    </row>
    <row r="701" spans="10:22" x14ac:dyDescent="0.3">
      <c r="J701" s="185" t="str">
        <f t="shared" si="141"/>
        <v/>
      </c>
      <c r="K701" s="185" t="str">
        <f t="shared" si="142"/>
        <v/>
      </c>
      <c r="L701" s="185" t="str">
        <f t="shared" si="143"/>
        <v/>
      </c>
      <c r="M701" s="76" t="str">
        <f t="shared" si="144"/>
        <v/>
      </c>
      <c r="N701" s="26">
        <f t="shared" si="145"/>
        <v>0</v>
      </c>
      <c r="O701" s="235">
        <f t="shared" si="146"/>
        <v>0</v>
      </c>
      <c r="P701" s="235">
        <f t="shared" si="147"/>
        <v>0</v>
      </c>
      <c r="Q701" s="206">
        <f t="shared" si="148"/>
        <v>0</v>
      </c>
      <c r="R701" s="206">
        <f t="shared" si="137"/>
        <v>0</v>
      </c>
      <c r="S701" s="206">
        <f t="shared" si="138"/>
        <v>0</v>
      </c>
      <c r="T701" s="206">
        <f t="shared" si="139"/>
        <v>0</v>
      </c>
      <c r="U701" s="206">
        <f t="shared" si="139"/>
        <v>0</v>
      </c>
      <c r="V701" s="207" t="str">
        <f t="shared" si="140"/>
        <v/>
      </c>
    </row>
    <row r="702" spans="10:22" x14ac:dyDescent="0.3">
      <c r="J702" s="185" t="str">
        <f t="shared" si="141"/>
        <v/>
      </c>
      <c r="K702" s="185" t="str">
        <f t="shared" si="142"/>
        <v/>
      </c>
      <c r="L702" s="185" t="str">
        <f t="shared" si="143"/>
        <v/>
      </c>
      <c r="M702" s="76" t="str">
        <f t="shared" si="144"/>
        <v/>
      </c>
      <c r="N702" s="26">
        <f t="shared" si="145"/>
        <v>0</v>
      </c>
      <c r="O702" s="235">
        <f t="shared" si="146"/>
        <v>0</v>
      </c>
      <c r="P702" s="235">
        <f t="shared" si="147"/>
        <v>0</v>
      </c>
      <c r="Q702" s="206">
        <f t="shared" si="148"/>
        <v>0</v>
      </c>
      <c r="R702" s="206">
        <f t="shared" si="137"/>
        <v>0</v>
      </c>
      <c r="S702" s="206">
        <f t="shared" si="138"/>
        <v>0</v>
      </c>
      <c r="T702" s="206">
        <f t="shared" si="139"/>
        <v>0</v>
      </c>
      <c r="U702" s="206">
        <f t="shared" si="139"/>
        <v>0</v>
      </c>
      <c r="V702" s="207" t="str">
        <f t="shared" si="140"/>
        <v/>
      </c>
    </row>
    <row r="703" spans="10:22" x14ac:dyDescent="0.3">
      <c r="J703" s="185" t="str">
        <f t="shared" si="141"/>
        <v/>
      </c>
      <c r="K703" s="185" t="str">
        <f t="shared" si="142"/>
        <v/>
      </c>
      <c r="L703" s="185" t="str">
        <f t="shared" si="143"/>
        <v/>
      </c>
      <c r="M703" s="76" t="str">
        <f t="shared" si="144"/>
        <v/>
      </c>
      <c r="N703" s="26">
        <f t="shared" si="145"/>
        <v>0</v>
      </c>
      <c r="O703" s="235">
        <f t="shared" si="146"/>
        <v>0</v>
      </c>
      <c r="P703" s="235">
        <f t="shared" si="147"/>
        <v>0</v>
      </c>
      <c r="Q703" s="206">
        <f t="shared" si="148"/>
        <v>0</v>
      </c>
      <c r="R703" s="206">
        <f t="shared" si="137"/>
        <v>0</v>
      </c>
      <c r="S703" s="206">
        <f t="shared" si="138"/>
        <v>0</v>
      </c>
      <c r="T703" s="206">
        <f t="shared" si="139"/>
        <v>0</v>
      </c>
      <c r="U703" s="206">
        <f t="shared" si="139"/>
        <v>0</v>
      </c>
      <c r="V703" s="207" t="str">
        <f t="shared" si="140"/>
        <v/>
      </c>
    </row>
    <row r="704" spans="10:22" x14ac:dyDescent="0.3">
      <c r="J704" s="185" t="str">
        <f t="shared" si="141"/>
        <v/>
      </c>
      <c r="K704" s="185" t="str">
        <f t="shared" si="142"/>
        <v/>
      </c>
      <c r="L704" s="185" t="str">
        <f t="shared" si="143"/>
        <v/>
      </c>
      <c r="M704" s="76" t="str">
        <f t="shared" si="144"/>
        <v/>
      </c>
      <c r="N704" s="26">
        <f t="shared" si="145"/>
        <v>0</v>
      </c>
      <c r="O704" s="235">
        <f t="shared" si="146"/>
        <v>0</v>
      </c>
      <c r="P704" s="235">
        <f t="shared" si="147"/>
        <v>0</v>
      </c>
      <c r="Q704" s="206">
        <f t="shared" si="148"/>
        <v>0</v>
      </c>
      <c r="R704" s="206">
        <f t="shared" si="137"/>
        <v>0</v>
      </c>
      <c r="S704" s="206">
        <f t="shared" si="138"/>
        <v>0</v>
      </c>
      <c r="T704" s="206">
        <f t="shared" si="139"/>
        <v>0</v>
      </c>
      <c r="U704" s="206">
        <f t="shared" si="139"/>
        <v>0</v>
      </c>
      <c r="V704" s="207" t="str">
        <f t="shared" si="140"/>
        <v/>
      </c>
    </row>
    <row r="705" spans="10:22" x14ac:dyDescent="0.3">
      <c r="J705" s="185" t="str">
        <f t="shared" si="141"/>
        <v/>
      </c>
      <c r="K705" s="185" t="str">
        <f t="shared" si="142"/>
        <v/>
      </c>
      <c r="L705" s="185" t="str">
        <f t="shared" si="143"/>
        <v/>
      </c>
      <c r="M705" s="76" t="str">
        <f t="shared" si="144"/>
        <v/>
      </c>
      <c r="N705" s="26">
        <f t="shared" si="145"/>
        <v>0</v>
      </c>
      <c r="O705" s="235">
        <f t="shared" si="146"/>
        <v>0</v>
      </c>
      <c r="P705" s="235">
        <f t="shared" si="147"/>
        <v>0</v>
      </c>
      <c r="Q705" s="206">
        <f t="shared" si="148"/>
        <v>0</v>
      </c>
      <c r="R705" s="206">
        <f t="shared" si="137"/>
        <v>0</v>
      </c>
      <c r="S705" s="206">
        <f t="shared" si="138"/>
        <v>0</v>
      </c>
      <c r="T705" s="206">
        <f t="shared" si="139"/>
        <v>0</v>
      </c>
      <c r="U705" s="206">
        <f t="shared" si="139"/>
        <v>0</v>
      </c>
      <c r="V705" s="207" t="str">
        <f t="shared" si="140"/>
        <v/>
      </c>
    </row>
    <row r="706" spans="10:22" x14ac:dyDescent="0.3">
      <c r="J706" s="185" t="str">
        <f t="shared" si="141"/>
        <v/>
      </c>
      <c r="K706" s="185" t="str">
        <f t="shared" si="142"/>
        <v/>
      </c>
      <c r="L706" s="185" t="str">
        <f t="shared" si="143"/>
        <v/>
      </c>
      <c r="M706" s="76" t="str">
        <f t="shared" si="144"/>
        <v/>
      </c>
      <c r="N706" s="26">
        <f t="shared" si="145"/>
        <v>0</v>
      </c>
      <c r="O706" s="235">
        <f t="shared" si="146"/>
        <v>0</v>
      </c>
      <c r="P706" s="235">
        <f t="shared" si="147"/>
        <v>0</v>
      </c>
      <c r="Q706" s="206">
        <f t="shared" si="148"/>
        <v>0</v>
      </c>
      <c r="R706" s="206">
        <f t="shared" si="137"/>
        <v>0</v>
      </c>
      <c r="S706" s="206">
        <f t="shared" si="138"/>
        <v>0</v>
      </c>
      <c r="T706" s="206">
        <f t="shared" si="139"/>
        <v>0</v>
      </c>
      <c r="U706" s="206">
        <f t="shared" si="139"/>
        <v>0</v>
      </c>
      <c r="V706" s="207" t="str">
        <f t="shared" si="140"/>
        <v/>
      </c>
    </row>
    <row r="707" spans="10:22" x14ac:dyDescent="0.3">
      <c r="J707" s="185" t="str">
        <f t="shared" si="141"/>
        <v/>
      </c>
      <c r="K707" s="185" t="str">
        <f t="shared" si="142"/>
        <v/>
      </c>
      <c r="L707" s="185" t="str">
        <f t="shared" si="143"/>
        <v/>
      </c>
      <c r="M707" s="76" t="str">
        <f t="shared" si="144"/>
        <v/>
      </c>
      <c r="N707" s="26">
        <f t="shared" si="145"/>
        <v>0</v>
      </c>
      <c r="O707" s="235">
        <f t="shared" si="146"/>
        <v>0</v>
      </c>
      <c r="P707" s="235">
        <f t="shared" si="147"/>
        <v>0</v>
      </c>
      <c r="Q707" s="206">
        <f t="shared" si="148"/>
        <v>0</v>
      </c>
      <c r="R707" s="206">
        <f t="shared" si="137"/>
        <v>0</v>
      </c>
      <c r="S707" s="206">
        <f t="shared" si="138"/>
        <v>0</v>
      </c>
      <c r="T707" s="206">
        <f t="shared" si="139"/>
        <v>0</v>
      </c>
      <c r="U707" s="206">
        <f t="shared" si="139"/>
        <v>0</v>
      </c>
      <c r="V707" s="207" t="str">
        <f t="shared" si="140"/>
        <v/>
      </c>
    </row>
    <row r="708" spans="10:22" x14ac:dyDescent="0.3">
      <c r="J708" s="185" t="str">
        <f t="shared" si="141"/>
        <v/>
      </c>
      <c r="K708" s="185" t="str">
        <f t="shared" si="142"/>
        <v/>
      </c>
      <c r="L708" s="185" t="str">
        <f t="shared" si="143"/>
        <v/>
      </c>
      <c r="M708" s="76" t="str">
        <f t="shared" si="144"/>
        <v/>
      </c>
      <c r="N708" s="26">
        <f t="shared" si="145"/>
        <v>0</v>
      </c>
      <c r="O708" s="235">
        <f t="shared" si="146"/>
        <v>0</v>
      </c>
      <c r="P708" s="235">
        <f t="shared" si="147"/>
        <v>0</v>
      </c>
      <c r="Q708" s="206">
        <f t="shared" si="148"/>
        <v>0</v>
      </c>
      <c r="R708" s="206">
        <f t="shared" si="137"/>
        <v>0</v>
      </c>
      <c r="S708" s="206">
        <f t="shared" si="138"/>
        <v>0</v>
      </c>
      <c r="T708" s="206">
        <f t="shared" si="139"/>
        <v>0</v>
      </c>
      <c r="U708" s="206">
        <f t="shared" si="139"/>
        <v>0</v>
      </c>
      <c r="V708" s="207" t="str">
        <f t="shared" si="140"/>
        <v/>
      </c>
    </row>
    <row r="709" spans="10:22" x14ac:dyDescent="0.3">
      <c r="J709" s="185" t="str">
        <f t="shared" si="141"/>
        <v/>
      </c>
      <c r="K709" s="185" t="str">
        <f t="shared" si="142"/>
        <v/>
      </c>
      <c r="L709" s="185" t="str">
        <f t="shared" si="143"/>
        <v/>
      </c>
      <c r="M709" s="76" t="str">
        <f t="shared" si="144"/>
        <v/>
      </c>
      <c r="N709" s="26">
        <f t="shared" si="145"/>
        <v>0</v>
      </c>
      <c r="O709" s="235">
        <f t="shared" si="146"/>
        <v>0</v>
      </c>
      <c r="P709" s="235">
        <f t="shared" si="147"/>
        <v>0</v>
      </c>
      <c r="Q709" s="206">
        <f t="shared" si="148"/>
        <v>0</v>
      </c>
      <c r="R709" s="206">
        <f t="shared" si="137"/>
        <v>0</v>
      </c>
      <c r="S709" s="206">
        <f t="shared" si="138"/>
        <v>0</v>
      </c>
      <c r="T709" s="206">
        <f t="shared" si="139"/>
        <v>0</v>
      </c>
      <c r="U709" s="206">
        <f t="shared" si="139"/>
        <v>0</v>
      </c>
      <c r="V709" s="207" t="str">
        <f t="shared" si="140"/>
        <v/>
      </c>
    </row>
    <row r="710" spans="10:22" x14ac:dyDescent="0.3">
      <c r="J710" s="185" t="str">
        <f t="shared" si="141"/>
        <v/>
      </c>
      <c r="K710" s="185" t="str">
        <f t="shared" si="142"/>
        <v/>
      </c>
      <c r="L710" s="185" t="str">
        <f t="shared" si="143"/>
        <v/>
      </c>
      <c r="M710" s="76" t="str">
        <f t="shared" si="144"/>
        <v/>
      </c>
      <c r="N710" s="26">
        <f t="shared" si="145"/>
        <v>0</v>
      </c>
      <c r="O710" s="235">
        <f t="shared" si="146"/>
        <v>0</v>
      </c>
      <c r="P710" s="235">
        <f t="shared" si="147"/>
        <v>0</v>
      </c>
      <c r="Q710" s="206">
        <f t="shared" si="148"/>
        <v>0</v>
      </c>
      <c r="R710" s="206">
        <f t="shared" si="137"/>
        <v>0</v>
      </c>
      <c r="S710" s="206">
        <f t="shared" si="138"/>
        <v>0</v>
      </c>
      <c r="T710" s="206">
        <f t="shared" si="139"/>
        <v>0</v>
      </c>
      <c r="U710" s="206">
        <f t="shared" si="139"/>
        <v>0</v>
      </c>
      <c r="V710" s="207" t="str">
        <f t="shared" si="140"/>
        <v/>
      </c>
    </row>
    <row r="711" spans="10:22" x14ac:dyDescent="0.3">
      <c r="J711" s="185" t="str">
        <f t="shared" si="141"/>
        <v/>
      </c>
      <c r="K711" s="185" t="str">
        <f t="shared" si="142"/>
        <v/>
      </c>
      <c r="L711" s="185" t="str">
        <f t="shared" si="143"/>
        <v/>
      </c>
      <c r="M711" s="76" t="str">
        <f t="shared" si="144"/>
        <v/>
      </c>
      <c r="N711" s="26">
        <f t="shared" si="145"/>
        <v>0</v>
      </c>
      <c r="O711" s="235">
        <f t="shared" si="146"/>
        <v>0</v>
      </c>
      <c r="P711" s="235">
        <f t="shared" si="147"/>
        <v>0</v>
      </c>
      <c r="Q711" s="206">
        <f t="shared" si="148"/>
        <v>0</v>
      </c>
      <c r="R711" s="206">
        <f t="shared" si="137"/>
        <v>0</v>
      </c>
      <c r="S711" s="206">
        <f t="shared" si="138"/>
        <v>0</v>
      </c>
      <c r="T711" s="206">
        <f t="shared" si="139"/>
        <v>0</v>
      </c>
      <c r="U711" s="206">
        <f t="shared" si="139"/>
        <v>0</v>
      </c>
      <c r="V711" s="207" t="str">
        <f t="shared" si="140"/>
        <v/>
      </c>
    </row>
    <row r="712" spans="10:22" x14ac:dyDescent="0.3">
      <c r="J712" s="185" t="str">
        <f t="shared" si="141"/>
        <v/>
      </c>
      <c r="K712" s="185" t="str">
        <f t="shared" si="142"/>
        <v/>
      </c>
      <c r="L712" s="185" t="str">
        <f t="shared" si="143"/>
        <v/>
      </c>
      <c r="M712" s="76" t="str">
        <f t="shared" si="144"/>
        <v/>
      </c>
      <c r="N712" s="26">
        <f t="shared" si="145"/>
        <v>0</v>
      </c>
      <c r="O712" s="235">
        <f t="shared" si="146"/>
        <v>0</v>
      </c>
      <c r="P712" s="235">
        <f t="shared" si="147"/>
        <v>0</v>
      </c>
      <c r="Q712" s="206">
        <f t="shared" si="148"/>
        <v>0</v>
      </c>
      <c r="R712" s="206">
        <f t="shared" si="137"/>
        <v>0</v>
      </c>
      <c r="S712" s="206">
        <f t="shared" si="138"/>
        <v>0</v>
      </c>
      <c r="T712" s="206">
        <f t="shared" si="139"/>
        <v>0</v>
      </c>
      <c r="U712" s="206">
        <f t="shared" si="139"/>
        <v>0</v>
      </c>
      <c r="V712" s="207" t="str">
        <f t="shared" si="140"/>
        <v/>
      </c>
    </row>
    <row r="713" spans="10:22" x14ac:dyDescent="0.3">
      <c r="J713" s="185" t="str">
        <f t="shared" si="141"/>
        <v/>
      </c>
      <c r="K713" s="185" t="str">
        <f t="shared" si="142"/>
        <v/>
      </c>
      <c r="L713" s="185" t="str">
        <f t="shared" si="143"/>
        <v/>
      </c>
      <c r="M713" s="76" t="str">
        <f t="shared" si="144"/>
        <v/>
      </c>
      <c r="N713" s="26">
        <f t="shared" si="145"/>
        <v>0</v>
      </c>
      <c r="O713" s="235">
        <f t="shared" si="146"/>
        <v>0</v>
      </c>
      <c r="P713" s="235">
        <f t="shared" si="147"/>
        <v>0</v>
      </c>
      <c r="Q713" s="206">
        <f t="shared" si="148"/>
        <v>0</v>
      </c>
      <c r="R713" s="206">
        <f t="shared" si="137"/>
        <v>0</v>
      </c>
      <c r="S713" s="206">
        <f t="shared" si="138"/>
        <v>0</v>
      </c>
      <c r="T713" s="206">
        <f t="shared" si="139"/>
        <v>0</v>
      </c>
      <c r="U713" s="206">
        <f t="shared" si="139"/>
        <v>0</v>
      </c>
      <c r="V713" s="207" t="str">
        <f t="shared" si="140"/>
        <v/>
      </c>
    </row>
    <row r="714" spans="10:22" x14ac:dyDescent="0.3">
      <c r="J714" s="185" t="str">
        <f t="shared" si="141"/>
        <v/>
      </c>
      <c r="K714" s="185" t="str">
        <f t="shared" si="142"/>
        <v/>
      </c>
      <c r="L714" s="185" t="str">
        <f t="shared" si="143"/>
        <v/>
      </c>
      <c r="M714" s="76" t="str">
        <f t="shared" si="144"/>
        <v/>
      </c>
      <c r="N714" s="26">
        <f t="shared" si="145"/>
        <v>0</v>
      </c>
      <c r="O714" s="235">
        <f t="shared" si="146"/>
        <v>0</v>
      </c>
      <c r="P714" s="235">
        <f t="shared" si="147"/>
        <v>0</v>
      </c>
      <c r="Q714" s="206">
        <f t="shared" si="148"/>
        <v>0</v>
      </c>
      <c r="R714" s="206">
        <f t="shared" si="137"/>
        <v>0</v>
      </c>
      <c r="S714" s="206">
        <f t="shared" si="138"/>
        <v>0</v>
      </c>
      <c r="T714" s="206">
        <f t="shared" si="139"/>
        <v>0</v>
      </c>
      <c r="U714" s="206">
        <f t="shared" si="139"/>
        <v>0</v>
      </c>
      <c r="V714" s="207" t="str">
        <f t="shared" si="140"/>
        <v/>
      </c>
    </row>
    <row r="715" spans="10:22" x14ac:dyDescent="0.3">
      <c r="J715" s="185" t="str">
        <f t="shared" si="141"/>
        <v/>
      </c>
      <c r="K715" s="185" t="str">
        <f t="shared" si="142"/>
        <v/>
      </c>
      <c r="L715" s="185" t="str">
        <f t="shared" si="143"/>
        <v/>
      </c>
      <c r="M715" s="76" t="str">
        <f t="shared" si="144"/>
        <v/>
      </c>
      <c r="N715" s="26">
        <f t="shared" si="145"/>
        <v>0</v>
      </c>
      <c r="O715" s="235">
        <f t="shared" si="146"/>
        <v>0</v>
      </c>
      <c r="P715" s="235">
        <f t="shared" si="147"/>
        <v>0</v>
      </c>
      <c r="Q715" s="206">
        <f t="shared" si="148"/>
        <v>0</v>
      </c>
      <c r="R715" s="206">
        <f t="shared" si="137"/>
        <v>0</v>
      </c>
      <c r="S715" s="206">
        <f t="shared" si="138"/>
        <v>0</v>
      </c>
      <c r="T715" s="206">
        <f t="shared" si="139"/>
        <v>0</v>
      </c>
      <c r="U715" s="206">
        <f t="shared" si="139"/>
        <v>0</v>
      </c>
      <c r="V715" s="207" t="str">
        <f t="shared" si="140"/>
        <v/>
      </c>
    </row>
    <row r="716" spans="10:22" x14ac:dyDescent="0.3">
      <c r="J716" s="185" t="str">
        <f t="shared" si="141"/>
        <v/>
      </c>
      <c r="K716" s="185" t="str">
        <f t="shared" si="142"/>
        <v/>
      </c>
      <c r="L716" s="185" t="str">
        <f t="shared" si="143"/>
        <v/>
      </c>
      <c r="M716" s="76" t="str">
        <f t="shared" si="144"/>
        <v/>
      </c>
      <c r="N716" s="26">
        <f t="shared" si="145"/>
        <v>0</v>
      </c>
      <c r="O716" s="235">
        <f t="shared" si="146"/>
        <v>0</v>
      </c>
      <c r="P716" s="235">
        <f t="shared" si="147"/>
        <v>0</v>
      </c>
      <c r="Q716" s="206">
        <f t="shared" si="148"/>
        <v>0</v>
      </c>
      <c r="R716" s="206">
        <f t="shared" si="137"/>
        <v>0</v>
      </c>
      <c r="S716" s="206">
        <f t="shared" si="138"/>
        <v>0</v>
      </c>
      <c r="T716" s="206">
        <f t="shared" si="139"/>
        <v>0</v>
      </c>
      <c r="U716" s="206">
        <f t="shared" si="139"/>
        <v>0</v>
      </c>
      <c r="V716" s="207" t="str">
        <f t="shared" si="140"/>
        <v/>
      </c>
    </row>
    <row r="717" spans="10:22" x14ac:dyDescent="0.3">
      <c r="J717" s="185" t="str">
        <f t="shared" si="141"/>
        <v/>
      </c>
      <c r="K717" s="185" t="str">
        <f t="shared" si="142"/>
        <v/>
      </c>
      <c r="L717" s="185" t="str">
        <f t="shared" si="143"/>
        <v/>
      </c>
      <c r="M717" s="76" t="str">
        <f t="shared" si="144"/>
        <v/>
      </c>
      <c r="N717" s="26">
        <f t="shared" si="145"/>
        <v>0</v>
      </c>
      <c r="O717" s="235">
        <f t="shared" si="146"/>
        <v>0</v>
      </c>
      <c r="P717" s="235">
        <f t="shared" si="147"/>
        <v>0</v>
      </c>
      <c r="Q717" s="206">
        <f t="shared" si="148"/>
        <v>0</v>
      </c>
      <c r="R717" s="206">
        <f t="shared" si="137"/>
        <v>0</v>
      </c>
      <c r="S717" s="206">
        <f t="shared" si="138"/>
        <v>0</v>
      </c>
      <c r="T717" s="206">
        <f t="shared" si="139"/>
        <v>0</v>
      </c>
      <c r="U717" s="206">
        <f t="shared" si="139"/>
        <v>0</v>
      </c>
      <c r="V717" s="207" t="str">
        <f t="shared" si="140"/>
        <v/>
      </c>
    </row>
    <row r="718" spans="10:22" x14ac:dyDescent="0.3">
      <c r="J718" s="185" t="str">
        <f t="shared" si="141"/>
        <v/>
      </c>
      <c r="K718" s="185" t="str">
        <f t="shared" si="142"/>
        <v/>
      </c>
      <c r="L718" s="185" t="str">
        <f t="shared" si="143"/>
        <v/>
      </c>
      <c r="M718" s="76" t="str">
        <f t="shared" si="144"/>
        <v/>
      </c>
      <c r="N718" s="26">
        <f t="shared" si="145"/>
        <v>0</v>
      </c>
      <c r="O718" s="235">
        <f t="shared" si="146"/>
        <v>0</v>
      </c>
      <c r="P718" s="235">
        <f t="shared" si="147"/>
        <v>0</v>
      </c>
      <c r="Q718" s="206">
        <f t="shared" si="148"/>
        <v>0</v>
      </c>
      <c r="R718" s="206">
        <f t="shared" si="137"/>
        <v>0</v>
      </c>
      <c r="S718" s="206">
        <f t="shared" si="138"/>
        <v>0</v>
      </c>
      <c r="T718" s="206">
        <f t="shared" si="139"/>
        <v>0</v>
      </c>
      <c r="U718" s="206">
        <f t="shared" si="139"/>
        <v>0</v>
      </c>
      <c r="V718" s="207" t="str">
        <f t="shared" si="140"/>
        <v/>
      </c>
    </row>
    <row r="719" spans="10:22" x14ac:dyDescent="0.3">
      <c r="J719" s="185" t="str">
        <f t="shared" si="141"/>
        <v/>
      </c>
      <c r="K719" s="185" t="str">
        <f t="shared" si="142"/>
        <v/>
      </c>
      <c r="L719" s="185" t="str">
        <f t="shared" si="143"/>
        <v/>
      </c>
      <c r="M719" s="76" t="str">
        <f t="shared" si="144"/>
        <v/>
      </c>
      <c r="N719" s="26">
        <f t="shared" si="145"/>
        <v>0</v>
      </c>
      <c r="O719" s="235">
        <f t="shared" si="146"/>
        <v>0</v>
      </c>
      <c r="P719" s="235">
        <f t="shared" si="147"/>
        <v>0</v>
      </c>
      <c r="Q719" s="206">
        <f t="shared" si="148"/>
        <v>0</v>
      </c>
      <c r="R719" s="206">
        <f t="shared" si="137"/>
        <v>0</v>
      </c>
      <c r="S719" s="206">
        <f t="shared" si="138"/>
        <v>0</v>
      </c>
      <c r="T719" s="206">
        <f t="shared" si="139"/>
        <v>0</v>
      </c>
      <c r="U719" s="206">
        <f t="shared" si="139"/>
        <v>0</v>
      </c>
      <c r="V719" s="207" t="str">
        <f t="shared" si="140"/>
        <v/>
      </c>
    </row>
    <row r="720" spans="10:22" x14ac:dyDescent="0.3">
      <c r="J720" s="185" t="str">
        <f t="shared" si="141"/>
        <v/>
      </c>
      <c r="K720" s="185" t="str">
        <f t="shared" si="142"/>
        <v/>
      </c>
      <c r="L720" s="185" t="str">
        <f t="shared" si="143"/>
        <v/>
      </c>
      <c r="M720" s="76" t="str">
        <f t="shared" si="144"/>
        <v/>
      </c>
      <c r="N720" s="26">
        <f t="shared" si="145"/>
        <v>0</v>
      </c>
      <c r="O720" s="235">
        <f t="shared" si="146"/>
        <v>0</v>
      </c>
      <c r="P720" s="235">
        <f t="shared" si="147"/>
        <v>0</v>
      </c>
      <c r="Q720" s="206">
        <f t="shared" si="148"/>
        <v>0</v>
      </c>
      <c r="R720" s="206">
        <f t="shared" si="137"/>
        <v>0</v>
      </c>
      <c r="S720" s="206">
        <f t="shared" si="138"/>
        <v>0</v>
      </c>
      <c r="T720" s="206">
        <f t="shared" si="139"/>
        <v>0</v>
      </c>
      <c r="U720" s="206">
        <f t="shared" si="139"/>
        <v>0</v>
      </c>
      <c r="V720" s="207" t="str">
        <f t="shared" si="140"/>
        <v/>
      </c>
    </row>
    <row r="721" spans="10:22" x14ac:dyDescent="0.3">
      <c r="J721" s="185" t="str">
        <f t="shared" si="141"/>
        <v/>
      </c>
      <c r="K721" s="185" t="str">
        <f t="shared" si="142"/>
        <v/>
      </c>
      <c r="L721" s="185" t="str">
        <f t="shared" si="143"/>
        <v/>
      </c>
      <c r="M721" s="76" t="str">
        <f t="shared" si="144"/>
        <v/>
      </c>
      <c r="N721" s="26">
        <f t="shared" si="145"/>
        <v>0</v>
      </c>
      <c r="O721" s="235">
        <f t="shared" si="146"/>
        <v>0</v>
      </c>
      <c r="P721" s="235">
        <f t="shared" si="147"/>
        <v>0</v>
      </c>
      <c r="Q721" s="206">
        <f t="shared" si="148"/>
        <v>0</v>
      </c>
      <c r="R721" s="206">
        <f t="shared" si="137"/>
        <v>0</v>
      </c>
      <c r="S721" s="206">
        <f t="shared" si="138"/>
        <v>0</v>
      </c>
      <c r="T721" s="206">
        <f t="shared" si="139"/>
        <v>0</v>
      </c>
      <c r="U721" s="206">
        <f t="shared" si="139"/>
        <v>0</v>
      </c>
      <c r="V721" s="207" t="str">
        <f t="shared" si="140"/>
        <v/>
      </c>
    </row>
    <row r="722" spans="10:22" x14ac:dyDescent="0.3">
      <c r="J722" s="185" t="str">
        <f t="shared" si="141"/>
        <v/>
      </c>
      <c r="K722" s="185" t="str">
        <f t="shared" si="142"/>
        <v/>
      </c>
      <c r="L722" s="185" t="str">
        <f t="shared" si="143"/>
        <v/>
      </c>
      <c r="M722" s="76" t="str">
        <f t="shared" si="144"/>
        <v/>
      </c>
      <c r="N722" s="26">
        <f t="shared" si="145"/>
        <v>0</v>
      </c>
      <c r="O722" s="235">
        <f t="shared" si="146"/>
        <v>0</v>
      </c>
      <c r="P722" s="235">
        <f t="shared" si="147"/>
        <v>0</v>
      </c>
      <c r="Q722" s="206">
        <f t="shared" si="148"/>
        <v>0</v>
      </c>
      <c r="R722" s="206">
        <f t="shared" si="137"/>
        <v>0</v>
      </c>
      <c r="S722" s="206">
        <f t="shared" si="138"/>
        <v>0</v>
      </c>
      <c r="T722" s="206">
        <f t="shared" si="139"/>
        <v>0</v>
      </c>
      <c r="U722" s="206">
        <f t="shared" si="139"/>
        <v>0</v>
      </c>
      <c r="V722" s="207" t="str">
        <f t="shared" si="140"/>
        <v/>
      </c>
    </row>
    <row r="723" spans="10:22" x14ac:dyDescent="0.3">
      <c r="J723" s="185" t="str">
        <f t="shared" si="141"/>
        <v/>
      </c>
      <c r="K723" s="185" t="str">
        <f t="shared" si="142"/>
        <v/>
      </c>
      <c r="L723" s="185" t="str">
        <f t="shared" si="143"/>
        <v/>
      </c>
      <c r="M723" s="76" t="str">
        <f t="shared" si="144"/>
        <v/>
      </c>
      <c r="N723" s="26">
        <f t="shared" si="145"/>
        <v>0</v>
      </c>
      <c r="O723" s="235">
        <f t="shared" si="146"/>
        <v>0</v>
      </c>
      <c r="P723" s="235">
        <f t="shared" si="147"/>
        <v>0</v>
      </c>
      <c r="Q723" s="206">
        <f t="shared" si="148"/>
        <v>0</v>
      </c>
      <c r="R723" s="206">
        <f t="shared" si="137"/>
        <v>0</v>
      </c>
      <c r="S723" s="206">
        <f t="shared" si="138"/>
        <v>0</v>
      </c>
      <c r="T723" s="206">
        <f t="shared" si="139"/>
        <v>0</v>
      </c>
      <c r="U723" s="206">
        <f t="shared" si="139"/>
        <v>0</v>
      </c>
      <c r="V723" s="207" t="str">
        <f t="shared" si="140"/>
        <v/>
      </c>
    </row>
    <row r="724" spans="10:22" x14ac:dyDescent="0.3">
      <c r="J724" s="185" t="str">
        <f t="shared" si="141"/>
        <v/>
      </c>
      <c r="K724" s="185" t="str">
        <f t="shared" si="142"/>
        <v/>
      </c>
      <c r="L724" s="185" t="str">
        <f t="shared" si="143"/>
        <v/>
      </c>
      <c r="M724" s="76" t="str">
        <f t="shared" si="144"/>
        <v/>
      </c>
      <c r="N724" s="26">
        <f t="shared" si="145"/>
        <v>0</v>
      </c>
      <c r="O724" s="235">
        <f t="shared" si="146"/>
        <v>0</v>
      </c>
      <c r="P724" s="235">
        <f t="shared" si="147"/>
        <v>0</v>
      </c>
      <c r="Q724" s="206">
        <f t="shared" si="148"/>
        <v>0</v>
      </c>
      <c r="R724" s="206">
        <f t="shared" si="137"/>
        <v>0</v>
      </c>
      <c r="S724" s="206">
        <f t="shared" si="138"/>
        <v>0</v>
      </c>
      <c r="T724" s="206">
        <f t="shared" si="139"/>
        <v>0</v>
      </c>
      <c r="U724" s="206">
        <f t="shared" si="139"/>
        <v>0</v>
      </c>
      <c r="V724" s="207" t="str">
        <f t="shared" si="140"/>
        <v/>
      </c>
    </row>
    <row r="725" spans="10:22" x14ac:dyDescent="0.3">
      <c r="J725" s="185" t="str">
        <f t="shared" si="141"/>
        <v/>
      </c>
      <c r="K725" s="185" t="str">
        <f t="shared" si="142"/>
        <v/>
      </c>
      <c r="L725" s="185" t="str">
        <f t="shared" si="143"/>
        <v/>
      </c>
      <c r="M725" s="76" t="str">
        <f t="shared" si="144"/>
        <v/>
      </c>
      <c r="N725" s="26">
        <f t="shared" si="145"/>
        <v>0</v>
      </c>
      <c r="O725" s="235">
        <f t="shared" si="146"/>
        <v>0</v>
      </c>
      <c r="P725" s="235">
        <f t="shared" si="147"/>
        <v>0</v>
      </c>
      <c r="Q725" s="206">
        <f t="shared" si="148"/>
        <v>0</v>
      </c>
      <c r="R725" s="206">
        <f t="shared" si="137"/>
        <v>0</v>
      </c>
      <c r="S725" s="206">
        <f t="shared" si="138"/>
        <v>0</v>
      </c>
      <c r="T725" s="206">
        <f t="shared" si="139"/>
        <v>0</v>
      </c>
      <c r="U725" s="206">
        <f t="shared" si="139"/>
        <v>0</v>
      </c>
      <c r="V725" s="207" t="str">
        <f t="shared" si="140"/>
        <v/>
      </c>
    </row>
    <row r="726" spans="10:22" x14ac:dyDescent="0.3">
      <c r="J726" s="185" t="str">
        <f t="shared" si="141"/>
        <v/>
      </c>
      <c r="K726" s="185" t="str">
        <f t="shared" si="142"/>
        <v/>
      </c>
      <c r="L726" s="185" t="str">
        <f t="shared" si="143"/>
        <v/>
      </c>
      <c r="M726" s="76" t="str">
        <f t="shared" si="144"/>
        <v/>
      </c>
      <c r="N726" s="26">
        <f t="shared" si="145"/>
        <v>0</v>
      </c>
      <c r="O726" s="235">
        <f t="shared" si="146"/>
        <v>0</v>
      </c>
      <c r="P726" s="235">
        <f t="shared" si="147"/>
        <v>0</v>
      </c>
      <c r="Q726" s="206">
        <f t="shared" si="148"/>
        <v>0</v>
      </c>
      <c r="R726" s="206">
        <f t="shared" si="137"/>
        <v>0</v>
      </c>
      <c r="S726" s="206">
        <f t="shared" si="138"/>
        <v>0</v>
      </c>
      <c r="T726" s="206">
        <f t="shared" si="139"/>
        <v>0</v>
      </c>
      <c r="U726" s="206">
        <f t="shared" si="139"/>
        <v>0</v>
      </c>
      <c r="V726" s="207" t="str">
        <f t="shared" si="140"/>
        <v/>
      </c>
    </row>
    <row r="727" spans="10:22" x14ac:dyDescent="0.3">
      <c r="J727" s="185" t="str">
        <f t="shared" si="141"/>
        <v/>
      </c>
      <c r="K727" s="185" t="str">
        <f t="shared" si="142"/>
        <v/>
      </c>
      <c r="L727" s="185" t="str">
        <f t="shared" si="143"/>
        <v/>
      </c>
      <c r="M727" s="76" t="str">
        <f t="shared" si="144"/>
        <v/>
      </c>
      <c r="N727" s="26">
        <f t="shared" si="145"/>
        <v>0</v>
      </c>
      <c r="O727" s="235">
        <f t="shared" si="146"/>
        <v>0</v>
      </c>
      <c r="P727" s="235">
        <f t="shared" si="147"/>
        <v>0</v>
      </c>
      <c r="Q727" s="206">
        <f t="shared" si="148"/>
        <v>0</v>
      </c>
      <c r="R727" s="206">
        <f t="shared" si="137"/>
        <v>0</v>
      </c>
      <c r="S727" s="206">
        <f t="shared" si="138"/>
        <v>0</v>
      </c>
      <c r="T727" s="206">
        <f t="shared" si="139"/>
        <v>0</v>
      </c>
      <c r="U727" s="206">
        <f t="shared" si="139"/>
        <v>0</v>
      </c>
      <c r="V727" s="207" t="str">
        <f t="shared" si="140"/>
        <v/>
      </c>
    </row>
    <row r="728" spans="10:22" x14ac:dyDescent="0.3">
      <c r="J728" s="185" t="str">
        <f t="shared" si="141"/>
        <v/>
      </c>
      <c r="K728" s="185" t="str">
        <f t="shared" si="142"/>
        <v/>
      </c>
      <c r="L728" s="185" t="str">
        <f t="shared" si="143"/>
        <v/>
      </c>
      <c r="M728" s="76" t="str">
        <f t="shared" si="144"/>
        <v/>
      </c>
      <c r="N728" s="26">
        <f t="shared" si="145"/>
        <v>0</v>
      </c>
      <c r="O728" s="235">
        <f t="shared" si="146"/>
        <v>0</v>
      </c>
      <c r="P728" s="235">
        <f t="shared" si="147"/>
        <v>0</v>
      </c>
      <c r="Q728" s="206">
        <f t="shared" si="148"/>
        <v>0</v>
      </c>
      <c r="R728" s="206">
        <f t="shared" si="137"/>
        <v>0</v>
      </c>
      <c r="S728" s="206">
        <f t="shared" si="138"/>
        <v>0</v>
      </c>
      <c r="T728" s="206">
        <f t="shared" si="139"/>
        <v>0</v>
      </c>
      <c r="U728" s="206">
        <f t="shared" si="139"/>
        <v>0</v>
      </c>
      <c r="V728" s="207" t="str">
        <f t="shared" si="140"/>
        <v/>
      </c>
    </row>
    <row r="729" spans="10:22" x14ac:dyDescent="0.3">
      <c r="J729" s="185" t="str">
        <f t="shared" si="141"/>
        <v/>
      </c>
      <c r="K729" s="185" t="str">
        <f t="shared" si="142"/>
        <v/>
      </c>
      <c r="L729" s="185" t="str">
        <f t="shared" si="143"/>
        <v/>
      </c>
      <c r="M729" s="76" t="str">
        <f t="shared" si="144"/>
        <v/>
      </c>
      <c r="N729" s="26">
        <f t="shared" si="145"/>
        <v>0</v>
      </c>
      <c r="O729" s="235">
        <f t="shared" si="146"/>
        <v>0</v>
      </c>
      <c r="P729" s="235">
        <f t="shared" si="147"/>
        <v>0</v>
      </c>
      <c r="Q729" s="206">
        <f t="shared" si="148"/>
        <v>0</v>
      </c>
      <c r="R729" s="206">
        <f t="shared" si="137"/>
        <v>0</v>
      </c>
      <c r="S729" s="206">
        <f t="shared" si="138"/>
        <v>0</v>
      </c>
      <c r="T729" s="206">
        <f t="shared" si="139"/>
        <v>0</v>
      </c>
      <c r="U729" s="206">
        <f t="shared" si="139"/>
        <v>0</v>
      </c>
      <c r="V729" s="207" t="str">
        <f t="shared" si="140"/>
        <v/>
      </c>
    </row>
    <row r="730" spans="10:22" x14ac:dyDescent="0.3">
      <c r="J730" s="185" t="str">
        <f t="shared" si="141"/>
        <v/>
      </c>
      <c r="K730" s="185" t="str">
        <f t="shared" si="142"/>
        <v/>
      </c>
      <c r="L730" s="185" t="str">
        <f t="shared" si="143"/>
        <v/>
      </c>
      <c r="M730" s="76" t="str">
        <f t="shared" si="144"/>
        <v/>
      </c>
      <c r="N730" s="26">
        <f t="shared" si="145"/>
        <v>0</v>
      </c>
      <c r="O730" s="235">
        <f t="shared" si="146"/>
        <v>0</v>
      </c>
      <c r="P730" s="235">
        <f t="shared" si="147"/>
        <v>0</v>
      </c>
      <c r="Q730" s="206">
        <f t="shared" si="148"/>
        <v>0</v>
      </c>
      <c r="R730" s="206">
        <f t="shared" si="137"/>
        <v>0</v>
      </c>
      <c r="S730" s="206">
        <f t="shared" si="138"/>
        <v>0</v>
      </c>
      <c r="T730" s="206">
        <f t="shared" si="139"/>
        <v>0</v>
      </c>
      <c r="U730" s="206">
        <f t="shared" si="139"/>
        <v>0</v>
      </c>
      <c r="V730" s="207" t="str">
        <f t="shared" si="140"/>
        <v/>
      </c>
    </row>
    <row r="731" spans="10:22" x14ac:dyDescent="0.3">
      <c r="J731" s="185" t="str">
        <f t="shared" si="141"/>
        <v/>
      </c>
      <c r="K731" s="185" t="str">
        <f t="shared" si="142"/>
        <v/>
      </c>
      <c r="L731" s="185" t="str">
        <f t="shared" si="143"/>
        <v/>
      </c>
      <c r="M731" s="76" t="str">
        <f t="shared" si="144"/>
        <v/>
      </c>
      <c r="N731" s="26">
        <f t="shared" si="145"/>
        <v>0</v>
      </c>
      <c r="O731" s="235">
        <f t="shared" si="146"/>
        <v>0</v>
      </c>
      <c r="P731" s="235">
        <f t="shared" si="147"/>
        <v>0</v>
      </c>
      <c r="Q731" s="206">
        <f t="shared" si="148"/>
        <v>0</v>
      </c>
      <c r="R731" s="206">
        <f t="shared" ref="R731:R794" si="149">IF($J731=29,VALUE(LEFT(B731,LEN(B731)-2)),0)</f>
        <v>0</v>
      </c>
      <c r="S731" s="206">
        <f t="shared" ref="S731:S794" si="150">IF($J731=29,VALUE(LEFT(C731,LEN(C731)-2)),0)</f>
        <v>0</v>
      </c>
      <c r="T731" s="206">
        <f t="shared" ref="T731:U794" si="151">IF($J731=29,VALUE(LEFT(D731,LEN(D731)-2)),0)</f>
        <v>0</v>
      </c>
      <c r="U731" s="206">
        <f t="shared" si="151"/>
        <v>0</v>
      </c>
      <c r="V731" s="207" t="str">
        <f t="shared" ref="V731:V794" si="152">IFERROR(N731/SUM(R731:U731),"")</f>
        <v/>
      </c>
    </row>
    <row r="732" spans="10:22" x14ac:dyDescent="0.3">
      <c r="J732" s="185" t="str">
        <f t="shared" si="141"/>
        <v/>
      </c>
      <c r="K732" s="185" t="str">
        <f t="shared" si="142"/>
        <v/>
      </c>
      <c r="L732" s="185" t="str">
        <f t="shared" si="143"/>
        <v/>
      </c>
      <c r="M732" s="76" t="str">
        <f t="shared" si="144"/>
        <v/>
      </c>
      <c r="N732" s="26">
        <f t="shared" si="145"/>
        <v>0</v>
      </c>
      <c r="O732" s="235">
        <f t="shared" si="146"/>
        <v>0</v>
      </c>
      <c r="P732" s="235">
        <f t="shared" si="147"/>
        <v>0</v>
      </c>
      <c r="Q732" s="206">
        <f t="shared" si="148"/>
        <v>0</v>
      </c>
      <c r="R732" s="206">
        <f t="shared" si="149"/>
        <v>0</v>
      </c>
      <c r="S732" s="206">
        <f t="shared" si="150"/>
        <v>0</v>
      </c>
      <c r="T732" s="206">
        <f t="shared" si="151"/>
        <v>0</v>
      </c>
      <c r="U732" s="206">
        <f t="shared" si="151"/>
        <v>0</v>
      </c>
      <c r="V732" s="207" t="str">
        <f t="shared" si="152"/>
        <v/>
      </c>
    </row>
    <row r="733" spans="10:22" x14ac:dyDescent="0.3">
      <c r="J733" s="185" t="str">
        <f t="shared" si="141"/>
        <v/>
      </c>
      <c r="K733" s="185" t="str">
        <f t="shared" si="142"/>
        <v/>
      </c>
      <c r="L733" s="185" t="str">
        <f t="shared" si="143"/>
        <v/>
      </c>
      <c r="M733" s="76" t="str">
        <f t="shared" si="144"/>
        <v/>
      </c>
      <c r="N733" s="26">
        <f t="shared" si="145"/>
        <v>0</v>
      </c>
      <c r="O733" s="235">
        <f t="shared" si="146"/>
        <v>0</v>
      </c>
      <c r="P733" s="235">
        <f t="shared" si="147"/>
        <v>0</v>
      </c>
      <c r="Q733" s="206">
        <f t="shared" si="148"/>
        <v>0</v>
      </c>
      <c r="R733" s="206">
        <f t="shared" si="149"/>
        <v>0</v>
      </c>
      <c r="S733" s="206">
        <f t="shared" si="150"/>
        <v>0</v>
      </c>
      <c r="T733" s="206">
        <f t="shared" si="151"/>
        <v>0</v>
      </c>
      <c r="U733" s="206">
        <f t="shared" si="151"/>
        <v>0</v>
      </c>
      <c r="V733" s="207" t="str">
        <f t="shared" si="152"/>
        <v/>
      </c>
    </row>
    <row r="734" spans="10:22" x14ac:dyDescent="0.3">
      <c r="J734" s="185" t="str">
        <f t="shared" si="141"/>
        <v/>
      </c>
      <c r="K734" s="185" t="str">
        <f t="shared" si="142"/>
        <v/>
      </c>
      <c r="L734" s="185" t="str">
        <f t="shared" si="143"/>
        <v/>
      </c>
      <c r="M734" s="76" t="str">
        <f t="shared" si="144"/>
        <v/>
      </c>
      <c r="N734" s="26">
        <f t="shared" si="145"/>
        <v>0</v>
      </c>
      <c r="O734" s="235">
        <f t="shared" si="146"/>
        <v>0</v>
      </c>
      <c r="P734" s="235">
        <f t="shared" si="147"/>
        <v>0</v>
      </c>
      <c r="Q734" s="206">
        <f t="shared" si="148"/>
        <v>0</v>
      </c>
      <c r="R734" s="206">
        <f t="shared" si="149"/>
        <v>0</v>
      </c>
      <c r="S734" s="206">
        <f t="shared" si="150"/>
        <v>0</v>
      </c>
      <c r="T734" s="206">
        <f t="shared" si="151"/>
        <v>0</v>
      </c>
      <c r="U734" s="206">
        <f t="shared" si="151"/>
        <v>0</v>
      </c>
      <c r="V734" s="207" t="str">
        <f t="shared" si="152"/>
        <v/>
      </c>
    </row>
    <row r="735" spans="10:22" x14ac:dyDescent="0.3">
      <c r="J735" s="185" t="str">
        <f t="shared" si="141"/>
        <v/>
      </c>
      <c r="K735" s="185" t="str">
        <f t="shared" si="142"/>
        <v/>
      </c>
      <c r="L735" s="185" t="str">
        <f t="shared" si="143"/>
        <v/>
      </c>
      <c r="M735" s="76" t="str">
        <f t="shared" si="144"/>
        <v/>
      </c>
      <c r="N735" s="26">
        <f t="shared" si="145"/>
        <v>0</v>
      </c>
      <c r="O735" s="235">
        <f t="shared" si="146"/>
        <v>0</v>
      </c>
      <c r="P735" s="235">
        <f t="shared" si="147"/>
        <v>0</v>
      </c>
      <c r="Q735" s="206">
        <f t="shared" si="148"/>
        <v>0</v>
      </c>
      <c r="R735" s="206">
        <f t="shared" si="149"/>
        <v>0</v>
      </c>
      <c r="S735" s="206">
        <f t="shared" si="150"/>
        <v>0</v>
      </c>
      <c r="T735" s="206">
        <f t="shared" si="151"/>
        <v>0</v>
      </c>
      <c r="U735" s="206">
        <f t="shared" si="151"/>
        <v>0</v>
      </c>
      <c r="V735" s="207" t="str">
        <f t="shared" si="152"/>
        <v/>
      </c>
    </row>
    <row r="736" spans="10:22" x14ac:dyDescent="0.3">
      <c r="J736" s="185" t="str">
        <f t="shared" si="141"/>
        <v/>
      </c>
      <c r="K736" s="185" t="str">
        <f t="shared" si="142"/>
        <v/>
      </c>
      <c r="L736" s="185" t="str">
        <f t="shared" si="143"/>
        <v/>
      </c>
      <c r="M736" s="76" t="str">
        <f t="shared" si="144"/>
        <v/>
      </c>
      <c r="N736" s="26">
        <f t="shared" si="145"/>
        <v>0</v>
      </c>
      <c r="O736" s="235">
        <f t="shared" si="146"/>
        <v>0</v>
      </c>
      <c r="P736" s="235">
        <f t="shared" si="147"/>
        <v>0</v>
      </c>
      <c r="Q736" s="206">
        <f t="shared" si="148"/>
        <v>0</v>
      </c>
      <c r="R736" s="206">
        <f t="shared" si="149"/>
        <v>0</v>
      </c>
      <c r="S736" s="206">
        <f t="shared" si="150"/>
        <v>0</v>
      </c>
      <c r="T736" s="206">
        <f t="shared" si="151"/>
        <v>0</v>
      </c>
      <c r="U736" s="206">
        <f t="shared" si="151"/>
        <v>0</v>
      </c>
      <c r="V736" s="207" t="str">
        <f t="shared" si="152"/>
        <v/>
      </c>
    </row>
    <row r="737" spans="10:22" x14ac:dyDescent="0.3">
      <c r="J737" s="185" t="str">
        <f t="shared" si="141"/>
        <v/>
      </c>
      <c r="K737" s="185" t="str">
        <f t="shared" si="142"/>
        <v/>
      </c>
      <c r="L737" s="185" t="str">
        <f t="shared" si="143"/>
        <v/>
      </c>
      <c r="M737" s="76" t="str">
        <f t="shared" si="144"/>
        <v/>
      </c>
      <c r="N737" s="26">
        <f t="shared" si="145"/>
        <v>0</v>
      </c>
      <c r="O737" s="235">
        <f t="shared" si="146"/>
        <v>0</v>
      </c>
      <c r="P737" s="235">
        <f t="shared" si="147"/>
        <v>0</v>
      </c>
      <c r="Q737" s="206">
        <f t="shared" si="148"/>
        <v>0</v>
      </c>
      <c r="R737" s="206">
        <f t="shared" si="149"/>
        <v>0</v>
      </c>
      <c r="S737" s="206">
        <f t="shared" si="150"/>
        <v>0</v>
      </c>
      <c r="T737" s="206">
        <f t="shared" si="151"/>
        <v>0</v>
      </c>
      <c r="U737" s="206">
        <f t="shared" si="151"/>
        <v>0</v>
      </c>
      <c r="V737" s="207" t="str">
        <f t="shared" si="152"/>
        <v/>
      </c>
    </row>
    <row r="738" spans="10:22" x14ac:dyDescent="0.3">
      <c r="J738" s="185" t="str">
        <f t="shared" si="141"/>
        <v/>
      </c>
      <c r="K738" s="185" t="str">
        <f t="shared" si="142"/>
        <v/>
      </c>
      <c r="L738" s="185" t="str">
        <f t="shared" si="143"/>
        <v/>
      </c>
      <c r="M738" s="76" t="str">
        <f t="shared" si="144"/>
        <v/>
      </c>
      <c r="N738" s="26">
        <f t="shared" si="145"/>
        <v>0</v>
      </c>
      <c r="O738" s="235">
        <f t="shared" si="146"/>
        <v>0</v>
      </c>
      <c r="P738" s="235">
        <f t="shared" si="147"/>
        <v>0</v>
      </c>
      <c r="Q738" s="206">
        <f t="shared" si="148"/>
        <v>0</v>
      </c>
      <c r="R738" s="206">
        <f t="shared" si="149"/>
        <v>0</v>
      </c>
      <c r="S738" s="206">
        <f t="shared" si="150"/>
        <v>0</v>
      </c>
      <c r="T738" s="206">
        <f t="shared" si="151"/>
        <v>0</v>
      </c>
      <c r="U738" s="206">
        <f t="shared" si="151"/>
        <v>0</v>
      </c>
      <c r="V738" s="207" t="str">
        <f t="shared" si="152"/>
        <v/>
      </c>
    </row>
    <row r="739" spans="10:22" x14ac:dyDescent="0.3">
      <c r="J739" s="185" t="str">
        <f t="shared" si="141"/>
        <v/>
      </c>
      <c r="K739" s="185" t="str">
        <f t="shared" si="142"/>
        <v/>
      </c>
      <c r="L739" s="185" t="str">
        <f t="shared" si="143"/>
        <v/>
      </c>
      <c r="M739" s="76" t="str">
        <f t="shared" si="144"/>
        <v/>
      </c>
      <c r="N739" s="26">
        <f t="shared" si="145"/>
        <v>0</v>
      </c>
      <c r="O739" s="235">
        <f t="shared" si="146"/>
        <v>0</v>
      </c>
      <c r="P739" s="235">
        <f t="shared" si="147"/>
        <v>0</v>
      </c>
      <c r="Q739" s="206">
        <f t="shared" si="148"/>
        <v>0</v>
      </c>
      <c r="R739" s="206">
        <f t="shared" si="149"/>
        <v>0</v>
      </c>
      <c r="S739" s="206">
        <f t="shared" si="150"/>
        <v>0</v>
      </c>
      <c r="T739" s="206">
        <f t="shared" si="151"/>
        <v>0</v>
      </c>
      <c r="U739" s="206">
        <f t="shared" si="151"/>
        <v>0</v>
      </c>
      <c r="V739" s="207" t="str">
        <f t="shared" si="152"/>
        <v/>
      </c>
    </row>
    <row r="740" spans="10:22" x14ac:dyDescent="0.3">
      <c r="J740" s="185" t="str">
        <f t="shared" si="141"/>
        <v/>
      </c>
      <c r="K740" s="185" t="str">
        <f t="shared" si="142"/>
        <v/>
      </c>
      <c r="L740" s="185" t="str">
        <f t="shared" si="143"/>
        <v/>
      </c>
      <c r="M740" s="76" t="str">
        <f t="shared" si="144"/>
        <v/>
      </c>
      <c r="N740" s="26">
        <f t="shared" si="145"/>
        <v>0</v>
      </c>
      <c r="O740" s="235">
        <f t="shared" si="146"/>
        <v>0</v>
      </c>
      <c r="P740" s="235">
        <f t="shared" si="147"/>
        <v>0</v>
      </c>
      <c r="Q740" s="206">
        <f t="shared" si="148"/>
        <v>0</v>
      </c>
      <c r="R740" s="206">
        <f t="shared" si="149"/>
        <v>0</v>
      </c>
      <c r="S740" s="206">
        <f t="shared" si="150"/>
        <v>0</v>
      </c>
      <c r="T740" s="206">
        <f t="shared" si="151"/>
        <v>0</v>
      </c>
      <c r="U740" s="206">
        <f t="shared" si="151"/>
        <v>0</v>
      </c>
      <c r="V740" s="207" t="str">
        <f t="shared" si="152"/>
        <v/>
      </c>
    </row>
    <row r="741" spans="10:22" x14ac:dyDescent="0.3">
      <c r="J741" s="185" t="str">
        <f t="shared" si="141"/>
        <v/>
      </c>
      <c r="K741" s="185" t="str">
        <f t="shared" si="142"/>
        <v/>
      </c>
      <c r="L741" s="185" t="str">
        <f t="shared" si="143"/>
        <v/>
      </c>
      <c r="M741" s="76" t="str">
        <f t="shared" si="144"/>
        <v/>
      </c>
      <c r="N741" s="26">
        <f t="shared" si="145"/>
        <v>0</v>
      </c>
      <c r="O741" s="235">
        <f t="shared" si="146"/>
        <v>0</v>
      </c>
      <c r="P741" s="235">
        <f t="shared" si="147"/>
        <v>0</v>
      </c>
      <c r="Q741" s="206">
        <f t="shared" si="148"/>
        <v>0</v>
      </c>
      <c r="R741" s="206">
        <f t="shared" si="149"/>
        <v>0</v>
      </c>
      <c r="S741" s="206">
        <f t="shared" si="150"/>
        <v>0</v>
      </c>
      <c r="T741" s="206">
        <f t="shared" si="151"/>
        <v>0</v>
      </c>
      <c r="U741" s="206">
        <f t="shared" si="151"/>
        <v>0</v>
      </c>
      <c r="V741" s="207" t="str">
        <f t="shared" si="152"/>
        <v/>
      </c>
    </row>
    <row r="742" spans="10:22" x14ac:dyDescent="0.3">
      <c r="J742" s="185" t="str">
        <f t="shared" si="141"/>
        <v/>
      </c>
      <c r="K742" s="185" t="str">
        <f t="shared" si="142"/>
        <v/>
      </c>
      <c r="L742" s="185" t="str">
        <f t="shared" si="143"/>
        <v/>
      </c>
      <c r="M742" s="76" t="str">
        <f t="shared" si="144"/>
        <v/>
      </c>
      <c r="N742" s="26">
        <f t="shared" si="145"/>
        <v>0</v>
      </c>
      <c r="O742" s="235">
        <f t="shared" si="146"/>
        <v>0</v>
      </c>
      <c r="P742" s="235">
        <f t="shared" si="147"/>
        <v>0</v>
      </c>
      <c r="Q742" s="206">
        <f t="shared" si="148"/>
        <v>0</v>
      </c>
      <c r="R742" s="206">
        <f t="shared" si="149"/>
        <v>0</v>
      </c>
      <c r="S742" s="206">
        <f t="shared" si="150"/>
        <v>0</v>
      </c>
      <c r="T742" s="206">
        <f t="shared" si="151"/>
        <v>0</v>
      </c>
      <c r="U742" s="206">
        <f t="shared" si="151"/>
        <v>0</v>
      </c>
      <c r="V742" s="207" t="str">
        <f t="shared" si="152"/>
        <v/>
      </c>
    </row>
    <row r="743" spans="10:22" x14ac:dyDescent="0.3">
      <c r="J743" s="185" t="str">
        <f t="shared" si="141"/>
        <v/>
      </c>
      <c r="K743" s="185" t="str">
        <f t="shared" si="142"/>
        <v/>
      </c>
      <c r="L743" s="185" t="str">
        <f t="shared" si="143"/>
        <v/>
      </c>
      <c r="M743" s="76" t="str">
        <f t="shared" si="144"/>
        <v/>
      </c>
      <c r="N743" s="26">
        <f t="shared" si="145"/>
        <v>0</v>
      </c>
      <c r="O743" s="235">
        <f t="shared" si="146"/>
        <v>0</v>
      </c>
      <c r="P743" s="235">
        <f t="shared" si="147"/>
        <v>0</v>
      </c>
      <c r="Q743" s="206">
        <f t="shared" si="148"/>
        <v>0</v>
      </c>
      <c r="R743" s="206">
        <f t="shared" si="149"/>
        <v>0</v>
      </c>
      <c r="S743" s="206">
        <f t="shared" si="150"/>
        <v>0</v>
      </c>
      <c r="T743" s="206">
        <f t="shared" si="151"/>
        <v>0</v>
      </c>
      <c r="U743" s="206">
        <f t="shared" si="151"/>
        <v>0</v>
      </c>
      <c r="V743" s="207" t="str">
        <f t="shared" si="152"/>
        <v/>
      </c>
    </row>
    <row r="744" spans="10:22" x14ac:dyDescent="0.3">
      <c r="J744" s="185" t="str">
        <f t="shared" si="141"/>
        <v/>
      </c>
      <c r="K744" s="185" t="str">
        <f t="shared" si="142"/>
        <v/>
      </c>
      <c r="L744" s="185" t="str">
        <f t="shared" si="143"/>
        <v/>
      </c>
      <c r="M744" s="76" t="str">
        <f t="shared" si="144"/>
        <v/>
      </c>
      <c r="N744" s="26">
        <f t="shared" si="145"/>
        <v>0</v>
      </c>
      <c r="O744" s="235">
        <f t="shared" si="146"/>
        <v>0</v>
      </c>
      <c r="P744" s="235">
        <f t="shared" si="147"/>
        <v>0</v>
      </c>
      <c r="Q744" s="206">
        <f t="shared" si="148"/>
        <v>0</v>
      </c>
      <c r="R744" s="206">
        <f t="shared" si="149"/>
        <v>0</v>
      </c>
      <c r="S744" s="206">
        <f t="shared" si="150"/>
        <v>0</v>
      </c>
      <c r="T744" s="206">
        <f t="shared" si="151"/>
        <v>0</v>
      </c>
      <c r="U744" s="206">
        <f t="shared" si="151"/>
        <v>0</v>
      </c>
      <c r="V744" s="207" t="str">
        <f t="shared" si="152"/>
        <v/>
      </c>
    </row>
    <row r="745" spans="10:22" x14ac:dyDescent="0.3">
      <c r="J745" s="185" t="str">
        <f t="shared" si="141"/>
        <v/>
      </c>
      <c r="K745" s="185" t="str">
        <f t="shared" si="142"/>
        <v/>
      </c>
      <c r="L745" s="185" t="str">
        <f t="shared" si="143"/>
        <v/>
      </c>
      <c r="M745" s="76" t="str">
        <f t="shared" si="144"/>
        <v/>
      </c>
      <c r="N745" s="26">
        <f t="shared" si="145"/>
        <v>0</v>
      </c>
      <c r="O745" s="235">
        <f t="shared" si="146"/>
        <v>0</v>
      </c>
      <c r="P745" s="235">
        <f t="shared" si="147"/>
        <v>0</v>
      </c>
      <c r="Q745" s="206">
        <f t="shared" si="148"/>
        <v>0</v>
      </c>
      <c r="R745" s="206">
        <f t="shared" si="149"/>
        <v>0</v>
      </c>
      <c r="S745" s="206">
        <f t="shared" si="150"/>
        <v>0</v>
      </c>
      <c r="T745" s="206">
        <f t="shared" si="151"/>
        <v>0</v>
      </c>
      <c r="U745" s="206">
        <f t="shared" si="151"/>
        <v>0</v>
      </c>
      <c r="V745" s="207" t="str">
        <f t="shared" si="152"/>
        <v/>
      </c>
    </row>
    <row r="746" spans="10:22" x14ac:dyDescent="0.3">
      <c r="J746" s="185" t="str">
        <f t="shared" si="141"/>
        <v/>
      </c>
      <c r="K746" s="185" t="str">
        <f t="shared" si="142"/>
        <v/>
      </c>
      <c r="L746" s="185" t="str">
        <f t="shared" si="143"/>
        <v/>
      </c>
      <c r="M746" s="76" t="str">
        <f t="shared" si="144"/>
        <v/>
      </c>
      <c r="N746" s="26">
        <f t="shared" si="145"/>
        <v>0</v>
      </c>
      <c r="O746" s="235">
        <f t="shared" si="146"/>
        <v>0</v>
      </c>
      <c r="P746" s="235">
        <f t="shared" si="147"/>
        <v>0</v>
      </c>
      <c r="Q746" s="206">
        <f t="shared" si="148"/>
        <v>0</v>
      </c>
      <c r="R746" s="206">
        <f t="shared" si="149"/>
        <v>0</v>
      </c>
      <c r="S746" s="206">
        <f t="shared" si="150"/>
        <v>0</v>
      </c>
      <c r="T746" s="206">
        <f t="shared" si="151"/>
        <v>0</v>
      </c>
      <c r="U746" s="206">
        <f t="shared" si="151"/>
        <v>0</v>
      </c>
      <c r="V746" s="207" t="str">
        <f t="shared" si="152"/>
        <v/>
      </c>
    </row>
    <row r="747" spans="10:22" x14ac:dyDescent="0.3">
      <c r="J747" s="185" t="str">
        <f t="shared" si="141"/>
        <v/>
      </c>
      <c r="K747" s="185" t="str">
        <f t="shared" si="142"/>
        <v/>
      </c>
      <c r="L747" s="185" t="str">
        <f t="shared" si="143"/>
        <v/>
      </c>
      <c r="M747" s="76" t="str">
        <f t="shared" si="144"/>
        <v/>
      </c>
      <c r="N747" s="26">
        <f t="shared" si="145"/>
        <v>0</v>
      </c>
      <c r="O747" s="235">
        <f t="shared" si="146"/>
        <v>0</v>
      </c>
      <c r="P747" s="235">
        <f t="shared" si="147"/>
        <v>0</v>
      </c>
      <c r="Q747" s="206">
        <f t="shared" si="148"/>
        <v>0</v>
      </c>
      <c r="R747" s="206">
        <f t="shared" si="149"/>
        <v>0</v>
      </c>
      <c r="S747" s="206">
        <f t="shared" si="150"/>
        <v>0</v>
      </c>
      <c r="T747" s="206">
        <f t="shared" si="151"/>
        <v>0</v>
      </c>
      <c r="U747" s="206">
        <f t="shared" si="151"/>
        <v>0</v>
      </c>
      <c r="V747" s="207" t="str">
        <f t="shared" si="152"/>
        <v/>
      </c>
    </row>
    <row r="748" spans="10:22" x14ac:dyDescent="0.3">
      <c r="J748" s="185" t="str">
        <f t="shared" si="141"/>
        <v/>
      </c>
      <c r="K748" s="185" t="str">
        <f t="shared" si="142"/>
        <v/>
      </c>
      <c r="L748" s="185" t="str">
        <f t="shared" si="143"/>
        <v/>
      </c>
      <c r="M748" s="76" t="str">
        <f t="shared" si="144"/>
        <v/>
      </c>
      <c r="N748" s="26">
        <f t="shared" si="145"/>
        <v>0</v>
      </c>
      <c r="O748" s="235">
        <f t="shared" si="146"/>
        <v>0</v>
      </c>
      <c r="P748" s="235">
        <f t="shared" si="147"/>
        <v>0</v>
      </c>
      <c r="Q748" s="206">
        <f t="shared" si="148"/>
        <v>0</v>
      </c>
      <c r="R748" s="206">
        <f t="shared" si="149"/>
        <v>0</v>
      </c>
      <c r="S748" s="206">
        <f t="shared" si="150"/>
        <v>0</v>
      </c>
      <c r="T748" s="206">
        <f t="shared" si="151"/>
        <v>0</v>
      </c>
      <c r="U748" s="206">
        <f t="shared" si="151"/>
        <v>0</v>
      </c>
      <c r="V748" s="207" t="str">
        <f t="shared" si="152"/>
        <v/>
      </c>
    </row>
    <row r="749" spans="10:22" x14ac:dyDescent="0.3">
      <c r="J749" s="185" t="str">
        <f t="shared" ref="J749:J812" si="153">IFERROR(IF(FIND("Liste des vols",A749),LEN(A749),""),"")</f>
        <v/>
      </c>
      <c r="K749" s="185" t="str">
        <f t="shared" ref="K749:K812" si="154">IF(J749="","",LEFT(A749,3))</f>
        <v/>
      </c>
      <c r="L749" s="185" t="str">
        <f t="shared" ref="L749:L812" si="155">IF(K749&lt;&gt;"",MID(A749,7,3),"")</f>
        <v/>
      </c>
      <c r="M749" s="76" t="str">
        <f t="shared" ref="M749:M812" si="156">IF(K749&lt;&gt;"",CONCATENATE(K749,"/",L749),"")</f>
        <v/>
      </c>
      <c r="N749" s="26">
        <f t="shared" ref="N749:N812" si="157">IF(J749=29,VALUE(LEFT(F749,LEN(F749)-2)),0)</f>
        <v>0</v>
      </c>
      <c r="O749" s="235">
        <f t="shared" ref="O749:O812" si="158">IF(J749=29,-VALUE(G749),0)</f>
        <v>0</v>
      </c>
      <c r="P749" s="235">
        <f t="shared" ref="P749:P812" si="159">IF(J749=29,VALUE(LEFT(H749,LEN(H749)-2)),0)</f>
        <v>0</v>
      </c>
      <c r="Q749" s="206">
        <f t="shared" ref="Q749:Q812" si="160">IFERROR(VALUE(LEFT(RIGHT(A749,LEN(A749)-11),LEN(A749)-28)),0)</f>
        <v>0</v>
      </c>
      <c r="R749" s="206">
        <f t="shared" si="149"/>
        <v>0</v>
      </c>
      <c r="S749" s="206">
        <f t="shared" si="150"/>
        <v>0</v>
      </c>
      <c r="T749" s="206">
        <f t="shared" si="151"/>
        <v>0</v>
      </c>
      <c r="U749" s="206">
        <f t="shared" si="151"/>
        <v>0</v>
      </c>
      <c r="V749" s="207" t="str">
        <f t="shared" si="152"/>
        <v/>
      </c>
    </row>
    <row r="750" spans="10:22" x14ac:dyDescent="0.3">
      <c r="J750" s="185" t="str">
        <f t="shared" si="153"/>
        <v/>
      </c>
      <c r="K750" s="185" t="str">
        <f t="shared" si="154"/>
        <v/>
      </c>
      <c r="L750" s="185" t="str">
        <f t="shared" si="155"/>
        <v/>
      </c>
      <c r="M750" s="76" t="str">
        <f t="shared" si="156"/>
        <v/>
      </c>
      <c r="N750" s="26">
        <f t="shared" si="157"/>
        <v>0</v>
      </c>
      <c r="O750" s="235">
        <f t="shared" si="158"/>
        <v>0</v>
      </c>
      <c r="P750" s="235">
        <f t="shared" si="159"/>
        <v>0</v>
      </c>
      <c r="Q750" s="206">
        <f t="shared" si="160"/>
        <v>0</v>
      </c>
      <c r="R750" s="206">
        <f t="shared" si="149"/>
        <v>0</v>
      </c>
      <c r="S750" s="206">
        <f t="shared" si="150"/>
        <v>0</v>
      </c>
      <c r="T750" s="206">
        <f t="shared" si="151"/>
        <v>0</v>
      </c>
      <c r="U750" s="206">
        <f t="shared" si="151"/>
        <v>0</v>
      </c>
      <c r="V750" s="207" t="str">
        <f t="shared" si="152"/>
        <v/>
      </c>
    </row>
    <row r="751" spans="10:22" x14ac:dyDescent="0.3">
      <c r="J751" s="185" t="str">
        <f t="shared" si="153"/>
        <v/>
      </c>
      <c r="K751" s="185" t="str">
        <f t="shared" si="154"/>
        <v/>
      </c>
      <c r="L751" s="185" t="str">
        <f t="shared" si="155"/>
        <v/>
      </c>
      <c r="M751" s="76" t="str">
        <f t="shared" si="156"/>
        <v/>
      </c>
      <c r="N751" s="26">
        <f t="shared" si="157"/>
        <v>0</v>
      </c>
      <c r="O751" s="235">
        <f t="shared" si="158"/>
        <v>0</v>
      </c>
      <c r="P751" s="235">
        <f t="shared" si="159"/>
        <v>0</v>
      </c>
      <c r="Q751" s="206">
        <f t="shared" si="160"/>
        <v>0</v>
      </c>
      <c r="R751" s="206">
        <f t="shared" si="149"/>
        <v>0</v>
      </c>
      <c r="S751" s="206">
        <f t="shared" si="150"/>
        <v>0</v>
      </c>
      <c r="T751" s="206">
        <f t="shared" si="151"/>
        <v>0</v>
      </c>
      <c r="U751" s="206">
        <f t="shared" si="151"/>
        <v>0</v>
      </c>
      <c r="V751" s="207" t="str">
        <f t="shared" si="152"/>
        <v/>
      </c>
    </row>
    <row r="752" spans="10:22" x14ac:dyDescent="0.3">
      <c r="J752" s="185" t="str">
        <f t="shared" si="153"/>
        <v/>
      </c>
      <c r="K752" s="185" t="str">
        <f t="shared" si="154"/>
        <v/>
      </c>
      <c r="L752" s="185" t="str">
        <f t="shared" si="155"/>
        <v/>
      </c>
      <c r="M752" s="76" t="str">
        <f t="shared" si="156"/>
        <v/>
      </c>
      <c r="N752" s="26">
        <f t="shared" si="157"/>
        <v>0</v>
      </c>
      <c r="O752" s="235">
        <f t="shared" si="158"/>
        <v>0</v>
      </c>
      <c r="P752" s="235">
        <f t="shared" si="159"/>
        <v>0</v>
      </c>
      <c r="Q752" s="206">
        <f t="shared" si="160"/>
        <v>0</v>
      </c>
      <c r="R752" s="206">
        <f t="shared" si="149"/>
        <v>0</v>
      </c>
      <c r="S752" s="206">
        <f t="shared" si="150"/>
        <v>0</v>
      </c>
      <c r="T752" s="206">
        <f t="shared" si="151"/>
        <v>0</v>
      </c>
      <c r="U752" s="206">
        <f t="shared" si="151"/>
        <v>0</v>
      </c>
      <c r="V752" s="207" t="str">
        <f t="shared" si="152"/>
        <v/>
      </c>
    </row>
    <row r="753" spans="10:22" x14ac:dyDescent="0.3">
      <c r="J753" s="185" t="str">
        <f t="shared" si="153"/>
        <v/>
      </c>
      <c r="K753" s="185" t="str">
        <f t="shared" si="154"/>
        <v/>
      </c>
      <c r="L753" s="185" t="str">
        <f t="shared" si="155"/>
        <v/>
      </c>
      <c r="M753" s="76" t="str">
        <f t="shared" si="156"/>
        <v/>
      </c>
      <c r="N753" s="26">
        <f t="shared" si="157"/>
        <v>0</v>
      </c>
      <c r="O753" s="235">
        <f t="shared" si="158"/>
        <v>0</v>
      </c>
      <c r="P753" s="235">
        <f t="shared" si="159"/>
        <v>0</v>
      </c>
      <c r="Q753" s="206">
        <f t="shared" si="160"/>
        <v>0</v>
      </c>
      <c r="R753" s="206">
        <f t="shared" si="149"/>
        <v>0</v>
      </c>
      <c r="S753" s="206">
        <f t="shared" si="150"/>
        <v>0</v>
      </c>
      <c r="T753" s="206">
        <f t="shared" si="151"/>
        <v>0</v>
      </c>
      <c r="U753" s="206">
        <f t="shared" si="151"/>
        <v>0</v>
      </c>
      <c r="V753" s="207" t="str">
        <f t="shared" si="152"/>
        <v/>
      </c>
    </row>
    <row r="754" spans="10:22" x14ac:dyDescent="0.3">
      <c r="J754" s="185" t="str">
        <f t="shared" si="153"/>
        <v/>
      </c>
      <c r="K754" s="185" t="str">
        <f t="shared" si="154"/>
        <v/>
      </c>
      <c r="L754" s="185" t="str">
        <f t="shared" si="155"/>
        <v/>
      </c>
      <c r="M754" s="76" t="str">
        <f t="shared" si="156"/>
        <v/>
      </c>
      <c r="N754" s="26">
        <f t="shared" si="157"/>
        <v>0</v>
      </c>
      <c r="O754" s="235">
        <f t="shared" si="158"/>
        <v>0</v>
      </c>
      <c r="P754" s="235">
        <f t="shared" si="159"/>
        <v>0</v>
      </c>
      <c r="Q754" s="206">
        <f t="shared" si="160"/>
        <v>0</v>
      </c>
      <c r="R754" s="206">
        <f t="shared" si="149"/>
        <v>0</v>
      </c>
      <c r="S754" s="206">
        <f t="shared" si="150"/>
        <v>0</v>
      </c>
      <c r="T754" s="206">
        <f t="shared" si="151"/>
        <v>0</v>
      </c>
      <c r="U754" s="206">
        <f t="shared" si="151"/>
        <v>0</v>
      </c>
      <c r="V754" s="207" t="str">
        <f t="shared" si="152"/>
        <v/>
      </c>
    </row>
    <row r="755" spans="10:22" x14ac:dyDescent="0.3">
      <c r="J755" s="185" t="str">
        <f t="shared" si="153"/>
        <v/>
      </c>
      <c r="K755" s="185" t="str">
        <f t="shared" si="154"/>
        <v/>
      </c>
      <c r="L755" s="185" t="str">
        <f t="shared" si="155"/>
        <v/>
      </c>
      <c r="M755" s="76" t="str">
        <f t="shared" si="156"/>
        <v/>
      </c>
      <c r="N755" s="26">
        <f t="shared" si="157"/>
        <v>0</v>
      </c>
      <c r="O755" s="235">
        <f t="shared" si="158"/>
        <v>0</v>
      </c>
      <c r="P755" s="235">
        <f t="shared" si="159"/>
        <v>0</v>
      </c>
      <c r="Q755" s="206">
        <f t="shared" si="160"/>
        <v>0</v>
      </c>
      <c r="R755" s="206">
        <f t="shared" si="149"/>
        <v>0</v>
      </c>
      <c r="S755" s="206">
        <f t="shared" si="150"/>
        <v>0</v>
      </c>
      <c r="T755" s="206">
        <f t="shared" si="151"/>
        <v>0</v>
      </c>
      <c r="U755" s="206">
        <f t="shared" si="151"/>
        <v>0</v>
      </c>
      <c r="V755" s="207" t="str">
        <f t="shared" si="152"/>
        <v/>
      </c>
    </row>
    <row r="756" spans="10:22" x14ac:dyDescent="0.3">
      <c r="J756" s="185" t="str">
        <f t="shared" si="153"/>
        <v/>
      </c>
      <c r="K756" s="185" t="str">
        <f t="shared" si="154"/>
        <v/>
      </c>
      <c r="L756" s="185" t="str">
        <f t="shared" si="155"/>
        <v/>
      </c>
      <c r="M756" s="76" t="str">
        <f t="shared" si="156"/>
        <v/>
      </c>
      <c r="N756" s="26">
        <f t="shared" si="157"/>
        <v>0</v>
      </c>
      <c r="O756" s="235">
        <f t="shared" si="158"/>
        <v>0</v>
      </c>
      <c r="P756" s="235">
        <f t="shared" si="159"/>
        <v>0</v>
      </c>
      <c r="Q756" s="206">
        <f t="shared" si="160"/>
        <v>0</v>
      </c>
      <c r="R756" s="206">
        <f t="shared" si="149"/>
        <v>0</v>
      </c>
      <c r="S756" s="206">
        <f t="shared" si="150"/>
        <v>0</v>
      </c>
      <c r="T756" s="206">
        <f t="shared" si="151"/>
        <v>0</v>
      </c>
      <c r="U756" s="206">
        <f t="shared" si="151"/>
        <v>0</v>
      </c>
      <c r="V756" s="207" t="str">
        <f t="shared" si="152"/>
        <v/>
      </c>
    </row>
    <row r="757" spans="10:22" x14ac:dyDescent="0.3">
      <c r="J757" s="185" t="str">
        <f t="shared" si="153"/>
        <v/>
      </c>
      <c r="K757" s="185" t="str">
        <f t="shared" si="154"/>
        <v/>
      </c>
      <c r="L757" s="185" t="str">
        <f t="shared" si="155"/>
        <v/>
      </c>
      <c r="M757" s="76" t="str">
        <f t="shared" si="156"/>
        <v/>
      </c>
      <c r="N757" s="26">
        <f t="shared" si="157"/>
        <v>0</v>
      </c>
      <c r="O757" s="235">
        <f t="shared" si="158"/>
        <v>0</v>
      </c>
      <c r="P757" s="235">
        <f t="shared" si="159"/>
        <v>0</v>
      </c>
      <c r="Q757" s="206">
        <f t="shared" si="160"/>
        <v>0</v>
      </c>
      <c r="R757" s="206">
        <f t="shared" si="149"/>
        <v>0</v>
      </c>
      <c r="S757" s="206">
        <f t="shared" si="150"/>
        <v>0</v>
      </c>
      <c r="T757" s="206">
        <f t="shared" si="151"/>
        <v>0</v>
      </c>
      <c r="U757" s="206">
        <f t="shared" si="151"/>
        <v>0</v>
      </c>
      <c r="V757" s="207" t="str">
        <f t="shared" si="152"/>
        <v/>
      </c>
    </row>
    <row r="758" spans="10:22" x14ac:dyDescent="0.3">
      <c r="J758" s="185" t="str">
        <f t="shared" si="153"/>
        <v/>
      </c>
      <c r="K758" s="185" t="str">
        <f t="shared" si="154"/>
        <v/>
      </c>
      <c r="L758" s="185" t="str">
        <f t="shared" si="155"/>
        <v/>
      </c>
      <c r="M758" s="76" t="str">
        <f t="shared" si="156"/>
        <v/>
      </c>
      <c r="N758" s="26">
        <f t="shared" si="157"/>
        <v>0</v>
      </c>
      <c r="O758" s="235">
        <f t="shared" si="158"/>
        <v>0</v>
      </c>
      <c r="P758" s="235">
        <f t="shared" si="159"/>
        <v>0</v>
      </c>
      <c r="Q758" s="206">
        <f t="shared" si="160"/>
        <v>0</v>
      </c>
      <c r="R758" s="206">
        <f t="shared" si="149"/>
        <v>0</v>
      </c>
      <c r="S758" s="206">
        <f t="shared" si="150"/>
        <v>0</v>
      </c>
      <c r="T758" s="206">
        <f t="shared" si="151"/>
        <v>0</v>
      </c>
      <c r="U758" s="206">
        <f t="shared" si="151"/>
        <v>0</v>
      </c>
      <c r="V758" s="207" t="str">
        <f t="shared" si="152"/>
        <v/>
      </c>
    </row>
    <row r="759" spans="10:22" x14ac:dyDescent="0.3">
      <c r="J759" s="185" t="str">
        <f t="shared" si="153"/>
        <v/>
      </c>
      <c r="K759" s="185" t="str">
        <f t="shared" si="154"/>
        <v/>
      </c>
      <c r="L759" s="185" t="str">
        <f t="shared" si="155"/>
        <v/>
      </c>
      <c r="M759" s="76" t="str">
        <f t="shared" si="156"/>
        <v/>
      </c>
      <c r="N759" s="26">
        <f t="shared" si="157"/>
        <v>0</v>
      </c>
      <c r="O759" s="235">
        <f t="shared" si="158"/>
        <v>0</v>
      </c>
      <c r="P759" s="235">
        <f t="shared" si="159"/>
        <v>0</v>
      </c>
      <c r="Q759" s="206">
        <f t="shared" si="160"/>
        <v>0</v>
      </c>
      <c r="R759" s="206">
        <f t="shared" si="149"/>
        <v>0</v>
      </c>
      <c r="S759" s="206">
        <f t="shared" si="150"/>
        <v>0</v>
      </c>
      <c r="T759" s="206">
        <f t="shared" si="151"/>
        <v>0</v>
      </c>
      <c r="U759" s="206">
        <f t="shared" si="151"/>
        <v>0</v>
      </c>
      <c r="V759" s="207" t="str">
        <f t="shared" si="152"/>
        <v/>
      </c>
    </row>
    <row r="760" spans="10:22" x14ac:dyDescent="0.3">
      <c r="J760" s="185" t="str">
        <f t="shared" si="153"/>
        <v/>
      </c>
      <c r="K760" s="185" t="str">
        <f t="shared" si="154"/>
        <v/>
      </c>
      <c r="L760" s="185" t="str">
        <f t="shared" si="155"/>
        <v/>
      </c>
      <c r="M760" s="76" t="str">
        <f t="shared" si="156"/>
        <v/>
      </c>
      <c r="N760" s="26">
        <f t="shared" si="157"/>
        <v>0</v>
      </c>
      <c r="O760" s="235">
        <f t="shared" si="158"/>
        <v>0</v>
      </c>
      <c r="P760" s="235">
        <f t="shared" si="159"/>
        <v>0</v>
      </c>
      <c r="Q760" s="206">
        <f t="shared" si="160"/>
        <v>0</v>
      </c>
      <c r="R760" s="206">
        <f t="shared" si="149"/>
        <v>0</v>
      </c>
      <c r="S760" s="206">
        <f t="shared" si="150"/>
        <v>0</v>
      </c>
      <c r="T760" s="206">
        <f t="shared" si="151"/>
        <v>0</v>
      </c>
      <c r="U760" s="206">
        <f t="shared" si="151"/>
        <v>0</v>
      </c>
      <c r="V760" s="207" t="str">
        <f t="shared" si="152"/>
        <v/>
      </c>
    </row>
    <row r="761" spans="10:22" x14ac:dyDescent="0.3">
      <c r="J761" s="185" t="str">
        <f t="shared" si="153"/>
        <v/>
      </c>
      <c r="K761" s="185" t="str">
        <f t="shared" si="154"/>
        <v/>
      </c>
      <c r="L761" s="185" t="str">
        <f t="shared" si="155"/>
        <v/>
      </c>
      <c r="M761" s="76" t="str">
        <f t="shared" si="156"/>
        <v/>
      </c>
      <c r="N761" s="26">
        <f t="shared" si="157"/>
        <v>0</v>
      </c>
      <c r="O761" s="235">
        <f t="shared" si="158"/>
        <v>0</v>
      </c>
      <c r="P761" s="235">
        <f t="shared" si="159"/>
        <v>0</v>
      </c>
      <c r="Q761" s="206">
        <f t="shared" si="160"/>
        <v>0</v>
      </c>
      <c r="R761" s="206">
        <f t="shared" si="149"/>
        <v>0</v>
      </c>
      <c r="S761" s="206">
        <f t="shared" si="150"/>
        <v>0</v>
      </c>
      <c r="T761" s="206">
        <f t="shared" si="151"/>
        <v>0</v>
      </c>
      <c r="U761" s="206">
        <f t="shared" si="151"/>
        <v>0</v>
      </c>
      <c r="V761" s="207" t="str">
        <f t="shared" si="152"/>
        <v/>
      </c>
    </row>
    <row r="762" spans="10:22" x14ac:dyDescent="0.3">
      <c r="J762" s="185" t="str">
        <f t="shared" si="153"/>
        <v/>
      </c>
      <c r="K762" s="185" t="str">
        <f t="shared" si="154"/>
        <v/>
      </c>
      <c r="L762" s="185" t="str">
        <f t="shared" si="155"/>
        <v/>
      </c>
      <c r="M762" s="76" t="str">
        <f t="shared" si="156"/>
        <v/>
      </c>
      <c r="N762" s="26">
        <f t="shared" si="157"/>
        <v>0</v>
      </c>
      <c r="O762" s="235">
        <f t="shared" si="158"/>
        <v>0</v>
      </c>
      <c r="P762" s="235">
        <f t="shared" si="159"/>
        <v>0</v>
      </c>
      <c r="Q762" s="206">
        <f t="shared" si="160"/>
        <v>0</v>
      </c>
      <c r="R762" s="206">
        <f t="shared" si="149"/>
        <v>0</v>
      </c>
      <c r="S762" s="206">
        <f t="shared" si="150"/>
        <v>0</v>
      </c>
      <c r="T762" s="206">
        <f t="shared" si="151"/>
        <v>0</v>
      </c>
      <c r="U762" s="206">
        <f t="shared" si="151"/>
        <v>0</v>
      </c>
      <c r="V762" s="207" t="str">
        <f t="shared" si="152"/>
        <v/>
      </c>
    </row>
    <row r="763" spans="10:22" x14ac:dyDescent="0.3">
      <c r="J763" s="185" t="str">
        <f t="shared" si="153"/>
        <v/>
      </c>
      <c r="K763" s="185" t="str">
        <f t="shared" si="154"/>
        <v/>
      </c>
      <c r="L763" s="185" t="str">
        <f t="shared" si="155"/>
        <v/>
      </c>
      <c r="M763" s="76" t="str">
        <f t="shared" si="156"/>
        <v/>
      </c>
      <c r="N763" s="26">
        <f t="shared" si="157"/>
        <v>0</v>
      </c>
      <c r="O763" s="235">
        <f t="shared" si="158"/>
        <v>0</v>
      </c>
      <c r="P763" s="235">
        <f t="shared" si="159"/>
        <v>0</v>
      </c>
      <c r="Q763" s="206">
        <f t="shared" si="160"/>
        <v>0</v>
      </c>
      <c r="R763" s="206">
        <f t="shared" si="149"/>
        <v>0</v>
      </c>
      <c r="S763" s="206">
        <f t="shared" si="150"/>
        <v>0</v>
      </c>
      <c r="T763" s="206">
        <f t="shared" si="151"/>
        <v>0</v>
      </c>
      <c r="U763" s="206">
        <f t="shared" si="151"/>
        <v>0</v>
      </c>
      <c r="V763" s="207" t="str">
        <f t="shared" si="152"/>
        <v/>
      </c>
    </row>
    <row r="764" spans="10:22" x14ac:dyDescent="0.3">
      <c r="J764" s="185" t="str">
        <f t="shared" si="153"/>
        <v/>
      </c>
      <c r="K764" s="185" t="str">
        <f t="shared" si="154"/>
        <v/>
      </c>
      <c r="L764" s="185" t="str">
        <f t="shared" si="155"/>
        <v/>
      </c>
      <c r="M764" s="76" t="str">
        <f t="shared" si="156"/>
        <v/>
      </c>
      <c r="N764" s="26">
        <f t="shared" si="157"/>
        <v>0</v>
      </c>
      <c r="O764" s="235">
        <f t="shared" si="158"/>
        <v>0</v>
      </c>
      <c r="P764" s="235">
        <f t="shared" si="159"/>
        <v>0</v>
      </c>
      <c r="Q764" s="206">
        <f t="shared" si="160"/>
        <v>0</v>
      </c>
      <c r="R764" s="206">
        <f t="shared" si="149"/>
        <v>0</v>
      </c>
      <c r="S764" s="206">
        <f t="shared" si="150"/>
        <v>0</v>
      </c>
      <c r="T764" s="206">
        <f t="shared" si="151"/>
        <v>0</v>
      </c>
      <c r="U764" s="206">
        <f t="shared" si="151"/>
        <v>0</v>
      </c>
      <c r="V764" s="207" t="str">
        <f t="shared" si="152"/>
        <v/>
      </c>
    </row>
    <row r="765" spans="10:22" x14ac:dyDescent="0.3">
      <c r="J765" s="185" t="str">
        <f t="shared" si="153"/>
        <v/>
      </c>
      <c r="K765" s="185" t="str">
        <f t="shared" si="154"/>
        <v/>
      </c>
      <c r="L765" s="185" t="str">
        <f t="shared" si="155"/>
        <v/>
      </c>
      <c r="M765" s="76" t="str">
        <f t="shared" si="156"/>
        <v/>
      </c>
      <c r="N765" s="26">
        <f t="shared" si="157"/>
        <v>0</v>
      </c>
      <c r="O765" s="235">
        <f t="shared" si="158"/>
        <v>0</v>
      </c>
      <c r="P765" s="235">
        <f t="shared" si="159"/>
        <v>0</v>
      </c>
      <c r="Q765" s="206">
        <f t="shared" si="160"/>
        <v>0</v>
      </c>
      <c r="R765" s="206">
        <f t="shared" si="149"/>
        <v>0</v>
      </c>
      <c r="S765" s="206">
        <f t="shared" si="150"/>
        <v>0</v>
      </c>
      <c r="T765" s="206">
        <f t="shared" si="151"/>
        <v>0</v>
      </c>
      <c r="U765" s="206">
        <f t="shared" si="151"/>
        <v>0</v>
      </c>
      <c r="V765" s="207" t="str">
        <f t="shared" si="152"/>
        <v/>
      </c>
    </row>
    <row r="766" spans="10:22" x14ac:dyDescent="0.3">
      <c r="J766" s="185" t="str">
        <f t="shared" si="153"/>
        <v/>
      </c>
      <c r="K766" s="185" t="str">
        <f t="shared" si="154"/>
        <v/>
      </c>
      <c r="L766" s="185" t="str">
        <f t="shared" si="155"/>
        <v/>
      </c>
      <c r="M766" s="76" t="str">
        <f t="shared" si="156"/>
        <v/>
      </c>
      <c r="N766" s="26">
        <f t="shared" si="157"/>
        <v>0</v>
      </c>
      <c r="O766" s="235">
        <f t="shared" si="158"/>
        <v>0</v>
      </c>
      <c r="P766" s="235">
        <f t="shared" si="159"/>
        <v>0</v>
      </c>
      <c r="Q766" s="206">
        <f t="shared" si="160"/>
        <v>0</v>
      </c>
      <c r="R766" s="206">
        <f t="shared" si="149"/>
        <v>0</v>
      </c>
      <c r="S766" s="206">
        <f t="shared" si="150"/>
        <v>0</v>
      </c>
      <c r="T766" s="206">
        <f t="shared" si="151"/>
        <v>0</v>
      </c>
      <c r="U766" s="206">
        <f t="shared" si="151"/>
        <v>0</v>
      </c>
      <c r="V766" s="207" t="str">
        <f t="shared" si="152"/>
        <v/>
      </c>
    </row>
    <row r="767" spans="10:22" x14ac:dyDescent="0.3">
      <c r="J767" s="185" t="str">
        <f t="shared" si="153"/>
        <v/>
      </c>
      <c r="K767" s="185" t="str">
        <f t="shared" si="154"/>
        <v/>
      </c>
      <c r="L767" s="185" t="str">
        <f t="shared" si="155"/>
        <v/>
      </c>
      <c r="M767" s="76" t="str">
        <f t="shared" si="156"/>
        <v/>
      </c>
      <c r="N767" s="26">
        <f t="shared" si="157"/>
        <v>0</v>
      </c>
      <c r="O767" s="235">
        <f t="shared" si="158"/>
        <v>0</v>
      </c>
      <c r="P767" s="235">
        <f t="shared" si="159"/>
        <v>0</v>
      </c>
      <c r="Q767" s="206">
        <f t="shared" si="160"/>
        <v>0</v>
      </c>
      <c r="R767" s="206">
        <f t="shared" si="149"/>
        <v>0</v>
      </c>
      <c r="S767" s="206">
        <f t="shared" si="150"/>
        <v>0</v>
      </c>
      <c r="T767" s="206">
        <f t="shared" si="151"/>
        <v>0</v>
      </c>
      <c r="U767" s="206">
        <f t="shared" si="151"/>
        <v>0</v>
      </c>
      <c r="V767" s="207" t="str">
        <f t="shared" si="152"/>
        <v/>
      </c>
    </row>
    <row r="768" spans="10:22" x14ac:dyDescent="0.3">
      <c r="J768" s="185" t="str">
        <f t="shared" si="153"/>
        <v/>
      </c>
      <c r="K768" s="185" t="str">
        <f t="shared" si="154"/>
        <v/>
      </c>
      <c r="L768" s="185" t="str">
        <f t="shared" si="155"/>
        <v/>
      </c>
      <c r="M768" s="76" t="str">
        <f t="shared" si="156"/>
        <v/>
      </c>
      <c r="N768" s="26">
        <f t="shared" si="157"/>
        <v>0</v>
      </c>
      <c r="O768" s="235">
        <f t="shared" si="158"/>
        <v>0</v>
      </c>
      <c r="P768" s="235">
        <f t="shared" si="159"/>
        <v>0</v>
      </c>
      <c r="Q768" s="206">
        <f t="shared" si="160"/>
        <v>0</v>
      </c>
      <c r="R768" s="206">
        <f t="shared" si="149"/>
        <v>0</v>
      </c>
      <c r="S768" s="206">
        <f t="shared" si="150"/>
        <v>0</v>
      </c>
      <c r="T768" s="206">
        <f t="shared" si="151"/>
        <v>0</v>
      </c>
      <c r="U768" s="206">
        <f t="shared" si="151"/>
        <v>0</v>
      </c>
      <c r="V768" s="207" t="str">
        <f t="shared" si="152"/>
        <v/>
      </c>
    </row>
    <row r="769" spans="10:22" x14ac:dyDescent="0.3">
      <c r="J769" s="185" t="str">
        <f t="shared" si="153"/>
        <v/>
      </c>
      <c r="K769" s="185" t="str">
        <f t="shared" si="154"/>
        <v/>
      </c>
      <c r="L769" s="185" t="str">
        <f t="shared" si="155"/>
        <v/>
      </c>
      <c r="M769" s="76" t="str">
        <f t="shared" si="156"/>
        <v/>
      </c>
      <c r="N769" s="26">
        <f t="shared" si="157"/>
        <v>0</v>
      </c>
      <c r="O769" s="235">
        <f t="shared" si="158"/>
        <v>0</v>
      </c>
      <c r="P769" s="235">
        <f t="shared" si="159"/>
        <v>0</v>
      </c>
      <c r="Q769" s="206">
        <f t="shared" si="160"/>
        <v>0</v>
      </c>
      <c r="R769" s="206">
        <f t="shared" si="149"/>
        <v>0</v>
      </c>
      <c r="S769" s="206">
        <f t="shared" si="150"/>
        <v>0</v>
      </c>
      <c r="T769" s="206">
        <f t="shared" si="151"/>
        <v>0</v>
      </c>
      <c r="U769" s="206">
        <f t="shared" si="151"/>
        <v>0</v>
      </c>
      <c r="V769" s="207" t="str">
        <f t="shared" si="152"/>
        <v/>
      </c>
    </row>
    <row r="770" spans="10:22" x14ac:dyDescent="0.3">
      <c r="J770" s="185" t="str">
        <f t="shared" si="153"/>
        <v/>
      </c>
      <c r="K770" s="185" t="str">
        <f t="shared" si="154"/>
        <v/>
      </c>
      <c r="L770" s="185" t="str">
        <f t="shared" si="155"/>
        <v/>
      </c>
      <c r="M770" s="76" t="str">
        <f t="shared" si="156"/>
        <v/>
      </c>
      <c r="N770" s="26">
        <f t="shared" si="157"/>
        <v>0</v>
      </c>
      <c r="O770" s="235">
        <f t="shared" si="158"/>
        <v>0</v>
      </c>
      <c r="P770" s="235">
        <f t="shared" si="159"/>
        <v>0</v>
      </c>
      <c r="Q770" s="206">
        <f t="shared" si="160"/>
        <v>0</v>
      </c>
      <c r="R770" s="206">
        <f t="shared" si="149"/>
        <v>0</v>
      </c>
      <c r="S770" s="206">
        <f t="shared" si="150"/>
        <v>0</v>
      </c>
      <c r="T770" s="206">
        <f t="shared" si="151"/>
        <v>0</v>
      </c>
      <c r="U770" s="206">
        <f t="shared" si="151"/>
        <v>0</v>
      </c>
      <c r="V770" s="207" t="str">
        <f t="shared" si="152"/>
        <v/>
      </c>
    </row>
    <row r="771" spans="10:22" x14ac:dyDescent="0.3">
      <c r="J771" s="185" t="str">
        <f t="shared" si="153"/>
        <v/>
      </c>
      <c r="K771" s="185" t="str">
        <f t="shared" si="154"/>
        <v/>
      </c>
      <c r="L771" s="185" t="str">
        <f t="shared" si="155"/>
        <v/>
      </c>
      <c r="M771" s="76" t="str">
        <f t="shared" si="156"/>
        <v/>
      </c>
      <c r="N771" s="26">
        <f t="shared" si="157"/>
        <v>0</v>
      </c>
      <c r="O771" s="235">
        <f t="shared" si="158"/>
        <v>0</v>
      </c>
      <c r="P771" s="235">
        <f t="shared" si="159"/>
        <v>0</v>
      </c>
      <c r="Q771" s="206">
        <f t="shared" si="160"/>
        <v>0</v>
      </c>
      <c r="R771" s="206">
        <f t="shared" si="149"/>
        <v>0</v>
      </c>
      <c r="S771" s="206">
        <f t="shared" si="150"/>
        <v>0</v>
      </c>
      <c r="T771" s="206">
        <f t="shared" si="151"/>
        <v>0</v>
      </c>
      <c r="U771" s="206">
        <f t="shared" si="151"/>
        <v>0</v>
      </c>
      <c r="V771" s="207" t="str">
        <f t="shared" si="152"/>
        <v/>
      </c>
    </row>
    <row r="772" spans="10:22" x14ac:dyDescent="0.3">
      <c r="J772" s="185" t="str">
        <f t="shared" si="153"/>
        <v/>
      </c>
      <c r="K772" s="185" t="str">
        <f t="shared" si="154"/>
        <v/>
      </c>
      <c r="L772" s="185" t="str">
        <f t="shared" si="155"/>
        <v/>
      </c>
      <c r="M772" s="76" t="str">
        <f t="shared" si="156"/>
        <v/>
      </c>
      <c r="N772" s="26">
        <f t="shared" si="157"/>
        <v>0</v>
      </c>
      <c r="O772" s="235">
        <f t="shared" si="158"/>
        <v>0</v>
      </c>
      <c r="P772" s="235">
        <f t="shared" si="159"/>
        <v>0</v>
      </c>
      <c r="Q772" s="206">
        <f t="shared" si="160"/>
        <v>0</v>
      </c>
      <c r="R772" s="206">
        <f t="shared" si="149"/>
        <v>0</v>
      </c>
      <c r="S772" s="206">
        <f t="shared" si="150"/>
        <v>0</v>
      </c>
      <c r="T772" s="206">
        <f t="shared" si="151"/>
        <v>0</v>
      </c>
      <c r="U772" s="206">
        <f t="shared" si="151"/>
        <v>0</v>
      </c>
      <c r="V772" s="207" t="str">
        <f t="shared" si="152"/>
        <v/>
      </c>
    </row>
    <row r="773" spans="10:22" x14ac:dyDescent="0.3">
      <c r="J773" s="185" t="str">
        <f t="shared" si="153"/>
        <v/>
      </c>
      <c r="K773" s="185" t="str">
        <f t="shared" si="154"/>
        <v/>
      </c>
      <c r="L773" s="185" t="str">
        <f t="shared" si="155"/>
        <v/>
      </c>
      <c r="M773" s="76" t="str">
        <f t="shared" si="156"/>
        <v/>
      </c>
      <c r="N773" s="26">
        <f t="shared" si="157"/>
        <v>0</v>
      </c>
      <c r="O773" s="235">
        <f t="shared" si="158"/>
        <v>0</v>
      </c>
      <c r="P773" s="235">
        <f t="shared" si="159"/>
        <v>0</v>
      </c>
      <c r="Q773" s="206">
        <f t="shared" si="160"/>
        <v>0</v>
      </c>
      <c r="R773" s="206">
        <f t="shared" si="149"/>
        <v>0</v>
      </c>
      <c r="S773" s="206">
        <f t="shared" si="150"/>
        <v>0</v>
      </c>
      <c r="T773" s="206">
        <f t="shared" si="151"/>
        <v>0</v>
      </c>
      <c r="U773" s="206">
        <f t="shared" si="151"/>
        <v>0</v>
      </c>
      <c r="V773" s="207" t="str">
        <f t="shared" si="152"/>
        <v/>
      </c>
    </row>
    <row r="774" spans="10:22" x14ac:dyDescent="0.3">
      <c r="J774" s="185" t="str">
        <f t="shared" si="153"/>
        <v/>
      </c>
      <c r="K774" s="185" t="str">
        <f t="shared" si="154"/>
        <v/>
      </c>
      <c r="L774" s="185" t="str">
        <f t="shared" si="155"/>
        <v/>
      </c>
      <c r="M774" s="76" t="str">
        <f t="shared" si="156"/>
        <v/>
      </c>
      <c r="N774" s="26">
        <f t="shared" si="157"/>
        <v>0</v>
      </c>
      <c r="O774" s="235">
        <f t="shared" si="158"/>
        <v>0</v>
      </c>
      <c r="P774" s="235">
        <f t="shared" si="159"/>
        <v>0</v>
      </c>
      <c r="Q774" s="206">
        <f t="shared" si="160"/>
        <v>0</v>
      </c>
      <c r="R774" s="206">
        <f t="shared" si="149"/>
        <v>0</v>
      </c>
      <c r="S774" s="206">
        <f t="shared" si="150"/>
        <v>0</v>
      </c>
      <c r="T774" s="206">
        <f t="shared" si="151"/>
        <v>0</v>
      </c>
      <c r="U774" s="206">
        <f t="shared" si="151"/>
        <v>0</v>
      </c>
      <c r="V774" s="207" t="str">
        <f t="shared" si="152"/>
        <v/>
      </c>
    </row>
    <row r="775" spans="10:22" x14ac:dyDescent="0.3">
      <c r="J775" s="185" t="str">
        <f t="shared" si="153"/>
        <v/>
      </c>
      <c r="K775" s="185" t="str">
        <f t="shared" si="154"/>
        <v/>
      </c>
      <c r="L775" s="185" t="str">
        <f t="shared" si="155"/>
        <v/>
      </c>
      <c r="M775" s="76" t="str">
        <f t="shared" si="156"/>
        <v/>
      </c>
      <c r="N775" s="26">
        <f t="shared" si="157"/>
        <v>0</v>
      </c>
      <c r="O775" s="235">
        <f t="shared" si="158"/>
        <v>0</v>
      </c>
      <c r="P775" s="235">
        <f t="shared" si="159"/>
        <v>0</v>
      </c>
      <c r="Q775" s="206">
        <f t="shared" si="160"/>
        <v>0</v>
      </c>
      <c r="R775" s="206">
        <f t="shared" si="149"/>
        <v>0</v>
      </c>
      <c r="S775" s="206">
        <f t="shared" si="150"/>
        <v>0</v>
      </c>
      <c r="T775" s="206">
        <f t="shared" si="151"/>
        <v>0</v>
      </c>
      <c r="U775" s="206">
        <f t="shared" si="151"/>
        <v>0</v>
      </c>
      <c r="V775" s="207" t="str">
        <f t="shared" si="152"/>
        <v/>
      </c>
    </row>
    <row r="776" spans="10:22" x14ac:dyDescent="0.3">
      <c r="J776" s="185" t="str">
        <f t="shared" si="153"/>
        <v/>
      </c>
      <c r="K776" s="185" t="str">
        <f t="shared" si="154"/>
        <v/>
      </c>
      <c r="L776" s="185" t="str">
        <f t="shared" si="155"/>
        <v/>
      </c>
      <c r="M776" s="76" t="str">
        <f t="shared" si="156"/>
        <v/>
      </c>
      <c r="N776" s="26">
        <f t="shared" si="157"/>
        <v>0</v>
      </c>
      <c r="O776" s="235">
        <f t="shared" si="158"/>
        <v>0</v>
      </c>
      <c r="P776" s="235">
        <f t="shared" si="159"/>
        <v>0</v>
      </c>
      <c r="Q776" s="206">
        <f t="shared" si="160"/>
        <v>0</v>
      </c>
      <c r="R776" s="206">
        <f t="shared" si="149"/>
        <v>0</v>
      </c>
      <c r="S776" s="206">
        <f t="shared" si="150"/>
        <v>0</v>
      </c>
      <c r="T776" s="206">
        <f t="shared" si="151"/>
        <v>0</v>
      </c>
      <c r="U776" s="206">
        <f t="shared" si="151"/>
        <v>0</v>
      </c>
      <c r="V776" s="207" t="str">
        <f t="shared" si="152"/>
        <v/>
      </c>
    </row>
    <row r="777" spans="10:22" x14ac:dyDescent="0.3">
      <c r="J777" s="185" t="str">
        <f t="shared" si="153"/>
        <v/>
      </c>
      <c r="K777" s="185" t="str">
        <f t="shared" si="154"/>
        <v/>
      </c>
      <c r="L777" s="185" t="str">
        <f t="shared" si="155"/>
        <v/>
      </c>
      <c r="M777" s="76" t="str">
        <f t="shared" si="156"/>
        <v/>
      </c>
      <c r="N777" s="26">
        <f t="shared" si="157"/>
        <v>0</v>
      </c>
      <c r="O777" s="235">
        <f t="shared" si="158"/>
        <v>0</v>
      </c>
      <c r="P777" s="235">
        <f t="shared" si="159"/>
        <v>0</v>
      </c>
      <c r="Q777" s="206">
        <f t="shared" si="160"/>
        <v>0</v>
      </c>
      <c r="R777" s="206">
        <f t="shared" si="149"/>
        <v>0</v>
      </c>
      <c r="S777" s="206">
        <f t="shared" si="150"/>
        <v>0</v>
      </c>
      <c r="T777" s="206">
        <f t="shared" si="151"/>
        <v>0</v>
      </c>
      <c r="U777" s="206">
        <f t="shared" si="151"/>
        <v>0</v>
      </c>
      <c r="V777" s="207" t="str">
        <f t="shared" si="152"/>
        <v/>
      </c>
    </row>
    <row r="778" spans="10:22" x14ac:dyDescent="0.3">
      <c r="J778" s="185" t="str">
        <f t="shared" si="153"/>
        <v/>
      </c>
      <c r="K778" s="185" t="str">
        <f t="shared" si="154"/>
        <v/>
      </c>
      <c r="L778" s="185" t="str">
        <f t="shared" si="155"/>
        <v/>
      </c>
      <c r="M778" s="76" t="str">
        <f t="shared" si="156"/>
        <v/>
      </c>
      <c r="N778" s="26">
        <f t="shared" si="157"/>
        <v>0</v>
      </c>
      <c r="O778" s="235">
        <f t="shared" si="158"/>
        <v>0</v>
      </c>
      <c r="P778" s="235">
        <f t="shared" si="159"/>
        <v>0</v>
      </c>
      <c r="Q778" s="206">
        <f t="shared" si="160"/>
        <v>0</v>
      </c>
      <c r="R778" s="206">
        <f t="shared" si="149"/>
        <v>0</v>
      </c>
      <c r="S778" s="206">
        <f t="shared" si="150"/>
        <v>0</v>
      </c>
      <c r="T778" s="206">
        <f t="shared" si="151"/>
        <v>0</v>
      </c>
      <c r="U778" s="206">
        <f t="shared" si="151"/>
        <v>0</v>
      </c>
      <c r="V778" s="207" t="str">
        <f t="shared" si="152"/>
        <v/>
      </c>
    </row>
    <row r="779" spans="10:22" x14ac:dyDescent="0.3">
      <c r="J779" s="185" t="str">
        <f t="shared" si="153"/>
        <v/>
      </c>
      <c r="K779" s="185" t="str">
        <f t="shared" si="154"/>
        <v/>
      </c>
      <c r="L779" s="185" t="str">
        <f t="shared" si="155"/>
        <v/>
      </c>
      <c r="M779" s="76" t="str">
        <f t="shared" si="156"/>
        <v/>
      </c>
      <c r="N779" s="26">
        <f t="shared" si="157"/>
        <v>0</v>
      </c>
      <c r="O779" s="235">
        <f t="shared" si="158"/>
        <v>0</v>
      </c>
      <c r="P779" s="235">
        <f t="shared" si="159"/>
        <v>0</v>
      </c>
      <c r="Q779" s="206">
        <f t="shared" si="160"/>
        <v>0</v>
      </c>
      <c r="R779" s="206">
        <f t="shared" si="149"/>
        <v>0</v>
      </c>
      <c r="S779" s="206">
        <f t="shared" si="150"/>
        <v>0</v>
      </c>
      <c r="T779" s="206">
        <f t="shared" si="151"/>
        <v>0</v>
      </c>
      <c r="U779" s="206">
        <f t="shared" si="151"/>
        <v>0</v>
      </c>
      <c r="V779" s="207" t="str">
        <f t="shared" si="152"/>
        <v/>
      </c>
    </row>
    <row r="780" spans="10:22" x14ac:dyDescent="0.3">
      <c r="J780" s="185" t="str">
        <f t="shared" si="153"/>
        <v/>
      </c>
      <c r="K780" s="185" t="str">
        <f t="shared" si="154"/>
        <v/>
      </c>
      <c r="L780" s="185" t="str">
        <f t="shared" si="155"/>
        <v/>
      </c>
      <c r="M780" s="76" t="str">
        <f t="shared" si="156"/>
        <v/>
      </c>
      <c r="N780" s="26">
        <f t="shared" si="157"/>
        <v>0</v>
      </c>
      <c r="O780" s="235">
        <f t="shared" si="158"/>
        <v>0</v>
      </c>
      <c r="P780" s="235">
        <f t="shared" si="159"/>
        <v>0</v>
      </c>
      <c r="Q780" s="206">
        <f t="shared" si="160"/>
        <v>0</v>
      </c>
      <c r="R780" s="206">
        <f t="shared" si="149"/>
        <v>0</v>
      </c>
      <c r="S780" s="206">
        <f t="shared" si="150"/>
        <v>0</v>
      </c>
      <c r="T780" s="206">
        <f t="shared" si="151"/>
        <v>0</v>
      </c>
      <c r="U780" s="206">
        <f t="shared" si="151"/>
        <v>0</v>
      </c>
      <c r="V780" s="207" t="str">
        <f t="shared" si="152"/>
        <v/>
      </c>
    </row>
    <row r="781" spans="10:22" x14ac:dyDescent="0.3">
      <c r="J781" s="185" t="str">
        <f t="shared" si="153"/>
        <v/>
      </c>
      <c r="K781" s="185" t="str">
        <f t="shared" si="154"/>
        <v/>
      </c>
      <c r="L781" s="185" t="str">
        <f t="shared" si="155"/>
        <v/>
      </c>
      <c r="M781" s="76" t="str">
        <f t="shared" si="156"/>
        <v/>
      </c>
      <c r="N781" s="26">
        <f t="shared" si="157"/>
        <v>0</v>
      </c>
      <c r="O781" s="235">
        <f t="shared" si="158"/>
        <v>0</v>
      </c>
      <c r="P781" s="235">
        <f t="shared" si="159"/>
        <v>0</v>
      </c>
      <c r="Q781" s="206">
        <f t="shared" si="160"/>
        <v>0</v>
      </c>
      <c r="R781" s="206">
        <f t="shared" si="149"/>
        <v>0</v>
      </c>
      <c r="S781" s="206">
        <f t="shared" si="150"/>
        <v>0</v>
      </c>
      <c r="T781" s="206">
        <f t="shared" si="151"/>
        <v>0</v>
      </c>
      <c r="U781" s="206">
        <f t="shared" si="151"/>
        <v>0</v>
      </c>
      <c r="V781" s="207" t="str">
        <f t="shared" si="152"/>
        <v/>
      </c>
    </row>
    <row r="782" spans="10:22" x14ac:dyDescent="0.3">
      <c r="J782" s="185" t="str">
        <f t="shared" si="153"/>
        <v/>
      </c>
      <c r="K782" s="185" t="str">
        <f t="shared" si="154"/>
        <v/>
      </c>
      <c r="L782" s="185" t="str">
        <f t="shared" si="155"/>
        <v/>
      </c>
      <c r="M782" s="76" t="str">
        <f t="shared" si="156"/>
        <v/>
      </c>
      <c r="N782" s="26">
        <f t="shared" si="157"/>
        <v>0</v>
      </c>
      <c r="O782" s="235">
        <f t="shared" si="158"/>
        <v>0</v>
      </c>
      <c r="P782" s="235">
        <f t="shared" si="159"/>
        <v>0</v>
      </c>
      <c r="Q782" s="206">
        <f t="shared" si="160"/>
        <v>0</v>
      </c>
      <c r="R782" s="206">
        <f t="shared" si="149"/>
        <v>0</v>
      </c>
      <c r="S782" s="206">
        <f t="shared" si="150"/>
        <v>0</v>
      </c>
      <c r="T782" s="206">
        <f t="shared" si="151"/>
        <v>0</v>
      </c>
      <c r="U782" s="206">
        <f t="shared" si="151"/>
        <v>0</v>
      </c>
      <c r="V782" s="207" t="str">
        <f t="shared" si="152"/>
        <v/>
      </c>
    </row>
    <row r="783" spans="10:22" x14ac:dyDescent="0.3">
      <c r="J783" s="185" t="str">
        <f t="shared" si="153"/>
        <v/>
      </c>
      <c r="K783" s="185" t="str">
        <f t="shared" si="154"/>
        <v/>
      </c>
      <c r="L783" s="185" t="str">
        <f t="shared" si="155"/>
        <v/>
      </c>
      <c r="M783" s="76" t="str">
        <f t="shared" si="156"/>
        <v/>
      </c>
      <c r="N783" s="26">
        <f t="shared" si="157"/>
        <v>0</v>
      </c>
      <c r="O783" s="235">
        <f t="shared" si="158"/>
        <v>0</v>
      </c>
      <c r="P783" s="235">
        <f t="shared" si="159"/>
        <v>0</v>
      </c>
      <c r="Q783" s="206">
        <f t="shared" si="160"/>
        <v>0</v>
      </c>
      <c r="R783" s="206">
        <f t="shared" si="149"/>
        <v>0</v>
      </c>
      <c r="S783" s="206">
        <f t="shared" si="150"/>
        <v>0</v>
      </c>
      <c r="T783" s="206">
        <f t="shared" si="151"/>
        <v>0</v>
      </c>
      <c r="U783" s="206">
        <f t="shared" si="151"/>
        <v>0</v>
      </c>
      <c r="V783" s="207" t="str">
        <f t="shared" si="152"/>
        <v/>
      </c>
    </row>
    <row r="784" spans="10:22" x14ac:dyDescent="0.3">
      <c r="J784" s="185" t="str">
        <f t="shared" si="153"/>
        <v/>
      </c>
      <c r="K784" s="185" t="str">
        <f t="shared" si="154"/>
        <v/>
      </c>
      <c r="L784" s="185" t="str">
        <f t="shared" si="155"/>
        <v/>
      </c>
      <c r="M784" s="76" t="str">
        <f t="shared" si="156"/>
        <v/>
      </c>
      <c r="N784" s="26">
        <f t="shared" si="157"/>
        <v>0</v>
      </c>
      <c r="O784" s="235">
        <f t="shared" si="158"/>
        <v>0</v>
      </c>
      <c r="P784" s="235">
        <f t="shared" si="159"/>
        <v>0</v>
      </c>
      <c r="Q784" s="206">
        <f t="shared" si="160"/>
        <v>0</v>
      </c>
      <c r="R784" s="206">
        <f t="shared" si="149"/>
        <v>0</v>
      </c>
      <c r="S784" s="206">
        <f t="shared" si="150"/>
        <v>0</v>
      </c>
      <c r="T784" s="206">
        <f t="shared" si="151"/>
        <v>0</v>
      </c>
      <c r="U784" s="206">
        <f t="shared" si="151"/>
        <v>0</v>
      </c>
      <c r="V784" s="207" t="str">
        <f t="shared" si="152"/>
        <v/>
      </c>
    </row>
    <row r="785" spans="10:22" x14ac:dyDescent="0.3">
      <c r="J785" s="185" t="str">
        <f t="shared" si="153"/>
        <v/>
      </c>
      <c r="K785" s="185" t="str">
        <f t="shared" si="154"/>
        <v/>
      </c>
      <c r="L785" s="185" t="str">
        <f t="shared" si="155"/>
        <v/>
      </c>
      <c r="M785" s="76" t="str">
        <f t="shared" si="156"/>
        <v/>
      </c>
      <c r="N785" s="26">
        <f t="shared" si="157"/>
        <v>0</v>
      </c>
      <c r="O785" s="235">
        <f t="shared" si="158"/>
        <v>0</v>
      </c>
      <c r="P785" s="235">
        <f t="shared" si="159"/>
        <v>0</v>
      </c>
      <c r="Q785" s="206">
        <f t="shared" si="160"/>
        <v>0</v>
      </c>
      <c r="R785" s="206">
        <f t="shared" si="149"/>
        <v>0</v>
      </c>
      <c r="S785" s="206">
        <f t="shared" si="150"/>
        <v>0</v>
      </c>
      <c r="T785" s="206">
        <f t="shared" si="151"/>
        <v>0</v>
      </c>
      <c r="U785" s="206">
        <f t="shared" si="151"/>
        <v>0</v>
      </c>
      <c r="V785" s="207" t="str">
        <f t="shared" si="152"/>
        <v/>
      </c>
    </row>
    <row r="786" spans="10:22" x14ac:dyDescent="0.3">
      <c r="J786" s="185" t="str">
        <f t="shared" si="153"/>
        <v/>
      </c>
      <c r="K786" s="185" t="str">
        <f t="shared" si="154"/>
        <v/>
      </c>
      <c r="L786" s="185" t="str">
        <f t="shared" si="155"/>
        <v/>
      </c>
      <c r="M786" s="76" t="str">
        <f t="shared" si="156"/>
        <v/>
      </c>
      <c r="N786" s="26">
        <f t="shared" si="157"/>
        <v>0</v>
      </c>
      <c r="O786" s="235">
        <f t="shared" si="158"/>
        <v>0</v>
      </c>
      <c r="P786" s="235">
        <f t="shared" si="159"/>
        <v>0</v>
      </c>
      <c r="Q786" s="206">
        <f t="shared" si="160"/>
        <v>0</v>
      </c>
      <c r="R786" s="206">
        <f t="shared" si="149"/>
        <v>0</v>
      </c>
      <c r="S786" s="206">
        <f t="shared" si="150"/>
        <v>0</v>
      </c>
      <c r="T786" s="206">
        <f t="shared" si="151"/>
        <v>0</v>
      </c>
      <c r="U786" s="206">
        <f t="shared" si="151"/>
        <v>0</v>
      </c>
      <c r="V786" s="207" t="str">
        <f t="shared" si="152"/>
        <v/>
      </c>
    </row>
    <row r="787" spans="10:22" x14ac:dyDescent="0.3">
      <c r="J787" s="185" t="str">
        <f t="shared" si="153"/>
        <v/>
      </c>
      <c r="K787" s="185" t="str">
        <f t="shared" si="154"/>
        <v/>
      </c>
      <c r="L787" s="185" t="str">
        <f t="shared" si="155"/>
        <v/>
      </c>
      <c r="M787" s="76" t="str">
        <f t="shared" si="156"/>
        <v/>
      </c>
      <c r="N787" s="26">
        <f t="shared" si="157"/>
        <v>0</v>
      </c>
      <c r="O787" s="235">
        <f t="shared" si="158"/>
        <v>0</v>
      </c>
      <c r="P787" s="235">
        <f t="shared" si="159"/>
        <v>0</v>
      </c>
      <c r="Q787" s="206">
        <f t="shared" si="160"/>
        <v>0</v>
      </c>
      <c r="R787" s="206">
        <f t="shared" si="149"/>
        <v>0</v>
      </c>
      <c r="S787" s="206">
        <f t="shared" si="150"/>
        <v>0</v>
      </c>
      <c r="T787" s="206">
        <f t="shared" si="151"/>
        <v>0</v>
      </c>
      <c r="U787" s="206">
        <f t="shared" si="151"/>
        <v>0</v>
      </c>
      <c r="V787" s="207" t="str">
        <f t="shared" si="152"/>
        <v/>
      </c>
    </row>
    <row r="788" spans="10:22" x14ac:dyDescent="0.3">
      <c r="J788" s="185" t="str">
        <f t="shared" si="153"/>
        <v/>
      </c>
      <c r="K788" s="185" t="str">
        <f t="shared" si="154"/>
        <v/>
      </c>
      <c r="L788" s="185" t="str">
        <f t="shared" si="155"/>
        <v/>
      </c>
      <c r="M788" s="76" t="str">
        <f t="shared" si="156"/>
        <v/>
      </c>
      <c r="N788" s="26">
        <f t="shared" si="157"/>
        <v>0</v>
      </c>
      <c r="O788" s="235">
        <f t="shared" si="158"/>
        <v>0</v>
      </c>
      <c r="P788" s="235">
        <f t="shared" si="159"/>
        <v>0</v>
      </c>
      <c r="Q788" s="206">
        <f t="shared" si="160"/>
        <v>0</v>
      </c>
      <c r="R788" s="206">
        <f t="shared" si="149"/>
        <v>0</v>
      </c>
      <c r="S788" s="206">
        <f t="shared" si="150"/>
        <v>0</v>
      </c>
      <c r="T788" s="206">
        <f t="shared" si="151"/>
        <v>0</v>
      </c>
      <c r="U788" s="206">
        <f t="shared" si="151"/>
        <v>0</v>
      </c>
      <c r="V788" s="207" t="str">
        <f t="shared" si="152"/>
        <v/>
      </c>
    </row>
    <row r="789" spans="10:22" x14ac:dyDescent="0.3">
      <c r="J789" s="185" t="str">
        <f t="shared" si="153"/>
        <v/>
      </c>
      <c r="K789" s="185" t="str">
        <f t="shared" si="154"/>
        <v/>
      </c>
      <c r="L789" s="185" t="str">
        <f t="shared" si="155"/>
        <v/>
      </c>
      <c r="M789" s="76" t="str">
        <f t="shared" si="156"/>
        <v/>
      </c>
      <c r="N789" s="26">
        <f t="shared" si="157"/>
        <v>0</v>
      </c>
      <c r="O789" s="235">
        <f t="shared" si="158"/>
        <v>0</v>
      </c>
      <c r="P789" s="235">
        <f t="shared" si="159"/>
        <v>0</v>
      </c>
      <c r="Q789" s="206">
        <f t="shared" si="160"/>
        <v>0</v>
      </c>
      <c r="R789" s="206">
        <f t="shared" si="149"/>
        <v>0</v>
      </c>
      <c r="S789" s="206">
        <f t="shared" si="150"/>
        <v>0</v>
      </c>
      <c r="T789" s="206">
        <f t="shared" si="151"/>
        <v>0</v>
      </c>
      <c r="U789" s="206">
        <f t="shared" si="151"/>
        <v>0</v>
      </c>
      <c r="V789" s="207" t="str">
        <f t="shared" si="152"/>
        <v/>
      </c>
    </row>
    <row r="790" spans="10:22" x14ac:dyDescent="0.3">
      <c r="J790" s="185" t="str">
        <f t="shared" si="153"/>
        <v/>
      </c>
      <c r="K790" s="185" t="str">
        <f t="shared" si="154"/>
        <v/>
      </c>
      <c r="L790" s="185" t="str">
        <f t="shared" si="155"/>
        <v/>
      </c>
      <c r="M790" s="76" t="str">
        <f t="shared" si="156"/>
        <v/>
      </c>
      <c r="N790" s="26">
        <f t="shared" si="157"/>
        <v>0</v>
      </c>
      <c r="O790" s="235">
        <f t="shared" si="158"/>
        <v>0</v>
      </c>
      <c r="P790" s="235">
        <f t="shared" si="159"/>
        <v>0</v>
      </c>
      <c r="Q790" s="206">
        <f t="shared" si="160"/>
        <v>0</v>
      </c>
      <c r="R790" s="206">
        <f t="shared" si="149"/>
        <v>0</v>
      </c>
      <c r="S790" s="206">
        <f t="shared" si="150"/>
        <v>0</v>
      </c>
      <c r="T790" s="206">
        <f t="shared" si="151"/>
        <v>0</v>
      </c>
      <c r="U790" s="206">
        <f t="shared" si="151"/>
        <v>0</v>
      </c>
      <c r="V790" s="207" t="str">
        <f t="shared" si="152"/>
        <v/>
      </c>
    </row>
    <row r="791" spans="10:22" x14ac:dyDescent="0.3">
      <c r="J791" s="185" t="str">
        <f t="shared" si="153"/>
        <v/>
      </c>
      <c r="K791" s="185" t="str">
        <f t="shared" si="154"/>
        <v/>
      </c>
      <c r="L791" s="185" t="str">
        <f t="shared" si="155"/>
        <v/>
      </c>
      <c r="M791" s="76" t="str">
        <f t="shared" si="156"/>
        <v/>
      </c>
      <c r="N791" s="26">
        <f t="shared" si="157"/>
        <v>0</v>
      </c>
      <c r="O791" s="235">
        <f t="shared" si="158"/>
        <v>0</v>
      </c>
      <c r="P791" s="235">
        <f t="shared" si="159"/>
        <v>0</v>
      </c>
      <c r="Q791" s="206">
        <f t="shared" si="160"/>
        <v>0</v>
      </c>
      <c r="R791" s="206">
        <f t="shared" si="149"/>
        <v>0</v>
      </c>
      <c r="S791" s="206">
        <f t="shared" si="150"/>
        <v>0</v>
      </c>
      <c r="T791" s="206">
        <f t="shared" si="151"/>
        <v>0</v>
      </c>
      <c r="U791" s="206">
        <f t="shared" si="151"/>
        <v>0</v>
      </c>
      <c r="V791" s="207" t="str">
        <f t="shared" si="152"/>
        <v/>
      </c>
    </row>
    <row r="792" spans="10:22" x14ac:dyDescent="0.3">
      <c r="J792" s="185" t="str">
        <f t="shared" si="153"/>
        <v/>
      </c>
      <c r="K792" s="185" t="str">
        <f t="shared" si="154"/>
        <v/>
      </c>
      <c r="L792" s="185" t="str">
        <f t="shared" si="155"/>
        <v/>
      </c>
      <c r="M792" s="76" t="str">
        <f t="shared" si="156"/>
        <v/>
      </c>
      <c r="N792" s="26">
        <f t="shared" si="157"/>
        <v>0</v>
      </c>
      <c r="O792" s="235">
        <f t="shared" si="158"/>
        <v>0</v>
      </c>
      <c r="P792" s="235">
        <f t="shared" si="159"/>
        <v>0</v>
      </c>
      <c r="Q792" s="206">
        <f t="shared" si="160"/>
        <v>0</v>
      </c>
      <c r="R792" s="206">
        <f t="shared" si="149"/>
        <v>0</v>
      </c>
      <c r="S792" s="206">
        <f t="shared" si="150"/>
        <v>0</v>
      </c>
      <c r="T792" s="206">
        <f t="shared" si="151"/>
        <v>0</v>
      </c>
      <c r="U792" s="206">
        <f t="shared" si="151"/>
        <v>0</v>
      </c>
      <c r="V792" s="207" t="str">
        <f t="shared" si="152"/>
        <v/>
      </c>
    </row>
    <row r="793" spans="10:22" x14ac:dyDescent="0.3">
      <c r="J793" s="185" t="str">
        <f t="shared" si="153"/>
        <v/>
      </c>
      <c r="K793" s="185" t="str">
        <f t="shared" si="154"/>
        <v/>
      </c>
      <c r="L793" s="185" t="str">
        <f t="shared" si="155"/>
        <v/>
      </c>
      <c r="M793" s="76" t="str">
        <f t="shared" si="156"/>
        <v/>
      </c>
      <c r="N793" s="26">
        <f t="shared" si="157"/>
        <v>0</v>
      </c>
      <c r="O793" s="235">
        <f t="shared" si="158"/>
        <v>0</v>
      </c>
      <c r="P793" s="235">
        <f t="shared" si="159"/>
        <v>0</v>
      </c>
      <c r="Q793" s="206">
        <f t="shared" si="160"/>
        <v>0</v>
      </c>
      <c r="R793" s="206">
        <f t="shared" si="149"/>
        <v>0</v>
      </c>
      <c r="S793" s="206">
        <f t="shared" si="150"/>
        <v>0</v>
      </c>
      <c r="T793" s="206">
        <f t="shared" si="151"/>
        <v>0</v>
      </c>
      <c r="U793" s="206">
        <f t="shared" si="151"/>
        <v>0</v>
      </c>
      <c r="V793" s="207" t="str">
        <f t="shared" si="152"/>
        <v/>
      </c>
    </row>
    <row r="794" spans="10:22" x14ac:dyDescent="0.3">
      <c r="J794" s="185" t="str">
        <f t="shared" si="153"/>
        <v/>
      </c>
      <c r="K794" s="185" t="str">
        <f t="shared" si="154"/>
        <v/>
      </c>
      <c r="L794" s="185" t="str">
        <f t="shared" si="155"/>
        <v/>
      </c>
      <c r="M794" s="76" t="str">
        <f t="shared" si="156"/>
        <v/>
      </c>
      <c r="N794" s="26">
        <f t="shared" si="157"/>
        <v>0</v>
      </c>
      <c r="O794" s="235">
        <f t="shared" si="158"/>
        <v>0</v>
      </c>
      <c r="P794" s="235">
        <f t="shared" si="159"/>
        <v>0</v>
      </c>
      <c r="Q794" s="206">
        <f t="shared" si="160"/>
        <v>0</v>
      </c>
      <c r="R794" s="206">
        <f t="shared" si="149"/>
        <v>0</v>
      </c>
      <c r="S794" s="206">
        <f t="shared" si="150"/>
        <v>0</v>
      </c>
      <c r="T794" s="206">
        <f t="shared" si="151"/>
        <v>0</v>
      </c>
      <c r="U794" s="206">
        <f t="shared" si="151"/>
        <v>0</v>
      </c>
      <c r="V794" s="207" t="str">
        <f t="shared" si="152"/>
        <v/>
      </c>
    </row>
    <row r="795" spans="10:22" x14ac:dyDescent="0.3">
      <c r="J795" s="185" t="str">
        <f t="shared" si="153"/>
        <v/>
      </c>
      <c r="K795" s="185" t="str">
        <f t="shared" si="154"/>
        <v/>
      </c>
      <c r="L795" s="185" t="str">
        <f t="shared" si="155"/>
        <v/>
      </c>
      <c r="M795" s="76" t="str">
        <f t="shared" si="156"/>
        <v/>
      </c>
      <c r="N795" s="26">
        <f t="shared" si="157"/>
        <v>0</v>
      </c>
      <c r="O795" s="235">
        <f t="shared" si="158"/>
        <v>0</v>
      </c>
      <c r="P795" s="235">
        <f t="shared" si="159"/>
        <v>0</v>
      </c>
      <c r="Q795" s="206">
        <f t="shared" si="160"/>
        <v>0</v>
      </c>
      <c r="R795" s="206">
        <f t="shared" ref="R795:R858" si="161">IF($J795=29,VALUE(LEFT(B795,LEN(B795)-2)),0)</f>
        <v>0</v>
      </c>
      <c r="S795" s="206">
        <f t="shared" ref="S795:S858" si="162">IF($J795=29,VALUE(LEFT(C795,LEN(C795)-2)),0)</f>
        <v>0</v>
      </c>
      <c r="T795" s="206">
        <f t="shared" ref="T795:U858" si="163">IF($J795=29,VALUE(LEFT(D795,LEN(D795)-2)),0)</f>
        <v>0</v>
      </c>
      <c r="U795" s="206">
        <f t="shared" si="163"/>
        <v>0</v>
      </c>
      <c r="V795" s="207" t="str">
        <f t="shared" ref="V795:V858" si="164">IFERROR(N795/SUM(R795:U795),"")</f>
        <v/>
      </c>
    </row>
    <row r="796" spans="10:22" x14ac:dyDescent="0.3">
      <c r="J796" s="185" t="str">
        <f t="shared" si="153"/>
        <v/>
      </c>
      <c r="K796" s="185" t="str">
        <f t="shared" si="154"/>
        <v/>
      </c>
      <c r="L796" s="185" t="str">
        <f t="shared" si="155"/>
        <v/>
      </c>
      <c r="M796" s="76" t="str">
        <f t="shared" si="156"/>
        <v/>
      </c>
      <c r="N796" s="26">
        <f t="shared" si="157"/>
        <v>0</v>
      </c>
      <c r="O796" s="235">
        <f t="shared" si="158"/>
        <v>0</v>
      </c>
      <c r="P796" s="235">
        <f t="shared" si="159"/>
        <v>0</v>
      </c>
      <c r="Q796" s="206">
        <f t="shared" si="160"/>
        <v>0</v>
      </c>
      <c r="R796" s="206">
        <f t="shared" si="161"/>
        <v>0</v>
      </c>
      <c r="S796" s="206">
        <f t="shared" si="162"/>
        <v>0</v>
      </c>
      <c r="T796" s="206">
        <f t="shared" si="163"/>
        <v>0</v>
      </c>
      <c r="U796" s="206">
        <f t="shared" si="163"/>
        <v>0</v>
      </c>
      <c r="V796" s="207" t="str">
        <f t="shared" si="164"/>
        <v/>
      </c>
    </row>
    <row r="797" spans="10:22" x14ac:dyDescent="0.3">
      <c r="J797" s="185" t="str">
        <f t="shared" si="153"/>
        <v/>
      </c>
      <c r="K797" s="185" t="str">
        <f t="shared" si="154"/>
        <v/>
      </c>
      <c r="L797" s="185" t="str">
        <f t="shared" si="155"/>
        <v/>
      </c>
      <c r="M797" s="76" t="str">
        <f t="shared" si="156"/>
        <v/>
      </c>
      <c r="N797" s="26">
        <f t="shared" si="157"/>
        <v>0</v>
      </c>
      <c r="O797" s="235">
        <f t="shared" si="158"/>
        <v>0</v>
      </c>
      <c r="P797" s="235">
        <f t="shared" si="159"/>
        <v>0</v>
      </c>
      <c r="Q797" s="206">
        <f t="shared" si="160"/>
        <v>0</v>
      </c>
      <c r="R797" s="206">
        <f t="shared" si="161"/>
        <v>0</v>
      </c>
      <c r="S797" s="206">
        <f t="shared" si="162"/>
        <v>0</v>
      </c>
      <c r="T797" s="206">
        <f t="shared" si="163"/>
        <v>0</v>
      </c>
      <c r="U797" s="206">
        <f t="shared" si="163"/>
        <v>0</v>
      </c>
      <c r="V797" s="207" t="str">
        <f t="shared" si="164"/>
        <v/>
      </c>
    </row>
    <row r="798" spans="10:22" x14ac:dyDescent="0.3">
      <c r="J798" s="185" t="str">
        <f t="shared" si="153"/>
        <v/>
      </c>
      <c r="K798" s="185" t="str">
        <f t="shared" si="154"/>
        <v/>
      </c>
      <c r="L798" s="185" t="str">
        <f t="shared" si="155"/>
        <v/>
      </c>
      <c r="M798" s="76" t="str">
        <f t="shared" si="156"/>
        <v/>
      </c>
      <c r="N798" s="26">
        <f t="shared" si="157"/>
        <v>0</v>
      </c>
      <c r="O798" s="235">
        <f t="shared" si="158"/>
        <v>0</v>
      </c>
      <c r="P798" s="235">
        <f t="shared" si="159"/>
        <v>0</v>
      </c>
      <c r="Q798" s="206">
        <f t="shared" si="160"/>
        <v>0</v>
      </c>
      <c r="R798" s="206">
        <f t="shared" si="161"/>
        <v>0</v>
      </c>
      <c r="S798" s="206">
        <f t="shared" si="162"/>
        <v>0</v>
      </c>
      <c r="T798" s="206">
        <f t="shared" si="163"/>
        <v>0</v>
      </c>
      <c r="U798" s="206">
        <f t="shared" si="163"/>
        <v>0</v>
      </c>
      <c r="V798" s="207" t="str">
        <f t="shared" si="164"/>
        <v/>
      </c>
    </row>
    <row r="799" spans="10:22" x14ac:dyDescent="0.3">
      <c r="J799" s="185" t="str">
        <f t="shared" si="153"/>
        <v/>
      </c>
      <c r="K799" s="185" t="str">
        <f t="shared" si="154"/>
        <v/>
      </c>
      <c r="L799" s="185" t="str">
        <f t="shared" si="155"/>
        <v/>
      </c>
      <c r="M799" s="76" t="str">
        <f t="shared" si="156"/>
        <v/>
      </c>
      <c r="N799" s="26">
        <f t="shared" si="157"/>
        <v>0</v>
      </c>
      <c r="O799" s="235">
        <f t="shared" si="158"/>
        <v>0</v>
      </c>
      <c r="P799" s="235">
        <f t="shared" si="159"/>
        <v>0</v>
      </c>
      <c r="Q799" s="206">
        <f t="shared" si="160"/>
        <v>0</v>
      </c>
      <c r="R799" s="206">
        <f t="shared" si="161"/>
        <v>0</v>
      </c>
      <c r="S799" s="206">
        <f t="shared" si="162"/>
        <v>0</v>
      </c>
      <c r="T799" s="206">
        <f t="shared" si="163"/>
        <v>0</v>
      </c>
      <c r="U799" s="206">
        <f t="shared" si="163"/>
        <v>0</v>
      </c>
      <c r="V799" s="207" t="str">
        <f t="shared" si="164"/>
        <v/>
      </c>
    </row>
    <row r="800" spans="10:22" x14ac:dyDescent="0.3">
      <c r="J800" s="185" t="str">
        <f t="shared" si="153"/>
        <v/>
      </c>
      <c r="K800" s="185" t="str">
        <f t="shared" si="154"/>
        <v/>
      </c>
      <c r="L800" s="185" t="str">
        <f t="shared" si="155"/>
        <v/>
      </c>
      <c r="M800" s="76" t="str">
        <f t="shared" si="156"/>
        <v/>
      </c>
      <c r="N800" s="26">
        <f t="shared" si="157"/>
        <v>0</v>
      </c>
      <c r="O800" s="235">
        <f t="shared" si="158"/>
        <v>0</v>
      </c>
      <c r="P800" s="235">
        <f t="shared" si="159"/>
        <v>0</v>
      </c>
      <c r="Q800" s="206">
        <f t="shared" si="160"/>
        <v>0</v>
      </c>
      <c r="R800" s="206">
        <f t="shared" si="161"/>
        <v>0</v>
      </c>
      <c r="S800" s="206">
        <f t="shared" si="162"/>
        <v>0</v>
      </c>
      <c r="T800" s="206">
        <f t="shared" si="163"/>
        <v>0</v>
      </c>
      <c r="U800" s="206">
        <f t="shared" si="163"/>
        <v>0</v>
      </c>
      <c r="V800" s="207" t="str">
        <f t="shared" si="164"/>
        <v/>
      </c>
    </row>
    <row r="801" spans="10:22" x14ac:dyDescent="0.3">
      <c r="J801" s="185" t="str">
        <f t="shared" si="153"/>
        <v/>
      </c>
      <c r="K801" s="185" t="str">
        <f t="shared" si="154"/>
        <v/>
      </c>
      <c r="L801" s="185" t="str">
        <f t="shared" si="155"/>
        <v/>
      </c>
      <c r="M801" s="76" t="str">
        <f t="shared" si="156"/>
        <v/>
      </c>
      <c r="N801" s="26">
        <f t="shared" si="157"/>
        <v>0</v>
      </c>
      <c r="O801" s="235">
        <f t="shared" si="158"/>
        <v>0</v>
      </c>
      <c r="P801" s="235">
        <f t="shared" si="159"/>
        <v>0</v>
      </c>
      <c r="Q801" s="206">
        <f t="shared" si="160"/>
        <v>0</v>
      </c>
      <c r="R801" s="206">
        <f t="shared" si="161"/>
        <v>0</v>
      </c>
      <c r="S801" s="206">
        <f t="shared" si="162"/>
        <v>0</v>
      </c>
      <c r="T801" s="206">
        <f t="shared" si="163"/>
        <v>0</v>
      </c>
      <c r="U801" s="206">
        <f t="shared" si="163"/>
        <v>0</v>
      </c>
      <c r="V801" s="207" t="str">
        <f t="shared" si="164"/>
        <v/>
      </c>
    </row>
    <row r="802" spans="10:22" x14ac:dyDescent="0.3">
      <c r="J802" s="185" t="str">
        <f t="shared" si="153"/>
        <v/>
      </c>
      <c r="K802" s="185" t="str">
        <f t="shared" si="154"/>
        <v/>
      </c>
      <c r="L802" s="185" t="str">
        <f t="shared" si="155"/>
        <v/>
      </c>
      <c r="M802" s="76" t="str">
        <f t="shared" si="156"/>
        <v/>
      </c>
      <c r="N802" s="26">
        <f t="shared" si="157"/>
        <v>0</v>
      </c>
      <c r="O802" s="235">
        <f t="shared" si="158"/>
        <v>0</v>
      </c>
      <c r="P802" s="235">
        <f t="shared" si="159"/>
        <v>0</v>
      </c>
      <c r="Q802" s="206">
        <f t="shared" si="160"/>
        <v>0</v>
      </c>
      <c r="R802" s="206">
        <f t="shared" si="161"/>
        <v>0</v>
      </c>
      <c r="S802" s="206">
        <f t="shared" si="162"/>
        <v>0</v>
      </c>
      <c r="T802" s="206">
        <f t="shared" si="163"/>
        <v>0</v>
      </c>
      <c r="U802" s="206">
        <f t="shared" si="163"/>
        <v>0</v>
      </c>
      <c r="V802" s="207" t="str">
        <f t="shared" si="164"/>
        <v/>
      </c>
    </row>
    <row r="803" spans="10:22" x14ac:dyDescent="0.3">
      <c r="J803" s="185" t="str">
        <f t="shared" si="153"/>
        <v/>
      </c>
      <c r="K803" s="185" t="str">
        <f t="shared" si="154"/>
        <v/>
      </c>
      <c r="L803" s="185" t="str">
        <f t="shared" si="155"/>
        <v/>
      </c>
      <c r="M803" s="76" t="str">
        <f t="shared" si="156"/>
        <v/>
      </c>
      <c r="N803" s="26">
        <f t="shared" si="157"/>
        <v>0</v>
      </c>
      <c r="O803" s="235">
        <f t="shared" si="158"/>
        <v>0</v>
      </c>
      <c r="P803" s="235">
        <f t="shared" si="159"/>
        <v>0</v>
      </c>
      <c r="Q803" s="206">
        <f t="shared" si="160"/>
        <v>0</v>
      </c>
      <c r="R803" s="206">
        <f t="shared" si="161"/>
        <v>0</v>
      </c>
      <c r="S803" s="206">
        <f t="shared" si="162"/>
        <v>0</v>
      </c>
      <c r="T803" s="206">
        <f t="shared" si="163"/>
        <v>0</v>
      </c>
      <c r="U803" s="206">
        <f t="shared" si="163"/>
        <v>0</v>
      </c>
      <c r="V803" s="207" t="str">
        <f t="shared" si="164"/>
        <v/>
      </c>
    </row>
    <row r="804" spans="10:22" x14ac:dyDescent="0.3">
      <c r="J804" s="185" t="str">
        <f t="shared" si="153"/>
        <v/>
      </c>
      <c r="K804" s="185" t="str">
        <f t="shared" si="154"/>
        <v/>
      </c>
      <c r="L804" s="185" t="str">
        <f t="shared" si="155"/>
        <v/>
      </c>
      <c r="M804" s="76" t="str">
        <f t="shared" si="156"/>
        <v/>
      </c>
      <c r="N804" s="26">
        <f t="shared" si="157"/>
        <v>0</v>
      </c>
      <c r="O804" s="235">
        <f t="shared" si="158"/>
        <v>0</v>
      </c>
      <c r="P804" s="235">
        <f t="shared" si="159"/>
        <v>0</v>
      </c>
      <c r="Q804" s="206">
        <f t="shared" si="160"/>
        <v>0</v>
      </c>
      <c r="R804" s="206">
        <f t="shared" si="161"/>
        <v>0</v>
      </c>
      <c r="S804" s="206">
        <f t="shared" si="162"/>
        <v>0</v>
      </c>
      <c r="T804" s="206">
        <f t="shared" si="163"/>
        <v>0</v>
      </c>
      <c r="U804" s="206">
        <f t="shared" si="163"/>
        <v>0</v>
      </c>
      <c r="V804" s="207" t="str">
        <f t="shared" si="164"/>
        <v/>
      </c>
    </row>
    <row r="805" spans="10:22" x14ac:dyDescent="0.3">
      <c r="J805" s="185" t="str">
        <f t="shared" si="153"/>
        <v/>
      </c>
      <c r="K805" s="185" t="str">
        <f t="shared" si="154"/>
        <v/>
      </c>
      <c r="L805" s="185" t="str">
        <f t="shared" si="155"/>
        <v/>
      </c>
      <c r="M805" s="76" t="str">
        <f t="shared" si="156"/>
        <v/>
      </c>
      <c r="N805" s="26">
        <f t="shared" si="157"/>
        <v>0</v>
      </c>
      <c r="O805" s="235">
        <f t="shared" si="158"/>
        <v>0</v>
      </c>
      <c r="P805" s="235">
        <f t="shared" si="159"/>
        <v>0</v>
      </c>
      <c r="Q805" s="206">
        <f t="shared" si="160"/>
        <v>0</v>
      </c>
      <c r="R805" s="206">
        <f t="shared" si="161"/>
        <v>0</v>
      </c>
      <c r="S805" s="206">
        <f t="shared" si="162"/>
        <v>0</v>
      </c>
      <c r="T805" s="206">
        <f t="shared" si="163"/>
        <v>0</v>
      </c>
      <c r="U805" s="206">
        <f t="shared" si="163"/>
        <v>0</v>
      </c>
      <c r="V805" s="207" t="str">
        <f t="shared" si="164"/>
        <v/>
      </c>
    </row>
    <row r="806" spans="10:22" x14ac:dyDescent="0.3">
      <c r="J806" s="185" t="str">
        <f t="shared" si="153"/>
        <v/>
      </c>
      <c r="K806" s="185" t="str">
        <f t="shared" si="154"/>
        <v/>
      </c>
      <c r="L806" s="185" t="str">
        <f t="shared" si="155"/>
        <v/>
      </c>
      <c r="M806" s="76" t="str">
        <f t="shared" si="156"/>
        <v/>
      </c>
      <c r="N806" s="26">
        <f t="shared" si="157"/>
        <v>0</v>
      </c>
      <c r="O806" s="235">
        <f t="shared" si="158"/>
        <v>0</v>
      </c>
      <c r="P806" s="235">
        <f t="shared" si="159"/>
        <v>0</v>
      </c>
      <c r="Q806" s="206">
        <f t="shared" si="160"/>
        <v>0</v>
      </c>
      <c r="R806" s="206">
        <f t="shared" si="161"/>
        <v>0</v>
      </c>
      <c r="S806" s="206">
        <f t="shared" si="162"/>
        <v>0</v>
      </c>
      <c r="T806" s="206">
        <f t="shared" si="163"/>
        <v>0</v>
      </c>
      <c r="U806" s="206">
        <f t="shared" si="163"/>
        <v>0</v>
      </c>
      <c r="V806" s="207" t="str">
        <f t="shared" si="164"/>
        <v/>
      </c>
    </row>
    <row r="807" spans="10:22" x14ac:dyDescent="0.3">
      <c r="J807" s="185" t="str">
        <f t="shared" si="153"/>
        <v/>
      </c>
      <c r="K807" s="185" t="str">
        <f t="shared" si="154"/>
        <v/>
      </c>
      <c r="L807" s="185" t="str">
        <f t="shared" si="155"/>
        <v/>
      </c>
      <c r="M807" s="76" t="str">
        <f t="shared" si="156"/>
        <v/>
      </c>
      <c r="N807" s="26">
        <f t="shared" si="157"/>
        <v>0</v>
      </c>
      <c r="O807" s="235">
        <f t="shared" si="158"/>
        <v>0</v>
      </c>
      <c r="P807" s="235">
        <f t="shared" si="159"/>
        <v>0</v>
      </c>
      <c r="Q807" s="206">
        <f t="shared" si="160"/>
        <v>0</v>
      </c>
      <c r="R807" s="206">
        <f t="shared" si="161"/>
        <v>0</v>
      </c>
      <c r="S807" s="206">
        <f t="shared" si="162"/>
        <v>0</v>
      </c>
      <c r="T807" s="206">
        <f t="shared" si="163"/>
        <v>0</v>
      </c>
      <c r="U807" s="206">
        <f t="shared" si="163"/>
        <v>0</v>
      </c>
      <c r="V807" s="207" t="str">
        <f t="shared" si="164"/>
        <v/>
      </c>
    </row>
    <row r="808" spans="10:22" x14ac:dyDescent="0.3">
      <c r="J808" s="185" t="str">
        <f t="shared" si="153"/>
        <v/>
      </c>
      <c r="K808" s="185" t="str">
        <f t="shared" si="154"/>
        <v/>
      </c>
      <c r="L808" s="185" t="str">
        <f t="shared" si="155"/>
        <v/>
      </c>
      <c r="M808" s="76" t="str">
        <f t="shared" si="156"/>
        <v/>
      </c>
      <c r="N808" s="26">
        <f t="shared" si="157"/>
        <v>0</v>
      </c>
      <c r="O808" s="235">
        <f t="shared" si="158"/>
        <v>0</v>
      </c>
      <c r="P808" s="235">
        <f t="shared" si="159"/>
        <v>0</v>
      </c>
      <c r="Q808" s="206">
        <f t="shared" si="160"/>
        <v>0</v>
      </c>
      <c r="R808" s="206">
        <f t="shared" si="161"/>
        <v>0</v>
      </c>
      <c r="S808" s="206">
        <f t="shared" si="162"/>
        <v>0</v>
      </c>
      <c r="T808" s="206">
        <f t="shared" si="163"/>
        <v>0</v>
      </c>
      <c r="U808" s="206">
        <f t="shared" si="163"/>
        <v>0</v>
      </c>
      <c r="V808" s="207" t="str">
        <f t="shared" si="164"/>
        <v/>
      </c>
    </row>
    <row r="809" spans="10:22" x14ac:dyDescent="0.3">
      <c r="J809" s="185" t="str">
        <f t="shared" si="153"/>
        <v/>
      </c>
      <c r="K809" s="185" t="str">
        <f t="shared" si="154"/>
        <v/>
      </c>
      <c r="L809" s="185" t="str">
        <f t="shared" si="155"/>
        <v/>
      </c>
      <c r="M809" s="76" t="str">
        <f t="shared" si="156"/>
        <v/>
      </c>
      <c r="N809" s="26">
        <f t="shared" si="157"/>
        <v>0</v>
      </c>
      <c r="O809" s="235">
        <f t="shared" si="158"/>
        <v>0</v>
      </c>
      <c r="P809" s="235">
        <f t="shared" si="159"/>
        <v>0</v>
      </c>
      <c r="Q809" s="206">
        <f t="shared" si="160"/>
        <v>0</v>
      </c>
      <c r="R809" s="206">
        <f t="shared" si="161"/>
        <v>0</v>
      </c>
      <c r="S809" s="206">
        <f t="shared" si="162"/>
        <v>0</v>
      </c>
      <c r="T809" s="206">
        <f t="shared" si="163"/>
        <v>0</v>
      </c>
      <c r="U809" s="206">
        <f t="shared" si="163"/>
        <v>0</v>
      </c>
      <c r="V809" s="207" t="str">
        <f t="shared" si="164"/>
        <v/>
      </c>
    </row>
    <row r="810" spans="10:22" x14ac:dyDescent="0.3">
      <c r="J810" s="185" t="str">
        <f t="shared" si="153"/>
        <v/>
      </c>
      <c r="K810" s="185" t="str">
        <f t="shared" si="154"/>
        <v/>
      </c>
      <c r="L810" s="185" t="str">
        <f t="shared" si="155"/>
        <v/>
      </c>
      <c r="M810" s="76" t="str">
        <f t="shared" si="156"/>
        <v/>
      </c>
      <c r="N810" s="26">
        <f t="shared" si="157"/>
        <v>0</v>
      </c>
      <c r="O810" s="235">
        <f t="shared" si="158"/>
        <v>0</v>
      </c>
      <c r="P810" s="235">
        <f t="shared" si="159"/>
        <v>0</v>
      </c>
      <c r="Q810" s="206">
        <f t="shared" si="160"/>
        <v>0</v>
      </c>
      <c r="R810" s="206">
        <f t="shared" si="161"/>
        <v>0</v>
      </c>
      <c r="S810" s="206">
        <f t="shared" si="162"/>
        <v>0</v>
      </c>
      <c r="T810" s="206">
        <f t="shared" si="163"/>
        <v>0</v>
      </c>
      <c r="U810" s="206">
        <f t="shared" si="163"/>
        <v>0</v>
      </c>
      <c r="V810" s="207" t="str">
        <f t="shared" si="164"/>
        <v/>
      </c>
    </row>
    <row r="811" spans="10:22" x14ac:dyDescent="0.3">
      <c r="J811" s="185" t="str">
        <f t="shared" si="153"/>
        <v/>
      </c>
      <c r="K811" s="185" t="str">
        <f t="shared" si="154"/>
        <v/>
      </c>
      <c r="L811" s="185" t="str">
        <f t="shared" si="155"/>
        <v/>
      </c>
      <c r="M811" s="76" t="str">
        <f t="shared" si="156"/>
        <v/>
      </c>
      <c r="N811" s="26">
        <f t="shared" si="157"/>
        <v>0</v>
      </c>
      <c r="O811" s="235">
        <f t="shared" si="158"/>
        <v>0</v>
      </c>
      <c r="P811" s="235">
        <f t="shared" si="159"/>
        <v>0</v>
      </c>
      <c r="Q811" s="206">
        <f t="shared" si="160"/>
        <v>0</v>
      </c>
      <c r="R811" s="206">
        <f t="shared" si="161"/>
        <v>0</v>
      </c>
      <c r="S811" s="206">
        <f t="shared" si="162"/>
        <v>0</v>
      </c>
      <c r="T811" s="206">
        <f t="shared" si="163"/>
        <v>0</v>
      </c>
      <c r="U811" s="206">
        <f t="shared" si="163"/>
        <v>0</v>
      </c>
      <c r="V811" s="207" t="str">
        <f t="shared" si="164"/>
        <v/>
      </c>
    </row>
    <row r="812" spans="10:22" x14ac:dyDescent="0.3">
      <c r="J812" s="185" t="str">
        <f t="shared" si="153"/>
        <v/>
      </c>
      <c r="K812" s="185" t="str">
        <f t="shared" si="154"/>
        <v/>
      </c>
      <c r="L812" s="185" t="str">
        <f t="shared" si="155"/>
        <v/>
      </c>
      <c r="M812" s="76" t="str">
        <f t="shared" si="156"/>
        <v/>
      </c>
      <c r="N812" s="26">
        <f t="shared" si="157"/>
        <v>0</v>
      </c>
      <c r="O812" s="235">
        <f t="shared" si="158"/>
        <v>0</v>
      </c>
      <c r="P812" s="235">
        <f t="shared" si="159"/>
        <v>0</v>
      </c>
      <c r="Q812" s="206">
        <f t="shared" si="160"/>
        <v>0</v>
      </c>
      <c r="R812" s="206">
        <f t="shared" si="161"/>
        <v>0</v>
      </c>
      <c r="S812" s="206">
        <f t="shared" si="162"/>
        <v>0</v>
      </c>
      <c r="T812" s="206">
        <f t="shared" si="163"/>
        <v>0</v>
      </c>
      <c r="U812" s="206">
        <f t="shared" si="163"/>
        <v>0</v>
      </c>
      <c r="V812" s="207" t="str">
        <f t="shared" si="164"/>
        <v/>
      </c>
    </row>
    <row r="813" spans="10:22" x14ac:dyDescent="0.3">
      <c r="J813" s="185" t="str">
        <f t="shared" ref="J813:J876" si="165">IFERROR(IF(FIND("Liste des vols",A813),LEN(A813),""),"")</f>
        <v/>
      </c>
      <c r="K813" s="185" t="str">
        <f t="shared" ref="K813:K876" si="166">IF(J813="","",LEFT(A813,3))</f>
        <v/>
      </c>
      <c r="L813" s="185" t="str">
        <f t="shared" ref="L813:L876" si="167">IF(K813&lt;&gt;"",MID(A813,7,3),"")</f>
        <v/>
      </c>
      <c r="M813" s="76" t="str">
        <f t="shared" ref="M813:M876" si="168">IF(K813&lt;&gt;"",CONCATENATE(K813,"/",L813),"")</f>
        <v/>
      </c>
      <c r="N813" s="26">
        <f t="shared" ref="N813:N876" si="169">IF(J813=29,VALUE(LEFT(F813,LEN(F813)-2)),0)</f>
        <v>0</v>
      </c>
      <c r="O813" s="235">
        <f t="shared" ref="O813:O876" si="170">IF(J813=29,-VALUE(G813),0)</f>
        <v>0</v>
      </c>
      <c r="P813" s="235">
        <f t="shared" ref="P813:P876" si="171">IF(J813=29,VALUE(LEFT(H813,LEN(H813)-2)),0)</f>
        <v>0</v>
      </c>
      <c r="Q813" s="206">
        <f t="shared" ref="Q813:Q876" si="172">IFERROR(VALUE(LEFT(RIGHT(A813,LEN(A813)-11),LEN(A813)-28)),0)</f>
        <v>0</v>
      </c>
      <c r="R813" s="206">
        <f t="shared" si="161"/>
        <v>0</v>
      </c>
      <c r="S813" s="206">
        <f t="shared" si="162"/>
        <v>0</v>
      </c>
      <c r="T813" s="206">
        <f t="shared" si="163"/>
        <v>0</v>
      </c>
      <c r="U813" s="206">
        <f t="shared" si="163"/>
        <v>0</v>
      </c>
      <c r="V813" s="207" t="str">
        <f t="shared" si="164"/>
        <v/>
      </c>
    </row>
    <row r="814" spans="10:22" x14ac:dyDescent="0.3">
      <c r="J814" s="185" t="str">
        <f t="shared" si="165"/>
        <v/>
      </c>
      <c r="K814" s="185" t="str">
        <f t="shared" si="166"/>
        <v/>
      </c>
      <c r="L814" s="185" t="str">
        <f t="shared" si="167"/>
        <v/>
      </c>
      <c r="M814" s="76" t="str">
        <f t="shared" si="168"/>
        <v/>
      </c>
      <c r="N814" s="26">
        <f t="shared" si="169"/>
        <v>0</v>
      </c>
      <c r="O814" s="235">
        <f t="shared" si="170"/>
        <v>0</v>
      </c>
      <c r="P814" s="235">
        <f t="shared" si="171"/>
        <v>0</v>
      </c>
      <c r="Q814" s="206">
        <f t="shared" si="172"/>
        <v>0</v>
      </c>
      <c r="R814" s="206">
        <f t="shared" si="161"/>
        <v>0</v>
      </c>
      <c r="S814" s="206">
        <f t="shared" si="162"/>
        <v>0</v>
      </c>
      <c r="T814" s="206">
        <f t="shared" si="163"/>
        <v>0</v>
      </c>
      <c r="U814" s="206">
        <f t="shared" si="163"/>
        <v>0</v>
      </c>
      <c r="V814" s="207" t="str">
        <f t="shared" si="164"/>
        <v/>
      </c>
    </row>
    <row r="815" spans="10:22" x14ac:dyDescent="0.3">
      <c r="J815" s="185" t="str">
        <f t="shared" si="165"/>
        <v/>
      </c>
      <c r="K815" s="185" t="str">
        <f t="shared" si="166"/>
        <v/>
      </c>
      <c r="L815" s="185" t="str">
        <f t="shared" si="167"/>
        <v/>
      </c>
      <c r="M815" s="76" t="str">
        <f t="shared" si="168"/>
        <v/>
      </c>
      <c r="N815" s="26">
        <f t="shared" si="169"/>
        <v>0</v>
      </c>
      <c r="O815" s="235">
        <f t="shared" si="170"/>
        <v>0</v>
      </c>
      <c r="P815" s="235">
        <f t="shared" si="171"/>
        <v>0</v>
      </c>
      <c r="Q815" s="206">
        <f t="shared" si="172"/>
        <v>0</v>
      </c>
      <c r="R815" s="206">
        <f t="shared" si="161"/>
        <v>0</v>
      </c>
      <c r="S815" s="206">
        <f t="shared" si="162"/>
        <v>0</v>
      </c>
      <c r="T815" s="206">
        <f t="shared" si="163"/>
        <v>0</v>
      </c>
      <c r="U815" s="206">
        <f t="shared" si="163"/>
        <v>0</v>
      </c>
      <c r="V815" s="207" t="str">
        <f t="shared" si="164"/>
        <v/>
      </c>
    </row>
    <row r="816" spans="10:22" x14ac:dyDescent="0.3">
      <c r="J816" s="185" t="str">
        <f t="shared" si="165"/>
        <v/>
      </c>
      <c r="K816" s="185" t="str">
        <f t="shared" si="166"/>
        <v/>
      </c>
      <c r="L816" s="185" t="str">
        <f t="shared" si="167"/>
        <v/>
      </c>
      <c r="M816" s="76" t="str">
        <f t="shared" si="168"/>
        <v/>
      </c>
      <c r="N816" s="26">
        <f t="shared" si="169"/>
        <v>0</v>
      </c>
      <c r="O816" s="235">
        <f t="shared" si="170"/>
        <v>0</v>
      </c>
      <c r="P816" s="235">
        <f t="shared" si="171"/>
        <v>0</v>
      </c>
      <c r="Q816" s="206">
        <f t="shared" si="172"/>
        <v>0</v>
      </c>
      <c r="R816" s="206">
        <f t="shared" si="161"/>
        <v>0</v>
      </c>
      <c r="S816" s="206">
        <f t="shared" si="162"/>
        <v>0</v>
      </c>
      <c r="T816" s="206">
        <f t="shared" si="163"/>
        <v>0</v>
      </c>
      <c r="U816" s="206">
        <f t="shared" si="163"/>
        <v>0</v>
      </c>
      <c r="V816" s="207" t="str">
        <f t="shared" si="164"/>
        <v/>
      </c>
    </row>
    <row r="817" spans="10:22" x14ac:dyDescent="0.3">
      <c r="J817" s="185" t="str">
        <f t="shared" si="165"/>
        <v/>
      </c>
      <c r="K817" s="185" t="str">
        <f t="shared" si="166"/>
        <v/>
      </c>
      <c r="L817" s="185" t="str">
        <f t="shared" si="167"/>
        <v/>
      </c>
      <c r="M817" s="76" t="str">
        <f t="shared" si="168"/>
        <v/>
      </c>
      <c r="N817" s="26">
        <f t="shared" si="169"/>
        <v>0</v>
      </c>
      <c r="O817" s="235">
        <f t="shared" si="170"/>
        <v>0</v>
      </c>
      <c r="P817" s="235">
        <f t="shared" si="171"/>
        <v>0</v>
      </c>
      <c r="Q817" s="206">
        <f t="shared" si="172"/>
        <v>0</v>
      </c>
      <c r="R817" s="206">
        <f t="shared" si="161"/>
        <v>0</v>
      </c>
      <c r="S817" s="206">
        <f t="shared" si="162"/>
        <v>0</v>
      </c>
      <c r="T817" s="206">
        <f t="shared" si="163"/>
        <v>0</v>
      </c>
      <c r="U817" s="206">
        <f t="shared" si="163"/>
        <v>0</v>
      </c>
      <c r="V817" s="207" t="str">
        <f t="shared" si="164"/>
        <v/>
      </c>
    </row>
    <row r="818" spans="10:22" x14ac:dyDescent="0.3">
      <c r="J818" s="185" t="str">
        <f t="shared" si="165"/>
        <v/>
      </c>
      <c r="K818" s="185" t="str">
        <f t="shared" si="166"/>
        <v/>
      </c>
      <c r="L818" s="185" t="str">
        <f t="shared" si="167"/>
        <v/>
      </c>
      <c r="M818" s="76" t="str">
        <f t="shared" si="168"/>
        <v/>
      </c>
      <c r="N818" s="26">
        <f t="shared" si="169"/>
        <v>0</v>
      </c>
      <c r="O818" s="235">
        <f t="shared" si="170"/>
        <v>0</v>
      </c>
      <c r="P818" s="235">
        <f t="shared" si="171"/>
        <v>0</v>
      </c>
      <c r="Q818" s="206">
        <f t="shared" si="172"/>
        <v>0</v>
      </c>
      <c r="R818" s="206">
        <f t="shared" si="161"/>
        <v>0</v>
      </c>
      <c r="S818" s="206">
        <f t="shared" si="162"/>
        <v>0</v>
      </c>
      <c r="T818" s="206">
        <f t="shared" si="163"/>
        <v>0</v>
      </c>
      <c r="U818" s="206">
        <f t="shared" si="163"/>
        <v>0</v>
      </c>
      <c r="V818" s="207" t="str">
        <f t="shared" si="164"/>
        <v/>
      </c>
    </row>
    <row r="819" spans="10:22" x14ac:dyDescent="0.3">
      <c r="J819" s="185" t="str">
        <f t="shared" si="165"/>
        <v/>
      </c>
      <c r="K819" s="185" t="str">
        <f t="shared" si="166"/>
        <v/>
      </c>
      <c r="L819" s="185" t="str">
        <f t="shared" si="167"/>
        <v/>
      </c>
      <c r="M819" s="76" t="str">
        <f t="shared" si="168"/>
        <v/>
      </c>
      <c r="N819" s="26">
        <f t="shared" si="169"/>
        <v>0</v>
      </c>
      <c r="O819" s="235">
        <f t="shared" si="170"/>
        <v>0</v>
      </c>
      <c r="P819" s="235">
        <f t="shared" si="171"/>
        <v>0</v>
      </c>
      <c r="Q819" s="206">
        <f t="shared" si="172"/>
        <v>0</v>
      </c>
      <c r="R819" s="206">
        <f t="shared" si="161"/>
        <v>0</v>
      </c>
      <c r="S819" s="206">
        <f t="shared" si="162"/>
        <v>0</v>
      </c>
      <c r="T819" s="206">
        <f t="shared" si="163"/>
        <v>0</v>
      </c>
      <c r="U819" s="206">
        <f t="shared" si="163"/>
        <v>0</v>
      </c>
      <c r="V819" s="207" t="str">
        <f t="shared" si="164"/>
        <v/>
      </c>
    </row>
    <row r="820" spans="10:22" x14ac:dyDescent="0.3">
      <c r="J820" s="185" t="str">
        <f t="shared" si="165"/>
        <v/>
      </c>
      <c r="K820" s="185" t="str">
        <f t="shared" si="166"/>
        <v/>
      </c>
      <c r="L820" s="185" t="str">
        <f t="shared" si="167"/>
        <v/>
      </c>
      <c r="M820" s="76" t="str">
        <f t="shared" si="168"/>
        <v/>
      </c>
      <c r="N820" s="26">
        <f t="shared" si="169"/>
        <v>0</v>
      </c>
      <c r="O820" s="235">
        <f t="shared" si="170"/>
        <v>0</v>
      </c>
      <c r="P820" s="235">
        <f t="shared" si="171"/>
        <v>0</v>
      </c>
      <c r="Q820" s="206">
        <f t="shared" si="172"/>
        <v>0</v>
      </c>
      <c r="R820" s="206">
        <f t="shared" si="161"/>
        <v>0</v>
      </c>
      <c r="S820" s="206">
        <f t="shared" si="162"/>
        <v>0</v>
      </c>
      <c r="T820" s="206">
        <f t="shared" si="163"/>
        <v>0</v>
      </c>
      <c r="U820" s="206">
        <f t="shared" si="163"/>
        <v>0</v>
      </c>
      <c r="V820" s="207" t="str">
        <f t="shared" si="164"/>
        <v/>
      </c>
    </row>
    <row r="821" spans="10:22" x14ac:dyDescent="0.3">
      <c r="J821" s="185" t="str">
        <f t="shared" si="165"/>
        <v/>
      </c>
      <c r="K821" s="185" t="str">
        <f t="shared" si="166"/>
        <v/>
      </c>
      <c r="L821" s="185" t="str">
        <f t="shared" si="167"/>
        <v/>
      </c>
      <c r="M821" s="76" t="str">
        <f t="shared" si="168"/>
        <v/>
      </c>
      <c r="N821" s="26">
        <f t="shared" si="169"/>
        <v>0</v>
      </c>
      <c r="O821" s="235">
        <f t="shared" si="170"/>
        <v>0</v>
      </c>
      <c r="P821" s="235">
        <f t="shared" si="171"/>
        <v>0</v>
      </c>
      <c r="Q821" s="206">
        <f t="shared" si="172"/>
        <v>0</v>
      </c>
      <c r="R821" s="206">
        <f t="shared" si="161"/>
        <v>0</v>
      </c>
      <c r="S821" s="206">
        <f t="shared" si="162"/>
        <v>0</v>
      </c>
      <c r="T821" s="206">
        <f t="shared" si="163"/>
        <v>0</v>
      </c>
      <c r="U821" s="206">
        <f t="shared" si="163"/>
        <v>0</v>
      </c>
      <c r="V821" s="207" t="str">
        <f t="shared" si="164"/>
        <v/>
      </c>
    </row>
    <row r="822" spans="10:22" x14ac:dyDescent="0.3">
      <c r="J822" s="185" t="str">
        <f t="shared" si="165"/>
        <v/>
      </c>
      <c r="K822" s="185" t="str">
        <f t="shared" si="166"/>
        <v/>
      </c>
      <c r="L822" s="185" t="str">
        <f t="shared" si="167"/>
        <v/>
      </c>
      <c r="M822" s="76" t="str">
        <f t="shared" si="168"/>
        <v/>
      </c>
      <c r="N822" s="26">
        <f t="shared" si="169"/>
        <v>0</v>
      </c>
      <c r="O822" s="235">
        <f t="shared" si="170"/>
        <v>0</v>
      </c>
      <c r="P822" s="235">
        <f t="shared" si="171"/>
        <v>0</v>
      </c>
      <c r="Q822" s="206">
        <f t="shared" si="172"/>
        <v>0</v>
      </c>
      <c r="R822" s="206">
        <f t="shared" si="161"/>
        <v>0</v>
      </c>
      <c r="S822" s="206">
        <f t="shared" si="162"/>
        <v>0</v>
      </c>
      <c r="T822" s="206">
        <f t="shared" si="163"/>
        <v>0</v>
      </c>
      <c r="U822" s="206">
        <f t="shared" si="163"/>
        <v>0</v>
      </c>
      <c r="V822" s="207" t="str">
        <f t="shared" si="164"/>
        <v/>
      </c>
    </row>
    <row r="823" spans="10:22" x14ac:dyDescent="0.3">
      <c r="J823" s="185" t="str">
        <f t="shared" si="165"/>
        <v/>
      </c>
      <c r="K823" s="185" t="str">
        <f t="shared" si="166"/>
        <v/>
      </c>
      <c r="L823" s="185" t="str">
        <f t="shared" si="167"/>
        <v/>
      </c>
      <c r="M823" s="76" t="str">
        <f t="shared" si="168"/>
        <v/>
      </c>
      <c r="N823" s="26">
        <f t="shared" si="169"/>
        <v>0</v>
      </c>
      <c r="O823" s="235">
        <f t="shared" si="170"/>
        <v>0</v>
      </c>
      <c r="P823" s="235">
        <f t="shared" si="171"/>
        <v>0</v>
      </c>
      <c r="Q823" s="206">
        <f t="shared" si="172"/>
        <v>0</v>
      </c>
      <c r="R823" s="206">
        <f t="shared" si="161"/>
        <v>0</v>
      </c>
      <c r="S823" s="206">
        <f t="shared" si="162"/>
        <v>0</v>
      </c>
      <c r="T823" s="206">
        <f t="shared" si="163"/>
        <v>0</v>
      </c>
      <c r="U823" s="206">
        <f t="shared" si="163"/>
        <v>0</v>
      </c>
      <c r="V823" s="207" t="str">
        <f t="shared" si="164"/>
        <v/>
      </c>
    </row>
    <row r="824" spans="10:22" x14ac:dyDescent="0.3">
      <c r="J824" s="185" t="str">
        <f t="shared" si="165"/>
        <v/>
      </c>
      <c r="K824" s="185" t="str">
        <f t="shared" si="166"/>
        <v/>
      </c>
      <c r="L824" s="185" t="str">
        <f t="shared" si="167"/>
        <v/>
      </c>
      <c r="M824" s="76" t="str">
        <f t="shared" si="168"/>
        <v/>
      </c>
      <c r="N824" s="26">
        <f t="shared" si="169"/>
        <v>0</v>
      </c>
      <c r="O824" s="235">
        <f t="shared" si="170"/>
        <v>0</v>
      </c>
      <c r="P824" s="235">
        <f t="shared" si="171"/>
        <v>0</v>
      </c>
      <c r="Q824" s="206">
        <f t="shared" si="172"/>
        <v>0</v>
      </c>
      <c r="R824" s="206">
        <f t="shared" si="161"/>
        <v>0</v>
      </c>
      <c r="S824" s="206">
        <f t="shared" si="162"/>
        <v>0</v>
      </c>
      <c r="T824" s="206">
        <f t="shared" si="163"/>
        <v>0</v>
      </c>
      <c r="U824" s="206">
        <f t="shared" si="163"/>
        <v>0</v>
      </c>
      <c r="V824" s="207" t="str">
        <f t="shared" si="164"/>
        <v/>
      </c>
    </row>
    <row r="825" spans="10:22" x14ac:dyDescent="0.3">
      <c r="J825" s="185" t="str">
        <f t="shared" si="165"/>
        <v/>
      </c>
      <c r="K825" s="185" t="str">
        <f t="shared" si="166"/>
        <v/>
      </c>
      <c r="L825" s="185" t="str">
        <f t="shared" si="167"/>
        <v/>
      </c>
      <c r="M825" s="76" t="str">
        <f t="shared" si="168"/>
        <v/>
      </c>
      <c r="N825" s="26">
        <f t="shared" si="169"/>
        <v>0</v>
      </c>
      <c r="O825" s="235">
        <f t="shared" si="170"/>
        <v>0</v>
      </c>
      <c r="P825" s="235">
        <f t="shared" si="171"/>
        <v>0</v>
      </c>
      <c r="Q825" s="206">
        <f t="shared" si="172"/>
        <v>0</v>
      </c>
      <c r="R825" s="206">
        <f t="shared" si="161"/>
        <v>0</v>
      </c>
      <c r="S825" s="206">
        <f t="shared" si="162"/>
        <v>0</v>
      </c>
      <c r="T825" s="206">
        <f t="shared" si="163"/>
        <v>0</v>
      </c>
      <c r="U825" s="206">
        <f t="shared" si="163"/>
        <v>0</v>
      </c>
      <c r="V825" s="207" t="str">
        <f t="shared" si="164"/>
        <v/>
      </c>
    </row>
    <row r="826" spans="10:22" x14ac:dyDescent="0.3">
      <c r="J826" s="185" t="str">
        <f t="shared" si="165"/>
        <v/>
      </c>
      <c r="K826" s="185" t="str">
        <f t="shared" si="166"/>
        <v/>
      </c>
      <c r="L826" s="185" t="str">
        <f t="shared" si="167"/>
        <v/>
      </c>
      <c r="M826" s="76" t="str">
        <f t="shared" si="168"/>
        <v/>
      </c>
      <c r="N826" s="26">
        <f t="shared" si="169"/>
        <v>0</v>
      </c>
      <c r="O826" s="235">
        <f t="shared" si="170"/>
        <v>0</v>
      </c>
      <c r="P826" s="235">
        <f t="shared" si="171"/>
        <v>0</v>
      </c>
      <c r="Q826" s="206">
        <f t="shared" si="172"/>
        <v>0</v>
      </c>
      <c r="R826" s="206">
        <f t="shared" si="161"/>
        <v>0</v>
      </c>
      <c r="S826" s="206">
        <f t="shared" si="162"/>
        <v>0</v>
      </c>
      <c r="T826" s="206">
        <f t="shared" si="163"/>
        <v>0</v>
      </c>
      <c r="U826" s="206">
        <f t="shared" si="163"/>
        <v>0</v>
      </c>
      <c r="V826" s="207" t="str">
        <f t="shared" si="164"/>
        <v/>
      </c>
    </row>
    <row r="827" spans="10:22" x14ac:dyDescent="0.3">
      <c r="J827" s="185" t="str">
        <f t="shared" si="165"/>
        <v/>
      </c>
      <c r="K827" s="185" t="str">
        <f t="shared" si="166"/>
        <v/>
      </c>
      <c r="L827" s="185" t="str">
        <f t="shared" si="167"/>
        <v/>
      </c>
      <c r="M827" s="76" t="str">
        <f t="shared" si="168"/>
        <v/>
      </c>
      <c r="N827" s="26">
        <f t="shared" si="169"/>
        <v>0</v>
      </c>
      <c r="O827" s="235">
        <f t="shared" si="170"/>
        <v>0</v>
      </c>
      <c r="P827" s="235">
        <f t="shared" si="171"/>
        <v>0</v>
      </c>
      <c r="Q827" s="206">
        <f t="shared" si="172"/>
        <v>0</v>
      </c>
      <c r="R827" s="206">
        <f t="shared" si="161"/>
        <v>0</v>
      </c>
      <c r="S827" s="206">
        <f t="shared" si="162"/>
        <v>0</v>
      </c>
      <c r="T827" s="206">
        <f t="shared" si="163"/>
        <v>0</v>
      </c>
      <c r="U827" s="206">
        <f t="shared" si="163"/>
        <v>0</v>
      </c>
      <c r="V827" s="207" t="str">
        <f t="shared" si="164"/>
        <v/>
      </c>
    </row>
    <row r="828" spans="10:22" x14ac:dyDescent="0.3">
      <c r="J828" s="185" t="str">
        <f t="shared" si="165"/>
        <v/>
      </c>
      <c r="K828" s="185" t="str">
        <f t="shared" si="166"/>
        <v/>
      </c>
      <c r="L828" s="185" t="str">
        <f t="shared" si="167"/>
        <v/>
      </c>
      <c r="M828" s="76" t="str">
        <f t="shared" si="168"/>
        <v/>
      </c>
      <c r="N828" s="26">
        <f t="shared" si="169"/>
        <v>0</v>
      </c>
      <c r="O828" s="235">
        <f t="shared" si="170"/>
        <v>0</v>
      </c>
      <c r="P828" s="235">
        <f t="shared" si="171"/>
        <v>0</v>
      </c>
      <c r="Q828" s="206">
        <f t="shared" si="172"/>
        <v>0</v>
      </c>
      <c r="R828" s="206">
        <f t="shared" si="161"/>
        <v>0</v>
      </c>
      <c r="S828" s="206">
        <f t="shared" si="162"/>
        <v>0</v>
      </c>
      <c r="T828" s="206">
        <f t="shared" si="163"/>
        <v>0</v>
      </c>
      <c r="U828" s="206">
        <f t="shared" si="163"/>
        <v>0</v>
      </c>
      <c r="V828" s="207" t="str">
        <f t="shared" si="164"/>
        <v/>
      </c>
    </row>
    <row r="829" spans="10:22" x14ac:dyDescent="0.3">
      <c r="J829" s="185" t="str">
        <f t="shared" si="165"/>
        <v/>
      </c>
      <c r="K829" s="185" t="str">
        <f t="shared" si="166"/>
        <v/>
      </c>
      <c r="L829" s="185" t="str">
        <f t="shared" si="167"/>
        <v/>
      </c>
      <c r="M829" s="76" t="str">
        <f t="shared" si="168"/>
        <v/>
      </c>
      <c r="N829" s="26">
        <f t="shared" si="169"/>
        <v>0</v>
      </c>
      <c r="O829" s="235">
        <f t="shared" si="170"/>
        <v>0</v>
      </c>
      <c r="P829" s="235">
        <f t="shared" si="171"/>
        <v>0</v>
      </c>
      <c r="Q829" s="206">
        <f t="shared" si="172"/>
        <v>0</v>
      </c>
      <c r="R829" s="206">
        <f t="shared" si="161"/>
        <v>0</v>
      </c>
      <c r="S829" s="206">
        <f t="shared" si="162"/>
        <v>0</v>
      </c>
      <c r="T829" s="206">
        <f t="shared" si="163"/>
        <v>0</v>
      </c>
      <c r="U829" s="206">
        <f t="shared" si="163"/>
        <v>0</v>
      </c>
      <c r="V829" s="207" t="str">
        <f t="shared" si="164"/>
        <v/>
      </c>
    </row>
    <row r="830" spans="10:22" x14ac:dyDescent="0.3">
      <c r="J830" s="185" t="str">
        <f t="shared" si="165"/>
        <v/>
      </c>
      <c r="K830" s="185" t="str">
        <f t="shared" si="166"/>
        <v/>
      </c>
      <c r="L830" s="185" t="str">
        <f t="shared" si="167"/>
        <v/>
      </c>
      <c r="M830" s="76" t="str">
        <f t="shared" si="168"/>
        <v/>
      </c>
      <c r="N830" s="26">
        <f t="shared" si="169"/>
        <v>0</v>
      </c>
      <c r="O830" s="235">
        <f t="shared" si="170"/>
        <v>0</v>
      </c>
      <c r="P830" s="235">
        <f t="shared" si="171"/>
        <v>0</v>
      </c>
      <c r="Q830" s="206">
        <f t="shared" si="172"/>
        <v>0</v>
      </c>
      <c r="R830" s="206">
        <f t="shared" si="161"/>
        <v>0</v>
      </c>
      <c r="S830" s="206">
        <f t="shared" si="162"/>
        <v>0</v>
      </c>
      <c r="T830" s="206">
        <f t="shared" si="163"/>
        <v>0</v>
      </c>
      <c r="U830" s="206">
        <f t="shared" si="163"/>
        <v>0</v>
      </c>
      <c r="V830" s="207" t="str">
        <f t="shared" si="164"/>
        <v/>
      </c>
    </row>
    <row r="831" spans="10:22" x14ac:dyDescent="0.3">
      <c r="J831" s="185" t="str">
        <f t="shared" si="165"/>
        <v/>
      </c>
      <c r="K831" s="185" t="str">
        <f t="shared" si="166"/>
        <v/>
      </c>
      <c r="L831" s="185" t="str">
        <f t="shared" si="167"/>
        <v/>
      </c>
      <c r="M831" s="76" t="str">
        <f t="shared" si="168"/>
        <v/>
      </c>
      <c r="N831" s="26">
        <f t="shared" si="169"/>
        <v>0</v>
      </c>
      <c r="O831" s="235">
        <f t="shared" si="170"/>
        <v>0</v>
      </c>
      <c r="P831" s="235">
        <f t="shared" si="171"/>
        <v>0</v>
      </c>
      <c r="Q831" s="206">
        <f t="shared" si="172"/>
        <v>0</v>
      </c>
      <c r="R831" s="206">
        <f t="shared" si="161"/>
        <v>0</v>
      </c>
      <c r="S831" s="206">
        <f t="shared" si="162"/>
        <v>0</v>
      </c>
      <c r="T831" s="206">
        <f t="shared" si="163"/>
        <v>0</v>
      </c>
      <c r="U831" s="206">
        <f t="shared" si="163"/>
        <v>0</v>
      </c>
      <c r="V831" s="207" t="str">
        <f t="shared" si="164"/>
        <v/>
      </c>
    </row>
    <row r="832" spans="10:22" x14ac:dyDescent="0.3">
      <c r="J832" s="185" t="str">
        <f t="shared" si="165"/>
        <v/>
      </c>
      <c r="K832" s="185" t="str">
        <f t="shared" si="166"/>
        <v/>
      </c>
      <c r="L832" s="185" t="str">
        <f t="shared" si="167"/>
        <v/>
      </c>
      <c r="M832" s="76" t="str">
        <f t="shared" si="168"/>
        <v/>
      </c>
      <c r="N832" s="26">
        <f t="shared" si="169"/>
        <v>0</v>
      </c>
      <c r="O832" s="235">
        <f t="shared" si="170"/>
        <v>0</v>
      </c>
      <c r="P832" s="235">
        <f t="shared" si="171"/>
        <v>0</v>
      </c>
      <c r="Q832" s="206">
        <f t="shared" si="172"/>
        <v>0</v>
      </c>
      <c r="R832" s="206">
        <f t="shared" si="161"/>
        <v>0</v>
      </c>
      <c r="S832" s="206">
        <f t="shared" si="162"/>
        <v>0</v>
      </c>
      <c r="T832" s="206">
        <f t="shared" si="163"/>
        <v>0</v>
      </c>
      <c r="U832" s="206">
        <f t="shared" si="163"/>
        <v>0</v>
      </c>
      <c r="V832" s="207" t="str">
        <f t="shared" si="164"/>
        <v/>
      </c>
    </row>
    <row r="833" spans="10:22" x14ac:dyDescent="0.3">
      <c r="J833" s="185" t="str">
        <f t="shared" si="165"/>
        <v/>
      </c>
      <c r="K833" s="185" t="str">
        <f t="shared" si="166"/>
        <v/>
      </c>
      <c r="L833" s="185" t="str">
        <f t="shared" si="167"/>
        <v/>
      </c>
      <c r="M833" s="76" t="str">
        <f t="shared" si="168"/>
        <v/>
      </c>
      <c r="N833" s="26">
        <f t="shared" si="169"/>
        <v>0</v>
      </c>
      <c r="O833" s="235">
        <f t="shared" si="170"/>
        <v>0</v>
      </c>
      <c r="P833" s="235">
        <f t="shared" si="171"/>
        <v>0</v>
      </c>
      <c r="Q833" s="206">
        <f t="shared" si="172"/>
        <v>0</v>
      </c>
      <c r="R833" s="206">
        <f t="shared" si="161"/>
        <v>0</v>
      </c>
      <c r="S833" s="206">
        <f t="shared" si="162"/>
        <v>0</v>
      </c>
      <c r="T833" s="206">
        <f t="shared" si="163"/>
        <v>0</v>
      </c>
      <c r="U833" s="206">
        <f t="shared" si="163"/>
        <v>0</v>
      </c>
      <c r="V833" s="207" t="str">
        <f t="shared" si="164"/>
        <v/>
      </c>
    </row>
    <row r="834" spans="10:22" x14ac:dyDescent="0.3">
      <c r="J834" s="185" t="str">
        <f t="shared" si="165"/>
        <v/>
      </c>
      <c r="K834" s="185" t="str">
        <f t="shared" si="166"/>
        <v/>
      </c>
      <c r="L834" s="185" t="str">
        <f t="shared" si="167"/>
        <v/>
      </c>
      <c r="M834" s="76" t="str">
        <f t="shared" si="168"/>
        <v/>
      </c>
      <c r="N834" s="26">
        <f t="shared" si="169"/>
        <v>0</v>
      </c>
      <c r="O834" s="235">
        <f t="shared" si="170"/>
        <v>0</v>
      </c>
      <c r="P834" s="235">
        <f t="shared" si="171"/>
        <v>0</v>
      </c>
      <c r="Q834" s="206">
        <f t="shared" si="172"/>
        <v>0</v>
      </c>
      <c r="R834" s="206">
        <f t="shared" si="161"/>
        <v>0</v>
      </c>
      <c r="S834" s="206">
        <f t="shared" si="162"/>
        <v>0</v>
      </c>
      <c r="T834" s="206">
        <f t="shared" si="163"/>
        <v>0</v>
      </c>
      <c r="U834" s="206">
        <f t="shared" si="163"/>
        <v>0</v>
      </c>
      <c r="V834" s="207" t="str">
        <f t="shared" si="164"/>
        <v/>
      </c>
    </row>
    <row r="835" spans="10:22" x14ac:dyDescent="0.3">
      <c r="J835" s="185" t="str">
        <f t="shared" si="165"/>
        <v/>
      </c>
      <c r="K835" s="185" t="str">
        <f t="shared" si="166"/>
        <v/>
      </c>
      <c r="L835" s="185" t="str">
        <f t="shared" si="167"/>
        <v/>
      </c>
      <c r="M835" s="76" t="str">
        <f t="shared" si="168"/>
        <v/>
      </c>
      <c r="N835" s="26">
        <f t="shared" si="169"/>
        <v>0</v>
      </c>
      <c r="O835" s="235">
        <f t="shared" si="170"/>
        <v>0</v>
      </c>
      <c r="P835" s="235">
        <f t="shared" si="171"/>
        <v>0</v>
      </c>
      <c r="Q835" s="206">
        <f t="shared" si="172"/>
        <v>0</v>
      </c>
      <c r="R835" s="206">
        <f t="shared" si="161"/>
        <v>0</v>
      </c>
      <c r="S835" s="206">
        <f t="shared" si="162"/>
        <v>0</v>
      </c>
      <c r="T835" s="206">
        <f t="shared" si="163"/>
        <v>0</v>
      </c>
      <c r="U835" s="206">
        <f t="shared" si="163"/>
        <v>0</v>
      </c>
      <c r="V835" s="207" t="str">
        <f t="shared" si="164"/>
        <v/>
      </c>
    </row>
    <row r="836" spans="10:22" x14ac:dyDescent="0.3">
      <c r="J836" s="185" t="str">
        <f t="shared" si="165"/>
        <v/>
      </c>
      <c r="K836" s="185" t="str">
        <f t="shared" si="166"/>
        <v/>
      </c>
      <c r="L836" s="185" t="str">
        <f t="shared" si="167"/>
        <v/>
      </c>
      <c r="M836" s="76" t="str">
        <f t="shared" si="168"/>
        <v/>
      </c>
      <c r="N836" s="26">
        <f t="shared" si="169"/>
        <v>0</v>
      </c>
      <c r="O836" s="235">
        <f t="shared" si="170"/>
        <v>0</v>
      </c>
      <c r="P836" s="235">
        <f t="shared" si="171"/>
        <v>0</v>
      </c>
      <c r="Q836" s="206">
        <f t="shared" si="172"/>
        <v>0</v>
      </c>
      <c r="R836" s="206">
        <f t="shared" si="161"/>
        <v>0</v>
      </c>
      <c r="S836" s="206">
        <f t="shared" si="162"/>
        <v>0</v>
      </c>
      <c r="T836" s="206">
        <f t="shared" si="163"/>
        <v>0</v>
      </c>
      <c r="U836" s="206">
        <f t="shared" si="163"/>
        <v>0</v>
      </c>
      <c r="V836" s="207" t="str">
        <f t="shared" si="164"/>
        <v/>
      </c>
    </row>
    <row r="837" spans="10:22" x14ac:dyDescent="0.3">
      <c r="J837" s="185" t="str">
        <f t="shared" si="165"/>
        <v/>
      </c>
      <c r="K837" s="185" t="str">
        <f t="shared" si="166"/>
        <v/>
      </c>
      <c r="L837" s="185" t="str">
        <f t="shared" si="167"/>
        <v/>
      </c>
      <c r="M837" s="76" t="str">
        <f t="shared" si="168"/>
        <v/>
      </c>
      <c r="N837" s="26">
        <f t="shared" si="169"/>
        <v>0</v>
      </c>
      <c r="O837" s="235">
        <f t="shared" si="170"/>
        <v>0</v>
      </c>
      <c r="P837" s="235">
        <f t="shared" si="171"/>
        <v>0</v>
      </c>
      <c r="Q837" s="206">
        <f t="shared" si="172"/>
        <v>0</v>
      </c>
      <c r="R837" s="206">
        <f t="shared" si="161"/>
        <v>0</v>
      </c>
      <c r="S837" s="206">
        <f t="shared" si="162"/>
        <v>0</v>
      </c>
      <c r="T837" s="206">
        <f t="shared" si="163"/>
        <v>0</v>
      </c>
      <c r="U837" s="206">
        <f t="shared" si="163"/>
        <v>0</v>
      </c>
      <c r="V837" s="207" t="str">
        <f t="shared" si="164"/>
        <v/>
      </c>
    </row>
    <row r="838" spans="10:22" x14ac:dyDescent="0.3">
      <c r="J838" s="185" t="str">
        <f t="shared" si="165"/>
        <v/>
      </c>
      <c r="K838" s="185" t="str">
        <f t="shared" si="166"/>
        <v/>
      </c>
      <c r="L838" s="185" t="str">
        <f t="shared" si="167"/>
        <v/>
      </c>
      <c r="M838" s="76" t="str">
        <f t="shared" si="168"/>
        <v/>
      </c>
      <c r="N838" s="26">
        <f t="shared" si="169"/>
        <v>0</v>
      </c>
      <c r="O838" s="235">
        <f t="shared" si="170"/>
        <v>0</v>
      </c>
      <c r="P838" s="235">
        <f t="shared" si="171"/>
        <v>0</v>
      </c>
      <c r="Q838" s="206">
        <f t="shared" si="172"/>
        <v>0</v>
      </c>
      <c r="R838" s="206">
        <f t="shared" si="161"/>
        <v>0</v>
      </c>
      <c r="S838" s="206">
        <f t="shared" si="162"/>
        <v>0</v>
      </c>
      <c r="T838" s="206">
        <f t="shared" si="163"/>
        <v>0</v>
      </c>
      <c r="U838" s="206">
        <f t="shared" si="163"/>
        <v>0</v>
      </c>
      <c r="V838" s="207" t="str">
        <f t="shared" si="164"/>
        <v/>
      </c>
    </row>
    <row r="839" spans="10:22" x14ac:dyDescent="0.3">
      <c r="J839" s="185" t="str">
        <f t="shared" si="165"/>
        <v/>
      </c>
      <c r="K839" s="185" t="str">
        <f t="shared" si="166"/>
        <v/>
      </c>
      <c r="L839" s="185" t="str">
        <f t="shared" si="167"/>
        <v/>
      </c>
      <c r="M839" s="76" t="str">
        <f t="shared" si="168"/>
        <v/>
      </c>
      <c r="N839" s="26">
        <f t="shared" si="169"/>
        <v>0</v>
      </c>
      <c r="O839" s="235">
        <f t="shared" si="170"/>
        <v>0</v>
      </c>
      <c r="P839" s="235">
        <f t="shared" si="171"/>
        <v>0</v>
      </c>
      <c r="Q839" s="206">
        <f t="shared" si="172"/>
        <v>0</v>
      </c>
      <c r="R839" s="206">
        <f t="shared" si="161"/>
        <v>0</v>
      </c>
      <c r="S839" s="206">
        <f t="shared" si="162"/>
        <v>0</v>
      </c>
      <c r="T839" s="206">
        <f t="shared" si="163"/>
        <v>0</v>
      </c>
      <c r="U839" s="206">
        <f t="shared" si="163"/>
        <v>0</v>
      </c>
      <c r="V839" s="207" t="str">
        <f t="shared" si="164"/>
        <v/>
      </c>
    </row>
    <row r="840" spans="10:22" x14ac:dyDescent="0.3">
      <c r="J840" s="185" t="str">
        <f t="shared" si="165"/>
        <v/>
      </c>
      <c r="K840" s="185" t="str">
        <f t="shared" si="166"/>
        <v/>
      </c>
      <c r="L840" s="185" t="str">
        <f t="shared" si="167"/>
        <v/>
      </c>
      <c r="M840" s="76" t="str">
        <f t="shared" si="168"/>
        <v/>
      </c>
      <c r="N840" s="26">
        <f t="shared" si="169"/>
        <v>0</v>
      </c>
      <c r="O840" s="235">
        <f t="shared" si="170"/>
        <v>0</v>
      </c>
      <c r="P840" s="235">
        <f t="shared" si="171"/>
        <v>0</v>
      </c>
      <c r="Q840" s="206">
        <f t="shared" si="172"/>
        <v>0</v>
      </c>
      <c r="R840" s="206">
        <f t="shared" si="161"/>
        <v>0</v>
      </c>
      <c r="S840" s="206">
        <f t="shared" si="162"/>
        <v>0</v>
      </c>
      <c r="T840" s="206">
        <f t="shared" si="163"/>
        <v>0</v>
      </c>
      <c r="U840" s="206">
        <f t="shared" si="163"/>
        <v>0</v>
      </c>
      <c r="V840" s="207" t="str">
        <f t="shared" si="164"/>
        <v/>
      </c>
    </row>
    <row r="841" spans="10:22" x14ac:dyDescent="0.3">
      <c r="J841" s="185" t="str">
        <f t="shared" si="165"/>
        <v/>
      </c>
      <c r="K841" s="185" t="str">
        <f t="shared" si="166"/>
        <v/>
      </c>
      <c r="L841" s="185" t="str">
        <f t="shared" si="167"/>
        <v/>
      </c>
      <c r="M841" s="76" t="str">
        <f t="shared" si="168"/>
        <v/>
      </c>
      <c r="N841" s="26">
        <f t="shared" si="169"/>
        <v>0</v>
      </c>
      <c r="O841" s="235">
        <f t="shared" si="170"/>
        <v>0</v>
      </c>
      <c r="P841" s="235">
        <f t="shared" si="171"/>
        <v>0</v>
      </c>
      <c r="Q841" s="206">
        <f t="shared" si="172"/>
        <v>0</v>
      </c>
      <c r="R841" s="206">
        <f t="shared" si="161"/>
        <v>0</v>
      </c>
      <c r="S841" s="206">
        <f t="shared" si="162"/>
        <v>0</v>
      </c>
      <c r="T841" s="206">
        <f t="shared" si="163"/>
        <v>0</v>
      </c>
      <c r="U841" s="206">
        <f t="shared" si="163"/>
        <v>0</v>
      </c>
      <c r="V841" s="207" t="str">
        <f t="shared" si="164"/>
        <v/>
      </c>
    </row>
    <row r="842" spans="10:22" x14ac:dyDescent="0.3">
      <c r="J842" s="185" t="str">
        <f t="shared" si="165"/>
        <v/>
      </c>
      <c r="K842" s="185" t="str">
        <f t="shared" si="166"/>
        <v/>
      </c>
      <c r="L842" s="185" t="str">
        <f t="shared" si="167"/>
        <v/>
      </c>
      <c r="M842" s="76" t="str">
        <f t="shared" si="168"/>
        <v/>
      </c>
      <c r="N842" s="26">
        <f t="shared" si="169"/>
        <v>0</v>
      </c>
      <c r="O842" s="235">
        <f t="shared" si="170"/>
        <v>0</v>
      </c>
      <c r="P842" s="235">
        <f t="shared" si="171"/>
        <v>0</v>
      </c>
      <c r="Q842" s="206">
        <f t="shared" si="172"/>
        <v>0</v>
      </c>
      <c r="R842" s="206">
        <f t="shared" si="161"/>
        <v>0</v>
      </c>
      <c r="S842" s="206">
        <f t="shared" si="162"/>
        <v>0</v>
      </c>
      <c r="T842" s="206">
        <f t="shared" si="163"/>
        <v>0</v>
      </c>
      <c r="U842" s="206">
        <f t="shared" si="163"/>
        <v>0</v>
      </c>
      <c r="V842" s="207" t="str">
        <f t="shared" si="164"/>
        <v/>
      </c>
    </row>
    <row r="843" spans="10:22" x14ac:dyDescent="0.3">
      <c r="J843" s="185" t="str">
        <f t="shared" si="165"/>
        <v/>
      </c>
      <c r="K843" s="185" t="str">
        <f t="shared" si="166"/>
        <v/>
      </c>
      <c r="L843" s="185" t="str">
        <f t="shared" si="167"/>
        <v/>
      </c>
      <c r="M843" s="76" t="str">
        <f t="shared" si="168"/>
        <v/>
      </c>
      <c r="N843" s="26">
        <f t="shared" si="169"/>
        <v>0</v>
      </c>
      <c r="O843" s="235">
        <f t="shared" si="170"/>
        <v>0</v>
      </c>
      <c r="P843" s="235">
        <f t="shared" si="171"/>
        <v>0</v>
      </c>
      <c r="Q843" s="206">
        <f t="shared" si="172"/>
        <v>0</v>
      </c>
      <c r="R843" s="206">
        <f t="shared" si="161"/>
        <v>0</v>
      </c>
      <c r="S843" s="206">
        <f t="shared" si="162"/>
        <v>0</v>
      </c>
      <c r="T843" s="206">
        <f t="shared" si="163"/>
        <v>0</v>
      </c>
      <c r="U843" s="206">
        <f t="shared" si="163"/>
        <v>0</v>
      </c>
      <c r="V843" s="207" t="str">
        <f t="shared" si="164"/>
        <v/>
      </c>
    </row>
    <row r="844" spans="10:22" x14ac:dyDescent="0.3">
      <c r="J844" s="185" t="str">
        <f t="shared" si="165"/>
        <v/>
      </c>
      <c r="K844" s="185" t="str">
        <f t="shared" si="166"/>
        <v/>
      </c>
      <c r="L844" s="185" t="str">
        <f t="shared" si="167"/>
        <v/>
      </c>
      <c r="M844" s="76" t="str">
        <f t="shared" si="168"/>
        <v/>
      </c>
      <c r="N844" s="26">
        <f t="shared" si="169"/>
        <v>0</v>
      </c>
      <c r="O844" s="235">
        <f t="shared" si="170"/>
        <v>0</v>
      </c>
      <c r="P844" s="235">
        <f t="shared" si="171"/>
        <v>0</v>
      </c>
      <c r="Q844" s="206">
        <f t="shared" si="172"/>
        <v>0</v>
      </c>
      <c r="R844" s="206">
        <f t="shared" si="161"/>
        <v>0</v>
      </c>
      <c r="S844" s="206">
        <f t="shared" si="162"/>
        <v>0</v>
      </c>
      <c r="T844" s="206">
        <f t="shared" si="163"/>
        <v>0</v>
      </c>
      <c r="U844" s="206">
        <f t="shared" si="163"/>
        <v>0</v>
      </c>
      <c r="V844" s="207" t="str">
        <f t="shared" si="164"/>
        <v/>
      </c>
    </row>
    <row r="845" spans="10:22" x14ac:dyDescent="0.3">
      <c r="J845" s="185" t="str">
        <f t="shared" si="165"/>
        <v/>
      </c>
      <c r="K845" s="185" t="str">
        <f t="shared" si="166"/>
        <v/>
      </c>
      <c r="L845" s="185" t="str">
        <f t="shared" si="167"/>
        <v/>
      </c>
      <c r="M845" s="76" t="str">
        <f t="shared" si="168"/>
        <v/>
      </c>
      <c r="N845" s="26">
        <f t="shared" si="169"/>
        <v>0</v>
      </c>
      <c r="O845" s="235">
        <f t="shared" si="170"/>
        <v>0</v>
      </c>
      <c r="P845" s="235">
        <f t="shared" si="171"/>
        <v>0</v>
      </c>
      <c r="Q845" s="206">
        <f t="shared" si="172"/>
        <v>0</v>
      </c>
      <c r="R845" s="206">
        <f t="shared" si="161"/>
        <v>0</v>
      </c>
      <c r="S845" s="206">
        <f t="shared" si="162"/>
        <v>0</v>
      </c>
      <c r="T845" s="206">
        <f t="shared" si="163"/>
        <v>0</v>
      </c>
      <c r="U845" s="206">
        <f t="shared" si="163"/>
        <v>0</v>
      </c>
      <c r="V845" s="207" t="str">
        <f t="shared" si="164"/>
        <v/>
      </c>
    </row>
    <row r="846" spans="10:22" x14ac:dyDescent="0.3">
      <c r="J846" s="185" t="str">
        <f t="shared" si="165"/>
        <v/>
      </c>
      <c r="K846" s="185" t="str">
        <f t="shared" si="166"/>
        <v/>
      </c>
      <c r="L846" s="185" t="str">
        <f t="shared" si="167"/>
        <v/>
      </c>
      <c r="M846" s="76" t="str">
        <f t="shared" si="168"/>
        <v/>
      </c>
      <c r="N846" s="26">
        <f t="shared" si="169"/>
        <v>0</v>
      </c>
      <c r="O846" s="235">
        <f t="shared" si="170"/>
        <v>0</v>
      </c>
      <c r="P846" s="235">
        <f t="shared" si="171"/>
        <v>0</v>
      </c>
      <c r="Q846" s="206">
        <f t="shared" si="172"/>
        <v>0</v>
      </c>
      <c r="R846" s="206">
        <f t="shared" si="161"/>
        <v>0</v>
      </c>
      <c r="S846" s="206">
        <f t="shared" si="162"/>
        <v>0</v>
      </c>
      <c r="T846" s="206">
        <f t="shared" si="163"/>
        <v>0</v>
      </c>
      <c r="U846" s="206">
        <f t="shared" si="163"/>
        <v>0</v>
      </c>
      <c r="V846" s="207" t="str">
        <f t="shared" si="164"/>
        <v/>
      </c>
    </row>
    <row r="847" spans="10:22" x14ac:dyDescent="0.3">
      <c r="J847" s="185" t="str">
        <f t="shared" si="165"/>
        <v/>
      </c>
      <c r="K847" s="185" t="str">
        <f t="shared" si="166"/>
        <v/>
      </c>
      <c r="L847" s="185" t="str">
        <f t="shared" si="167"/>
        <v/>
      </c>
      <c r="M847" s="76" t="str">
        <f t="shared" si="168"/>
        <v/>
      </c>
      <c r="N847" s="26">
        <f t="shared" si="169"/>
        <v>0</v>
      </c>
      <c r="O847" s="235">
        <f t="shared" si="170"/>
        <v>0</v>
      </c>
      <c r="P847" s="235">
        <f t="shared" si="171"/>
        <v>0</v>
      </c>
      <c r="Q847" s="206">
        <f t="shared" si="172"/>
        <v>0</v>
      </c>
      <c r="R847" s="206">
        <f t="shared" si="161"/>
        <v>0</v>
      </c>
      <c r="S847" s="206">
        <f t="shared" si="162"/>
        <v>0</v>
      </c>
      <c r="T847" s="206">
        <f t="shared" si="163"/>
        <v>0</v>
      </c>
      <c r="U847" s="206">
        <f t="shared" si="163"/>
        <v>0</v>
      </c>
      <c r="V847" s="207" t="str">
        <f t="shared" si="164"/>
        <v/>
      </c>
    </row>
    <row r="848" spans="10:22" x14ac:dyDescent="0.3">
      <c r="J848" s="185" t="str">
        <f t="shared" si="165"/>
        <v/>
      </c>
      <c r="K848" s="185" t="str">
        <f t="shared" si="166"/>
        <v/>
      </c>
      <c r="L848" s="185" t="str">
        <f t="shared" si="167"/>
        <v/>
      </c>
      <c r="M848" s="76" t="str">
        <f t="shared" si="168"/>
        <v/>
      </c>
      <c r="N848" s="26">
        <f t="shared" si="169"/>
        <v>0</v>
      </c>
      <c r="O848" s="235">
        <f t="shared" si="170"/>
        <v>0</v>
      </c>
      <c r="P848" s="235">
        <f t="shared" si="171"/>
        <v>0</v>
      </c>
      <c r="Q848" s="206">
        <f t="shared" si="172"/>
        <v>0</v>
      </c>
      <c r="R848" s="206">
        <f t="shared" si="161"/>
        <v>0</v>
      </c>
      <c r="S848" s="206">
        <f t="shared" si="162"/>
        <v>0</v>
      </c>
      <c r="T848" s="206">
        <f t="shared" si="163"/>
        <v>0</v>
      </c>
      <c r="U848" s="206">
        <f t="shared" si="163"/>
        <v>0</v>
      </c>
      <c r="V848" s="207" t="str">
        <f t="shared" si="164"/>
        <v/>
      </c>
    </row>
    <row r="849" spans="10:22" x14ac:dyDescent="0.3">
      <c r="J849" s="185" t="str">
        <f t="shared" si="165"/>
        <v/>
      </c>
      <c r="K849" s="185" t="str">
        <f t="shared" si="166"/>
        <v/>
      </c>
      <c r="L849" s="185" t="str">
        <f t="shared" si="167"/>
        <v/>
      </c>
      <c r="M849" s="76" t="str">
        <f t="shared" si="168"/>
        <v/>
      </c>
      <c r="N849" s="26">
        <f t="shared" si="169"/>
        <v>0</v>
      </c>
      <c r="O849" s="235">
        <f t="shared" si="170"/>
        <v>0</v>
      </c>
      <c r="P849" s="235">
        <f t="shared" si="171"/>
        <v>0</v>
      </c>
      <c r="Q849" s="206">
        <f t="shared" si="172"/>
        <v>0</v>
      </c>
      <c r="R849" s="206">
        <f t="shared" si="161"/>
        <v>0</v>
      </c>
      <c r="S849" s="206">
        <f t="shared" si="162"/>
        <v>0</v>
      </c>
      <c r="T849" s="206">
        <f t="shared" si="163"/>
        <v>0</v>
      </c>
      <c r="U849" s="206">
        <f t="shared" si="163"/>
        <v>0</v>
      </c>
      <c r="V849" s="207" t="str">
        <f t="shared" si="164"/>
        <v/>
      </c>
    </row>
    <row r="850" spans="10:22" x14ac:dyDescent="0.3">
      <c r="J850" s="185" t="str">
        <f t="shared" si="165"/>
        <v/>
      </c>
      <c r="K850" s="185" t="str">
        <f t="shared" si="166"/>
        <v/>
      </c>
      <c r="L850" s="185" t="str">
        <f t="shared" si="167"/>
        <v/>
      </c>
      <c r="M850" s="76" t="str">
        <f t="shared" si="168"/>
        <v/>
      </c>
      <c r="N850" s="26">
        <f t="shared" si="169"/>
        <v>0</v>
      </c>
      <c r="O850" s="235">
        <f t="shared" si="170"/>
        <v>0</v>
      </c>
      <c r="P850" s="235">
        <f t="shared" si="171"/>
        <v>0</v>
      </c>
      <c r="Q850" s="206">
        <f t="shared" si="172"/>
        <v>0</v>
      </c>
      <c r="R850" s="206">
        <f t="shared" si="161"/>
        <v>0</v>
      </c>
      <c r="S850" s="206">
        <f t="shared" si="162"/>
        <v>0</v>
      </c>
      <c r="T850" s="206">
        <f t="shared" si="163"/>
        <v>0</v>
      </c>
      <c r="U850" s="206">
        <f t="shared" si="163"/>
        <v>0</v>
      </c>
      <c r="V850" s="207" t="str">
        <f t="shared" si="164"/>
        <v/>
      </c>
    </row>
    <row r="851" spans="10:22" x14ac:dyDescent="0.3">
      <c r="J851" s="185" t="str">
        <f t="shared" si="165"/>
        <v/>
      </c>
      <c r="K851" s="185" t="str">
        <f t="shared" si="166"/>
        <v/>
      </c>
      <c r="L851" s="185" t="str">
        <f t="shared" si="167"/>
        <v/>
      </c>
      <c r="M851" s="76" t="str">
        <f t="shared" si="168"/>
        <v/>
      </c>
      <c r="N851" s="26">
        <f t="shared" si="169"/>
        <v>0</v>
      </c>
      <c r="O851" s="235">
        <f t="shared" si="170"/>
        <v>0</v>
      </c>
      <c r="P851" s="235">
        <f t="shared" si="171"/>
        <v>0</v>
      </c>
      <c r="Q851" s="206">
        <f t="shared" si="172"/>
        <v>0</v>
      </c>
      <c r="R851" s="206">
        <f t="shared" si="161"/>
        <v>0</v>
      </c>
      <c r="S851" s="206">
        <f t="shared" si="162"/>
        <v>0</v>
      </c>
      <c r="T851" s="206">
        <f t="shared" si="163"/>
        <v>0</v>
      </c>
      <c r="U851" s="206">
        <f t="shared" si="163"/>
        <v>0</v>
      </c>
      <c r="V851" s="207" t="str">
        <f t="shared" si="164"/>
        <v/>
      </c>
    </row>
    <row r="852" spans="10:22" x14ac:dyDescent="0.3">
      <c r="J852" s="185" t="str">
        <f t="shared" si="165"/>
        <v/>
      </c>
      <c r="K852" s="185" t="str">
        <f t="shared" si="166"/>
        <v/>
      </c>
      <c r="L852" s="185" t="str">
        <f t="shared" si="167"/>
        <v/>
      </c>
      <c r="M852" s="76" t="str">
        <f t="shared" si="168"/>
        <v/>
      </c>
      <c r="N852" s="26">
        <f t="shared" si="169"/>
        <v>0</v>
      </c>
      <c r="O852" s="235">
        <f t="shared" si="170"/>
        <v>0</v>
      </c>
      <c r="P852" s="235">
        <f t="shared" si="171"/>
        <v>0</v>
      </c>
      <c r="Q852" s="206">
        <f t="shared" si="172"/>
        <v>0</v>
      </c>
      <c r="R852" s="206">
        <f t="shared" si="161"/>
        <v>0</v>
      </c>
      <c r="S852" s="206">
        <f t="shared" si="162"/>
        <v>0</v>
      </c>
      <c r="T852" s="206">
        <f t="shared" si="163"/>
        <v>0</v>
      </c>
      <c r="U852" s="206">
        <f t="shared" si="163"/>
        <v>0</v>
      </c>
      <c r="V852" s="207" t="str">
        <f t="shared" si="164"/>
        <v/>
      </c>
    </row>
    <row r="853" spans="10:22" x14ac:dyDescent="0.3">
      <c r="J853" s="185" t="str">
        <f t="shared" si="165"/>
        <v/>
      </c>
      <c r="K853" s="185" t="str">
        <f t="shared" si="166"/>
        <v/>
      </c>
      <c r="L853" s="185" t="str">
        <f t="shared" si="167"/>
        <v/>
      </c>
      <c r="M853" s="76" t="str">
        <f t="shared" si="168"/>
        <v/>
      </c>
      <c r="N853" s="26">
        <f t="shared" si="169"/>
        <v>0</v>
      </c>
      <c r="O853" s="235">
        <f t="shared" si="170"/>
        <v>0</v>
      </c>
      <c r="P853" s="235">
        <f t="shared" si="171"/>
        <v>0</v>
      </c>
      <c r="Q853" s="206">
        <f t="shared" si="172"/>
        <v>0</v>
      </c>
      <c r="R853" s="206">
        <f t="shared" si="161"/>
        <v>0</v>
      </c>
      <c r="S853" s="206">
        <f t="shared" si="162"/>
        <v>0</v>
      </c>
      <c r="T853" s="206">
        <f t="shared" si="163"/>
        <v>0</v>
      </c>
      <c r="U853" s="206">
        <f t="shared" si="163"/>
        <v>0</v>
      </c>
      <c r="V853" s="207" t="str">
        <f t="shared" si="164"/>
        <v/>
      </c>
    </row>
    <row r="854" spans="10:22" x14ac:dyDescent="0.3">
      <c r="J854" s="185" t="str">
        <f t="shared" si="165"/>
        <v/>
      </c>
      <c r="K854" s="185" t="str">
        <f t="shared" si="166"/>
        <v/>
      </c>
      <c r="L854" s="185" t="str">
        <f t="shared" si="167"/>
        <v/>
      </c>
      <c r="M854" s="76" t="str">
        <f t="shared" si="168"/>
        <v/>
      </c>
      <c r="N854" s="26">
        <f t="shared" si="169"/>
        <v>0</v>
      </c>
      <c r="O854" s="235">
        <f t="shared" si="170"/>
        <v>0</v>
      </c>
      <c r="P854" s="235">
        <f t="shared" si="171"/>
        <v>0</v>
      </c>
      <c r="Q854" s="206">
        <f t="shared" si="172"/>
        <v>0</v>
      </c>
      <c r="R854" s="206">
        <f t="shared" si="161"/>
        <v>0</v>
      </c>
      <c r="S854" s="206">
        <f t="shared" si="162"/>
        <v>0</v>
      </c>
      <c r="T854" s="206">
        <f t="shared" si="163"/>
        <v>0</v>
      </c>
      <c r="U854" s="206">
        <f t="shared" si="163"/>
        <v>0</v>
      </c>
      <c r="V854" s="207" t="str">
        <f t="shared" si="164"/>
        <v/>
      </c>
    </row>
    <row r="855" spans="10:22" x14ac:dyDescent="0.3">
      <c r="J855" s="185" t="str">
        <f t="shared" si="165"/>
        <v/>
      </c>
      <c r="K855" s="185" t="str">
        <f t="shared" si="166"/>
        <v/>
      </c>
      <c r="L855" s="185" t="str">
        <f t="shared" si="167"/>
        <v/>
      </c>
      <c r="M855" s="76" t="str">
        <f t="shared" si="168"/>
        <v/>
      </c>
      <c r="N855" s="26">
        <f t="shared" si="169"/>
        <v>0</v>
      </c>
      <c r="O855" s="235">
        <f t="shared" si="170"/>
        <v>0</v>
      </c>
      <c r="P855" s="235">
        <f t="shared" si="171"/>
        <v>0</v>
      </c>
      <c r="Q855" s="206">
        <f t="shared" si="172"/>
        <v>0</v>
      </c>
      <c r="R855" s="206">
        <f t="shared" si="161"/>
        <v>0</v>
      </c>
      <c r="S855" s="206">
        <f t="shared" si="162"/>
        <v>0</v>
      </c>
      <c r="T855" s="206">
        <f t="shared" si="163"/>
        <v>0</v>
      </c>
      <c r="U855" s="206">
        <f t="shared" si="163"/>
        <v>0</v>
      </c>
      <c r="V855" s="207" t="str">
        <f t="shared" si="164"/>
        <v/>
      </c>
    </row>
    <row r="856" spans="10:22" x14ac:dyDescent="0.3">
      <c r="J856" s="185" t="str">
        <f t="shared" si="165"/>
        <v/>
      </c>
      <c r="K856" s="185" t="str">
        <f t="shared" si="166"/>
        <v/>
      </c>
      <c r="L856" s="185" t="str">
        <f t="shared" si="167"/>
        <v/>
      </c>
      <c r="M856" s="76" t="str">
        <f t="shared" si="168"/>
        <v/>
      </c>
      <c r="N856" s="26">
        <f t="shared" si="169"/>
        <v>0</v>
      </c>
      <c r="O856" s="235">
        <f t="shared" si="170"/>
        <v>0</v>
      </c>
      <c r="P856" s="235">
        <f t="shared" si="171"/>
        <v>0</v>
      </c>
      <c r="Q856" s="206">
        <f t="shared" si="172"/>
        <v>0</v>
      </c>
      <c r="R856" s="206">
        <f t="shared" si="161"/>
        <v>0</v>
      </c>
      <c r="S856" s="206">
        <f t="shared" si="162"/>
        <v>0</v>
      </c>
      <c r="T856" s="206">
        <f t="shared" si="163"/>
        <v>0</v>
      </c>
      <c r="U856" s="206">
        <f t="shared" si="163"/>
        <v>0</v>
      </c>
      <c r="V856" s="207" t="str">
        <f t="shared" si="164"/>
        <v/>
      </c>
    </row>
    <row r="857" spans="10:22" x14ac:dyDescent="0.3">
      <c r="J857" s="185" t="str">
        <f t="shared" si="165"/>
        <v/>
      </c>
      <c r="K857" s="185" t="str">
        <f t="shared" si="166"/>
        <v/>
      </c>
      <c r="L857" s="185" t="str">
        <f t="shared" si="167"/>
        <v/>
      </c>
      <c r="M857" s="76" t="str">
        <f t="shared" si="168"/>
        <v/>
      </c>
      <c r="N857" s="26">
        <f t="shared" si="169"/>
        <v>0</v>
      </c>
      <c r="O857" s="235">
        <f t="shared" si="170"/>
        <v>0</v>
      </c>
      <c r="P857" s="235">
        <f t="shared" si="171"/>
        <v>0</v>
      </c>
      <c r="Q857" s="206">
        <f t="shared" si="172"/>
        <v>0</v>
      </c>
      <c r="R857" s="206">
        <f t="shared" si="161"/>
        <v>0</v>
      </c>
      <c r="S857" s="206">
        <f t="shared" si="162"/>
        <v>0</v>
      </c>
      <c r="T857" s="206">
        <f t="shared" si="163"/>
        <v>0</v>
      </c>
      <c r="U857" s="206">
        <f t="shared" si="163"/>
        <v>0</v>
      </c>
      <c r="V857" s="207" t="str">
        <f t="shared" si="164"/>
        <v/>
      </c>
    </row>
    <row r="858" spans="10:22" x14ac:dyDescent="0.3">
      <c r="J858" s="185" t="str">
        <f t="shared" si="165"/>
        <v/>
      </c>
      <c r="K858" s="185" t="str">
        <f t="shared" si="166"/>
        <v/>
      </c>
      <c r="L858" s="185" t="str">
        <f t="shared" si="167"/>
        <v/>
      </c>
      <c r="M858" s="76" t="str">
        <f t="shared" si="168"/>
        <v/>
      </c>
      <c r="N858" s="26">
        <f t="shared" si="169"/>
        <v>0</v>
      </c>
      <c r="O858" s="235">
        <f t="shared" si="170"/>
        <v>0</v>
      </c>
      <c r="P858" s="235">
        <f t="shared" si="171"/>
        <v>0</v>
      </c>
      <c r="Q858" s="206">
        <f t="shared" si="172"/>
        <v>0</v>
      </c>
      <c r="R858" s="206">
        <f t="shared" si="161"/>
        <v>0</v>
      </c>
      <c r="S858" s="206">
        <f t="shared" si="162"/>
        <v>0</v>
      </c>
      <c r="T858" s="206">
        <f t="shared" si="163"/>
        <v>0</v>
      </c>
      <c r="U858" s="206">
        <f t="shared" si="163"/>
        <v>0</v>
      </c>
      <c r="V858" s="207" t="str">
        <f t="shared" si="164"/>
        <v/>
      </c>
    </row>
    <row r="859" spans="10:22" x14ac:dyDescent="0.3">
      <c r="J859" s="185" t="str">
        <f t="shared" si="165"/>
        <v/>
      </c>
      <c r="K859" s="185" t="str">
        <f t="shared" si="166"/>
        <v/>
      </c>
      <c r="L859" s="185" t="str">
        <f t="shared" si="167"/>
        <v/>
      </c>
      <c r="M859" s="76" t="str">
        <f t="shared" si="168"/>
        <v/>
      </c>
      <c r="N859" s="26">
        <f t="shared" si="169"/>
        <v>0</v>
      </c>
      <c r="O859" s="235">
        <f t="shared" si="170"/>
        <v>0</v>
      </c>
      <c r="P859" s="235">
        <f t="shared" si="171"/>
        <v>0</v>
      </c>
      <c r="Q859" s="206">
        <f t="shared" si="172"/>
        <v>0</v>
      </c>
      <c r="R859" s="206">
        <f t="shared" ref="R859:R922" si="173">IF($J859=29,VALUE(LEFT(B859,LEN(B859)-2)),0)</f>
        <v>0</v>
      </c>
      <c r="S859" s="206">
        <f t="shared" ref="S859:S922" si="174">IF($J859=29,VALUE(LEFT(C859,LEN(C859)-2)),0)</f>
        <v>0</v>
      </c>
      <c r="T859" s="206">
        <f t="shared" ref="T859:U922" si="175">IF($J859=29,VALUE(LEFT(D859,LEN(D859)-2)),0)</f>
        <v>0</v>
      </c>
      <c r="U859" s="206">
        <f t="shared" si="175"/>
        <v>0</v>
      </c>
      <c r="V859" s="207" t="str">
        <f t="shared" ref="V859:V922" si="176">IFERROR(N859/SUM(R859:U859),"")</f>
        <v/>
      </c>
    </row>
    <row r="860" spans="10:22" x14ac:dyDescent="0.3">
      <c r="J860" s="185" t="str">
        <f t="shared" si="165"/>
        <v/>
      </c>
      <c r="K860" s="185" t="str">
        <f t="shared" si="166"/>
        <v/>
      </c>
      <c r="L860" s="185" t="str">
        <f t="shared" si="167"/>
        <v/>
      </c>
      <c r="M860" s="76" t="str">
        <f t="shared" si="168"/>
        <v/>
      </c>
      <c r="N860" s="26">
        <f t="shared" si="169"/>
        <v>0</v>
      </c>
      <c r="O860" s="235">
        <f t="shared" si="170"/>
        <v>0</v>
      </c>
      <c r="P860" s="235">
        <f t="shared" si="171"/>
        <v>0</v>
      </c>
      <c r="Q860" s="206">
        <f t="shared" si="172"/>
        <v>0</v>
      </c>
      <c r="R860" s="206">
        <f t="shared" si="173"/>
        <v>0</v>
      </c>
      <c r="S860" s="206">
        <f t="shared" si="174"/>
        <v>0</v>
      </c>
      <c r="T860" s="206">
        <f t="shared" si="175"/>
        <v>0</v>
      </c>
      <c r="U860" s="206">
        <f t="shared" si="175"/>
        <v>0</v>
      </c>
      <c r="V860" s="207" t="str">
        <f t="shared" si="176"/>
        <v/>
      </c>
    </row>
    <row r="861" spans="10:22" x14ac:dyDescent="0.3">
      <c r="J861" s="185" t="str">
        <f t="shared" si="165"/>
        <v/>
      </c>
      <c r="K861" s="185" t="str">
        <f t="shared" si="166"/>
        <v/>
      </c>
      <c r="L861" s="185" t="str">
        <f t="shared" si="167"/>
        <v/>
      </c>
      <c r="M861" s="76" t="str">
        <f t="shared" si="168"/>
        <v/>
      </c>
      <c r="N861" s="26">
        <f t="shared" si="169"/>
        <v>0</v>
      </c>
      <c r="O861" s="235">
        <f t="shared" si="170"/>
        <v>0</v>
      </c>
      <c r="P861" s="235">
        <f t="shared" si="171"/>
        <v>0</v>
      </c>
      <c r="Q861" s="206">
        <f t="shared" si="172"/>
        <v>0</v>
      </c>
      <c r="R861" s="206">
        <f t="shared" si="173"/>
        <v>0</v>
      </c>
      <c r="S861" s="206">
        <f t="shared" si="174"/>
        <v>0</v>
      </c>
      <c r="T861" s="206">
        <f t="shared" si="175"/>
        <v>0</v>
      </c>
      <c r="U861" s="206">
        <f t="shared" si="175"/>
        <v>0</v>
      </c>
      <c r="V861" s="207" t="str">
        <f t="shared" si="176"/>
        <v/>
      </c>
    </row>
    <row r="862" spans="10:22" x14ac:dyDescent="0.3">
      <c r="J862" s="185" t="str">
        <f t="shared" si="165"/>
        <v/>
      </c>
      <c r="K862" s="185" t="str">
        <f t="shared" si="166"/>
        <v/>
      </c>
      <c r="L862" s="185" t="str">
        <f t="shared" si="167"/>
        <v/>
      </c>
      <c r="M862" s="76" t="str">
        <f t="shared" si="168"/>
        <v/>
      </c>
      <c r="N862" s="26">
        <f t="shared" si="169"/>
        <v>0</v>
      </c>
      <c r="O862" s="235">
        <f t="shared" si="170"/>
        <v>0</v>
      </c>
      <c r="P862" s="235">
        <f t="shared" si="171"/>
        <v>0</v>
      </c>
      <c r="Q862" s="206">
        <f t="shared" si="172"/>
        <v>0</v>
      </c>
      <c r="R862" s="206">
        <f t="shared" si="173"/>
        <v>0</v>
      </c>
      <c r="S862" s="206">
        <f t="shared" si="174"/>
        <v>0</v>
      </c>
      <c r="T862" s="206">
        <f t="shared" si="175"/>
        <v>0</v>
      </c>
      <c r="U862" s="206">
        <f t="shared" si="175"/>
        <v>0</v>
      </c>
      <c r="V862" s="207" t="str">
        <f t="shared" si="176"/>
        <v/>
      </c>
    </row>
    <row r="863" spans="10:22" x14ac:dyDescent="0.3">
      <c r="J863" s="185" t="str">
        <f t="shared" si="165"/>
        <v/>
      </c>
      <c r="K863" s="185" t="str">
        <f t="shared" si="166"/>
        <v/>
      </c>
      <c r="L863" s="185" t="str">
        <f t="shared" si="167"/>
        <v/>
      </c>
      <c r="M863" s="76" t="str">
        <f t="shared" si="168"/>
        <v/>
      </c>
      <c r="N863" s="26">
        <f t="shared" si="169"/>
        <v>0</v>
      </c>
      <c r="O863" s="235">
        <f t="shared" si="170"/>
        <v>0</v>
      </c>
      <c r="P863" s="235">
        <f t="shared" si="171"/>
        <v>0</v>
      </c>
      <c r="Q863" s="206">
        <f t="shared" si="172"/>
        <v>0</v>
      </c>
      <c r="R863" s="206">
        <f t="shared" si="173"/>
        <v>0</v>
      </c>
      <c r="S863" s="206">
        <f t="shared" si="174"/>
        <v>0</v>
      </c>
      <c r="T863" s="206">
        <f t="shared" si="175"/>
        <v>0</v>
      </c>
      <c r="U863" s="206">
        <f t="shared" si="175"/>
        <v>0</v>
      </c>
      <c r="V863" s="207" t="str">
        <f t="shared" si="176"/>
        <v/>
      </c>
    </row>
    <row r="864" spans="10:22" x14ac:dyDescent="0.3">
      <c r="J864" s="185" t="str">
        <f t="shared" si="165"/>
        <v/>
      </c>
      <c r="K864" s="185" t="str">
        <f t="shared" si="166"/>
        <v/>
      </c>
      <c r="L864" s="185" t="str">
        <f t="shared" si="167"/>
        <v/>
      </c>
      <c r="M864" s="76" t="str">
        <f t="shared" si="168"/>
        <v/>
      </c>
      <c r="N864" s="26">
        <f t="shared" si="169"/>
        <v>0</v>
      </c>
      <c r="O864" s="235">
        <f t="shared" si="170"/>
        <v>0</v>
      </c>
      <c r="P864" s="235">
        <f t="shared" si="171"/>
        <v>0</v>
      </c>
      <c r="Q864" s="206">
        <f t="shared" si="172"/>
        <v>0</v>
      </c>
      <c r="R864" s="206">
        <f t="shared" si="173"/>
        <v>0</v>
      </c>
      <c r="S864" s="206">
        <f t="shared" si="174"/>
        <v>0</v>
      </c>
      <c r="T864" s="206">
        <f t="shared" si="175"/>
        <v>0</v>
      </c>
      <c r="U864" s="206">
        <f t="shared" si="175"/>
        <v>0</v>
      </c>
      <c r="V864" s="207" t="str">
        <f t="shared" si="176"/>
        <v/>
      </c>
    </row>
    <row r="865" spans="10:22" x14ac:dyDescent="0.3">
      <c r="J865" s="185" t="str">
        <f t="shared" si="165"/>
        <v/>
      </c>
      <c r="K865" s="185" t="str">
        <f t="shared" si="166"/>
        <v/>
      </c>
      <c r="L865" s="185" t="str">
        <f t="shared" si="167"/>
        <v/>
      </c>
      <c r="M865" s="76" t="str">
        <f t="shared" si="168"/>
        <v/>
      </c>
      <c r="N865" s="26">
        <f t="shared" si="169"/>
        <v>0</v>
      </c>
      <c r="O865" s="235">
        <f t="shared" si="170"/>
        <v>0</v>
      </c>
      <c r="P865" s="235">
        <f t="shared" si="171"/>
        <v>0</v>
      </c>
      <c r="Q865" s="206">
        <f t="shared" si="172"/>
        <v>0</v>
      </c>
      <c r="R865" s="206">
        <f t="shared" si="173"/>
        <v>0</v>
      </c>
      <c r="S865" s="206">
        <f t="shared" si="174"/>
        <v>0</v>
      </c>
      <c r="T865" s="206">
        <f t="shared" si="175"/>
        <v>0</v>
      </c>
      <c r="U865" s="206">
        <f t="shared" si="175"/>
        <v>0</v>
      </c>
      <c r="V865" s="207" t="str">
        <f t="shared" si="176"/>
        <v/>
      </c>
    </row>
    <row r="866" spans="10:22" x14ac:dyDescent="0.3">
      <c r="J866" s="185" t="str">
        <f t="shared" si="165"/>
        <v/>
      </c>
      <c r="K866" s="185" t="str">
        <f t="shared" si="166"/>
        <v/>
      </c>
      <c r="L866" s="185" t="str">
        <f t="shared" si="167"/>
        <v/>
      </c>
      <c r="M866" s="76" t="str">
        <f t="shared" si="168"/>
        <v/>
      </c>
      <c r="N866" s="26">
        <f t="shared" si="169"/>
        <v>0</v>
      </c>
      <c r="O866" s="235">
        <f t="shared" si="170"/>
        <v>0</v>
      </c>
      <c r="P866" s="235">
        <f t="shared" si="171"/>
        <v>0</v>
      </c>
      <c r="Q866" s="206">
        <f t="shared" si="172"/>
        <v>0</v>
      </c>
      <c r="R866" s="206">
        <f t="shared" si="173"/>
        <v>0</v>
      </c>
      <c r="S866" s="206">
        <f t="shared" si="174"/>
        <v>0</v>
      </c>
      <c r="T866" s="206">
        <f t="shared" si="175"/>
        <v>0</v>
      </c>
      <c r="U866" s="206">
        <f t="shared" si="175"/>
        <v>0</v>
      </c>
      <c r="V866" s="207" t="str">
        <f t="shared" si="176"/>
        <v/>
      </c>
    </row>
    <row r="867" spans="10:22" x14ac:dyDescent="0.3">
      <c r="J867" s="185" t="str">
        <f t="shared" si="165"/>
        <v/>
      </c>
      <c r="K867" s="185" t="str">
        <f t="shared" si="166"/>
        <v/>
      </c>
      <c r="L867" s="185" t="str">
        <f t="shared" si="167"/>
        <v/>
      </c>
      <c r="M867" s="76" t="str">
        <f t="shared" si="168"/>
        <v/>
      </c>
      <c r="N867" s="26">
        <f t="shared" si="169"/>
        <v>0</v>
      </c>
      <c r="O867" s="235">
        <f t="shared" si="170"/>
        <v>0</v>
      </c>
      <c r="P867" s="235">
        <f t="shared" si="171"/>
        <v>0</v>
      </c>
      <c r="Q867" s="206">
        <f t="shared" si="172"/>
        <v>0</v>
      </c>
      <c r="R867" s="206">
        <f t="shared" si="173"/>
        <v>0</v>
      </c>
      <c r="S867" s="206">
        <f t="shared" si="174"/>
        <v>0</v>
      </c>
      <c r="T867" s="206">
        <f t="shared" si="175"/>
        <v>0</v>
      </c>
      <c r="U867" s="206">
        <f t="shared" si="175"/>
        <v>0</v>
      </c>
      <c r="V867" s="207" t="str">
        <f t="shared" si="176"/>
        <v/>
      </c>
    </row>
    <row r="868" spans="10:22" x14ac:dyDescent="0.3">
      <c r="J868" s="185" t="str">
        <f t="shared" si="165"/>
        <v/>
      </c>
      <c r="K868" s="185" t="str">
        <f t="shared" si="166"/>
        <v/>
      </c>
      <c r="L868" s="185" t="str">
        <f t="shared" si="167"/>
        <v/>
      </c>
      <c r="M868" s="76" t="str">
        <f t="shared" si="168"/>
        <v/>
      </c>
      <c r="N868" s="26">
        <f t="shared" si="169"/>
        <v>0</v>
      </c>
      <c r="O868" s="235">
        <f t="shared" si="170"/>
        <v>0</v>
      </c>
      <c r="P868" s="235">
        <f t="shared" si="171"/>
        <v>0</v>
      </c>
      <c r="Q868" s="206">
        <f t="shared" si="172"/>
        <v>0</v>
      </c>
      <c r="R868" s="206">
        <f t="shared" si="173"/>
        <v>0</v>
      </c>
      <c r="S868" s="206">
        <f t="shared" si="174"/>
        <v>0</v>
      </c>
      <c r="T868" s="206">
        <f t="shared" si="175"/>
        <v>0</v>
      </c>
      <c r="U868" s="206">
        <f t="shared" si="175"/>
        <v>0</v>
      </c>
      <c r="V868" s="207" t="str">
        <f t="shared" si="176"/>
        <v/>
      </c>
    </row>
    <row r="869" spans="10:22" x14ac:dyDescent="0.3">
      <c r="J869" s="185" t="str">
        <f t="shared" si="165"/>
        <v/>
      </c>
      <c r="K869" s="185" t="str">
        <f t="shared" si="166"/>
        <v/>
      </c>
      <c r="L869" s="185" t="str">
        <f t="shared" si="167"/>
        <v/>
      </c>
      <c r="M869" s="76" t="str">
        <f t="shared" si="168"/>
        <v/>
      </c>
      <c r="N869" s="26">
        <f t="shared" si="169"/>
        <v>0</v>
      </c>
      <c r="O869" s="235">
        <f t="shared" si="170"/>
        <v>0</v>
      </c>
      <c r="P869" s="235">
        <f t="shared" si="171"/>
        <v>0</v>
      </c>
      <c r="Q869" s="206">
        <f t="shared" si="172"/>
        <v>0</v>
      </c>
      <c r="R869" s="206">
        <f t="shared" si="173"/>
        <v>0</v>
      </c>
      <c r="S869" s="206">
        <f t="shared" si="174"/>
        <v>0</v>
      </c>
      <c r="T869" s="206">
        <f t="shared" si="175"/>
        <v>0</v>
      </c>
      <c r="U869" s="206">
        <f t="shared" si="175"/>
        <v>0</v>
      </c>
      <c r="V869" s="207" t="str">
        <f t="shared" si="176"/>
        <v/>
      </c>
    </row>
    <row r="870" spans="10:22" x14ac:dyDescent="0.3">
      <c r="J870" s="185" t="str">
        <f t="shared" si="165"/>
        <v/>
      </c>
      <c r="K870" s="185" t="str">
        <f t="shared" si="166"/>
        <v/>
      </c>
      <c r="L870" s="185" t="str">
        <f t="shared" si="167"/>
        <v/>
      </c>
      <c r="M870" s="76" t="str">
        <f t="shared" si="168"/>
        <v/>
      </c>
      <c r="N870" s="26">
        <f t="shared" si="169"/>
        <v>0</v>
      </c>
      <c r="O870" s="235">
        <f t="shared" si="170"/>
        <v>0</v>
      </c>
      <c r="P870" s="235">
        <f t="shared" si="171"/>
        <v>0</v>
      </c>
      <c r="Q870" s="206">
        <f t="shared" si="172"/>
        <v>0</v>
      </c>
      <c r="R870" s="206">
        <f t="shared" si="173"/>
        <v>0</v>
      </c>
      <c r="S870" s="206">
        <f t="shared" si="174"/>
        <v>0</v>
      </c>
      <c r="T870" s="206">
        <f t="shared" si="175"/>
        <v>0</v>
      </c>
      <c r="U870" s="206">
        <f t="shared" si="175"/>
        <v>0</v>
      </c>
      <c r="V870" s="207" t="str">
        <f t="shared" si="176"/>
        <v/>
      </c>
    </row>
    <row r="871" spans="10:22" x14ac:dyDescent="0.3">
      <c r="J871" s="185" t="str">
        <f t="shared" si="165"/>
        <v/>
      </c>
      <c r="K871" s="185" t="str">
        <f t="shared" si="166"/>
        <v/>
      </c>
      <c r="L871" s="185" t="str">
        <f t="shared" si="167"/>
        <v/>
      </c>
      <c r="M871" s="76" t="str">
        <f t="shared" si="168"/>
        <v/>
      </c>
      <c r="N871" s="26">
        <f t="shared" si="169"/>
        <v>0</v>
      </c>
      <c r="O871" s="235">
        <f t="shared" si="170"/>
        <v>0</v>
      </c>
      <c r="P871" s="235">
        <f t="shared" si="171"/>
        <v>0</v>
      </c>
      <c r="Q871" s="206">
        <f t="shared" si="172"/>
        <v>0</v>
      </c>
      <c r="R871" s="206">
        <f t="shared" si="173"/>
        <v>0</v>
      </c>
      <c r="S871" s="206">
        <f t="shared" si="174"/>
        <v>0</v>
      </c>
      <c r="T871" s="206">
        <f t="shared" si="175"/>
        <v>0</v>
      </c>
      <c r="U871" s="206">
        <f t="shared" si="175"/>
        <v>0</v>
      </c>
      <c r="V871" s="207" t="str">
        <f t="shared" si="176"/>
        <v/>
      </c>
    </row>
    <row r="872" spans="10:22" x14ac:dyDescent="0.3">
      <c r="J872" s="185" t="str">
        <f t="shared" si="165"/>
        <v/>
      </c>
      <c r="K872" s="185" t="str">
        <f t="shared" si="166"/>
        <v/>
      </c>
      <c r="L872" s="185" t="str">
        <f t="shared" si="167"/>
        <v/>
      </c>
      <c r="M872" s="76" t="str">
        <f t="shared" si="168"/>
        <v/>
      </c>
      <c r="N872" s="26">
        <f t="shared" si="169"/>
        <v>0</v>
      </c>
      <c r="O872" s="235">
        <f t="shared" si="170"/>
        <v>0</v>
      </c>
      <c r="P872" s="235">
        <f t="shared" si="171"/>
        <v>0</v>
      </c>
      <c r="Q872" s="206">
        <f t="shared" si="172"/>
        <v>0</v>
      </c>
      <c r="R872" s="206">
        <f t="shared" si="173"/>
        <v>0</v>
      </c>
      <c r="S872" s="206">
        <f t="shared" si="174"/>
        <v>0</v>
      </c>
      <c r="T872" s="206">
        <f t="shared" si="175"/>
        <v>0</v>
      </c>
      <c r="U872" s="206">
        <f t="shared" si="175"/>
        <v>0</v>
      </c>
      <c r="V872" s="207" t="str">
        <f t="shared" si="176"/>
        <v/>
      </c>
    </row>
    <row r="873" spans="10:22" x14ac:dyDescent="0.3">
      <c r="J873" s="185" t="str">
        <f t="shared" si="165"/>
        <v/>
      </c>
      <c r="K873" s="185" t="str">
        <f t="shared" si="166"/>
        <v/>
      </c>
      <c r="L873" s="185" t="str">
        <f t="shared" si="167"/>
        <v/>
      </c>
      <c r="M873" s="76" t="str">
        <f t="shared" si="168"/>
        <v/>
      </c>
      <c r="N873" s="26">
        <f t="shared" si="169"/>
        <v>0</v>
      </c>
      <c r="O873" s="235">
        <f t="shared" si="170"/>
        <v>0</v>
      </c>
      <c r="P873" s="235">
        <f t="shared" si="171"/>
        <v>0</v>
      </c>
      <c r="Q873" s="206">
        <f t="shared" si="172"/>
        <v>0</v>
      </c>
      <c r="R873" s="206">
        <f t="shared" si="173"/>
        <v>0</v>
      </c>
      <c r="S873" s="206">
        <f t="shared" si="174"/>
        <v>0</v>
      </c>
      <c r="T873" s="206">
        <f t="shared" si="175"/>
        <v>0</v>
      </c>
      <c r="U873" s="206">
        <f t="shared" si="175"/>
        <v>0</v>
      </c>
      <c r="V873" s="207" t="str">
        <f t="shared" si="176"/>
        <v/>
      </c>
    </row>
    <row r="874" spans="10:22" x14ac:dyDescent="0.3">
      <c r="J874" s="185" t="str">
        <f t="shared" si="165"/>
        <v/>
      </c>
      <c r="K874" s="185" t="str">
        <f t="shared" si="166"/>
        <v/>
      </c>
      <c r="L874" s="185" t="str">
        <f t="shared" si="167"/>
        <v/>
      </c>
      <c r="M874" s="76" t="str">
        <f t="shared" si="168"/>
        <v/>
      </c>
      <c r="N874" s="26">
        <f t="shared" si="169"/>
        <v>0</v>
      </c>
      <c r="O874" s="235">
        <f t="shared" si="170"/>
        <v>0</v>
      </c>
      <c r="P874" s="235">
        <f t="shared" si="171"/>
        <v>0</v>
      </c>
      <c r="Q874" s="206">
        <f t="shared" si="172"/>
        <v>0</v>
      </c>
      <c r="R874" s="206">
        <f t="shared" si="173"/>
        <v>0</v>
      </c>
      <c r="S874" s="206">
        <f t="shared" si="174"/>
        <v>0</v>
      </c>
      <c r="T874" s="206">
        <f t="shared" si="175"/>
        <v>0</v>
      </c>
      <c r="U874" s="206">
        <f t="shared" si="175"/>
        <v>0</v>
      </c>
      <c r="V874" s="207" t="str">
        <f t="shared" si="176"/>
        <v/>
      </c>
    </row>
    <row r="875" spans="10:22" x14ac:dyDescent="0.3">
      <c r="J875" s="185" t="str">
        <f t="shared" si="165"/>
        <v/>
      </c>
      <c r="K875" s="185" t="str">
        <f t="shared" si="166"/>
        <v/>
      </c>
      <c r="L875" s="185" t="str">
        <f t="shared" si="167"/>
        <v/>
      </c>
      <c r="M875" s="76" t="str">
        <f t="shared" si="168"/>
        <v/>
      </c>
      <c r="N875" s="26">
        <f t="shared" si="169"/>
        <v>0</v>
      </c>
      <c r="O875" s="235">
        <f t="shared" si="170"/>
        <v>0</v>
      </c>
      <c r="P875" s="235">
        <f t="shared" si="171"/>
        <v>0</v>
      </c>
      <c r="Q875" s="206">
        <f t="shared" si="172"/>
        <v>0</v>
      </c>
      <c r="R875" s="206">
        <f t="shared" si="173"/>
        <v>0</v>
      </c>
      <c r="S875" s="206">
        <f t="shared" si="174"/>
        <v>0</v>
      </c>
      <c r="T875" s="206">
        <f t="shared" si="175"/>
        <v>0</v>
      </c>
      <c r="U875" s="206">
        <f t="shared" si="175"/>
        <v>0</v>
      </c>
      <c r="V875" s="207" t="str">
        <f t="shared" si="176"/>
        <v/>
      </c>
    </row>
    <row r="876" spans="10:22" x14ac:dyDescent="0.3">
      <c r="J876" s="185" t="str">
        <f t="shared" si="165"/>
        <v/>
      </c>
      <c r="K876" s="185" t="str">
        <f t="shared" si="166"/>
        <v/>
      </c>
      <c r="L876" s="185" t="str">
        <f t="shared" si="167"/>
        <v/>
      </c>
      <c r="M876" s="76" t="str">
        <f t="shared" si="168"/>
        <v/>
      </c>
      <c r="N876" s="26">
        <f t="shared" si="169"/>
        <v>0</v>
      </c>
      <c r="O876" s="235">
        <f t="shared" si="170"/>
        <v>0</v>
      </c>
      <c r="P876" s="235">
        <f t="shared" si="171"/>
        <v>0</v>
      </c>
      <c r="Q876" s="206">
        <f t="shared" si="172"/>
        <v>0</v>
      </c>
      <c r="R876" s="206">
        <f t="shared" si="173"/>
        <v>0</v>
      </c>
      <c r="S876" s="206">
        <f t="shared" si="174"/>
        <v>0</v>
      </c>
      <c r="T876" s="206">
        <f t="shared" si="175"/>
        <v>0</v>
      </c>
      <c r="U876" s="206">
        <f t="shared" si="175"/>
        <v>0</v>
      </c>
      <c r="V876" s="207" t="str">
        <f t="shared" si="176"/>
        <v/>
      </c>
    </row>
    <row r="877" spans="10:22" x14ac:dyDescent="0.3">
      <c r="J877" s="185" t="str">
        <f t="shared" ref="J877:J940" si="177">IFERROR(IF(FIND("Liste des vols",A877),LEN(A877),""),"")</f>
        <v/>
      </c>
      <c r="K877" s="185" t="str">
        <f t="shared" ref="K877:K940" si="178">IF(J877="","",LEFT(A877,3))</f>
        <v/>
      </c>
      <c r="L877" s="185" t="str">
        <f t="shared" ref="L877:L940" si="179">IF(K877&lt;&gt;"",MID(A877,7,3),"")</f>
        <v/>
      </c>
      <c r="M877" s="76" t="str">
        <f t="shared" ref="M877:M940" si="180">IF(K877&lt;&gt;"",CONCATENATE(K877,"/",L877),"")</f>
        <v/>
      </c>
      <c r="N877" s="26">
        <f t="shared" ref="N877:N940" si="181">IF(J877=29,VALUE(LEFT(F877,LEN(F877)-2)),0)</f>
        <v>0</v>
      </c>
      <c r="O877" s="235">
        <f t="shared" ref="O877:O940" si="182">IF(J877=29,-VALUE(G877),0)</f>
        <v>0</v>
      </c>
      <c r="P877" s="235">
        <f t="shared" ref="P877:P940" si="183">IF(J877=29,VALUE(LEFT(H877,LEN(H877)-2)),0)</f>
        <v>0</v>
      </c>
      <c r="Q877" s="206">
        <f t="shared" ref="Q877:Q940" si="184">IFERROR(VALUE(LEFT(RIGHT(A877,LEN(A877)-11),LEN(A877)-28)),0)</f>
        <v>0</v>
      </c>
      <c r="R877" s="206">
        <f t="shared" si="173"/>
        <v>0</v>
      </c>
      <c r="S877" s="206">
        <f t="shared" si="174"/>
        <v>0</v>
      </c>
      <c r="T877" s="206">
        <f t="shared" si="175"/>
        <v>0</v>
      </c>
      <c r="U877" s="206">
        <f t="shared" si="175"/>
        <v>0</v>
      </c>
      <c r="V877" s="207" t="str">
        <f t="shared" si="176"/>
        <v/>
      </c>
    </row>
    <row r="878" spans="10:22" x14ac:dyDescent="0.3">
      <c r="J878" s="185" t="str">
        <f t="shared" si="177"/>
        <v/>
      </c>
      <c r="K878" s="185" t="str">
        <f t="shared" si="178"/>
        <v/>
      </c>
      <c r="L878" s="185" t="str">
        <f t="shared" si="179"/>
        <v/>
      </c>
      <c r="M878" s="76" t="str">
        <f t="shared" si="180"/>
        <v/>
      </c>
      <c r="N878" s="26">
        <f t="shared" si="181"/>
        <v>0</v>
      </c>
      <c r="O878" s="235">
        <f t="shared" si="182"/>
        <v>0</v>
      </c>
      <c r="P878" s="235">
        <f t="shared" si="183"/>
        <v>0</v>
      </c>
      <c r="Q878" s="206">
        <f t="shared" si="184"/>
        <v>0</v>
      </c>
      <c r="R878" s="206">
        <f t="shared" si="173"/>
        <v>0</v>
      </c>
      <c r="S878" s="206">
        <f t="shared" si="174"/>
        <v>0</v>
      </c>
      <c r="T878" s="206">
        <f t="shared" si="175"/>
        <v>0</v>
      </c>
      <c r="U878" s="206">
        <f t="shared" si="175"/>
        <v>0</v>
      </c>
      <c r="V878" s="207" t="str">
        <f t="shared" si="176"/>
        <v/>
      </c>
    </row>
    <row r="879" spans="10:22" x14ac:dyDescent="0.3">
      <c r="J879" s="185" t="str">
        <f t="shared" si="177"/>
        <v/>
      </c>
      <c r="K879" s="185" t="str">
        <f t="shared" si="178"/>
        <v/>
      </c>
      <c r="L879" s="185" t="str">
        <f t="shared" si="179"/>
        <v/>
      </c>
      <c r="M879" s="76" t="str">
        <f t="shared" si="180"/>
        <v/>
      </c>
      <c r="N879" s="26">
        <f t="shared" si="181"/>
        <v>0</v>
      </c>
      <c r="O879" s="235">
        <f t="shared" si="182"/>
        <v>0</v>
      </c>
      <c r="P879" s="235">
        <f t="shared" si="183"/>
        <v>0</v>
      </c>
      <c r="Q879" s="206">
        <f t="shared" si="184"/>
        <v>0</v>
      </c>
      <c r="R879" s="206">
        <f t="shared" si="173"/>
        <v>0</v>
      </c>
      <c r="S879" s="206">
        <f t="shared" si="174"/>
        <v>0</v>
      </c>
      <c r="T879" s="206">
        <f t="shared" si="175"/>
        <v>0</v>
      </c>
      <c r="U879" s="206">
        <f t="shared" si="175"/>
        <v>0</v>
      </c>
      <c r="V879" s="207" t="str">
        <f t="shared" si="176"/>
        <v/>
      </c>
    </row>
    <row r="880" spans="10:22" x14ac:dyDescent="0.3">
      <c r="J880" s="185" t="str">
        <f t="shared" si="177"/>
        <v/>
      </c>
      <c r="K880" s="185" t="str">
        <f t="shared" si="178"/>
        <v/>
      </c>
      <c r="L880" s="185" t="str">
        <f t="shared" si="179"/>
        <v/>
      </c>
      <c r="M880" s="76" t="str">
        <f t="shared" si="180"/>
        <v/>
      </c>
      <c r="N880" s="26">
        <f t="shared" si="181"/>
        <v>0</v>
      </c>
      <c r="O880" s="235">
        <f t="shared" si="182"/>
        <v>0</v>
      </c>
      <c r="P880" s="235">
        <f t="shared" si="183"/>
        <v>0</v>
      </c>
      <c r="Q880" s="206">
        <f t="shared" si="184"/>
        <v>0</v>
      </c>
      <c r="R880" s="206">
        <f t="shared" si="173"/>
        <v>0</v>
      </c>
      <c r="S880" s="206">
        <f t="shared" si="174"/>
        <v>0</v>
      </c>
      <c r="T880" s="206">
        <f t="shared" si="175"/>
        <v>0</v>
      </c>
      <c r="U880" s="206">
        <f t="shared" si="175"/>
        <v>0</v>
      </c>
      <c r="V880" s="207" t="str">
        <f t="shared" si="176"/>
        <v/>
      </c>
    </row>
    <row r="881" spans="10:22" x14ac:dyDescent="0.3">
      <c r="J881" s="185" t="str">
        <f t="shared" si="177"/>
        <v/>
      </c>
      <c r="K881" s="185" t="str">
        <f t="shared" si="178"/>
        <v/>
      </c>
      <c r="L881" s="185" t="str">
        <f t="shared" si="179"/>
        <v/>
      </c>
      <c r="M881" s="76" t="str">
        <f t="shared" si="180"/>
        <v/>
      </c>
      <c r="N881" s="26">
        <f t="shared" si="181"/>
        <v>0</v>
      </c>
      <c r="O881" s="235">
        <f t="shared" si="182"/>
        <v>0</v>
      </c>
      <c r="P881" s="235">
        <f t="shared" si="183"/>
        <v>0</v>
      </c>
      <c r="Q881" s="206">
        <f t="shared" si="184"/>
        <v>0</v>
      </c>
      <c r="R881" s="206">
        <f t="shared" si="173"/>
        <v>0</v>
      </c>
      <c r="S881" s="206">
        <f t="shared" si="174"/>
        <v>0</v>
      </c>
      <c r="T881" s="206">
        <f t="shared" si="175"/>
        <v>0</v>
      </c>
      <c r="U881" s="206">
        <f t="shared" si="175"/>
        <v>0</v>
      </c>
      <c r="V881" s="207" t="str">
        <f t="shared" si="176"/>
        <v/>
      </c>
    </row>
    <row r="882" spans="10:22" x14ac:dyDescent="0.3">
      <c r="J882" s="185" t="str">
        <f t="shared" si="177"/>
        <v/>
      </c>
      <c r="K882" s="185" t="str">
        <f t="shared" si="178"/>
        <v/>
      </c>
      <c r="L882" s="185" t="str">
        <f t="shared" si="179"/>
        <v/>
      </c>
      <c r="M882" s="76" t="str">
        <f t="shared" si="180"/>
        <v/>
      </c>
      <c r="N882" s="26">
        <f t="shared" si="181"/>
        <v>0</v>
      </c>
      <c r="O882" s="235">
        <f t="shared" si="182"/>
        <v>0</v>
      </c>
      <c r="P882" s="235">
        <f t="shared" si="183"/>
        <v>0</v>
      </c>
      <c r="Q882" s="206">
        <f t="shared" si="184"/>
        <v>0</v>
      </c>
      <c r="R882" s="206">
        <f t="shared" si="173"/>
        <v>0</v>
      </c>
      <c r="S882" s="206">
        <f t="shared" si="174"/>
        <v>0</v>
      </c>
      <c r="T882" s="206">
        <f t="shared" si="175"/>
        <v>0</v>
      </c>
      <c r="U882" s="206">
        <f t="shared" si="175"/>
        <v>0</v>
      </c>
      <c r="V882" s="207" t="str">
        <f t="shared" si="176"/>
        <v/>
      </c>
    </row>
    <row r="883" spans="10:22" x14ac:dyDescent="0.3">
      <c r="J883" s="185" t="str">
        <f t="shared" si="177"/>
        <v/>
      </c>
      <c r="K883" s="185" t="str">
        <f t="shared" si="178"/>
        <v/>
      </c>
      <c r="L883" s="185" t="str">
        <f t="shared" si="179"/>
        <v/>
      </c>
      <c r="M883" s="76" t="str">
        <f t="shared" si="180"/>
        <v/>
      </c>
      <c r="N883" s="26">
        <f t="shared" si="181"/>
        <v>0</v>
      </c>
      <c r="O883" s="235">
        <f t="shared" si="182"/>
        <v>0</v>
      </c>
      <c r="P883" s="235">
        <f t="shared" si="183"/>
        <v>0</v>
      </c>
      <c r="Q883" s="206">
        <f t="shared" si="184"/>
        <v>0</v>
      </c>
      <c r="R883" s="206">
        <f t="shared" si="173"/>
        <v>0</v>
      </c>
      <c r="S883" s="206">
        <f t="shared" si="174"/>
        <v>0</v>
      </c>
      <c r="T883" s="206">
        <f t="shared" si="175"/>
        <v>0</v>
      </c>
      <c r="U883" s="206">
        <f t="shared" si="175"/>
        <v>0</v>
      </c>
      <c r="V883" s="207" t="str">
        <f t="shared" si="176"/>
        <v/>
      </c>
    </row>
    <row r="884" spans="10:22" x14ac:dyDescent="0.3">
      <c r="J884" s="185" t="str">
        <f t="shared" si="177"/>
        <v/>
      </c>
      <c r="K884" s="185" t="str">
        <f t="shared" si="178"/>
        <v/>
      </c>
      <c r="L884" s="185" t="str">
        <f t="shared" si="179"/>
        <v/>
      </c>
      <c r="M884" s="76" t="str">
        <f t="shared" si="180"/>
        <v/>
      </c>
      <c r="N884" s="26">
        <f t="shared" si="181"/>
        <v>0</v>
      </c>
      <c r="O884" s="235">
        <f t="shared" si="182"/>
        <v>0</v>
      </c>
      <c r="P884" s="235">
        <f t="shared" si="183"/>
        <v>0</v>
      </c>
      <c r="Q884" s="206">
        <f t="shared" si="184"/>
        <v>0</v>
      </c>
      <c r="R884" s="206">
        <f t="shared" si="173"/>
        <v>0</v>
      </c>
      <c r="S884" s="206">
        <f t="shared" si="174"/>
        <v>0</v>
      </c>
      <c r="T884" s="206">
        <f t="shared" si="175"/>
        <v>0</v>
      </c>
      <c r="U884" s="206">
        <f t="shared" si="175"/>
        <v>0</v>
      </c>
      <c r="V884" s="207" t="str">
        <f t="shared" si="176"/>
        <v/>
      </c>
    </row>
    <row r="885" spans="10:22" x14ac:dyDescent="0.3">
      <c r="J885" s="185" t="str">
        <f t="shared" si="177"/>
        <v/>
      </c>
      <c r="K885" s="185" t="str">
        <f t="shared" si="178"/>
        <v/>
      </c>
      <c r="L885" s="185" t="str">
        <f t="shared" si="179"/>
        <v/>
      </c>
      <c r="M885" s="76" t="str">
        <f t="shared" si="180"/>
        <v/>
      </c>
      <c r="N885" s="26">
        <f t="shared" si="181"/>
        <v>0</v>
      </c>
      <c r="O885" s="235">
        <f t="shared" si="182"/>
        <v>0</v>
      </c>
      <c r="P885" s="235">
        <f t="shared" si="183"/>
        <v>0</v>
      </c>
      <c r="Q885" s="206">
        <f t="shared" si="184"/>
        <v>0</v>
      </c>
      <c r="R885" s="206">
        <f t="shared" si="173"/>
        <v>0</v>
      </c>
      <c r="S885" s="206">
        <f t="shared" si="174"/>
        <v>0</v>
      </c>
      <c r="T885" s="206">
        <f t="shared" si="175"/>
        <v>0</v>
      </c>
      <c r="U885" s="206">
        <f t="shared" si="175"/>
        <v>0</v>
      </c>
      <c r="V885" s="207" t="str">
        <f t="shared" si="176"/>
        <v/>
      </c>
    </row>
    <row r="886" spans="10:22" x14ac:dyDescent="0.3">
      <c r="J886" s="185" t="str">
        <f t="shared" si="177"/>
        <v/>
      </c>
      <c r="K886" s="185" t="str">
        <f t="shared" si="178"/>
        <v/>
      </c>
      <c r="L886" s="185" t="str">
        <f t="shared" si="179"/>
        <v/>
      </c>
      <c r="M886" s="76" t="str">
        <f t="shared" si="180"/>
        <v/>
      </c>
      <c r="N886" s="26">
        <f t="shared" si="181"/>
        <v>0</v>
      </c>
      <c r="O886" s="235">
        <f t="shared" si="182"/>
        <v>0</v>
      </c>
      <c r="P886" s="235">
        <f t="shared" si="183"/>
        <v>0</v>
      </c>
      <c r="Q886" s="206">
        <f t="shared" si="184"/>
        <v>0</v>
      </c>
      <c r="R886" s="206">
        <f t="shared" si="173"/>
        <v>0</v>
      </c>
      <c r="S886" s="206">
        <f t="shared" si="174"/>
        <v>0</v>
      </c>
      <c r="T886" s="206">
        <f t="shared" si="175"/>
        <v>0</v>
      </c>
      <c r="U886" s="206">
        <f t="shared" si="175"/>
        <v>0</v>
      </c>
      <c r="V886" s="207" t="str">
        <f t="shared" si="176"/>
        <v/>
      </c>
    </row>
    <row r="887" spans="10:22" x14ac:dyDescent="0.3">
      <c r="J887" s="185" t="str">
        <f t="shared" si="177"/>
        <v/>
      </c>
      <c r="K887" s="185" t="str">
        <f t="shared" si="178"/>
        <v/>
      </c>
      <c r="L887" s="185" t="str">
        <f t="shared" si="179"/>
        <v/>
      </c>
      <c r="M887" s="76" t="str">
        <f t="shared" si="180"/>
        <v/>
      </c>
      <c r="N887" s="26">
        <f t="shared" si="181"/>
        <v>0</v>
      </c>
      <c r="O887" s="235">
        <f t="shared" si="182"/>
        <v>0</v>
      </c>
      <c r="P887" s="235">
        <f t="shared" si="183"/>
        <v>0</v>
      </c>
      <c r="Q887" s="206">
        <f t="shared" si="184"/>
        <v>0</v>
      </c>
      <c r="R887" s="206">
        <f t="shared" si="173"/>
        <v>0</v>
      </c>
      <c r="S887" s="206">
        <f t="shared" si="174"/>
        <v>0</v>
      </c>
      <c r="T887" s="206">
        <f t="shared" si="175"/>
        <v>0</v>
      </c>
      <c r="U887" s="206">
        <f t="shared" si="175"/>
        <v>0</v>
      </c>
      <c r="V887" s="207" t="str">
        <f t="shared" si="176"/>
        <v/>
      </c>
    </row>
    <row r="888" spans="10:22" x14ac:dyDescent="0.3">
      <c r="J888" s="185" t="str">
        <f t="shared" si="177"/>
        <v/>
      </c>
      <c r="K888" s="185" t="str">
        <f t="shared" si="178"/>
        <v/>
      </c>
      <c r="L888" s="185" t="str">
        <f t="shared" si="179"/>
        <v/>
      </c>
      <c r="M888" s="76" t="str">
        <f t="shared" si="180"/>
        <v/>
      </c>
      <c r="N888" s="26">
        <f t="shared" si="181"/>
        <v>0</v>
      </c>
      <c r="O888" s="235">
        <f t="shared" si="182"/>
        <v>0</v>
      </c>
      <c r="P888" s="235">
        <f t="shared" si="183"/>
        <v>0</v>
      </c>
      <c r="Q888" s="206">
        <f t="shared" si="184"/>
        <v>0</v>
      </c>
      <c r="R888" s="206">
        <f t="shared" si="173"/>
        <v>0</v>
      </c>
      <c r="S888" s="206">
        <f t="shared" si="174"/>
        <v>0</v>
      </c>
      <c r="T888" s="206">
        <f t="shared" si="175"/>
        <v>0</v>
      </c>
      <c r="U888" s="206">
        <f t="shared" si="175"/>
        <v>0</v>
      </c>
      <c r="V888" s="207" t="str">
        <f t="shared" si="176"/>
        <v/>
      </c>
    </row>
    <row r="889" spans="10:22" x14ac:dyDescent="0.3">
      <c r="J889" s="185" t="str">
        <f t="shared" si="177"/>
        <v/>
      </c>
      <c r="K889" s="185" t="str">
        <f t="shared" si="178"/>
        <v/>
      </c>
      <c r="L889" s="185" t="str">
        <f t="shared" si="179"/>
        <v/>
      </c>
      <c r="M889" s="76" t="str">
        <f t="shared" si="180"/>
        <v/>
      </c>
      <c r="N889" s="26">
        <f t="shared" si="181"/>
        <v>0</v>
      </c>
      <c r="O889" s="235">
        <f t="shared" si="182"/>
        <v>0</v>
      </c>
      <c r="P889" s="235">
        <f t="shared" si="183"/>
        <v>0</v>
      </c>
      <c r="Q889" s="206">
        <f t="shared" si="184"/>
        <v>0</v>
      </c>
      <c r="R889" s="206">
        <f t="shared" si="173"/>
        <v>0</v>
      </c>
      <c r="S889" s="206">
        <f t="shared" si="174"/>
        <v>0</v>
      </c>
      <c r="T889" s="206">
        <f t="shared" si="175"/>
        <v>0</v>
      </c>
      <c r="U889" s="206">
        <f t="shared" si="175"/>
        <v>0</v>
      </c>
      <c r="V889" s="207" t="str">
        <f t="shared" si="176"/>
        <v/>
      </c>
    </row>
    <row r="890" spans="10:22" x14ac:dyDescent="0.3">
      <c r="J890" s="185" t="str">
        <f t="shared" si="177"/>
        <v/>
      </c>
      <c r="K890" s="185" t="str">
        <f t="shared" si="178"/>
        <v/>
      </c>
      <c r="L890" s="185" t="str">
        <f t="shared" si="179"/>
        <v/>
      </c>
      <c r="M890" s="76" t="str">
        <f t="shared" si="180"/>
        <v/>
      </c>
      <c r="N890" s="26">
        <f t="shared" si="181"/>
        <v>0</v>
      </c>
      <c r="O890" s="235">
        <f t="shared" si="182"/>
        <v>0</v>
      </c>
      <c r="P890" s="235">
        <f t="shared" si="183"/>
        <v>0</v>
      </c>
      <c r="Q890" s="206">
        <f t="shared" si="184"/>
        <v>0</v>
      </c>
      <c r="R890" s="206">
        <f t="shared" si="173"/>
        <v>0</v>
      </c>
      <c r="S890" s="206">
        <f t="shared" si="174"/>
        <v>0</v>
      </c>
      <c r="T890" s="206">
        <f t="shared" si="175"/>
        <v>0</v>
      </c>
      <c r="U890" s="206">
        <f t="shared" si="175"/>
        <v>0</v>
      </c>
      <c r="V890" s="207" t="str">
        <f t="shared" si="176"/>
        <v/>
      </c>
    </row>
    <row r="891" spans="10:22" x14ac:dyDescent="0.3">
      <c r="J891" s="185" t="str">
        <f t="shared" si="177"/>
        <v/>
      </c>
      <c r="K891" s="185" t="str">
        <f t="shared" si="178"/>
        <v/>
      </c>
      <c r="L891" s="185" t="str">
        <f t="shared" si="179"/>
        <v/>
      </c>
      <c r="M891" s="76" t="str">
        <f t="shared" si="180"/>
        <v/>
      </c>
      <c r="N891" s="26">
        <f t="shared" si="181"/>
        <v>0</v>
      </c>
      <c r="O891" s="235">
        <f t="shared" si="182"/>
        <v>0</v>
      </c>
      <c r="P891" s="235">
        <f t="shared" si="183"/>
        <v>0</v>
      </c>
      <c r="Q891" s="206">
        <f t="shared" si="184"/>
        <v>0</v>
      </c>
      <c r="R891" s="206">
        <f t="shared" si="173"/>
        <v>0</v>
      </c>
      <c r="S891" s="206">
        <f t="shared" si="174"/>
        <v>0</v>
      </c>
      <c r="T891" s="206">
        <f t="shared" si="175"/>
        <v>0</v>
      </c>
      <c r="U891" s="206">
        <f t="shared" si="175"/>
        <v>0</v>
      </c>
      <c r="V891" s="207" t="str">
        <f t="shared" si="176"/>
        <v/>
      </c>
    </row>
    <row r="892" spans="10:22" x14ac:dyDescent="0.3">
      <c r="J892" s="185" t="str">
        <f t="shared" si="177"/>
        <v/>
      </c>
      <c r="K892" s="185" t="str">
        <f t="shared" si="178"/>
        <v/>
      </c>
      <c r="L892" s="185" t="str">
        <f t="shared" si="179"/>
        <v/>
      </c>
      <c r="M892" s="76" t="str">
        <f t="shared" si="180"/>
        <v/>
      </c>
      <c r="N892" s="26">
        <f t="shared" si="181"/>
        <v>0</v>
      </c>
      <c r="O892" s="235">
        <f t="shared" si="182"/>
        <v>0</v>
      </c>
      <c r="P892" s="235">
        <f t="shared" si="183"/>
        <v>0</v>
      </c>
      <c r="Q892" s="206">
        <f t="shared" si="184"/>
        <v>0</v>
      </c>
      <c r="R892" s="206">
        <f t="shared" si="173"/>
        <v>0</v>
      </c>
      <c r="S892" s="206">
        <f t="shared" si="174"/>
        <v>0</v>
      </c>
      <c r="T892" s="206">
        <f t="shared" si="175"/>
        <v>0</v>
      </c>
      <c r="U892" s="206">
        <f t="shared" si="175"/>
        <v>0</v>
      </c>
      <c r="V892" s="207" t="str">
        <f t="shared" si="176"/>
        <v/>
      </c>
    </row>
    <row r="893" spans="10:22" x14ac:dyDescent="0.3">
      <c r="J893" s="185" t="str">
        <f t="shared" si="177"/>
        <v/>
      </c>
      <c r="K893" s="185" t="str">
        <f t="shared" si="178"/>
        <v/>
      </c>
      <c r="L893" s="185" t="str">
        <f t="shared" si="179"/>
        <v/>
      </c>
      <c r="M893" s="76" t="str">
        <f t="shared" si="180"/>
        <v/>
      </c>
      <c r="N893" s="26">
        <f t="shared" si="181"/>
        <v>0</v>
      </c>
      <c r="O893" s="235">
        <f t="shared" si="182"/>
        <v>0</v>
      </c>
      <c r="P893" s="235">
        <f t="shared" si="183"/>
        <v>0</v>
      </c>
      <c r="Q893" s="206">
        <f t="shared" si="184"/>
        <v>0</v>
      </c>
      <c r="R893" s="206">
        <f t="shared" si="173"/>
        <v>0</v>
      </c>
      <c r="S893" s="206">
        <f t="shared" si="174"/>
        <v>0</v>
      </c>
      <c r="T893" s="206">
        <f t="shared" si="175"/>
        <v>0</v>
      </c>
      <c r="U893" s="206">
        <f t="shared" si="175"/>
        <v>0</v>
      </c>
      <c r="V893" s="207" t="str">
        <f t="shared" si="176"/>
        <v/>
      </c>
    </row>
    <row r="894" spans="10:22" x14ac:dyDescent="0.3">
      <c r="J894" s="185" t="str">
        <f t="shared" si="177"/>
        <v/>
      </c>
      <c r="K894" s="185" t="str">
        <f t="shared" si="178"/>
        <v/>
      </c>
      <c r="L894" s="185" t="str">
        <f t="shared" si="179"/>
        <v/>
      </c>
      <c r="M894" s="76" t="str">
        <f t="shared" si="180"/>
        <v/>
      </c>
      <c r="N894" s="26">
        <f t="shared" si="181"/>
        <v>0</v>
      </c>
      <c r="O894" s="235">
        <f t="shared" si="182"/>
        <v>0</v>
      </c>
      <c r="P894" s="235">
        <f t="shared" si="183"/>
        <v>0</v>
      </c>
      <c r="Q894" s="206">
        <f t="shared" si="184"/>
        <v>0</v>
      </c>
      <c r="R894" s="206">
        <f t="shared" si="173"/>
        <v>0</v>
      </c>
      <c r="S894" s="206">
        <f t="shared" si="174"/>
        <v>0</v>
      </c>
      <c r="T894" s="206">
        <f t="shared" si="175"/>
        <v>0</v>
      </c>
      <c r="U894" s="206">
        <f t="shared" si="175"/>
        <v>0</v>
      </c>
      <c r="V894" s="207" t="str">
        <f t="shared" si="176"/>
        <v/>
      </c>
    </row>
    <row r="895" spans="10:22" x14ac:dyDescent="0.3">
      <c r="J895" s="185" t="str">
        <f t="shared" si="177"/>
        <v/>
      </c>
      <c r="K895" s="185" t="str">
        <f t="shared" si="178"/>
        <v/>
      </c>
      <c r="L895" s="185" t="str">
        <f t="shared" si="179"/>
        <v/>
      </c>
      <c r="M895" s="76" t="str">
        <f t="shared" si="180"/>
        <v/>
      </c>
      <c r="N895" s="26">
        <f t="shared" si="181"/>
        <v>0</v>
      </c>
      <c r="O895" s="235">
        <f t="shared" si="182"/>
        <v>0</v>
      </c>
      <c r="P895" s="235">
        <f t="shared" si="183"/>
        <v>0</v>
      </c>
      <c r="Q895" s="206">
        <f t="shared" si="184"/>
        <v>0</v>
      </c>
      <c r="R895" s="206">
        <f t="shared" si="173"/>
        <v>0</v>
      </c>
      <c r="S895" s="206">
        <f t="shared" si="174"/>
        <v>0</v>
      </c>
      <c r="T895" s="206">
        <f t="shared" si="175"/>
        <v>0</v>
      </c>
      <c r="U895" s="206">
        <f t="shared" si="175"/>
        <v>0</v>
      </c>
      <c r="V895" s="207" t="str">
        <f t="shared" si="176"/>
        <v/>
      </c>
    </row>
    <row r="896" spans="10:22" x14ac:dyDescent="0.3">
      <c r="J896" s="185" t="str">
        <f t="shared" si="177"/>
        <v/>
      </c>
      <c r="K896" s="185" t="str">
        <f t="shared" si="178"/>
        <v/>
      </c>
      <c r="L896" s="185" t="str">
        <f t="shared" si="179"/>
        <v/>
      </c>
      <c r="M896" s="76" t="str">
        <f t="shared" si="180"/>
        <v/>
      </c>
      <c r="N896" s="26">
        <f t="shared" si="181"/>
        <v>0</v>
      </c>
      <c r="O896" s="235">
        <f t="shared" si="182"/>
        <v>0</v>
      </c>
      <c r="P896" s="235">
        <f t="shared" si="183"/>
        <v>0</v>
      </c>
      <c r="Q896" s="206">
        <f t="shared" si="184"/>
        <v>0</v>
      </c>
      <c r="R896" s="206">
        <f t="shared" si="173"/>
        <v>0</v>
      </c>
      <c r="S896" s="206">
        <f t="shared" si="174"/>
        <v>0</v>
      </c>
      <c r="T896" s="206">
        <f t="shared" si="175"/>
        <v>0</v>
      </c>
      <c r="U896" s="206">
        <f t="shared" si="175"/>
        <v>0</v>
      </c>
      <c r="V896" s="207" t="str">
        <f t="shared" si="176"/>
        <v/>
      </c>
    </row>
    <row r="897" spans="10:22" x14ac:dyDescent="0.3">
      <c r="J897" s="185" t="str">
        <f t="shared" si="177"/>
        <v/>
      </c>
      <c r="K897" s="185" t="str">
        <f t="shared" si="178"/>
        <v/>
      </c>
      <c r="L897" s="185" t="str">
        <f t="shared" si="179"/>
        <v/>
      </c>
      <c r="M897" s="76" t="str">
        <f t="shared" si="180"/>
        <v/>
      </c>
      <c r="N897" s="26">
        <f t="shared" si="181"/>
        <v>0</v>
      </c>
      <c r="O897" s="235">
        <f t="shared" si="182"/>
        <v>0</v>
      </c>
      <c r="P897" s="235">
        <f t="shared" si="183"/>
        <v>0</v>
      </c>
      <c r="Q897" s="206">
        <f t="shared" si="184"/>
        <v>0</v>
      </c>
      <c r="R897" s="206">
        <f t="shared" si="173"/>
        <v>0</v>
      </c>
      <c r="S897" s="206">
        <f t="shared" si="174"/>
        <v>0</v>
      </c>
      <c r="T897" s="206">
        <f t="shared" si="175"/>
        <v>0</v>
      </c>
      <c r="U897" s="206">
        <f t="shared" si="175"/>
        <v>0</v>
      </c>
      <c r="V897" s="207" t="str">
        <f t="shared" si="176"/>
        <v/>
      </c>
    </row>
    <row r="898" spans="10:22" x14ac:dyDescent="0.3">
      <c r="J898" s="185" t="str">
        <f t="shared" si="177"/>
        <v/>
      </c>
      <c r="K898" s="185" t="str">
        <f t="shared" si="178"/>
        <v/>
      </c>
      <c r="L898" s="185" t="str">
        <f t="shared" si="179"/>
        <v/>
      </c>
      <c r="M898" s="76" t="str">
        <f t="shared" si="180"/>
        <v/>
      </c>
      <c r="N898" s="26">
        <f t="shared" si="181"/>
        <v>0</v>
      </c>
      <c r="O898" s="235">
        <f t="shared" si="182"/>
        <v>0</v>
      </c>
      <c r="P898" s="235">
        <f t="shared" si="183"/>
        <v>0</v>
      </c>
      <c r="Q898" s="206">
        <f t="shared" si="184"/>
        <v>0</v>
      </c>
      <c r="R898" s="206">
        <f t="shared" si="173"/>
        <v>0</v>
      </c>
      <c r="S898" s="206">
        <f t="shared" si="174"/>
        <v>0</v>
      </c>
      <c r="T898" s="206">
        <f t="shared" si="175"/>
        <v>0</v>
      </c>
      <c r="U898" s="206">
        <f t="shared" si="175"/>
        <v>0</v>
      </c>
      <c r="V898" s="207" t="str">
        <f t="shared" si="176"/>
        <v/>
      </c>
    </row>
    <row r="899" spans="10:22" x14ac:dyDescent="0.3">
      <c r="J899" s="185" t="str">
        <f t="shared" si="177"/>
        <v/>
      </c>
      <c r="K899" s="185" t="str">
        <f t="shared" si="178"/>
        <v/>
      </c>
      <c r="L899" s="185" t="str">
        <f t="shared" si="179"/>
        <v/>
      </c>
      <c r="M899" s="76" t="str">
        <f t="shared" si="180"/>
        <v/>
      </c>
      <c r="N899" s="26">
        <f t="shared" si="181"/>
        <v>0</v>
      </c>
      <c r="O899" s="235">
        <f t="shared" si="182"/>
        <v>0</v>
      </c>
      <c r="P899" s="235">
        <f t="shared" si="183"/>
        <v>0</v>
      </c>
      <c r="Q899" s="206">
        <f t="shared" si="184"/>
        <v>0</v>
      </c>
      <c r="R899" s="206">
        <f t="shared" si="173"/>
        <v>0</v>
      </c>
      <c r="S899" s="206">
        <f t="shared" si="174"/>
        <v>0</v>
      </c>
      <c r="T899" s="206">
        <f t="shared" si="175"/>
        <v>0</v>
      </c>
      <c r="U899" s="206">
        <f t="shared" si="175"/>
        <v>0</v>
      </c>
      <c r="V899" s="207" t="str">
        <f t="shared" si="176"/>
        <v/>
      </c>
    </row>
    <row r="900" spans="10:22" x14ac:dyDescent="0.3">
      <c r="J900" s="185" t="str">
        <f t="shared" si="177"/>
        <v/>
      </c>
      <c r="K900" s="185" t="str">
        <f t="shared" si="178"/>
        <v/>
      </c>
      <c r="L900" s="185" t="str">
        <f t="shared" si="179"/>
        <v/>
      </c>
      <c r="M900" s="76" t="str">
        <f t="shared" si="180"/>
        <v/>
      </c>
      <c r="N900" s="26">
        <f t="shared" si="181"/>
        <v>0</v>
      </c>
      <c r="O900" s="235">
        <f t="shared" si="182"/>
        <v>0</v>
      </c>
      <c r="P900" s="235">
        <f t="shared" si="183"/>
        <v>0</v>
      </c>
      <c r="Q900" s="206">
        <f t="shared" si="184"/>
        <v>0</v>
      </c>
      <c r="R900" s="206">
        <f t="shared" si="173"/>
        <v>0</v>
      </c>
      <c r="S900" s="206">
        <f t="shared" si="174"/>
        <v>0</v>
      </c>
      <c r="T900" s="206">
        <f t="shared" si="175"/>
        <v>0</v>
      </c>
      <c r="U900" s="206">
        <f t="shared" si="175"/>
        <v>0</v>
      </c>
      <c r="V900" s="207" t="str">
        <f t="shared" si="176"/>
        <v/>
      </c>
    </row>
    <row r="901" spans="10:22" x14ac:dyDescent="0.3">
      <c r="J901" s="185" t="str">
        <f t="shared" si="177"/>
        <v/>
      </c>
      <c r="K901" s="185" t="str">
        <f t="shared" si="178"/>
        <v/>
      </c>
      <c r="L901" s="185" t="str">
        <f t="shared" si="179"/>
        <v/>
      </c>
      <c r="M901" s="76" t="str">
        <f t="shared" si="180"/>
        <v/>
      </c>
      <c r="N901" s="26">
        <f t="shared" si="181"/>
        <v>0</v>
      </c>
      <c r="O901" s="235">
        <f t="shared" si="182"/>
        <v>0</v>
      </c>
      <c r="P901" s="235">
        <f t="shared" si="183"/>
        <v>0</v>
      </c>
      <c r="Q901" s="206">
        <f t="shared" si="184"/>
        <v>0</v>
      </c>
      <c r="R901" s="206">
        <f t="shared" si="173"/>
        <v>0</v>
      </c>
      <c r="S901" s="206">
        <f t="shared" si="174"/>
        <v>0</v>
      </c>
      <c r="T901" s="206">
        <f t="shared" si="175"/>
        <v>0</v>
      </c>
      <c r="U901" s="206">
        <f t="shared" si="175"/>
        <v>0</v>
      </c>
      <c r="V901" s="207" t="str">
        <f t="shared" si="176"/>
        <v/>
      </c>
    </row>
    <row r="902" spans="10:22" x14ac:dyDescent="0.3">
      <c r="J902" s="185" t="str">
        <f t="shared" si="177"/>
        <v/>
      </c>
      <c r="K902" s="185" t="str">
        <f t="shared" si="178"/>
        <v/>
      </c>
      <c r="L902" s="185" t="str">
        <f t="shared" si="179"/>
        <v/>
      </c>
      <c r="M902" s="76" t="str">
        <f t="shared" si="180"/>
        <v/>
      </c>
      <c r="N902" s="26">
        <f t="shared" si="181"/>
        <v>0</v>
      </c>
      <c r="O902" s="235">
        <f t="shared" si="182"/>
        <v>0</v>
      </c>
      <c r="P902" s="235">
        <f t="shared" si="183"/>
        <v>0</v>
      </c>
      <c r="Q902" s="206">
        <f t="shared" si="184"/>
        <v>0</v>
      </c>
      <c r="R902" s="206">
        <f t="shared" si="173"/>
        <v>0</v>
      </c>
      <c r="S902" s="206">
        <f t="shared" si="174"/>
        <v>0</v>
      </c>
      <c r="T902" s="206">
        <f t="shared" si="175"/>
        <v>0</v>
      </c>
      <c r="U902" s="206">
        <f t="shared" si="175"/>
        <v>0</v>
      </c>
      <c r="V902" s="207" t="str">
        <f t="shared" si="176"/>
        <v/>
      </c>
    </row>
    <row r="903" spans="10:22" x14ac:dyDescent="0.3">
      <c r="J903" s="185" t="str">
        <f t="shared" si="177"/>
        <v/>
      </c>
      <c r="K903" s="185" t="str">
        <f t="shared" si="178"/>
        <v/>
      </c>
      <c r="L903" s="185" t="str">
        <f t="shared" si="179"/>
        <v/>
      </c>
      <c r="M903" s="76" t="str">
        <f t="shared" si="180"/>
        <v/>
      </c>
      <c r="N903" s="26">
        <f t="shared" si="181"/>
        <v>0</v>
      </c>
      <c r="O903" s="235">
        <f t="shared" si="182"/>
        <v>0</v>
      </c>
      <c r="P903" s="235">
        <f t="shared" si="183"/>
        <v>0</v>
      </c>
      <c r="Q903" s="206">
        <f t="shared" si="184"/>
        <v>0</v>
      </c>
      <c r="R903" s="206">
        <f t="shared" si="173"/>
        <v>0</v>
      </c>
      <c r="S903" s="206">
        <f t="shared" si="174"/>
        <v>0</v>
      </c>
      <c r="T903" s="206">
        <f t="shared" si="175"/>
        <v>0</v>
      </c>
      <c r="U903" s="206">
        <f t="shared" si="175"/>
        <v>0</v>
      </c>
      <c r="V903" s="207" t="str">
        <f t="shared" si="176"/>
        <v/>
      </c>
    </row>
    <row r="904" spans="10:22" x14ac:dyDescent="0.3">
      <c r="J904" s="185" t="str">
        <f t="shared" si="177"/>
        <v/>
      </c>
      <c r="K904" s="185" t="str">
        <f t="shared" si="178"/>
        <v/>
      </c>
      <c r="L904" s="185" t="str">
        <f t="shared" si="179"/>
        <v/>
      </c>
      <c r="M904" s="76" t="str">
        <f t="shared" si="180"/>
        <v/>
      </c>
      <c r="N904" s="26">
        <f t="shared" si="181"/>
        <v>0</v>
      </c>
      <c r="O904" s="235">
        <f t="shared" si="182"/>
        <v>0</v>
      </c>
      <c r="P904" s="235">
        <f t="shared" si="183"/>
        <v>0</v>
      </c>
      <c r="Q904" s="206">
        <f t="shared" si="184"/>
        <v>0</v>
      </c>
      <c r="R904" s="206">
        <f t="shared" si="173"/>
        <v>0</v>
      </c>
      <c r="S904" s="206">
        <f t="shared" si="174"/>
        <v>0</v>
      </c>
      <c r="T904" s="206">
        <f t="shared" si="175"/>
        <v>0</v>
      </c>
      <c r="U904" s="206">
        <f t="shared" si="175"/>
        <v>0</v>
      </c>
      <c r="V904" s="207" t="str">
        <f t="shared" si="176"/>
        <v/>
      </c>
    </row>
    <row r="905" spans="10:22" x14ac:dyDescent="0.3">
      <c r="J905" s="185" t="str">
        <f t="shared" si="177"/>
        <v/>
      </c>
      <c r="K905" s="185" t="str">
        <f t="shared" si="178"/>
        <v/>
      </c>
      <c r="L905" s="185" t="str">
        <f t="shared" si="179"/>
        <v/>
      </c>
      <c r="M905" s="76" t="str">
        <f t="shared" si="180"/>
        <v/>
      </c>
      <c r="N905" s="26">
        <f t="shared" si="181"/>
        <v>0</v>
      </c>
      <c r="O905" s="235">
        <f t="shared" si="182"/>
        <v>0</v>
      </c>
      <c r="P905" s="235">
        <f t="shared" si="183"/>
        <v>0</v>
      </c>
      <c r="Q905" s="206">
        <f t="shared" si="184"/>
        <v>0</v>
      </c>
      <c r="R905" s="206">
        <f t="shared" si="173"/>
        <v>0</v>
      </c>
      <c r="S905" s="206">
        <f t="shared" si="174"/>
        <v>0</v>
      </c>
      <c r="T905" s="206">
        <f t="shared" si="175"/>
        <v>0</v>
      </c>
      <c r="U905" s="206">
        <f t="shared" si="175"/>
        <v>0</v>
      </c>
      <c r="V905" s="207" t="str">
        <f t="shared" si="176"/>
        <v/>
      </c>
    </row>
    <row r="906" spans="10:22" x14ac:dyDescent="0.3">
      <c r="J906" s="185" t="str">
        <f t="shared" si="177"/>
        <v/>
      </c>
      <c r="K906" s="185" t="str">
        <f t="shared" si="178"/>
        <v/>
      </c>
      <c r="L906" s="185" t="str">
        <f t="shared" si="179"/>
        <v/>
      </c>
      <c r="M906" s="76" t="str">
        <f t="shared" si="180"/>
        <v/>
      </c>
      <c r="N906" s="26">
        <f t="shared" si="181"/>
        <v>0</v>
      </c>
      <c r="O906" s="235">
        <f t="shared" si="182"/>
        <v>0</v>
      </c>
      <c r="P906" s="235">
        <f t="shared" si="183"/>
        <v>0</v>
      </c>
      <c r="Q906" s="206">
        <f t="shared" si="184"/>
        <v>0</v>
      </c>
      <c r="R906" s="206">
        <f t="shared" si="173"/>
        <v>0</v>
      </c>
      <c r="S906" s="206">
        <f t="shared" si="174"/>
        <v>0</v>
      </c>
      <c r="T906" s="206">
        <f t="shared" si="175"/>
        <v>0</v>
      </c>
      <c r="U906" s="206">
        <f t="shared" si="175"/>
        <v>0</v>
      </c>
      <c r="V906" s="207" t="str">
        <f t="shared" si="176"/>
        <v/>
      </c>
    </row>
    <row r="907" spans="10:22" x14ac:dyDescent="0.3">
      <c r="J907" s="185" t="str">
        <f t="shared" si="177"/>
        <v/>
      </c>
      <c r="K907" s="185" t="str">
        <f t="shared" si="178"/>
        <v/>
      </c>
      <c r="L907" s="185" t="str">
        <f t="shared" si="179"/>
        <v/>
      </c>
      <c r="M907" s="76" t="str">
        <f t="shared" si="180"/>
        <v/>
      </c>
      <c r="N907" s="26">
        <f t="shared" si="181"/>
        <v>0</v>
      </c>
      <c r="O907" s="235">
        <f t="shared" si="182"/>
        <v>0</v>
      </c>
      <c r="P907" s="235">
        <f t="shared" si="183"/>
        <v>0</v>
      </c>
      <c r="Q907" s="206">
        <f t="shared" si="184"/>
        <v>0</v>
      </c>
      <c r="R907" s="206">
        <f t="shared" si="173"/>
        <v>0</v>
      </c>
      <c r="S907" s="206">
        <f t="shared" si="174"/>
        <v>0</v>
      </c>
      <c r="T907" s="206">
        <f t="shared" si="175"/>
        <v>0</v>
      </c>
      <c r="U907" s="206">
        <f t="shared" si="175"/>
        <v>0</v>
      </c>
      <c r="V907" s="207" t="str">
        <f t="shared" si="176"/>
        <v/>
      </c>
    </row>
    <row r="908" spans="10:22" x14ac:dyDescent="0.3">
      <c r="J908" s="185" t="str">
        <f t="shared" si="177"/>
        <v/>
      </c>
      <c r="K908" s="185" t="str">
        <f t="shared" si="178"/>
        <v/>
      </c>
      <c r="L908" s="185" t="str">
        <f t="shared" si="179"/>
        <v/>
      </c>
      <c r="M908" s="76" t="str">
        <f t="shared" si="180"/>
        <v/>
      </c>
      <c r="N908" s="26">
        <f t="shared" si="181"/>
        <v>0</v>
      </c>
      <c r="O908" s="235">
        <f t="shared" si="182"/>
        <v>0</v>
      </c>
      <c r="P908" s="235">
        <f t="shared" si="183"/>
        <v>0</v>
      </c>
      <c r="Q908" s="206">
        <f t="shared" si="184"/>
        <v>0</v>
      </c>
      <c r="R908" s="206">
        <f t="shared" si="173"/>
        <v>0</v>
      </c>
      <c r="S908" s="206">
        <f t="shared" si="174"/>
        <v>0</v>
      </c>
      <c r="T908" s="206">
        <f t="shared" si="175"/>
        <v>0</v>
      </c>
      <c r="U908" s="206">
        <f t="shared" si="175"/>
        <v>0</v>
      </c>
      <c r="V908" s="207" t="str">
        <f t="shared" si="176"/>
        <v/>
      </c>
    </row>
    <row r="909" spans="10:22" x14ac:dyDescent="0.3">
      <c r="J909" s="185" t="str">
        <f t="shared" si="177"/>
        <v/>
      </c>
      <c r="K909" s="185" t="str">
        <f t="shared" si="178"/>
        <v/>
      </c>
      <c r="L909" s="185" t="str">
        <f t="shared" si="179"/>
        <v/>
      </c>
      <c r="M909" s="76" t="str">
        <f t="shared" si="180"/>
        <v/>
      </c>
      <c r="N909" s="26">
        <f t="shared" si="181"/>
        <v>0</v>
      </c>
      <c r="O909" s="235">
        <f t="shared" si="182"/>
        <v>0</v>
      </c>
      <c r="P909" s="235">
        <f t="shared" si="183"/>
        <v>0</v>
      </c>
      <c r="Q909" s="206">
        <f t="shared" si="184"/>
        <v>0</v>
      </c>
      <c r="R909" s="206">
        <f t="shared" si="173"/>
        <v>0</v>
      </c>
      <c r="S909" s="206">
        <f t="shared" si="174"/>
        <v>0</v>
      </c>
      <c r="T909" s="206">
        <f t="shared" si="175"/>
        <v>0</v>
      </c>
      <c r="U909" s="206">
        <f t="shared" si="175"/>
        <v>0</v>
      </c>
      <c r="V909" s="207" t="str">
        <f t="shared" si="176"/>
        <v/>
      </c>
    </row>
    <row r="910" spans="10:22" x14ac:dyDescent="0.3">
      <c r="J910" s="185" t="str">
        <f t="shared" si="177"/>
        <v/>
      </c>
      <c r="K910" s="185" t="str">
        <f t="shared" si="178"/>
        <v/>
      </c>
      <c r="L910" s="185" t="str">
        <f t="shared" si="179"/>
        <v/>
      </c>
      <c r="M910" s="76" t="str">
        <f t="shared" si="180"/>
        <v/>
      </c>
      <c r="N910" s="26">
        <f t="shared" si="181"/>
        <v>0</v>
      </c>
      <c r="O910" s="235">
        <f t="shared" si="182"/>
        <v>0</v>
      </c>
      <c r="P910" s="235">
        <f t="shared" si="183"/>
        <v>0</v>
      </c>
      <c r="Q910" s="206">
        <f t="shared" si="184"/>
        <v>0</v>
      </c>
      <c r="R910" s="206">
        <f t="shared" si="173"/>
        <v>0</v>
      </c>
      <c r="S910" s="206">
        <f t="shared" si="174"/>
        <v>0</v>
      </c>
      <c r="T910" s="206">
        <f t="shared" si="175"/>
        <v>0</v>
      </c>
      <c r="U910" s="206">
        <f t="shared" si="175"/>
        <v>0</v>
      </c>
      <c r="V910" s="207" t="str">
        <f t="shared" si="176"/>
        <v/>
      </c>
    </row>
    <row r="911" spans="10:22" x14ac:dyDescent="0.3">
      <c r="J911" s="185" t="str">
        <f t="shared" si="177"/>
        <v/>
      </c>
      <c r="K911" s="185" t="str">
        <f t="shared" si="178"/>
        <v/>
      </c>
      <c r="L911" s="185" t="str">
        <f t="shared" si="179"/>
        <v/>
      </c>
      <c r="M911" s="76" t="str">
        <f t="shared" si="180"/>
        <v/>
      </c>
      <c r="N911" s="26">
        <f t="shared" si="181"/>
        <v>0</v>
      </c>
      <c r="O911" s="235">
        <f t="shared" si="182"/>
        <v>0</v>
      </c>
      <c r="P911" s="235">
        <f t="shared" si="183"/>
        <v>0</v>
      </c>
      <c r="Q911" s="206">
        <f t="shared" si="184"/>
        <v>0</v>
      </c>
      <c r="R911" s="206">
        <f t="shared" si="173"/>
        <v>0</v>
      </c>
      <c r="S911" s="206">
        <f t="shared" si="174"/>
        <v>0</v>
      </c>
      <c r="T911" s="206">
        <f t="shared" si="175"/>
        <v>0</v>
      </c>
      <c r="U911" s="206">
        <f t="shared" si="175"/>
        <v>0</v>
      </c>
      <c r="V911" s="207" t="str">
        <f t="shared" si="176"/>
        <v/>
      </c>
    </row>
    <row r="912" spans="10:22" x14ac:dyDescent="0.3">
      <c r="J912" s="185" t="str">
        <f t="shared" si="177"/>
        <v/>
      </c>
      <c r="K912" s="185" t="str">
        <f t="shared" si="178"/>
        <v/>
      </c>
      <c r="L912" s="185" t="str">
        <f t="shared" si="179"/>
        <v/>
      </c>
      <c r="M912" s="76" t="str">
        <f t="shared" si="180"/>
        <v/>
      </c>
      <c r="N912" s="26">
        <f t="shared" si="181"/>
        <v>0</v>
      </c>
      <c r="O912" s="235">
        <f t="shared" si="182"/>
        <v>0</v>
      </c>
      <c r="P912" s="235">
        <f t="shared" si="183"/>
        <v>0</v>
      </c>
      <c r="Q912" s="206">
        <f t="shared" si="184"/>
        <v>0</v>
      </c>
      <c r="R912" s="206">
        <f t="shared" si="173"/>
        <v>0</v>
      </c>
      <c r="S912" s="206">
        <f t="shared" si="174"/>
        <v>0</v>
      </c>
      <c r="T912" s="206">
        <f t="shared" si="175"/>
        <v>0</v>
      </c>
      <c r="U912" s="206">
        <f t="shared" si="175"/>
        <v>0</v>
      </c>
      <c r="V912" s="207" t="str">
        <f t="shared" si="176"/>
        <v/>
      </c>
    </row>
    <row r="913" spans="10:22" x14ac:dyDescent="0.3">
      <c r="J913" s="185" t="str">
        <f t="shared" si="177"/>
        <v/>
      </c>
      <c r="K913" s="185" t="str">
        <f t="shared" si="178"/>
        <v/>
      </c>
      <c r="L913" s="185" t="str">
        <f t="shared" si="179"/>
        <v/>
      </c>
      <c r="M913" s="76" t="str">
        <f t="shared" si="180"/>
        <v/>
      </c>
      <c r="N913" s="26">
        <f t="shared" si="181"/>
        <v>0</v>
      </c>
      <c r="O913" s="235">
        <f t="shared" si="182"/>
        <v>0</v>
      </c>
      <c r="P913" s="235">
        <f t="shared" si="183"/>
        <v>0</v>
      </c>
      <c r="Q913" s="206">
        <f t="shared" si="184"/>
        <v>0</v>
      </c>
      <c r="R913" s="206">
        <f t="shared" si="173"/>
        <v>0</v>
      </c>
      <c r="S913" s="206">
        <f t="shared" si="174"/>
        <v>0</v>
      </c>
      <c r="T913" s="206">
        <f t="shared" si="175"/>
        <v>0</v>
      </c>
      <c r="U913" s="206">
        <f t="shared" si="175"/>
        <v>0</v>
      </c>
      <c r="V913" s="207" t="str">
        <f t="shared" si="176"/>
        <v/>
      </c>
    </row>
    <row r="914" spans="10:22" x14ac:dyDescent="0.3">
      <c r="J914" s="185" t="str">
        <f t="shared" si="177"/>
        <v/>
      </c>
      <c r="K914" s="185" t="str">
        <f t="shared" si="178"/>
        <v/>
      </c>
      <c r="L914" s="185" t="str">
        <f t="shared" si="179"/>
        <v/>
      </c>
      <c r="M914" s="76" t="str">
        <f t="shared" si="180"/>
        <v/>
      </c>
      <c r="N914" s="26">
        <f t="shared" si="181"/>
        <v>0</v>
      </c>
      <c r="O914" s="235">
        <f t="shared" si="182"/>
        <v>0</v>
      </c>
      <c r="P914" s="235">
        <f t="shared" si="183"/>
        <v>0</v>
      </c>
      <c r="Q914" s="206">
        <f t="shared" si="184"/>
        <v>0</v>
      </c>
      <c r="R914" s="206">
        <f t="shared" si="173"/>
        <v>0</v>
      </c>
      <c r="S914" s="206">
        <f t="shared" si="174"/>
        <v>0</v>
      </c>
      <c r="T914" s="206">
        <f t="shared" si="175"/>
        <v>0</v>
      </c>
      <c r="U914" s="206">
        <f t="shared" si="175"/>
        <v>0</v>
      </c>
      <c r="V914" s="207" t="str">
        <f t="shared" si="176"/>
        <v/>
      </c>
    </row>
    <row r="915" spans="10:22" x14ac:dyDescent="0.3">
      <c r="J915" s="185" t="str">
        <f t="shared" si="177"/>
        <v/>
      </c>
      <c r="K915" s="185" t="str">
        <f t="shared" si="178"/>
        <v/>
      </c>
      <c r="L915" s="185" t="str">
        <f t="shared" si="179"/>
        <v/>
      </c>
      <c r="M915" s="76" t="str">
        <f t="shared" si="180"/>
        <v/>
      </c>
      <c r="N915" s="26">
        <f t="shared" si="181"/>
        <v>0</v>
      </c>
      <c r="O915" s="235">
        <f t="shared" si="182"/>
        <v>0</v>
      </c>
      <c r="P915" s="235">
        <f t="shared" si="183"/>
        <v>0</v>
      </c>
      <c r="Q915" s="206">
        <f t="shared" si="184"/>
        <v>0</v>
      </c>
      <c r="R915" s="206">
        <f t="shared" si="173"/>
        <v>0</v>
      </c>
      <c r="S915" s="206">
        <f t="shared" si="174"/>
        <v>0</v>
      </c>
      <c r="T915" s="206">
        <f t="shared" si="175"/>
        <v>0</v>
      </c>
      <c r="U915" s="206">
        <f t="shared" si="175"/>
        <v>0</v>
      </c>
      <c r="V915" s="207" t="str">
        <f t="shared" si="176"/>
        <v/>
      </c>
    </row>
    <row r="916" spans="10:22" x14ac:dyDescent="0.3">
      <c r="J916" s="185" t="str">
        <f t="shared" si="177"/>
        <v/>
      </c>
      <c r="K916" s="185" t="str">
        <f t="shared" si="178"/>
        <v/>
      </c>
      <c r="L916" s="185" t="str">
        <f t="shared" si="179"/>
        <v/>
      </c>
      <c r="M916" s="76" t="str">
        <f t="shared" si="180"/>
        <v/>
      </c>
      <c r="N916" s="26">
        <f t="shared" si="181"/>
        <v>0</v>
      </c>
      <c r="O916" s="235">
        <f t="shared" si="182"/>
        <v>0</v>
      </c>
      <c r="P916" s="235">
        <f t="shared" si="183"/>
        <v>0</v>
      </c>
      <c r="Q916" s="206">
        <f t="shared" si="184"/>
        <v>0</v>
      </c>
      <c r="R916" s="206">
        <f t="shared" si="173"/>
        <v>0</v>
      </c>
      <c r="S916" s="206">
        <f t="shared" si="174"/>
        <v>0</v>
      </c>
      <c r="T916" s="206">
        <f t="shared" si="175"/>
        <v>0</v>
      </c>
      <c r="U916" s="206">
        <f t="shared" si="175"/>
        <v>0</v>
      </c>
      <c r="V916" s="207" t="str">
        <f t="shared" si="176"/>
        <v/>
      </c>
    </row>
    <row r="917" spans="10:22" x14ac:dyDescent="0.3">
      <c r="J917" s="185" t="str">
        <f t="shared" si="177"/>
        <v/>
      </c>
      <c r="K917" s="185" t="str">
        <f t="shared" si="178"/>
        <v/>
      </c>
      <c r="L917" s="185" t="str">
        <f t="shared" si="179"/>
        <v/>
      </c>
      <c r="M917" s="76" t="str">
        <f t="shared" si="180"/>
        <v/>
      </c>
      <c r="N917" s="26">
        <f t="shared" si="181"/>
        <v>0</v>
      </c>
      <c r="O917" s="235">
        <f t="shared" si="182"/>
        <v>0</v>
      </c>
      <c r="P917" s="235">
        <f t="shared" si="183"/>
        <v>0</v>
      </c>
      <c r="Q917" s="206">
        <f t="shared" si="184"/>
        <v>0</v>
      </c>
      <c r="R917" s="206">
        <f t="shared" si="173"/>
        <v>0</v>
      </c>
      <c r="S917" s="206">
        <f t="shared" si="174"/>
        <v>0</v>
      </c>
      <c r="T917" s="206">
        <f t="shared" si="175"/>
        <v>0</v>
      </c>
      <c r="U917" s="206">
        <f t="shared" si="175"/>
        <v>0</v>
      </c>
      <c r="V917" s="207" t="str">
        <f t="shared" si="176"/>
        <v/>
      </c>
    </row>
    <row r="918" spans="10:22" x14ac:dyDescent="0.3">
      <c r="J918" s="185" t="str">
        <f t="shared" si="177"/>
        <v/>
      </c>
      <c r="K918" s="185" t="str">
        <f t="shared" si="178"/>
        <v/>
      </c>
      <c r="L918" s="185" t="str">
        <f t="shared" si="179"/>
        <v/>
      </c>
      <c r="M918" s="76" t="str">
        <f t="shared" si="180"/>
        <v/>
      </c>
      <c r="N918" s="26">
        <f t="shared" si="181"/>
        <v>0</v>
      </c>
      <c r="O918" s="235">
        <f t="shared" si="182"/>
        <v>0</v>
      </c>
      <c r="P918" s="235">
        <f t="shared" si="183"/>
        <v>0</v>
      </c>
      <c r="Q918" s="206">
        <f t="shared" si="184"/>
        <v>0</v>
      </c>
      <c r="R918" s="206">
        <f t="shared" si="173"/>
        <v>0</v>
      </c>
      <c r="S918" s="206">
        <f t="shared" si="174"/>
        <v>0</v>
      </c>
      <c r="T918" s="206">
        <f t="shared" si="175"/>
        <v>0</v>
      </c>
      <c r="U918" s="206">
        <f t="shared" si="175"/>
        <v>0</v>
      </c>
      <c r="V918" s="207" t="str">
        <f t="shared" si="176"/>
        <v/>
      </c>
    </row>
    <row r="919" spans="10:22" x14ac:dyDescent="0.3">
      <c r="J919" s="185" t="str">
        <f t="shared" si="177"/>
        <v/>
      </c>
      <c r="K919" s="185" t="str">
        <f t="shared" si="178"/>
        <v/>
      </c>
      <c r="L919" s="185" t="str">
        <f t="shared" si="179"/>
        <v/>
      </c>
      <c r="M919" s="76" t="str">
        <f t="shared" si="180"/>
        <v/>
      </c>
      <c r="N919" s="26">
        <f t="shared" si="181"/>
        <v>0</v>
      </c>
      <c r="O919" s="235">
        <f t="shared" si="182"/>
        <v>0</v>
      </c>
      <c r="P919" s="235">
        <f t="shared" si="183"/>
        <v>0</v>
      </c>
      <c r="Q919" s="206">
        <f t="shared" si="184"/>
        <v>0</v>
      </c>
      <c r="R919" s="206">
        <f t="shared" si="173"/>
        <v>0</v>
      </c>
      <c r="S919" s="206">
        <f t="shared" si="174"/>
        <v>0</v>
      </c>
      <c r="T919" s="206">
        <f t="shared" si="175"/>
        <v>0</v>
      </c>
      <c r="U919" s="206">
        <f t="shared" si="175"/>
        <v>0</v>
      </c>
      <c r="V919" s="207" t="str">
        <f t="shared" si="176"/>
        <v/>
      </c>
    </row>
    <row r="920" spans="10:22" x14ac:dyDescent="0.3">
      <c r="J920" s="185" t="str">
        <f t="shared" si="177"/>
        <v/>
      </c>
      <c r="K920" s="185" t="str">
        <f t="shared" si="178"/>
        <v/>
      </c>
      <c r="L920" s="185" t="str">
        <f t="shared" si="179"/>
        <v/>
      </c>
      <c r="M920" s="76" t="str">
        <f t="shared" si="180"/>
        <v/>
      </c>
      <c r="N920" s="26">
        <f t="shared" si="181"/>
        <v>0</v>
      </c>
      <c r="O920" s="235">
        <f t="shared" si="182"/>
        <v>0</v>
      </c>
      <c r="P920" s="235">
        <f t="shared" si="183"/>
        <v>0</v>
      </c>
      <c r="Q920" s="206">
        <f t="shared" si="184"/>
        <v>0</v>
      </c>
      <c r="R920" s="206">
        <f t="shared" si="173"/>
        <v>0</v>
      </c>
      <c r="S920" s="206">
        <f t="shared" si="174"/>
        <v>0</v>
      </c>
      <c r="T920" s="206">
        <f t="shared" si="175"/>
        <v>0</v>
      </c>
      <c r="U920" s="206">
        <f t="shared" si="175"/>
        <v>0</v>
      </c>
      <c r="V920" s="207" t="str">
        <f t="shared" si="176"/>
        <v/>
      </c>
    </row>
    <row r="921" spans="10:22" x14ac:dyDescent="0.3">
      <c r="J921" s="185" t="str">
        <f t="shared" si="177"/>
        <v/>
      </c>
      <c r="K921" s="185" t="str">
        <f t="shared" si="178"/>
        <v/>
      </c>
      <c r="L921" s="185" t="str">
        <f t="shared" si="179"/>
        <v/>
      </c>
      <c r="M921" s="76" t="str">
        <f t="shared" si="180"/>
        <v/>
      </c>
      <c r="N921" s="26">
        <f t="shared" si="181"/>
        <v>0</v>
      </c>
      <c r="O921" s="235">
        <f t="shared" si="182"/>
        <v>0</v>
      </c>
      <c r="P921" s="235">
        <f t="shared" si="183"/>
        <v>0</v>
      </c>
      <c r="Q921" s="206">
        <f t="shared" si="184"/>
        <v>0</v>
      </c>
      <c r="R921" s="206">
        <f t="shared" si="173"/>
        <v>0</v>
      </c>
      <c r="S921" s="206">
        <f t="shared" si="174"/>
        <v>0</v>
      </c>
      <c r="T921" s="206">
        <f t="shared" si="175"/>
        <v>0</v>
      </c>
      <c r="U921" s="206">
        <f t="shared" si="175"/>
        <v>0</v>
      </c>
      <c r="V921" s="207" t="str">
        <f t="shared" si="176"/>
        <v/>
      </c>
    </row>
    <row r="922" spans="10:22" x14ac:dyDescent="0.3">
      <c r="J922" s="185" t="str">
        <f t="shared" si="177"/>
        <v/>
      </c>
      <c r="K922" s="185" t="str">
        <f t="shared" si="178"/>
        <v/>
      </c>
      <c r="L922" s="185" t="str">
        <f t="shared" si="179"/>
        <v/>
      </c>
      <c r="M922" s="76" t="str">
        <f t="shared" si="180"/>
        <v/>
      </c>
      <c r="N922" s="26">
        <f t="shared" si="181"/>
        <v>0</v>
      </c>
      <c r="O922" s="235">
        <f t="shared" si="182"/>
        <v>0</v>
      </c>
      <c r="P922" s="235">
        <f t="shared" si="183"/>
        <v>0</v>
      </c>
      <c r="Q922" s="206">
        <f t="shared" si="184"/>
        <v>0</v>
      </c>
      <c r="R922" s="206">
        <f t="shared" si="173"/>
        <v>0</v>
      </c>
      <c r="S922" s="206">
        <f t="shared" si="174"/>
        <v>0</v>
      </c>
      <c r="T922" s="206">
        <f t="shared" si="175"/>
        <v>0</v>
      </c>
      <c r="U922" s="206">
        <f t="shared" si="175"/>
        <v>0</v>
      </c>
      <c r="V922" s="207" t="str">
        <f t="shared" si="176"/>
        <v/>
      </c>
    </row>
    <row r="923" spans="10:22" x14ac:dyDescent="0.3">
      <c r="J923" s="185" t="str">
        <f t="shared" si="177"/>
        <v/>
      </c>
      <c r="K923" s="185" t="str">
        <f t="shared" si="178"/>
        <v/>
      </c>
      <c r="L923" s="185" t="str">
        <f t="shared" si="179"/>
        <v/>
      </c>
      <c r="M923" s="76" t="str">
        <f t="shared" si="180"/>
        <v/>
      </c>
      <c r="N923" s="26">
        <f t="shared" si="181"/>
        <v>0</v>
      </c>
      <c r="O923" s="235">
        <f t="shared" si="182"/>
        <v>0</v>
      </c>
      <c r="P923" s="235">
        <f t="shared" si="183"/>
        <v>0</v>
      </c>
      <c r="Q923" s="206">
        <f t="shared" si="184"/>
        <v>0</v>
      </c>
      <c r="R923" s="206">
        <f t="shared" ref="R923:R986" si="185">IF($J923=29,VALUE(LEFT(B923,LEN(B923)-2)),0)</f>
        <v>0</v>
      </c>
      <c r="S923" s="206">
        <f t="shared" ref="S923:S986" si="186">IF($J923=29,VALUE(LEFT(C923,LEN(C923)-2)),0)</f>
        <v>0</v>
      </c>
      <c r="T923" s="206">
        <f t="shared" ref="T923:U986" si="187">IF($J923=29,VALUE(LEFT(D923,LEN(D923)-2)),0)</f>
        <v>0</v>
      </c>
      <c r="U923" s="206">
        <f t="shared" si="187"/>
        <v>0</v>
      </c>
      <c r="V923" s="207" t="str">
        <f t="shared" ref="V923:V986" si="188">IFERROR(N923/SUM(R923:U923),"")</f>
        <v/>
      </c>
    </row>
    <row r="924" spans="10:22" x14ac:dyDescent="0.3">
      <c r="J924" s="185" t="str">
        <f t="shared" si="177"/>
        <v/>
      </c>
      <c r="K924" s="185" t="str">
        <f t="shared" si="178"/>
        <v/>
      </c>
      <c r="L924" s="185" t="str">
        <f t="shared" si="179"/>
        <v/>
      </c>
      <c r="M924" s="76" t="str">
        <f t="shared" si="180"/>
        <v/>
      </c>
      <c r="N924" s="26">
        <f t="shared" si="181"/>
        <v>0</v>
      </c>
      <c r="O924" s="235">
        <f t="shared" si="182"/>
        <v>0</v>
      </c>
      <c r="P924" s="235">
        <f t="shared" si="183"/>
        <v>0</v>
      </c>
      <c r="Q924" s="206">
        <f t="shared" si="184"/>
        <v>0</v>
      </c>
      <c r="R924" s="206">
        <f t="shared" si="185"/>
        <v>0</v>
      </c>
      <c r="S924" s="206">
        <f t="shared" si="186"/>
        <v>0</v>
      </c>
      <c r="T924" s="206">
        <f t="shared" si="187"/>
        <v>0</v>
      </c>
      <c r="U924" s="206">
        <f t="shared" si="187"/>
        <v>0</v>
      </c>
      <c r="V924" s="207" t="str">
        <f t="shared" si="188"/>
        <v/>
      </c>
    </row>
    <row r="925" spans="10:22" x14ac:dyDescent="0.3">
      <c r="J925" s="185" t="str">
        <f t="shared" si="177"/>
        <v/>
      </c>
      <c r="K925" s="185" t="str">
        <f t="shared" si="178"/>
        <v/>
      </c>
      <c r="L925" s="185" t="str">
        <f t="shared" si="179"/>
        <v/>
      </c>
      <c r="M925" s="76" t="str">
        <f t="shared" si="180"/>
        <v/>
      </c>
      <c r="N925" s="26">
        <f t="shared" si="181"/>
        <v>0</v>
      </c>
      <c r="O925" s="235">
        <f t="shared" si="182"/>
        <v>0</v>
      </c>
      <c r="P925" s="235">
        <f t="shared" si="183"/>
        <v>0</v>
      </c>
      <c r="Q925" s="206">
        <f t="shared" si="184"/>
        <v>0</v>
      </c>
      <c r="R925" s="206">
        <f t="shared" si="185"/>
        <v>0</v>
      </c>
      <c r="S925" s="206">
        <f t="shared" si="186"/>
        <v>0</v>
      </c>
      <c r="T925" s="206">
        <f t="shared" si="187"/>
        <v>0</v>
      </c>
      <c r="U925" s="206">
        <f t="shared" si="187"/>
        <v>0</v>
      </c>
      <c r="V925" s="207" t="str">
        <f t="shared" si="188"/>
        <v/>
      </c>
    </row>
    <row r="926" spans="10:22" x14ac:dyDescent="0.3">
      <c r="J926" s="185" t="str">
        <f t="shared" si="177"/>
        <v/>
      </c>
      <c r="K926" s="185" t="str">
        <f t="shared" si="178"/>
        <v/>
      </c>
      <c r="L926" s="185" t="str">
        <f t="shared" si="179"/>
        <v/>
      </c>
      <c r="M926" s="76" t="str">
        <f t="shared" si="180"/>
        <v/>
      </c>
      <c r="N926" s="26">
        <f t="shared" si="181"/>
        <v>0</v>
      </c>
      <c r="O926" s="235">
        <f t="shared" si="182"/>
        <v>0</v>
      </c>
      <c r="P926" s="235">
        <f t="shared" si="183"/>
        <v>0</v>
      </c>
      <c r="Q926" s="206">
        <f t="shared" si="184"/>
        <v>0</v>
      </c>
      <c r="R926" s="206">
        <f t="shared" si="185"/>
        <v>0</v>
      </c>
      <c r="S926" s="206">
        <f t="shared" si="186"/>
        <v>0</v>
      </c>
      <c r="T926" s="206">
        <f t="shared" si="187"/>
        <v>0</v>
      </c>
      <c r="U926" s="206">
        <f t="shared" si="187"/>
        <v>0</v>
      </c>
      <c r="V926" s="207" t="str">
        <f t="shared" si="188"/>
        <v/>
      </c>
    </row>
    <row r="927" spans="10:22" x14ac:dyDescent="0.3">
      <c r="J927" s="185" t="str">
        <f t="shared" si="177"/>
        <v/>
      </c>
      <c r="K927" s="185" t="str">
        <f t="shared" si="178"/>
        <v/>
      </c>
      <c r="L927" s="185" t="str">
        <f t="shared" si="179"/>
        <v/>
      </c>
      <c r="M927" s="76" t="str">
        <f t="shared" si="180"/>
        <v/>
      </c>
      <c r="N927" s="26">
        <f t="shared" si="181"/>
        <v>0</v>
      </c>
      <c r="O927" s="235">
        <f t="shared" si="182"/>
        <v>0</v>
      </c>
      <c r="P927" s="235">
        <f t="shared" si="183"/>
        <v>0</v>
      </c>
      <c r="Q927" s="206">
        <f t="shared" si="184"/>
        <v>0</v>
      </c>
      <c r="R927" s="206">
        <f t="shared" si="185"/>
        <v>0</v>
      </c>
      <c r="S927" s="206">
        <f t="shared" si="186"/>
        <v>0</v>
      </c>
      <c r="T927" s="206">
        <f t="shared" si="187"/>
        <v>0</v>
      </c>
      <c r="U927" s="206">
        <f t="shared" si="187"/>
        <v>0</v>
      </c>
      <c r="V927" s="207" t="str">
        <f t="shared" si="188"/>
        <v/>
      </c>
    </row>
    <row r="928" spans="10:22" x14ac:dyDescent="0.3">
      <c r="J928" s="185" t="str">
        <f t="shared" si="177"/>
        <v/>
      </c>
      <c r="K928" s="185" t="str">
        <f t="shared" si="178"/>
        <v/>
      </c>
      <c r="L928" s="185" t="str">
        <f t="shared" si="179"/>
        <v/>
      </c>
      <c r="M928" s="76" t="str">
        <f t="shared" si="180"/>
        <v/>
      </c>
      <c r="N928" s="26">
        <f t="shared" si="181"/>
        <v>0</v>
      </c>
      <c r="O928" s="235">
        <f t="shared" si="182"/>
        <v>0</v>
      </c>
      <c r="P928" s="235">
        <f t="shared" si="183"/>
        <v>0</v>
      </c>
      <c r="Q928" s="206">
        <f t="shared" si="184"/>
        <v>0</v>
      </c>
      <c r="R928" s="206">
        <f t="shared" si="185"/>
        <v>0</v>
      </c>
      <c r="S928" s="206">
        <f t="shared" si="186"/>
        <v>0</v>
      </c>
      <c r="T928" s="206">
        <f t="shared" si="187"/>
        <v>0</v>
      </c>
      <c r="U928" s="206">
        <f t="shared" si="187"/>
        <v>0</v>
      </c>
      <c r="V928" s="207" t="str">
        <f t="shared" si="188"/>
        <v/>
      </c>
    </row>
    <row r="929" spans="10:22" x14ac:dyDescent="0.3">
      <c r="J929" s="185" t="str">
        <f t="shared" si="177"/>
        <v/>
      </c>
      <c r="K929" s="185" t="str">
        <f t="shared" si="178"/>
        <v/>
      </c>
      <c r="L929" s="185" t="str">
        <f t="shared" si="179"/>
        <v/>
      </c>
      <c r="M929" s="76" t="str">
        <f t="shared" si="180"/>
        <v/>
      </c>
      <c r="N929" s="26">
        <f t="shared" si="181"/>
        <v>0</v>
      </c>
      <c r="O929" s="235">
        <f t="shared" si="182"/>
        <v>0</v>
      </c>
      <c r="P929" s="235">
        <f t="shared" si="183"/>
        <v>0</v>
      </c>
      <c r="Q929" s="206">
        <f t="shared" si="184"/>
        <v>0</v>
      </c>
      <c r="R929" s="206">
        <f t="shared" si="185"/>
        <v>0</v>
      </c>
      <c r="S929" s="206">
        <f t="shared" si="186"/>
        <v>0</v>
      </c>
      <c r="T929" s="206">
        <f t="shared" si="187"/>
        <v>0</v>
      </c>
      <c r="U929" s="206">
        <f t="shared" si="187"/>
        <v>0</v>
      </c>
      <c r="V929" s="207" t="str">
        <f t="shared" si="188"/>
        <v/>
      </c>
    </row>
    <row r="930" spans="10:22" x14ac:dyDescent="0.3">
      <c r="J930" s="185" t="str">
        <f t="shared" si="177"/>
        <v/>
      </c>
      <c r="K930" s="185" t="str">
        <f t="shared" si="178"/>
        <v/>
      </c>
      <c r="L930" s="185" t="str">
        <f t="shared" si="179"/>
        <v/>
      </c>
      <c r="M930" s="76" t="str">
        <f t="shared" si="180"/>
        <v/>
      </c>
      <c r="N930" s="26">
        <f t="shared" si="181"/>
        <v>0</v>
      </c>
      <c r="O930" s="235">
        <f t="shared" si="182"/>
        <v>0</v>
      </c>
      <c r="P930" s="235">
        <f t="shared" si="183"/>
        <v>0</v>
      </c>
      <c r="Q930" s="206">
        <f t="shared" si="184"/>
        <v>0</v>
      </c>
      <c r="R930" s="206">
        <f t="shared" si="185"/>
        <v>0</v>
      </c>
      <c r="S930" s="206">
        <f t="shared" si="186"/>
        <v>0</v>
      </c>
      <c r="T930" s="206">
        <f t="shared" si="187"/>
        <v>0</v>
      </c>
      <c r="U930" s="206">
        <f t="shared" si="187"/>
        <v>0</v>
      </c>
      <c r="V930" s="207" t="str">
        <f t="shared" si="188"/>
        <v/>
      </c>
    </row>
    <row r="931" spans="10:22" x14ac:dyDescent="0.3">
      <c r="J931" s="185" t="str">
        <f t="shared" si="177"/>
        <v/>
      </c>
      <c r="K931" s="185" t="str">
        <f t="shared" si="178"/>
        <v/>
      </c>
      <c r="L931" s="185" t="str">
        <f t="shared" si="179"/>
        <v/>
      </c>
      <c r="M931" s="76" t="str">
        <f t="shared" si="180"/>
        <v/>
      </c>
      <c r="N931" s="26">
        <f t="shared" si="181"/>
        <v>0</v>
      </c>
      <c r="O931" s="235">
        <f t="shared" si="182"/>
        <v>0</v>
      </c>
      <c r="P931" s="235">
        <f t="shared" si="183"/>
        <v>0</v>
      </c>
      <c r="Q931" s="206">
        <f t="shared" si="184"/>
        <v>0</v>
      </c>
      <c r="R931" s="206">
        <f t="shared" si="185"/>
        <v>0</v>
      </c>
      <c r="S931" s="206">
        <f t="shared" si="186"/>
        <v>0</v>
      </c>
      <c r="T931" s="206">
        <f t="shared" si="187"/>
        <v>0</v>
      </c>
      <c r="U931" s="206">
        <f t="shared" si="187"/>
        <v>0</v>
      </c>
      <c r="V931" s="207" t="str">
        <f t="shared" si="188"/>
        <v/>
      </c>
    </row>
    <row r="932" spans="10:22" x14ac:dyDescent="0.3">
      <c r="J932" s="185" t="str">
        <f t="shared" si="177"/>
        <v/>
      </c>
      <c r="K932" s="185" t="str">
        <f t="shared" si="178"/>
        <v/>
      </c>
      <c r="L932" s="185" t="str">
        <f t="shared" si="179"/>
        <v/>
      </c>
      <c r="M932" s="76" t="str">
        <f t="shared" si="180"/>
        <v/>
      </c>
      <c r="N932" s="26">
        <f t="shared" si="181"/>
        <v>0</v>
      </c>
      <c r="O932" s="235">
        <f t="shared" si="182"/>
        <v>0</v>
      </c>
      <c r="P932" s="235">
        <f t="shared" si="183"/>
        <v>0</v>
      </c>
      <c r="Q932" s="206">
        <f t="shared" si="184"/>
        <v>0</v>
      </c>
      <c r="R932" s="206">
        <f t="shared" si="185"/>
        <v>0</v>
      </c>
      <c r="S932" s="206">
        <f t="shared" si="186"/>
        <v>0</v>
      </c>
      <c r="T932" s="206">
        <f t="shared" si="187"/>
        <v>0</v>
      </c>
      <c r="U932" s="206">
        <f t="shared" si="187"/>
        <v>0</v>
      </c>
      <c r="V932" s="207" t="str">
        <f t="shared" si="188"/>
        <v/>
      </c>
    </row>
    <row r="933" spans="10:22" x14ac:dyDescent="0.3">
      <c r="J933" s="185" t="str">
        <f t="shared" si="177"/>
        <v/>
      </c>
      <c r="K933" s="185" t="str">
        <f t="shared" si="178"/>
        <v/>
      </c>
      <c r="L933" s="185" t="str">
        <f t="shared" si="179"/>
        <v/>
      </c>
      <c r="M933" s="76" t="str">
        <f t="shared" si="180"/>
        <v/>
      </c>
      <c r="N933" s="26">
        <f t="shared" si="181"/>
        <v>0</v>
      </c>
      <c r="O933" s="235">
        <f t="shared" si="182"/>
        <v>0</v>
      </c>
      <c r="P933" s="235">
        <f t="shared" si="183"/>
        <v>0</v>
      </c>
      <c r="Q933" s="206">
        <f t="shared" si="184"/>
        <v>0</v>
      </c>
      <c r="R933" s="206">
        <f t="shared" si="185"/>
        <v>0</v>
      </c>
      <c r="S933" s="206">
        <f t="shared" si="186"/>
        <v>0</v>
      </c>
      <c r="T933" s="206">
        <f t="shared" si="187"/>
        <v>0</v>
      </c>
      <c r="U933" s="206">
        <f t="shared" si="187"/>
        <v>0</v>
      </c>
      <c r="V933" s="207" t="str">
        <f t="shared" si="188"/>
        <v/>
      </c>
    </row>
    <row r="934" spans="10:22" x14ac:dyDescent="0.3">
      <c r="J934" s="185" t="str">
        <f t="shared" si="177"/>
        <v/>
      </c>
      <c r="K934" s="185" t="str">
        <f t="shared" si="178"/>
        <v/>
      </c>
      <c r="L934" s="185" t="str">
        <f t="shared" si="179"/>
        <v/>
      </c>
      <c r="M934" s="76" t="str">
        <f t="shared" si="180"/>
        <v/>
      </c>
      <c r="N934" s="26">
        <f t="shared" si="181"/>
        <v>0</v>
      </c>
      <c r="O934" s="235">
        <f t="shared" si="182"/>
        <v>0</v>
      </c>
      <c r="P934" s="235">
        <f t="shared" si="183"/>
        <v>0</v>
      </c>
      <c r="Q934" s="206">
        <f t="shared" si="184"/>
        <v>0</v>
      </c>
      <c r="R934" s="206">
        <f t="shared" si="185"/>
        <v>0</v>
      </c>
      <c r="S934" s="206">
        <f t="shared" si="186"/>
        <v>0</v>
      </c>
      <c r="T934" s="206">
        <f t="shared" si="187"/>
        <v>0</v>
      </c>
      <c r="U934" s="206">
        <f t="shared" si="187"/>
        <v>0</v>
      </c>
      <c r="V934" s="207" t="str">
        <f t="shared" si="188"/>
        <v/>
      </c>
    </row>
    <row r="935" spans="10:22" x14ac:dyDescent="0.3">
      <c r="J935" s="185" t="str">
        <f t="shared" si="177"/>
        <v/>
      </c>
      <c r="K935" s="185" t="str">
        <f t="shared" si="178"/>
        <v/>
      </c>
      <c r="L935" s="185" t="str">
        <f t="shared" si="179"/>
        <v/>
      </c>
      <c r="M935" s="76" t="str">
        <f t="shared" si="180"/>
        <v/>
      </c>
      <c r="N935" s="26">
        <f t="shared" si="181"/>
        <v>0</v>
      </c>
      <c r="O935" s="235">
        <f t="shared" si="182"/>
        <v>0</v>
      </c>
      <c r="P935" s="235">
        <f t="shared" si="183"/>
        <v>0</v>
      </c>
      <c r="Q935" s="206">
        <f t="shared" si="184"/>
        <v>0</v>
      </c>
      <c r="R935" s="206">
        <f t="shared" si="185"/>
        <v>0</v>
      </c>
      <c r="S935" s="206">
        <f t="shared" si="186"/>
        <v>0</v>
      </c>
      <c r="T935" s="206">
        <f t="shared" si="187"/>
        <v>0</v>
      </c>
      <c r="U935" s="206">
        <f t="shared" si="187"/>
        <v>0</v>
      </c>
      <c r="V935" s="207" t="str">
        <f t="shared" si="188"/>
        <v/>
      </c>
    </row>
    <row r="936" spans="10:22" x14ac:dyDescent="0.3">
      <c r="J936" s="185" t="str">
        <f t="shared" si="177"/>
        <v/>
      </c>
      <c r="K936" s="185" t="str">
        <f t="shared" si="178"/>
        <v/>
      </c>
      <c r="L936" s="185" t="str">
        <f t="shared" si="179"/>
        <v/>
      </c>
      <c r="M936" s="76" t="str">
        <f t="shared" si="180"/>
        <v/>
      </c>
      <c r="N936" s="26">
        <f t="shared" si="181"/>
        <v>0</v>
      </c>
      <c r="O936" s="235">
        <f t="shared" si="182"/>
        <v>0</v>
      </c>
      <c r="P936" s="235">
        <f t="shared" si="183"/>
        <v>0</v>
      </c>
      <c r="Q936" s="206">
        <f t="shared" si="184"/>
        <v>0</v>
      </c>
      <c r="R936" s="206">
        <f t="shared" si="185"/>
        <v>0</v>
      </c>
      <c r="S936" s="206">
        <f t="shared" si="186"/>
        <v>0</v>
      </c>
      <c r="T936" s="206">
        <f t="shared" si="187"/>
        <v>0</v>
      </c>
      <c r="U936" s="206">
        <f t="shared" si="187"/>
        <v>0</v>
      </c>
      <c r="V936" s="207" t="str">
        <f t="shared" si="188"/>
        <v/>
      </c>
    </row>
    <row r="937" spans="10:22" x14ac:dyDescent="0.3">
      <c r="J937" s="185" t="str">
        <f t="shared" si="177"/>
        <v/>
      </c>
      <c r="K937" s="185" t="str">
        <f t="shared" si="178"/>
        <v/>
      </c>
      <c r="L937" s="185" t="str">
        <f t="shared" si="179"/>
        <v/>
      </c>
      <c r="M937" s="76" t="str">
        <f t="shared" si="180"/>
        <v/>
      </c>
      <c r="N937" s="26">
        <f t="shared" si="181"/>
        <v>0</v>
      </c>
      <c r="O937" s="235">
        <f t="shared" si="182"/>
        <v>0</v>
      </c>
      <c r="P937" s="235">
        <f t="shared" si="183"/>
        <v>0</v>
      </c>
      <c r="Q937" s="206">
        <f t="shared" si="184"/>
        <v>0</v>
      </c>
      <c r="R937" s="206">
        <f t="shared" si="185"/>
        <v>0</v>
      </c>
      <c r="S937" s="206">
        <f t="shared" si="186"/>
        <v>0</v>
      </c>
      <c r="T937" s="206">
        <f t="shared" si="187"/>
        <v>0</v>
      </c>
      <c r="U937" s="206">
        <f t="shared" si="187"/>
        <v>0</v>
      </c>
      <c r="V937" s="207" t="str">
        <f t="shared" si="188"/>
        <v/>
      </c>
    </row>
    <row r="938" spans="10:22" x14ac:dyDescent="0.3">
      <c r="J938" s="185" t="str">
        <f t="shared" si="177"/>
        <v/>
      </c>
      <c r="K938" s="185" t="str">
        <f t="shared" si="178"/>
        <v/>
      </c>
      <c r="L938" s="185" t="str">
        <f t="shared" si="179"/>
        <v/>
      </c>
      <c r="M938" s="76" t="str">
        <f t="shared" si="180"/>
        <v/>
      </c>
      <c r="N938" s="26">
        <f t="shared" si="181"/>
        <v>0</v>
      </c>
      <c r="O938" s="235">
        <f t="shared" si="182"/>
        <v>0</v>
      </c>
      <c r="P938" s="235">
        <f t="shared" si="183"/>
        <v>0</v>
      </c>
      <c r="Q938" s="206">
        <f t="shared" si="184"/>
        <v>0</v>
      </c>
      <c r="R938" s="206">
        <f t="shared" si="185"/>
        <v>0</v>
      </c>
      <c r="S938" s="206">
        <f t="shared" si="186"/>
        <v>0</v>
      </c>
      <c r="T938" s="206">
        <f t="shared" si="187"/>
        <v>0</v>
      </c>
      <c r="U938" s="206">
        <f t="shared" si="187"/>
        <v>0</v>
      </c>
      <c r="V938" s="207" t="str">
        <f t="shared" si="188"/>
        <v/>
      </c>
    </row>
    <row r="939" spans="10:22" x14ac:dyDescent="0.3">
      <c r="J939" s="185" t="str">
        <f t="shared" si="177"/>
        <v/>
      </c>
      <c r="K939" s="185" t="str">
        <f t="shared" si="178"/>
        <v/>
      </c>
      <c r="L939" s="185" t="str">
        <f t="shared" si="179"/>
        <v/>
      </c>
      <c r="M939" s="76" t="str">
        <f t="shared" si="180"/>
        <v/>
      </c>
      <c r="N939" s="26">
        <f t="shared" si="181"/>
        <v>0</v>
      </c>
      <c r="O939" s="235">
        <f t="shared" si="182"/>
        <v>0</v>
      </c>
      <c r="P939" s="235">
        <f t="shared" si="183"/>
        <v>0</v>
      </c>
      <c r="Q939" s="206">
        <f t="shared" si="184"/>
        <v>0</v>
      </c>
      <c r="R939" s="206">
        <f t="shared" si="185"/>
        <v>0</v>
      </c>
      <c r="S939" s="206">
        <f t="shared" si="186"/>
        <v>0</v>
      </c>
      <c r="T939" s="206">
        <f t="shared" si="187"/>
        <v>0</v>
      </c>
      <c r="U939" s="206">
        <f t="shared" si="187"/>
        <v>0</v>
      </c>
      <c r="V939" s="207" t="str">
        <f t="shared" si="188"/>
        <v/>
      </c>
    </row>
    <row r="940" spans="10:22" x14ac:dyDescent="0.3">
      <c r="J940" s="185" t="str">
        <f t="shared" si="177"/>
        <v/>
      </c>
      <c r="K940" s="185" t="str">
        <f t="shared" si="178"/>
        <v/>
      </c>
      <c r="L940" s="185" t="str">
        <f t="shared" si="179"/>
        <v/>
      </c>
      <c r="M940" s="76" t="str">
        <f t="shared" si="180"/>
        <v/>
      </c>
      <c r="N940" s="26">
        <f t="shared" si="181"/>
        <v>0</v>
      </c>
      <c r="O940" s="235">
        <f t="shared" si="182"/>
        <v>0</v>
      </c>
      <c r="P940" s="235">
        <f t="shared" si="183"/>
        <v>0</v>
      </c>
      <c r="Q940" s="206">
        <f t="shared" si="184"/>
        <v>0</v>
      </c>
      <c r="R940" s="206">
        <f t="shared" si="185"/>
        <v>0</v>
      </c>
      <c r="S940" s="206">
        <f t="shared" si="186"/>
        <v>0</v>
      </c>
      <c r="T940" s="206">
        <f t="shared" si="187"/>
        <v>0</v>
      </c>
      <c r="U940" s="206">
        <f t="shared" si="187"/>
        <v>0</v>
      </c>
      <c r="V940" s="207" t="str">
        <f t="shared" si="188"/>
        <v/>
      </c>
    </row>
    <row r="941" spans="10:22" x14ac:dyDescent="0.3">
      <c r="J941" s="185" t="str">
        <f t="shared" ref="J941:J1000" si="189">IFERROR(IF(FIND("Liste des vols",A941),LEN(A941),""),"")</f>
        <v/>
      </c>
      <c r="K941" s="185" t="str">
        <f t="shared" ref="K941:K1000" si="190">IF(J941="","",LEFT(A941,3))</f>
        <v/>
      </c>
      <c r="L941" s="185" t="str">
        <f t="shared" ref="L941:L1000" si="191">IF(K941&lt;&gt;"",MID(A941,7,3),"")</f>
        <v/>
      </c>
      <c r="M941" s="76" t="str">
        <f t="shared" ref="M941:M1000" si="192">IF(K941&lt;&gt;"",CONCATENATE(K941,"/",L941),"")</f>
        <v/>
      </c>
      <c r="N941" s="26">
        <f t="shared" ref="N941:N1000" si="193">IF(J941=29,VALUE(LEFT(F941,LEN(F941)-2)),0)</f>
        <v>0</v>
      </c>
      <c r="O941" s="235">
        <f t="shared" ref="O941:O1000" si="194">IF(J941=29,-VALUE(G941),0)</f>
        <v>0</v>
      </c>
      <c r="P941" s="235">
        <f t="shared" ref="P941:P1000" si="195">IF(J941=29,VALUE(LEFT(H941,LEN(H941)-2)),0)</f>
        <v>0</v>
      </c>
      <c r="Q941" s="206">
        <f t="shared" ref="Q941:Q1000" si="196">IFERROR(VALUE(LEFT(RIGHT(A941,LEN(A941)-11),LEN(A941)-28)),0)</f>
        <v>0</v>
      </c>
      <c r="R941" s="206">
        <f t="shared" si="185"/>
        <v>0</v>
      </c>
      <c r="S941" s="206">
        <f t="shared" si="186"/>
        <v>0</v>
      </c>
      <c r="T941" s="206">
        <f t="shared" si="187"/>
        <v>0</v>
      </c>
      <c r="U941" s="206">
        <f t="shared" si="187"/>
        <v>0</v>
      </c>
      <c r="V941" s="207" t="str">
        <f t="shared" si="188"/>
        <v/>
      </c>
    </row>
    <row r="942" spans="10:22" x14ac:dyDescent="0.3">
      <c r="J942" s="185" t="str">
        <f t="shared" si="189"/>
        <v/>
      </c>
      <c r="K942" s="185" t="str">
        <f t="shared" si="190"/>
        <v/>
      </c>
      <c r="L942" s="185" t="str">
        <f t="shared" si="191"/>
        <v/>
      </c>
      <c r="M942" s="76" t="str">
        <f t="shared" si="192"/>
        <v/>
      </c>
      <c r="N942" s="26">
        <f t="shared" si="193"/>
        <v>0</v>
      </c>
      <c r="O942" s="235">
        <f t="shared" si="194"/>
        <v>0</v>
      </c>
      <c r="P942" s="235">
        <f t="shared" si="195"/>
        <v>0</v>
      </c>
      <c r="Q942" s="206">
        <f t="shared" si="196"/>
        <v>0</v>
      </c>
      <c r="R942" s="206">
        <f t="shared" si="185"/>
        <v>0</v>
      </c>
      <c r="S942" s="206">
        <f t="shared" si="186"/>
        <v>0</v>
      </c>
      <c r="T942" s="206">
        <f t="shared" si="187"/>
        <v>0</v>
      </c>
      <c r="U942" s="206">
        <f t="shared" si="187"/>
        <v>0</v>
      </c>
      <c r="V942" s="207" t="str">
        <f t="shared" si="188"/>
        <v/>
      </c>
    </row>
    <row r="943" spans="10:22" x14ac:dyDescent="0.3">
      <c r="J943" s="185" t="str">
        <f t="shared" si="189"/>
        <v/>
      </c>
      <c r="K943" s="185" t="str">
        <f t="shared" si="190"/>
        <v/>
      </c>
      <c r="L943" s="185" t="str">
        <f t="shared" si="191"/>
        <v/>
      </c>
      <c r="M943" s="76" t="str">
        <f t="shared" si="192"/>
        <v/>
      </c>
      <c r="N943" s="26">
        <f t="shared" si="193"/>
        <v>0</v>
      </c>
      <c r="O943" s="235">
        <f t="shared" si="194"/>
        <v>0</v>
      </c>
      <c r="P943" s="235">
        <f t="shared" si="195"/>
        <v>0</v>
      </c>
      <c r="Q943" s="206">
        <f t="shared" si="196"/>
        <v>0</v>
      </c>
      <c r="R943" s="206">
        <f t="shared" si="185"/>
        <v>0</v>
      </c>
      <c r="S943" s="206">
        <f t="shared" si="186"/>
        <v>0</v>
      </c>
      <c r="T943" s="206">
        <f t="shared" si="187"/>
        <v>0</v>
      </c>
      <c r="U943" s="206">
        <f t="shared" si="187"/>
        <v>0</v>
      </c>
      <c r="V943" s="207" t="str">
        <f t="shared" si="188"/>
        <v/>
      </c>
    </row>
    <row r="944" spans="10:22" x14ac:dyDescent="0.3">
      <c r="J944" s="185" t="str">
        <f t="shared" si="189"/>
        <v/>
      </c>
      <c r="K944" s="185" t="str">
        <f t="shared" si="190"/>
        <v/>
      </c>
      <c r="L944" s="185" t="str">
        <f t="shared" si="191"/>
        <v/>
      </c>
      <c r="M944" s="76" t="str">
        <f t="shared" si="192"/>
        <v/>
      </c>
      <c r="N944" s="26">
        <f t="shared" si="193"/>
        <v>0</v>
      </c>
      <c r="O944" s="235">
        <f t="shared" si="194"/>
        <v>0</v>
      </c>
      <c r="P944" s="235">
        <f t="shared" si="195"/>
        <v>0</v>
      </c>
      <c r="Q944" s="206">
        <f t="shared" si="196"/>
        <v>0</v>
      </c>
      <c r="R944" s="206">
        <f t="shared" si="185"/>
        <v>0</v>
      </c>
      <c r="S944" s="206">
        <f t="shared" si="186"/>
        <v>0</v>
      </c>
      <c r="T944" s="206">
        <f t="shared" si="187"/>
        <v>0</v>
      </c>
      <c r="U944" s="206">
        <f t="shared" si="187"/>
        <v>0</v>
      </c>
      <c r="V944" s="207" t="str">
        <f t="shared" si="188"/>
        <v/>
      </c>
    </row>
    <row r="945" spans="10:22" x14ac:dyDescent="0.3">
      <c r="J945" s="185" t="str">
        <f t="shared" si="189"/>
        <v/>
      </c>
      <c r="K945" s="185" t="str">
        <f t="shared" si="190"/>
        <v/>
      </c>
      <c r="L945" s="185" t="str">
        <f t="shared" si="191"/>
        <v/>
      </c>
      <c r="M945" s="76" t="str">
        <f t="shared" si="192"/>
        <v/>
      </c>
      <c r="N945" s="26">
        <f t="shared" si="193"/>
        <v>0</v>
      </c>
      <c r="O945" s="235">
        <f t="shared" si="194"/>
        <v>0</v>
      </c>
      <c r="P945" s="235">
        <f t="shared" si="195"/>
        <v>0</v>
      </c>
      <c r="Q945" s="206">
        <f t="shared" si="196"/>
        <v>0</v>
      </c>
      <c r="R945" s="206">
        <f t="shared" si="185"/>
        <v>0</v>
      </c>
      <c r="S945" s="206">
        <f t="shared" si="186"/>
        <v>0</v>
      </c>
      <c r="T945" s="206">
        <f t="shared" si="187"/>
        <v>0</v>
      </c>
      <c r="U945" s="206">
        <f t="shared" si="187"/>
        <v>0</v>
      </c>
      <c r="V945" s="207" t="str">
        <f t="shared" si="188"/>
        <v/>
      </c>
    </row>
    <row r="946" spans="10:22" x14ac:dyDescent="0.3">
      <c r="J946" s="185" t="str">
        <f t="shared" si="189"/>
        <v/>
      </c>
      <c r="K946" s="185" t="str">
        <f t="shared" si="190"/>
        <v/>
      </c>
      <c r="L946" s="185" t="str">
        <f t="shared" si="191"/>
        <v/>
      </c>
      <c r="M946" s="76" t="str">
        <f t="shared" si="192"/>
        <v/>
      </c>
      <c r="N946" s="26">
        <f t="shared" si="193"/>
        <v>0</v>
      </c>
      <c r="O946" s="235">
        <f t="shared" si="194"/>
        <v>0</v>
      </c>
      <c r="P946" s="235">
        <f t="shared" si="195"/>
        <v>0</v>
      </c>
      <c r="Q946" s="206">
        <f t="shared" si="196"/>
        <v>0</v>
      </c>
      <c r="R946" s="206">
        <f t="shared" si="185"/>
        <v>0</v>
      </c>
      <c r="S946" s="206">
        <f t="shared" si="186"/>
        <v>0</v>
      </c>
      <c r="T946" s="206">
        <f t="shared" si="187"/>
        <v>0</v>
      </c>
      <c r="U946" s="206">
        <f t="shared" si="187"/>
        <v>0</v>
      </c>
      <c r="V946" s="207" t="str">
        <f t="shared" si="188"/>
        <v/>
      </c>
    </row>
    <row r="947" spans="10:22" x14ac:dyDescent="0.3">
      <c r="J947" s="185" t="str">
        <f t="shared" si="189"/>
        <v/>
      </c>
      <c r="K947" s="185" t="str">
        <f t="shared" si="190"/>
        <v/>
      </c>
      <c r="L947" s="185" t="str">
        <f t="shared" si="191"/>
        <v/>
      </c>
      <c r="M947" s="76" t="str">
        <f t="shared" si="192"/>
        <v/>
      </c>
      <c r="N947" s="26">
        <f t="shared" si="193"/>
        <v>0</v>
      </c>
      <c r="O947" s="235">
        <f t="shared" si="194"/>
        <v>0</v>
      </c>
      <c r="P947" s="235">
        <f t="shared" si="195"/>
        <v>0</v>
      </c>
      <c r="Q947" s="206">
        <f t="shared" si="196"/>
        <v>0</v>
      </c>
      <c r="R947" s="206">
        <f t="shared" si="185"/>
        <v>0</v>
      </c>
      <c r="S947" s="206">
        <f t="shared" si="186"/>
        <v>0</v>
      </c>
      <c r="T947" s="206">
        <f t="shared" si="187"/>
        <v>0</v>
      </c>
      <c r="U947" s="206">
        <f t="shared" si="187"/>
        <v>0</v>
      </c>
      <c r="V947" s="207" t="str">
        <f t="shared" si="188"/>
        <v/>
      </c>
    </row>
    <row r="948" spans="10:22" x14ac:dyDescent="0.3">
      <c r="J948" s="185" t="str">
        <f t="shared" si="189"/>
        <v/>
      </c>
      <c r="K948" s="185" t="str">
        <f t="shared" si="190"/>
        <v/>
      </c>
      <c r="L948" s="185" t="str">
        <f t="shared" si="191"/>
        <v/>
      </c>
      <c r="M948" s="76" t="str">
        <f t="shared" si="192"/>
        <v/>
      </c>
      <c r="N948" s="26">
        <f t="shared" si="193"/>
        <v>0</v>
      </c>
      <c r="O948" s="235">
        <f t="shared" si="194"/>
        <v>0</v>
      </c>
      <c r="P948" s="235">
        <f t="shared" si="195"/>
        <v>0</v>
      </c>
      <c r="Q948" s="206">
        <f t="shared" si="196"/>
        <v>0</v>
      </c>
      <c r="R948" s="206">
        <f t="shared" si="185"/>
        <v>0</v>
      </c>
      <c r="S948" s="206">
        <f t="shared" si="186"/>
        <v>0</v>
      </c>
      <c r="T948" s="206">
        <f t="shared" si="187"/>
        <v>0</v>
      </c>
      <c r="U948" s="206">
        <f t="shared" si="187"/>
        <v>0</v>
      </c>
      <c r="V948" s="207" t="str">
        <f t="shared" si="188"/>
        <v/>
      </c>
    </row>
    <row r="949" spans="10:22" x14ac:dyDescent="0.3">
      <c r="J949" s="185" t="str">
        <f t="shared" si="189"/>
        <v/>
      </c>
      <c r="K949" s="185" t="str">
        <f t="shared" si="190"/>
        <v/>
      </c>
      <c r="L949" s="185" t="str">
        <f t="shared" si="191"/>
        <v/>
      </c>
      <c r="M949" s="76" t="str">
        <f t="shared" si="192"/>
        <v/>
      </c>
      <c r="N949" s="26">
        <f t="shared" si="193"/>
        <v>0</v>
      </c>
      <c r="O949" s="235">
        <f t="shared" si="194"/>
        <v>0</v>
      </c>
      <c r="P949" s="235">
        <f t="shared" si="195"/>
        <v>0</v>
      </c>
      <c r="Q949" s="206">
        <f t="shared" si="196"/>
        <v>0</v>
      </c>
      <c r="R949" s="206">
        <f t="shared" si="185"/>
        <v>0</v>
      </c>
      <c r="S949" s="206">
        <f t="shared" si="186"/>
        <v>0</v>
      </c>
      <c r="T949" s="206">
        <f t="shared" si="187"/>
        <v>0</v>
      </c>
      <c r="U949" s="206">
        <f t="shared" si="187"/>
        <v>0</v>
      </c>
      <c r="V949" s="207" t="str">
        <f t="shared" si="188"/>
        <v/>
      </c>
    </row>
    <row r="950" spans="10:22" x14ac:dyDescent="0.3">
      <c r="J950" s="185" t="str">
        <f t="shared" si="189"/>
        <v/>
      </c>
      <c r="K950" s="185" t="str">
        <f t="shared" si="190"/>
        <v/>
      </c>
      <c r="L950" s="185" t="str">
        <f t="shared" si="191"/>
        <v/>
      </c>
      <c r="M950" s="76" t="str">
        <f t="shared" si="192"/>
        <v/>
      </c>
      <c r="N950" s="26">
        <f t="shared" si="193"/>
        <v>0</v>
      </c>
      <c r="O950" s="235">
        <f t="shared" si="194"/>
        <v>0</v>
      </c>
      <c r="P950" s="235">
        <f t="shared" si="195"/>
        <v>0</v>
      </c>
      <c r="Q950" s="206">
        <f t="shared" si="196"/>
        <v>0</v>
      </c>
      <c r="R950" s="206">
        <f t="shared" si="185"/>
        <v>0</v>
      </c>
      <c r="S950" s="206">
        <f t="shared" si="186"/>
        <v>0</v>
      </c>
      <c r="T950" s="206">
        <f t="shared" si="187"/>
        <v>0</v>
      </c>
      <c r="U950" s="206">
        <f t="shared" si="187"/>
        <v>0</v>
      </c>
      <c r="V950" s="207" t="str">
        <f t="shared" si="188"/>
        <v/>
      </c>
    </row>
    <row r="951" spans="10:22" x14ac:dyDescent="0.3">
      <c r="J951" s="185" t="str">
        <f t="shared" si="189"/>
        <v/>
      </c>
      <c r="K951" s="185" t="str">
        <f t="shared" si="190"/>
        <v/>
      </c>
      <c r="L951" s="185" t="str">
        <f t="shared" si="191"/>
        <v/>
      </c>
      <c r="M951" s="76" t="str">
        <f t="shared" si="192"/>
        <v/>
      </c>
      <c r="N951" s="26">
        <f t="shared" si="193"/>
        <v>0</v>
      </c>
      <c r="O951" s="235">
        <f t="shared" si="194"/>
        <v>0</v>
      </c>
      <c r="P951" s="235">
        <f t="shared" si="195"/>
        <v>0</v>
      </c>
      <c r="Q951" s="206">
        <f t="shared" si="196"/>
        <v>0</v>
      </c>
      <c r="R951" s="206">
        <f t="shared" si="185"/>
        <v>0</v>
      </c>
      <c r="S951" s="206">
        <f t="shared" si="186"/>
        <v>0</v>
      </c>
      <c r="T951" s="206">
        <f t="shared" si="187"/>
        <v>0</v>
      </c>
      <c r="U951" s="206">
        <f t="shared" si="187"/>
        <v>0</v>
      </c>
      <c r="V951" s="207" t="str">
        <f t="shared" si="188"/>
        <v/>
      </c>
    </row>
    <row r="952" spans="10:22" x14ac:dyDescent="0.3">
      <c r="J952" s="185" t="str">
        <f t="shared" si="189"/>
        <v/>
      </c>
      <c r="K952" s="185" t="str">
        <f t="shared" si="190"/>
        <v/>
      </c>
      <c r="L952" s="185" t="str">
        <f t="shared" si="191"/>
        <v/>
      </c>
      <c r="M952" s="76" t="str">
        <f t="shared" si="192"/>
        <v/>
      </c>
      <c r="N952" s="26">
        <f t="shared" si="193"/>
        <v>0</v>
      </c>
      <c r="O952" s="235">
        <f t="shared" si="194"/>
        <v>0</v>
      </c>
      <c r="P952" s="235">
        <f t="shared" si="195"/>
        <v>0</v>
      </c>
      <c r="Q952" s="206">
        <f t="shared" si="196"/>
        <v>0</v>
      </c>
      <c r="R952" s="206">
        <f t="shared" si="185"/>
        <v>0</v>
      </c>
      <c r="S952" s="206">
        <f t="shared" si="186"/>
        <v>0</v>
      </c>
      <c r="T952" s="206">
        <f t="shared" si="187"/>
        <v>0</v>
      </c>
      <c r="U952" s="206">
        <f t="shared" si="187"/>
        <v>0</v>
      </c>
      <c r="V952" s="207" t="str">
        <f t="shared" si="188"/>
        <v/>
      </c>
    </row>
    <row r="953" spans="10:22" x14ac:dyDescent="0.3">
      <c r="J953" s="185" t="str">
        <f t="shared" si="189"/>
        <v/>
      </c>
      <c r="K953" s="185" t="str">
        <f t="shared" si="190"/>
        <v/>
      </c>
      <c r="L953" s="185" t="str">
        <f t="shared" si="191"/>
        <v/>
      </c>
      <c r="M953" s="76" t="str">
        <f t="shared" si="192"/>
        <v/>
      </c>
      <c r="N953" s="26">
        <f t="shared" si="193"/>
        <v>0</v>
      </c>
      <c r="O953" s="235">
        <f t="shared" si="194"/>
        <v>0</v>
      </c>
      <c r="P953" s="235">
        <f t="shared" si="195"/>
        <v>0</v>
      </c>
      <c r="Q953" s="206">
        <f t="shared" si="196"/>
        <v>0</v>
      </c>
      <c r="R953" s="206">
        <f t="shared" si="185"/>
        <v>0</v>
      </c>
      <c r="S953" s="206">
        <f t="shared" si="186"/>
        <v>0</v>
      </c>
      <c r="T953" s="206">
        <f t="shared" si="187"/>
        <v>0</v>
      </c>
      <c r="U953" s="206">
        <f t="shared" si="187"/>
        <v>0</v>
      </c>
      <c r="V953" s="207" t="str">
        <f t="shared" si="188"/>
        <v/>
      </c>
    </row>
    <row r="954" spans="10:22" x14ac:dyDescent="0.3">
      <c r="J954" s="185" t="str">
        <f t="shared" si="189"/>
        <v/>
      </c>
      <c r="K954" s="185" t="str">
        <f t="shared" si="190"/>
        <v/>
      </c>
      <c r="L954" s="185" t="str">
        <f t="shared" si="191"/>
        <v/>
      </c>
      <c r="M954" s="76" t="str">
        <f t="shared" si="192"/>
        <v/>
      </c>
      <c r="N954" s="26">
        <f t="shared" si="193"/>
        <v>0</v>
      </c>
      <c r="O954" s="235">
        <f t="shared" si="194"/>
        <v>0</v>
      </c>
      <c r="P954" s="235">
        <f t="shared" si="195"/>
        <v>0</v>
      </c>
      <c r="Q954" s="206">
        <f t="shared" si="196"/>
        <v>0</v>
      </c>
      <c r="R954" s="206">
        <f t="shared" si="185"/>
        <v>0</v>
      </c>
      <c r="S954" s="206">
        <f t="shared" si="186"/>
        <v>0</v>
      </c>
      <c r="T954" s="206">
        <f t="shared" si="187"/>
        <v>0</v>
      </c>
      <c r="U954" s="206">
        <f t="shared" si="187"/>
        <v>0</v>
      </c>
      <c r="V954" s="207" t="str">
        <f t="shared" si="188"/>
        <v/>
      </c>
    </row>
    <row r="955" spans="10:22" x14ac:dyDescent="0.3">
      <c r="J955" s="185" t="str">
        <f t="shared" si="189"/>
        <v/>
      </c>
      <c r="K955" s="185" t="str">
        <f t="shared" si="190"/>
        <v/>
      </c>
      <c r="L955" s="185" t="str">
        <f t="shared" si="191"/>
        <v/>
      </c>
      <c r="M955" s="76" t="str">
        <f t="shared" si="192"/>
        <v/>
      </c>
      <c r="N955" s="26">
        <f t="shared" si="193"/>
        <v>0</v>
      </c>
      <c r="O955" s="235">
        <f t="shared" si="194"/>
        <v>0</v>
      </c>
      <c r="P955" s="235">
        <f t="shared" si="195"/>
        <v>0</v>
      </c>
      <c r="Q955" s="206">
        <f t="shared" si="196"/>
        <v>0</v>
      </c>
      <c r="R955" s="206">
        <f t="shared" si="185"/>
        <v>0</v>
      </c>
      <c r="S955" s="206">
        <f t="shared" si="186"/>
        <v>0</v>
      </c>
      <c r="T955" s="206">
        <f t="shared" si="187"/>
        <v>0</v>
      </c>
      <c r="U955" s="206">
        <f t="shared" si="187"/>
        <v>0</v>
      </c>
      <c r="V955" s="207" t="str">
        <f t="shared" si="188"/>
        <v/>
      </c>
    </row>
    <row r="956" spans="10:22" x14ac:dyDescent="0.3">
      <c r="J956" s="185" t="str">
        <f t="shared" si="189"/>
        <v/>
      </c>
      <c r="K956" s="185" t="str">
        <f t="shared" si="190"/>
        <v/>
      </c>
      <c r="L956" s="185" t="str">
        <f t="shared" si="191"/>
        <v/>
      </c>
      <c r="M956" s="76" t="str">
        <f t="shared" si="192"/>
        <v/>
      </c>
      <c r="N956" s="26">
        <f t="shared" si="193"/>
        <v>0</v>
      </c>
      <c r="O956" s="235">
        <f t="shared" si="194"/>
        <v>0</v>
      </c>
      <c r="P956" s="235">
        <f t="shared" si="195"/>
        <v>0</v>
      </c>
      <c r="Q956" s="206">
        <f t="shared" si="196"/>
        <v>0</v>
      </c>
      <c r="R956" s="206">
        <f t="shared" si="185"/>
        <v>0</v>
      </c>
      <c r="S956" s="206">
        <f t="shared" si="186"/>
        <v>0</v>
      </c>
      <c r="T956" s="206">
        <f t="shared" si="187"/>
        <v>0</v>
      </c>
      <c r="U956" s="206">
        <f t="shared" si="187"/>
        <v>0</v>
      </c>
      <c r="V956" s="207" t="str">
        <f t="shared" si="188"/>
        <v/>
      </c>
    </row>
    <row r="957" spans="10:22" x14ac:dyDescent="0.3">
      <c r="J957" s="185" t="str">
        <f t="shared" si="189"/>
        <v/>
      </c>
      <c r="K957" s="185" t="str">
        <f t="shared" si="190"/>
        <v/>
      </c>
      <c r="L957" s="185" t="str">
        <f t="shared" si="191"/>
        <v/>
      </c>
      <c r="M957" s="76" t="str">
        <f t="shared" si="192"/>
        <v/>
      </c>
      <c r="N957" s="26">
        <f t="shared" si="193"/>
        <v>0</v>
      </c>
      <c r="O957" s="235">
        <f t="shared" si="194"/>
        <v>0</v>
      </c>
      <c r="P957" s="235">
        <f t="shared" si="195"/>
        <v>0</v>
      </c>
      <c r="Q957" s="206">
        <f t="shared" si="196"/>
        <v>0</v>
      </c>
      <c r="R957" s="206">
        <f t="shared" si="185"/>
        <v>0</v>
      </c>
      <c r="S957" s="206">
        <f t="shared" si="186"/>
        <v>0</v>
      </c>
      <c r="T957" s="206">
        <f t="shared" si="187"/>
        <v>0</v>
      </c>
      <c r="U957" s="206">
        <f t="shared" si="187"/>
        <v>0</v>
      </c>
      <c r="V957" s="207" t="str">
        <f t="shared" si="188"/>
        <v/>
      </c>
    </row>
    <row r="958" spans="10:22" x14ac:dyDescent="0.3">
      <c r="J958" s="185" t="str">
        <f t="shared" si="189"/>
        <v/>
      </c>
      <c r="K958" s="185" t="str">
        <f t="shared" si="190"/>
        <v/>
      </c>
      <c r="L958" s="185" t="str">
        <f t="shared" si="191"/>
        <v/>
      </c>
      <c r="M958" s="76" t="str">
        <f t="shared" si="192"/>
        <v/>
      </c>
      <c r="N958" s="26">
        <f t="shared" si="193"/>
        <v>0</v>
      </c>
      <c r="O958" s="235">
        <f t="shared" si="194"/>
        <v>0</v>
      </c>
      <c r="P958" s="235">
        <f t="shared" si="195"/>
        <v>0</v>
      </c>
      <c r="Q958" s="206">
        <f t="shared" si="196"/>
        <v>0</v>
      </c>
      <c r="R958" s="206">
        <f t="shared" si="185"/>
        <v>0</v>
      </c>
      <c r="S958" s="206">
        <f t="shared" si="186"/>
        <v>0</v>
      </c>
      <c r="T958" s="206">
        <f t="shared" si="187"/>
        <v>0</v>
      </c>
      <c r="U958" s="206">
        <f t="shared" si="187"/>
        <v>0</v>
      </c>
      <c r="V958" s="207" t="str">
        <f t="shared" si="188"/>
        <v/>
      </c>
    </row>
    <row r="959" spans="10:22" x14ac:dyDescent="0.3">
      <c r="J959" s="185" t="str">
        <f t="shared" si="189"/>
        <v/>
      </c>
      <c r="K959" s="185" t="str">
        <f t="shared" si="190"/>
        <v/>
      </c>
      <c r="L959" s="185" t="str">
        <f t="shared" si="191"/>
        <v/>
      </c>
      <c r="M959" s="76" t="str">
        <f t="shared" si="192"/>
        <v/>
      </c>
      <c r="N959" s="26">
        <f t="shared" si="193"/>
        <v>0</v>
      </c>
      <c r="O959" s="235">
        <f t="shared" si="194"/>
        <v>0</v>
      </c>
      <c r="P959" s="235">
        <f t="shared" si="195"/>
        <v>0</v>
      </c>
      <c r="Q959" s="206">
        <f t="shared" si="196"/>
        <v>0</v>
      </c>
      <c r="R959" s="206">
        <f t="shared" si="185"/>
        <v>0</v>
      </c>
      <c r="S959" s="206">
        <f t="shared" si="186"/>
        <v>0</v>
      </c>
      <c r="T959" s="206">
        <f t="shared" si="187"/>
        <v>0</v>
      </c>
      <c r="U959" s="206">
        <f t="shared" si="187"/>
        <v>0</v>
      </c>
      <c r="V959" s="207" t="str">
        <f t="shared" si="188"/>
        <v/>
      </c>
    </row>
    <row r="960" spans="10:22" x14ac:dyDescent="0.3">
      <c r="J960" s="185" t="str">
        <f t="shared" si="189"/>
        <v/>
      </c>
      <c r="K960" s="185" t="str">
        <f t="shared" si="190"/>
        <v/>
      </c>
      <c r="L960" s="185" t="str">
        <f t="shared" si="191"/>
        <v/>
      </c>
      <c r="M960" s="76" t="str">
        <f t="shared" si="192"/>
        <v/>
      </c>
      <c r="N960" s="26">
        <f t="shared" si="193"/>
        <v>0</v>
      </c>
      <c r="O960" s="235">
        <f t="shared" si="194"/>
        <v>0</v>
      </c>
      <c r="P960" s="235">
        <f t="shared" si="195"/>
        <v>0</v>
      </c>
      <c r="Q960" s="206">
        <f t="shared" si="196"/>
        <v>0</v>
      </c>
      <c r="R960" s="206">
        <f t="shared" si="185"/>
        <v>0</v>
      </c>
      <c r="S960" s="206">
        <f t="shared" si="186"/>
        <v>0</v>
      </c>
      <c r="T960" s="206">
        <f t="shared" si="187"/>
        <v>0</v>
      </c>
      <c r="U960" s="206">
        <f t="shared" si="187"/>
        <v>0</v>
      </c>
      <c r="V960" s="207" t="str">
        <f t="shared" si="188"/>
        <v/>
      </c>
    </row>
    <row r="961" spans="10:22" x14ac:dyDescent="0.3">
      <c r="J961" s="185" t="str">
        <f t="shared" si="189"/>
        <v/>
      </c>
      <c r="K961" s="185" t="str">
        <f t="shared" si="190"/>
        <v/>
      </c>
      <c r="L961" s="185" t="str">
        <f t="shared" si="191"/>
        <v/>
      </c>
      <c r="M961" s="76" t="str">
        <f t="shared" si="192"/>
        <v/>
      </c>
      <c r="N961" s="26">
        <f t="shared" si="193"/>
        <v>0</v>
      </c>
      <c r="O961" s="235">
        <f t="shared" si="194"/>
        <v>0</v>
      </c>
      <c r="P961" s="235">
        <f t="shared" si="195"/>
        <v>0</v>
      </c>
      <c r="Q961" s="206">
        <f t="shared" si="196"/>
        <v>0</v>
      </c>
      <c r="R961" s="206">
        <f t="shared" si="185"/>
        <v>0</v>
      </c>
      <c r="S961" s="206">
        <f t="shared" si="186"/>
        <v>0</v>
      </c>
      <c r="T961" s="206">
        <f t="shared" si="187"/>
        <v>0</v>
      </c>
      <c r="U961" s="206">
        <f t="shared" si="187"/>
        <v>0</v>
      </c>
      <c r="V961" s="207" t="str">
        <f t="shared" si="188"/>
        <v/>
      </c>
    </row>
    <row r="962" spans="10:22" x14ac:dyDescent="0.3">
      <c r="J962" s="185" t="str">
        <f t="shared" si="189"/>
        <v/>
      </c>
      <c r="K962" s="185" t="str">
        <f t="shared" si="190"/>
        <v/>
      </c>
      <c r="L962" s="185" t="str">
        <f t="shared" si="191"/>
        <v/>
      </c>
      <c r="M962" s="76" t="str">
        <f t="shared" si="192"/>
        <v/>
      </c>
      <c r="N962" s="26">
        <f t="shared" si="193"/>
        <v>0</v>
      </c>
      <c r="O962" s="235">
        <f t="shared" si="194"/>
        <v>0</v>
      </c>
      <c r="P962" s="235">
        <f t="shared" si="195"/>
        <v>0</v>
      </c>
      <c r="Q962" s="206">
        <f t="shared" si="196"/>
        <v>0</v>
      </c>
      <c r="R962" s="206">
        <f t="shared" si="185"/>
        <v>0</v>
      </c>
      <c r="S962" s="206">
        <f t="shared" si="186"/>
        <v>0</v>
      </c>
      <c r="T962" s="206">
        <f t="shared" si="187"/>
        <v>0</v>
      </c>
      <c r="U962" s="206">
        <f t="shared" si="187"/>
        <v>0</v>
      </c>
      <c r="V962" s="207" t="str">
        <f t="shared" si="188"/>
        <v/>
      </c>
    </row>
    <row r="963" spans="10:22" x14ac:dyDescent="0.3">
      <c r="J963" s="185" t="str">
        <f t="shared" si="189"/>
        <v/>
      </c>
      <c r="K963" s="185" t="str">
        <f t="shared" si="190"/>
        <v/>
      </c>
      <c r="L963" s="185" t="str">
        <f t="shared" si="191"/>
        <v/>
      </c>
      <c r="M963" s="76" t="str">
        <f t="shared" si="192"/>
        <v/>
      </c>
      <c r="N963" s="26">
        <f t="shared" si="193"/>
        <v>0</v>
      </c>
      <c r="O963" s="235">
        <f t="shared" si="194"/>
        <v>0</v>
      </c>
      <c r="P963" s="235">
        <f t="shared" si="195"/>
        <v>0</v>
      </c>
      <c r="Q963" s="206">
        <f t="shared" si="196"/>
        <v>0</v>
      </c>
      <c r="R963" s="206">
        <f t="shared" si="185"/>
        <v>0</v>
      </c>
      <c r="S963" s="206">
        <f t="shared" si="186"/>
        <v>0</v>
      </c>
      <c r="T963" s="206">
        <f t="shared" si="187"/>
        <v>0</v>
      </c>
      <c r="U963" s="206">
        <f t="shared" si="187"/>
        <v>0</v>
      </c>
      <c r="V963" s="207" t="str">
        <f t="shared" si="188"/>
        <v/>
      </c>
    </row>
    <row r="964" spans="10:22" x14ac:dyDescent="0.3">
      <c r="J964" s="185" t="str">
        <f t="shared" si="189"/>
        <v/>
      </c>
      <c r="K964" s="185" t="str">
        <f t="shared" si="190"/>
        <v/>
      </c>
      <c r="L964" s="185" t="str">
        <f t="shared" si="191"/>
        <v/>
      </c>
      <c r="M964" s="76" t="str">
        <f t="shared" si="192"/>
        <v/>
      </c>
      <c r="N964" s="26">
        <f t="shared" si="193"/>
        <v>0</v>
      </c>
      <c r="O964" s="235">
        <f t="shared" si="194"/>
        <v>0</v>
      </c>
      <c r="P964" s="235">
        <f t="shared" si="195"/>
        <v>0</v>
      </c>
      <c r="Q964" s="206">
        <f t="shared" si="196"/>
        <v>0</v>
      </c>
      <c r="R964" s="206">
        <f t="shared" si="185"/>
        <v>0</v>
      </c>
      <c r="S964" s="206">
        <f t="shared" si="186"/>
        <v>0</v>
      </c>
      <c r="T964" s="206">
        <f t="shared" si="187"/>
        <v>0</v>
      </c>
      <c r="U964" s="206">
        <f t="shared" si="187"/>
        <v>0</v>
      </c>
      <c r="V964" s="207" t="str">
        <f t="shared" si="188"/>
        <v/>
      </c>
    </row>
    <row r="965" spans="10:22" x14ac:dyDescent="0.3">
      <c r="J965" s="185" t="str">
        <f t="shared" si="189"/>
        <v/>
      </c>
      <c r="K965" s="185" t="str">
        <f t="shared" si="190"/>
        <v/>
      </c>
      <c r="L965" s="185" t="str">
        <f t="shared" si="191"/>
        <v/>
      </c>
      <c r="M965" s="76" t="str">
        <f t="shared" si="192"/>
        <v/>
      </c>
      <c r="N965" s="26">
        <f t="shared" si="193"/>
        <v>0</v>
      </c>
      <c r="O965" s="235">
        <f t="shared" si="194"/>
        <v>0</v>
      </c>
      <c r="P965" s="235">
        <f t="shared" si="195"/>
        <v>0</v>
      </c>
      <c r="Q965" s="206">
        <f t="shared" si="196"/>
        <v>0</v>
      </c>
      <c r="R965" s="206">
        <f t="shared" si="185"/>
        <v>0</v>
      </c>
      <c r="S965" s="206">
        <f t="shared" si="186"/>
        <v>0</v>
      </c>
      <c r="T965" s="206">
        <f t="shared" si="187"/>
        <v>0</v>
      </c>
      <c r="U965" s="206">
        <f t="shared" si="187"/>
        <v>0</v>
      </c>
      <c r="V965" s="207" t="str">
        <f t="shared" si="188"/>
        <v/>
      </c>
    </row>
    <row r="966" spans="10:22" x14ac:dyDescent="0.3">
      <c r="J966" s="185" t="str">
        <f t="shared" si="189"/>
        <v/>
      </c>
      <c r="K966" s="185" t="str">
        <f t="shared" si="190"/>
        <v/>
      </c>
      <c r="L966" s="185" t="str">
        <f t="shared" si="191"/>
        <v/>
      </c>
      <c r="M966" s="76" t="str">
        <f t="shared" si="192"/>
        <v/>
      </c>
      <c r="N966" s="26">
        <f t="shared" si="193"/>
        <v>0</v>
      </c>
      <c r="O966" s="235">
        <f t="shared" si="194"/>
        <v>0</v>
      </c>
      <c r="P966" s="235">
        <f t="shared" si="195"/>
        <v>0</v>
      </c>
      <c r="Q966" s="206">
        <f t="shared" si="196"/>
        <v>0</v>
      </c>
      <c r="R966" s="206">
        <f t="shared" si="185"/>
        <v>0</v>
      </c>
      <c r="S966" s="206">
        <f t="shared" si="186"/>
        <v>0</v>
      </c>
      <c r="T966" s="206">
        <f t="shared" si="187"/>
        <v>0</v>
      </c>
      <c r="U966" s="206">
        <f t="shared" si="187"/>
        <v>0</v>
      </c>
      <c r="V966" s="207" t="str">
        <f t="shared" si="188"/>
        <v/>
      </c>
    </row>
    <row r="967" spans="10:22" x14ac:dyDescent="0.3">
      <c r="J967" s="185" t="str">
        <f t="shared" si="189"/>
        <v/>
      </c>
      <c r="K967" s="185" t="str">
        <f t="shared" si="190"/>
        <v/>
      </c>
      <c r="L967" s="185" t="str">
        <f t="shared" si="191"/>
        <v/>
      </c>
      <c r="M967" s="76" t="str">
        <f t="shared" si="192"/>
        <v/>
      </c>
      <c r="N967" s="26">
        <f t="shared" si="193"/>
        <v>0</v>
      </c>
      <c r="O967" s="235">
        <f t="shared" si="194"/>
        <v>0</v>
      </c>
      <c r="P967" s="235">
        <f t="shared" si="195"/>
        <v>0</v>
      </c>
      <c r="Q967" s="206">
        <f t="shared" si="196"/>
        <v>0</v>
      </c>
      <c r="R967" s="206">
        <f t="shared" si="185"/>
        <v>0</v>
      </c>
      <c r="S967" s="206">
        <f t="shared" si="186"/>
        <v>0</v>
      </c>
      <c r="T967" s="206">
        <f t="shared" si="187"/>
        <v>0</v>
      </c>
      <c r="U967" s="206">
        <f t="shared" si="187"/>
        <v>0</v>
      </c>
      <c r="V967" s="207" t="str">
        <f t="shared" si="188"/>
        <v/>
      </c>
    </row>
    <row r="968" spans="10:22" x14ac:dyDescent="0.3">
      <c r="J968" s="185" t="str">
        <f t="shared" si="189"/>
        <v/>
      </c>
      <c r="K968" s="185" t="str">
        <f t="shared" si="190"/>
        <v/>
      </c>
      <c r="L968" s="185" t="str">
        <f t="shared" si="191"/>
        <v/>
      </c>
      <c r="M968" s="76" t="str">
        <f t="shared" si="192"/>
        <v/>
      </c>
      <c r="N968" s="26">
        <f t="shared" si="193"/>
        <v>0</v>
      </c>
      <c r="O968" s="235">
        <f t="shared" si="194"/>
        <v>0</v>
      </c>
      <c r="P968" s="235">
        <f t="shared" si="195"/>
        <v>0</v>
      </c>
      <c r="Q968" s="206">
        <f t="shared" si="196"/>
        <v>0</v>
      </c>
      <c r="R968" s="206">
        <f t="shared" si="185"/>
        <v>0</v>
      </c>
      <c r="S968" s="206">
        <f t="shared" si="186"/>
        <v>0</v>
      </c>
      <c r="T968" s="206">
        <f t="shared" si="187"/>
        <v>0</v>
      </c>
      <c r="U968" s="206">
        <f t="shared" si="187"/>
        <v>0</v>
      </c>
      <c r="V968" s="207" t="str">
        <f t="shared" si="188"/>
        <v/>
      </c>
    </row>
    <row r="969" spans="10:22" x14ac:dyDescent="0.3">
      <c r="J969" s="185" t="str">
        <f t="shared" si="189"/>
        <v/>
      </c>
      <c r="K969" s="185" t="str">
        <f t="shared" si="190"/>
        <v/>
      </c>
      <c r="L969" s="185" t="str">
        <f t="shared" si="191"/>
        <v/>
      </c>
      <c r="M969" s="76" t="str">
        <f t="shared" si="192"/>
        <v/>
      </c>
      <c r="N969" s="26">
        <f t="shared" si="193"/>
        <v>0</v>
      </c>
      <c r="O969" s="235">
        <f t="shared" si="194"/>
        <v>0</v>
      </c>
      <c r="P969" s="235">
        <f t="shared" si="195"/>
        <v>0</v>
      </c>
      <c r="Q969" s="206">
        <f t="shared" si="196"/>
        <v>0</v>
      </c>
      <c r="R969" s="206">
        <f t="shared" si="185"/>
        <v>0</v>
      </c>
      <c r="S969" s="206">
        <f t="shared" si="186"/>
        <v>0</v>
      </c>
      <c r="T969" s="206">
        <f t="shared" si="187"/>
        <v>0</v>
      </c>
      <c r="U969" s="206">
        <f t="shared" si="187"/>
        <v>0</v>
      </c>
      <c r="V969" s="207" t="str">
        <f t="shared" si="188"/>
        <v/>
      </c>
    </row>
    <row r="970" spans="10:22" x14ac:dyDescent="0.3">
      <c r="J970" s="185" t="str">
        <f t="shared" si="189"/>
        <v/>
      </c>
      <c r="K970" s="185" t="str">
        <f t="shared" si="190"/>
        <v/>
      </c>
      <c r="L970" s="185" t="str">
        <f t="shared" si="191"/>
        <v/>
      </c>
      <c r="M970" s="76" t="str">
        <f t="shared" si="192"/>
        <v/>
      </c>
      <c r="N970" s="26">
        <f t="shared" si="193"/>
        <v>0</v>
      </c>
      <c r="O970" s="235">
        <f t="shared" si="194"/>
        <v>0</v>
      </c>
      <c r="P970" s="235">
        <f t="shared" si="195"/>
        <v>0</v>
      </c>
      <c r="Q970" s="206">
        <f t="shared" si="196"/>
        <v>0</v>
      </c>
      <c r="R970" s="206">
        <f t="shared" si="185"/>
        <v>0</v>
      </c>
      <c r="S970" s="206">
        <f t="shared" si="186"/>
        <v>0</v>
      </c>
      <c r="T970" s="206">
        <f t="shared" si="187"/>
        <v>0</v>
      </c>
      <c r="U970" s="206">
        <f t="shared" si="187"/>
        <v>0</v>
      </c>
      <c r="V970" s="207" t="str">
        <f t="shared" si="188"/>
        <v/>
      </c>
    </row>
    <row r="971" spans="10:22" x14ac:dyDescent="0.3">
      <c r="J971" s="185" t="str">
        <f t="shared" si="189"/>
        <v/>
      </c>
      <c r="K971" s="185" t="str">
        <f t="shared" si="190"/>
        <v/>
      </c>
      <c r="L971" s="185" t="str">
        <f t="shared" si="191"/>
        <v/>
      </c>
      <c r="M971" s="76" t="str">
        <f t="shared" si="192"/>
        <v/>
      </c>
      <c r="N971" s="26">
        <f t="shared" si="193"/>
        <v>0</v>
      </c>
      <c r="O971" s="235">
        <f t="shared" si="194"/>
        <v>0</v>
      </c>
      <c r="P971" s="235">
        <f t="shared" si="195"/>
        <v>0</v>
      </c>
      <c r="Q971" s="206">
        <f t="shared" si="196"/>
        <v>0</v>
      </c>
      <c r="R971" s="206">
        <f t="shared" si="185"/>
        <v>0</v>
      </c>
      <c r="S971" s="206">
        <f t="shared" si="186"/>
        <v>0</v>
      </c>
      <c r="T971" s="206">
        <f t="shared" si="187"/>
        <v>0</v>
      </c>
      <c r="U971" s="206">
        <f t="shared" si="187"/>
        <v>0</v>
      </c>
      <c r="V971" s="207" t="str">
        <f t="shared" si="188"/>
        <v/>
      </c>
    </row>
    <row r="972" spans="10:22" x14ac:dyDescent="0.3">
      <c r="J972" s="185" t="str">
        <f t="shared" si="189"/>
        <v/>
      </c>
      <c r="K972" s="185" t="str">
        <f t="shared" si="190"/>
        <v/>
      </c>
      <c r="L972" s="185" t="str">
        <f t="shared" si="191"/>
        <v/>
      </c>
      <c r="M972" s="76" t="str">
        <f t="shared" si="192"/>
        <v/>
      </c>
      <c r="N972" s="26">
        <f t="shared" si="193"/>
        <v>0</v>
      </c>
      <c r="O972" s="235">
        <f t="shared" si="194"/>
        <v>0</v>
      </c>
      <c r="P972" s="235">
        <f t="shared" si="195"/>
        <v>0</v>
      </c>
      <c r="Q972" s="206">
        <f t="shared" si="196"/>
        <v>0</v>
      </c>
      <c r="R972" s="206">
        <f t="shared" si="185"/>
        <v>0</v>
      </c>
      <c r="S972" s="206">
        <f t="shared" si="186"/>
        <v>0</v>
      </c>
      <c r="T972" s="206">
        <f t="shared" si="187"/>
        <v>0</v>
      </c>
      <c r="U972" s="206">
        <f t="shared" si="187"/>
        <v>0</v>
      </c>
      <c r="V972" s="207" t="str">
        <f t="shared" si="188"/>
        <v/>
      </c>
    </row>
    <row r="973" spans="10:22" x14ac:dyDescent="0.3">
      <c r="J973" s="185" t="str">
        <f t="shared" si="189"/>
        <v/>
      </c>
      <c r="K973" s="185" t="str">
        <f t="shared" si="190"/>
        <v/>
      </c>
      <c r="L973" s="185" t="str">
        <f t="shared" si="191"/>
        <v/>
      </c>
      <c r="M973" s="76" t="str">
        <f t="shared" si="192"/>
        <v/>
      </c>
      <c r="N973" s="26">
        <f t="shared" si="193"/>
        <v>0</v>
      </c>
      <c r="O973" s="235">
        <f t="shared" si="194"/>
        <v>0</v>
      </c>
      <c r="P973" s="235">
        <f t="shared" si="195"/>
        <v>0</v>
      </c>
      <c r="Q973" s="206">
        <f t="shared" si="196"/>
        <v>0</v>
      </c>
      <c r="R973" s="206">
        <f t="shared" si="185"/>
        <v>0</v>
      </c>
      <c r="S973" s="206">
        <f t="shared" si="186"/>
        <v>0</v>
      </c>
      <c r="T973" s="206">
        <f t="shared" si="187"/>
        <v>0</v>
      </c>
      <c r="U973" s="206">
        <f t="shared" si="187"/>
        <v>0</v>
      </c>
      <c r="V973" s="207" t="str">
        <f t="shared" si="188"/>
        <v/>
      </c>
    </row>
    <row r="974" spans="10:22" x14ac:dyDescent="0.3">
      <c r="J974" s="185" t="str">
        <f t="shared" si="189"/>
        <v/>
      </c>
      <c r="K974" s="185" t="str">
        <f t="shared" si="190"/>
        <v/>
      </c>
      <c r="L974" s="185" t="str">
        <f t="shared" si="191"/>
        <v/>
      </c>
      <c r="M974" s="76" t="str">
        <f t="shared" si="192"/>
        <v/>
      </c>
      <c r="N974" s="26">
        <f t="shared" si="193"/>
        <v>0</v>
      </c>
      <c r="O974" s="235">
        <f t="shared" si="194"/>
        <v>0</v>
      </c>
      <c r="P974" s="235">
        <f t="shared" si="195"/>
        <v>0</v>
      </c>
      <c r="Q974" s="206">
        <f t="shared" si="196"/>
        <v>0</v>
      </c>
      <c r="R974" s="206">
        <f t="shared" si="185"/>
        <v>0</v>
      </c>
      <c r="S974" s="206">
        <f t="shared" si="186"/>
        <v>0</v>
      </c>
      <c r="T974" s="206">
        <f t="shared" si="187"/>
        <v>0</v>
      </c>
      <c r="U974" s="206">
        <f t="shared" si="187"/>
        <v>0</v>
      </c>
      <c r="V974" s="207" t="str">
        <f t="shared" si="188"/>
        <v/>
      </c>
    </row>
    <row r="975" spans="10:22" x14ac:dyDescent="0.3">
      <c r="J975" s="185" t="str">
        <f t="shared" si="189"/>
        <v/>
      </c>
      <c r="K975" s="185" t="str">
        <f t="shared" si="190"/>
        <v/>
      </c>
      <c r="L975" s="185" t="str">
        <f t="shared" si="191"/>
        <v/>
      </c>
      <c r="M975" s="76" t="str">
        <f t="shared" si="192"/>
        <v/>
      </c>
      <c r="N975" s="26">
        <f t="shared" si="193"/>
        <v>0</v>
      </c>
      <c r="O975" s="235">
        <f t="shared" si="194"/>
        <v>0</v>
      </c>
      <c r="P975" s="235">
        <f t="shared" si="195"/>
        <v>0</v>
      </c>
      <c r="Q975" s="206">
        <f t="shared" si="196"/>
        <v>0</v>
      </c>
      <c r="R975" s="206">
        <f t="shared" si="185"/>
        <v>0</v>
      </c>
      <c r="S975" s="206">
        <f t="shared" si="186"/>
        <v>0</v>
      </c>
      <c r="T975" s="206">
        <f t="shared" si="187"/>
        <v>0</v>
      </c>
      <c r="U975" s="206">
        <f t="shared" si="187"/>
        <v>0</v>
      </c>
      <c r="V975" s="207" t="str">
        <f t="shared" si="188"/>
        <v/>
      </c>
    </row>
    <row r="976" spans="10:22" x14ac:dyDescent="0.3">
      <c r="J976" s="185" t="str">
        <f t="shared" si="189"/>
        <v/>
      </c>
      <c r="K976" s="185" t="str">
        <f t="shared" si="190"/>
        <v/>
      </c>
      <c r="L976" s="185" t="str">
        <f t="shared" si="191"/>
        <v/>
      </c>
      <c r="M976" s="76" t="str">
        <f t="shared" si="192"/>
        <v/>
      </c>
      <c r="N976" s="26">
        <f t="shared" si="193"/>
        <v>0</v>
      </c>
      <c r="O976" s="235">
        <f t="shared" si="194"/>
        <v>0</v>
      </c>
      <c r="P976" s="235">
        <f t="shared" si="195"/>
        <v>0</v>
      </c>
      <c r="Q976" s="206">
        <f t="shared" si="196"/>
        <v>0</v>
      </c>
      <c r="R976" s="206">
        <f t="shared" si="185"/>
        <v>0</v>
      </c>
      <c r="S976" s="206">
        <f t="shared" si="186"/>
        <v>0</v>
      </c>
      <c r="T976" s="206">
        <f t="shared" si="187"/>
        <v>0</v>
      </c>
      <c r="U976" s="206">
        <f t="shared" si="187"/>
        <v>0</v>
      </c>
      <c r="V976" s="207" t="str">
        <f t="shared" si="188"/>
        <v/>
      </c>
    </row>
    <row r="977" spans="10:22" x14ac:dyDescent="0.3">
      <c r="J977" s="185" t="str">
        <f t="shared" si="189"/>
        <v/>
      </c>
      <c r="K977" s="185" t="str">
        <f t="shared" si="190"/>
        <v/>
      </c>
      <c r="L977" s="185" t="str">
        <f t="shared" si="191"/>
        <v/>
      </c>
      <c r="M977" s="76" t="str">
        <f t="shared" si="192"/>
        <v/>
      </c>
      <c r="N977" s="26">
        <f t="shared" si="193"/>
        <v>0</v>
      </c>
      <c r="O977" s="235">
        <f t="shared" si="194"/>
        <v>0</v>
      </c>
      <c r="P977" s="235">
        <f t="shared" si="195"/>
        <v>0</v>
      </c>
      <c r="Q977" s="206">
        <f t="shared" si="196"/>
        <v>0</v>
      </c>
      <c r="R977" s="206">
        <f t="shared" si="185"/>
        <v>0</v>
      </c>
      <c r="S977" s="206">
        <f t="shared" si="186"/>
        <v>0</v>
      </c>
      <c r="T977" s="206">
        <f t="shared" si="187"/>
        <v>0</v>
      </c>
      <c r="U977" s="206">
        <f t="shared" si="187"/>
        <v>0</v>
      </c>
      <c r="V977" s="207" t="str">
        <f t="shared" si="188"/>
        <v/>
      </c>
    </row>
    <row r="978" spans="10:22" x14ac:dyDescent="0.3">
      <c r="J978" s="185" t="str">
        <f t="shared" si="189"/>
        <v/>
      </c>
      <c r="K978" s="185" t="str">
        <f t="shared" si="190"/>
        <v/>
      </c>
      <c r="L978" s="185" t="str">
        <f t="shared" si="191"/>
        <v/>
      </c>
      <c r="M978" s="76" t="str">
        <f t="shared" si="192"/>
        <v/>
      </c>
      <c r="N978" s="26">
        <f t="shared" si="193"/>
        <v>0</v>
      </c>
      <c r="O978" s="235">
        <f t="shared" si="194"/>
        <v>0</v>
      </c>
      <c r="P978" s="235">
        <f t="shared" si="195"/>
        <v>0</v>
      </c>
      <c r="Q978" s="206">
        <f t="shared" si="196"/>
        <v>0</v>
      </c>
      <c r="R978" s="206">
        <f t="shared" si="185"/>
        <v>0</v>
      </c>
      <c r="S978" s="206">
        <f t="shared" si="186"/>
        <v>0</v>
      </c>
      <c r="T978" s="206">
        <f t="shared" si="187"/>
        <v>0</v>
      </c>
      <c r="U978" s="206">
        <f t="shared" si="187"/>
        <v>0</v>
      </c>
      <c r="V978" s="207" t="str">
        <f t="shared" si="188"/>
        <v/>
      </c>
    </row>
    <row r="979" spans="10:22" x14ac:dyDescent="0.3">
      <c r="J979" s="185" t="str">
        <f t="shared" si="189"/>
        <v/>
      </c>
      <c r="K979" s="185" t="str">
        <f t="shared" si="190"/>
        <v/>
      </c>
      <c r="L979" s="185" t="str">
        <f t="shared" si="191"/>
        <v/>
      </c>
      <c r="M979" s="76" t="str">
        <f t="shared" si="192"/>
        <v/>
      </c>
      <c r="N979" s="26">
        <f t="shared" si="193"/>
        <v>0</v>
      </c>
      <c r="O979" s="235">
        <f t="shared" si="194"/>
        <v>0</v>
      </c>
      <c r="P979" s="235">
        <f t="shared" si="195"/>
        <v>0</v>
      </c>
      <c r="Q979" s="206">
        <f t="shared" si="196"/>
        <v>0</v>
      </c>
      <c r="R979" s="206">
        <f t="shared" si="185"/>
        <v>0</v>
      </c>
      <c r="S979" s="206">
        <f t="shared" si="186"/>
        <v>0</v>
      </c>
      <c r="T979" s="206">
        <f t="shared" si="187"/>
        <v>0</v>
      </c>
      <c r="U979" s="206">
        <f t="shared" si="187"/>
        <v>0</v>
      </c>
      <c r="V979" s="207" t="str">
        <f t="shared" si="188"/>
        <v/>
      </c>
    </row>
    <row r="980" spans="10:22" x14ac:dyDescent="0.3">
      <c r="J980" s="185" t="str">
        <f t="shared" si="189"/>
        <v/>
      </c>
      <c r="K980" s="185" t="str">
        <f t="shared" si="190"/>
        <v/>
      </c>
      <c r="L980" s="185" t="str">
        <f t="shared" si="191"/>
        <v/>
      </c>
      <c r="M980" s="76" t="str">
        <f t="shared" si="192"/>
        <v/>
      </c>
      <c r="N980" s="26">
        <f t="shared" si="193"/>
        <v>0</v>
      </c>
      <c r="O980" s="235">
        <f t="shared" si="194"/>
        <v>0</v>
      </c>
      <c r="P980" s="235">
        <f t="shared" si="195"/>
        <v>0</v>
      </c>
      <c r="Q980" s="206">
        <f t="shared" si="196"/>
        <v>0</v>
      </c>
      <c r="R980" s="206">
        <f t="shared" si="185"/>
        <v>0</v>
      </c>
      <c r="S980" s="206">
        <f t="shared" si="186"/>
        <v>0</v>
      </c>
      <c r="T980" s="206">
        <f t="shared" si="187"/>
        <v>0</v>
      </c>
      <c r="U980" s="206">
        <f t="shared" si="187"/>
        <v>0</v>
      </c>
      <c r="V980" s="207" t="str">
        <f t="shared" si="188"/>
        <v/>
      </c>
    </row>
    <row r="981" spans="10:22" x14ac:dyDescent="0.3">
      <c r="J981" s="185" t="str">
        <f t="shared" si="189"/>
        <v/>
      </c>
      <c r="K981" s="185" t="str">
        <f t="shared" si="190"/>
        <v/>
      </c>
      <c r="L981" s="185" t="str">
        <f t="shared" si="191"/>
        <v/>
      </c>
      <c r="M981" s="76" t="str">
        <f t="shared" si="192"/>
        <v/>
      </c>
      <c r="N981" s="26">
        <f t="shared" si="193"/>
        <v>0</v>
      </c>
      <c r="O981" s="235">
        <f t="shared" si="194"/>
        <v>0</v>
      </c>
      <c r="P981" s="235">
        <f t="shared" si="195"/>
        <v>0</v>
      </c>
      <c r="Q981" s="206">
        <f t="shared" si="196"/>
        <v>0</v>
      </c>
      <c r="R981" s="206">
        <f t="shared" si="185"/>
        <v>0</v>
      </c>
      <c r="S981" s="206">
        <f t="shared" si="186"/>
        <v>0</v>
      </c>
      <c r="T981" s="206">
        <f t="shared" si="187"/>
        <v>0</v>
      </c>
      <c r="U981" s="206">
        <f t="shared" si="187"/>
        <v>0</v>
      </c>
      <c r="V981" s="207" t="str">
        <f t="shared" si="188"/>
        <v/>
      </c>
    </row>
    <row r="982" spans="10:22" x14ac:dyDescent="0.3">
      <c r="J982" s="185" t="str">
        <f t="shared" si="189"/>
        <v/>
      </c>
      <c r="K982" s="185" t="str">
        <f t="shared" si="190"/>
        <v/>
      </c>
      <c r="L982" s="185" t="str">
        <f t="shared" si="191"/>
        <v/>
      </c>
      <c r="M982" s="76" t="str">
        <f t="shared" si="192"/>
        <v/>
      </c>
      <c r="N982" s="26">
        <f t="shared" si="193"/>
        <v>0</v>
      </c>
      <c r="O982" s="235">
        <f t="shared" si="194"/>
        <v>0</v>
      </c>
      <c r="P982" s="235">
        <f t="shared" si="195"/>
        <v>0</v>
      </c>
      <c r="Q982" s="206">
        <f t="shared" si="196"/>
        <v>0</v>
      </c>
      <c r="R982" s="206">
        <f t="shared" si="185"/>
        <v>0</v>
      </c>
      <c r="S982" s="206">
        <f t="shared" si="186"/>
        <v>0</v>
      </c>
      <c r="T982" s="206">
        <f t="shared" si="187"/>
        <v>0</v>
      </c>
      <c r="U982" s="206">
        <f t="shared" si="187"/>
        <v>0</v>
      </c>
      <c r="V982" s="207" t="str">
        <f t="shared" si="188"/>
        <v/>
      </c>
    </row>
    <row r="983" spans="10:22" x14ac:dyDescent="0.3">
      <c r="J983" s="185" t="str">
        <f t="shared" si="189"/>
        <v/>
      </c>
      <c r="K983" s="185" t="str">
        <f t="shared" si="190"/>
        <v/>
      </c>
      <c r="L983" s="185" t="str">
        <f t="shared" si="191"/>
        <v/>
      </c>
      <c r="M983" s="76" t="str">
        <f t="shared" si="192"/>
        <v/>
      </c>
      <c r="N983" s="26">
        <f t="shared" si="193"/>
        <v>0</v>
      </c>
      <c r="O983" s="235">
        <f t="shared" si="194"/>
        <v>0</v>
      </c>
      <c r="P983" s="235">
        <f t="shared" si="195"/>
        <v>0</v>
      </c>
      <c r="Q983" s="206">
        <f t="shared" si="196"/>
        <v>0</v>
      </c>
      <c r="R983" s="206">
        <f t="shared" si="185"/>
        <v>0</v>
      </c>
      <c r="S983" s="206">
        <f t="shared" si="186"/>
        <v>0</v>
      </c>
      <c r="T983" s="206">
        <f t="shared" si="187"/>
        <v>0</v>
      </c>
      <c r="U983" s="206">
        <f t="shared" si="187"/>
        <v>0</v>
      </c>
      <c r="V983" s="207" t="str">
        <f t="shared" si="188"/>
        <v/>
      </c>
    </row>
    <row r="984" spans="10:22" x14ac:dyDescent="0.3">
      <c r="J984" s="185" t="str">
        <f t="shared" si="189"/>
        <v/>
      </c>
      <c r="K984" s="185" t="str">
        <f t="shared" si="190"/>
        <v/>
      </c>
      <c r="L984" s="185" t="str">
        <f t="shared" si="191"/>
        <v/>
      </c>
      <c r="M984" s="76" t="str">
        <f t="shared" si="192"/>
        <v/>
      </c>
      <c r="N984" s="26">
        <f t="shared" si="193"/>
        <v>0</v>
      </c>
      <c r="O984" s="235">
        <f t="shared" si="194"/>
        <v>0</v>
      </c>
      <c r="P984" s="235">
        <f t="shared" si="195"/>
        <v>0</v>
      </c>
      <c r="Q984" s="206">
        <f t="shared" si="196"/>
        <v>0</v>
      </c>
      <c r="R984" s="206">
        <f t="shared" si="185"/>
        <v>0</v>
      </c>
      <c r="S984" s="206">
        <f t="shared" si="186"/>
        <v>0</v>
      </c>
      <c r="T984" s="206">
        <f t="shared" si="187"/>
        <v>0</v>
      </c>
      <c r="U984" s="206">
        <f t="shared" si="187"/>
        <v>0</v>
      </c>
      <c r="V984" s="207" t="str">
        <f t="shared" si="188"/>
        <v/>
      </c>
    </row>
    <row r="985" spans="10:22" x14ac:dyDescent="0.3">
      <c r="J985" s="185" t="str">
        <f t="shared" si="189"/>
        <v/>
      </c>
      <c r="K985" s="185" t="str">
        <f t="shared" si="190"/>
        <v/>
      </c>
      <c r="L985" s="185" t="str">
        <f t="shared" si="191"/>
        <v/>
      </c>
      <c r="M985" s="76" t="str">
        <f t="shared" si="192"/>
        <v/>
      </c>
      <c r="N985" s="26">
        <f t="shared" si="193"/>
        <v>0</v>
      </c>
      <c r="O985" s="235">
        <f t="shared" si="194"/>
        <v>0</v>
      </c>
      <c r="P985" s="235">
        <f t="shared" si="195"/>
        <v>0</v>
      </c>
      <c r="Q985" s="206">
        <f t="shared" si="196"/>
        <v>0</v>
      </c>
      <c r="R985" s="206">
        <f t="shared" si="185"/>
        <v>0</v>
      </c>
      <c r="S985" s="206">
        <f t="shared" si="186"/>
        <v>0</v>
      </c>
      <c r="T985" s="206">
        <f t="shared" si="187"/>
        <v>0</v>
      </c>
      <c r="U985" s="206">
        <f t="shared" si="187"/>
        <v>0</v>
      </c>
      <c r="V985" s="207" t="str">
        <f t="shared" si="188"/>
        <v/>
      </c>
    </row>
    <row r="986" spans="10:22" x14ac:dyDescent="0.3">
      <c r="J986" s="185" t="str">
        <f t="shared" si="189"/>
        <v/>
      </c>
      <c r="K986" s="185" t="str">
        <f t="shared" si="190"/>
        <v/>
      </c>
      <c r="L986" s="185" t="str">
        <f t="shared" si="191"/>
        <v/>
      </c>
      <c r="M986" s="76" t="str">
        <f t="shared" si="192"/>
        <v/>
      </c>
      <c r="N986" s="26">
        <f t="shared" si="193"/>
        <v>0</v>
      </c>
      <c r="O986" s="235">
        <f t="shared" si="194"/>
        <v>0</v>
      </c>
      <c r="P986" s="235">
        <f t="shared" si="195"/>
        <v>0</v>
      </c>
      <c r="Q986" s="206">
        <f t="shared" si="196"/>
        <v>0</v>
      </c>
      <c r="R986" s="206">
        <f t="shared" si="185"/>
        <v>0</v>
      </c>
      <c r="S986" s="206">
        <f t="shared" si="186"/>
        <v>0</v>
      </c>
      <c r="T986" s="206">
        <f t="shared" si="187"/>
        <v>0</v>
      </c>
      <c r="U986" s="206">
        <f t="shared" si="187"/>
        <v>0</v>
      </c>
      <c r="V986" s="207" t="str">
        <f t="shared" si="188"/>
        <v/>
      </c>
    </row>
    <row r="987" spans="10:22" x14ac:dyDescent="0.3">
      <c r="J987" s="185" t="str">
        <f t="shared" si="189"/>
        <v/>
      </c>
      <c r="K987" s="185" t="str">
        <f t="shared" si="190"/>
        <v/>
      </c>
      <c r="L987" s="185" t="str">
        <f t="shared" si="191"/>
        <v/>
      </c>
      <c r="M987" s="76" t="str">
        <f t="shared" si="192"/>
        <v/>
      </c>
      <c r="N987" s="26">
        <f t="shared" si="193"/>
        <v>0</v>
      </c>
      <c r="O987" s="235">
        <f t="shared" si="194"/>
        <v>0</v>
      </c>
      <c r="P987" s="235">
        <f t="shared" si="195"/>
        <v>0</v>
      </c>
      <c r="Q987" s="206">
        <f t="shared" si="196"/>
        <v>0</v>
      </c>
      <c r="R987" s="206">
        <f t="shared" ref="R987:R1000" si="197">IF($J987=29,VALUE(LEFT(B987,LEN(B987)-2)),0)</f>
        <v>0</v>
      </c>
      <c r="S987" s="206">
        <f t="shared" ref="S987:S1000" si="198">IF($J987=29,VALUE(LEFT(C987,LEN(C987)-2)),0)</f>
        <v>0</v>
      </c>
      <c r="T987" s="206">
        <f t="shared" ref="T987:U1000" si="199">IF($J987=29,VALUE(LEFT(D987,LEN(D987)-2)),0)</f>
        <v>0</v>
      </c>
      <c r="U987" s="206">
        <f t="shared" si="199"/>
        <v>0</v>
      </c>
      <c r="V987" s="207" t="str">
        <f t="shared" ref="V987:V1000" si="200">IFERROR(N987/SUM(R987:U987),"")</f>
        <v/>
      </c>
    </row>
    <row r="988" spans="10:22" x14ac:dyDescent="0.3">
      <c r="J988" s="185" t="str">
        <f t="shared" si="189"/>
        <v/>
      </c>
      <c r="K988" s="185" t="str">
        <f t="shared" si="190"/>
        <v/>
      </c>
      <c r="L988" s="185" t="str">
        <f t="shared" si="191"/>
        <v/>
      </c>
      <c r="M988" s="76" t="str">
        <f t="shared" si="192"/>
        <v/>
      </c>
      <c r="N988" s="26">
        <f t="shared" si="193"/>
        <v>0</v>
      </c>
      <c r="O988" s="235">
        <f t="shared" si="194"/>
        <v>0</v>
      </c>
      <c r="P988" s="235">
        <f t="shared" si="195"/>
        <v>0</v>
      </c>
      <c r="Q988" s="206">
        <f t="shared" si="196"/>
        <v>0</v>
      </c>
      <c r="R988" s="206">
        <f t="shared" si="197"/>
        <v>0</v>
      </c>
      <c r="S988" s="206">
        <f t="shared" si="198"/>
        <v>0</v>
      </c>
      <c r="T988" s="206">
        <f t="shared" si="199"/>
        <v>0</v>
      </c>
      <c r="U988" s="206">
        <f t="shared" si="199"/>
        <v>0</v>
      </c>
      <c r="V988" s="207" t="str">
        <f t="shared" si="200"/>
        <v/>
      </c>
    </row>
    <row r="989" spans="10:22" x14ac:dyDescent="0.3">
      <c r="J989" s="185" t="str">
        <f t="shared" si="189"/>
        <v/>
      </c>
      <c r="K989" s="185" t="str">
        <f t="shared" si="190"/>
        <v/>
      </c>
      <c r="L989" s="185" t="str">
        <f t="shared" si="191"/>
        <v/>
      </c>
      <c r="M989" s="76" t="str">
        <f t="shared" si="192"/>
        <v/>
      </c>
      <c r="N989" s="26">
        <f t="shared" si="193"/>
        <v>0</v>
      </c>
      <c r="O989" s="235">
        <f t="shared" si="194"/>
        <v>0</v>
      </c>
      <c r="P989" s="235">
        <f t="shared" si="195"/>
        <v>0</v>
      </c>
      <c r="Q989" s="206">
        <f t="shared" si="196"/>
        <v>0</v>
      </c>
      <c r="R989" s="206">
        <f t="shared" si="197"/>
        <v>0</v>
      </c>
      <c r="S989" s="206">
        <f t="shared" si="198"/>
        <v>0</v>
      </c>
      <c r="T989" s="206">
        <f t="shared" si="199"/>
        <v>0</v>
      </c>
      <c r="U989" s="206">
        <f t="shared" si="199"/>
        <v>0</v>
      </c>
      <c r="V989" s="207" t="str">
        <f t="shared" si="200"/>
        <v/>
      </c>
    </row>
    <row r="990" spans="10:22" x14ac:dyDescent="0.3">
      <c r="J990" s="185" t="str">
        <f t="shared" si="189"/>
        <v/>
      </c>
      <c r="K990" s="185" t="str">
        <f t="shared" si="190"/>
        <v/>
      </c>
      <c r="L990" s="185" t="str">
        <f t="shared" si="191"/>
        <v/>
      </c>
      <c r="M990" s="76" t="str">
        <f t="shared" si="192"/>
        <v/>
      </c>
      <c r="N990" s="26">
        <f t="shared" si="193"/>
        <v>0</v>
      </c>
      <c r="O990" s="235">
        <f t="shared" si="194"/>
        <v>0</v>
      </c>
      <c r="P990" s="235">
        <f t="shared" si="195"/>
        <v>0</v>
      </c>
      <c r="Q990" s="206">
        <f t="shared" si="196"/>
        <v>0</v>
      </c>
      <c r="R990" s="206">
        <f t="shared" si="197"/>
        <v>0</v>
      </c>
      <c r="S990" s="206">
        <f t="shared" si="198"/>
        <v>0</v>
      </c>
      <c r="T990" s="206">
        <f t="shared" si="199"/>
        <v>0</v>
      </c>
      <c r="U990" s="206">
        <f t="shared" si="199"/>
        <v>0</v>
      </c>
      <c r="V990" s="207" t="str">
        <f t="shared" si="200"/>
        <v/>
      </c>
    </row>
    <row r="991" spans="10:22" x14ac:dyDescent="0.3">
      <c r="J991" s="185" t="str">
        <f t="shared" si="189"/>
        <v/>
      </c>
      <c r="K991" s="185" t="str">
        <f t="shared" si="190"/>
        <v/>
      </c>
      <c r="L991" s="185" t="str">
        <f t="shared" si="191"/>
        <v/>
      </c>
      <c r="M991" s="76" t="str">
        <f t="shared" si="192"/>
        <v/>
      </c>
      <c r="N991" s="26">
        <f t="shared" si="193"/>
        <v>0</v>
      </c>
      <c r="O991" s="235">
        <f t="shared" si="194"/>
        <v>0</v>
      </c>
      <c r="P991" s="235">
        <f t="shared" si="195"/>
        <v>0</v>
      </c>
      <c r="Q991" s="206">
        <f t="shared" si="196"/>
        <v>0</v>
      </c>
      <c r="R991" s="206">
        <f t="shared" si="197"/>
        <v>0</v>
      </c>
      <c r="S991" s="206">
        <f t="shared" si="198"/>
        <v>0</v>
      </c>
      <c r="T991" s="206">
        <f t="shared" si="199"/>
        <v>0</v>
      </c>
      <c r="U991" s="206">
        <f t="shared" si="199"/>
        <v>0</v>
      </c>
      <c r="V991" s="207" t="str">
        <f t="shared" si="200"/>
        <v/>
      </c>
    </row>
    <row r="992" spans="10:22" x14ac:dyDescent="0.3">
      <c r="J992" s="185" t="str">
        <f t="shared" si="189"/>
        <v/>
      </c>
      <c r="K992" s="185" t="str">
        <f t="shared" si="190"/>
        <v/>
      </c>
      <c r="L992" s="185" t="str">
        <f t="shared" si="191"/>
        <v/>
      </c>
      <c r="M992" s="76" t="str">
        <f t="shared" si="192"/>
        <v/>
      </c>
      <c r="N992" s="26">
        <f t="shared" si="193"/>
        <v>0</v>
      </c>
      <c r="O992" s="235">
        <f t="shared" si="194"/>
        <v>0</v>
      </c>
      <c r="P992" s="235">
        <f t="shared" si="195"/>
        <v>0</v>
      </c>
      <c r="Q992" s="206">
        <f t="shared" si="196"/>
        <v>0</v>
      </c>
      <c r="R992" s="206">
        <f t="shared" si="197"/>
        <v>0</v>
      </c>
      <c r="S992" s="206">
        <f t="shared" si="198"/>
        <v>0</v>
      </c>
      <c r="T992" s="206">
        <f t="shared" si="199"/>
        <v>0</v>
      </c>
      <c r="U992" s="206">
        <f t="shared" si="199"/>
        <v>0</v>
      </c>
      <c r="V992" s="207" t="str">
        <f t="shared" si="200"/>
        <v/>
      </c>
    </row>
    <row r="993" spans="10:22" x14ac:dyDescent="0.3">
      <c r="J993" s="185" t="str">
        <f t="shared" si="189"/>
        <v/>
      </c>
      <c r="K993" s="185" t="str">
        <f t="shared" si="190"/>
        <v/>
      </c>
      <c r="L993" s="185" t="str">
        <f t="shared" si="191"/>
        <v/>
      </c>
      <c r="M993" s="76" t="str">
        <f t="shared" si="192"/>
        <v/>
      </c>
      <c r="N993" s="26">
        <f t="shared" si="193"/>
        <v>0</v>
      </c>
      <c r="O993" s="235">
        <f t="shared" si="194"/>
        <v>0</v>
      </c>
      <c r="P993" s="235">
        <f t="shared" si="195"/>
        <v>0</v>
      </c>
      <c r="Q993" s="206">
        <f t="shared" si="196"/>
        <v>0</v>
      </c>
      <c r="R993" s="206">
        <f t="shared" si="197"/>
        <v>0</v>
      </c>
      <c r="S993" s="206">
        <f t="shared" si="198"/>
        <v>0</v>
      </c>
      <c r="T993" s="206">
        <f t="shared" si="199"/>
        <v>0</v>
      </c>
      <c r="U993" s="206">
        <f t="shared" si="199"/>
        <v>0</v>
      </c>
      <c r="V993" s="207" t="str">
        <f t="shared" si="200"/>
        <v/>
      </c>
    </row>
    <row r="994" spans="10:22" x14ac:dyDescent="0.3">
      <c r="J994" s="185" t="str">
        <f t="shared" si="189"/>
        <v/>
      </c>
      <c r="K994" s="185" t="str">
        <f t="shared" si="190"/>
        <v/>
      </c>
      <c r="L994" s="185" t="str">
        <f t="shared" si="191"/>
        <v/>
      </c>
      <c r="M994" s="76" t="str">
        <f t="shared" si="192"/>
        <v/>
      </c>
      <c r="N994" s="26">
        <f t="shared" si="193"/>
        <v>0</v>
      </c>
      <c r="O994" s="235">
        <f t="shared" si="194"/>
        <v>0</v>
      </c>
      <c r="P994" s="235">
        <f t="shared" si="195"/>
        <v>0</v>
      </c>
      <c r="Q994" s="206">
        <f t="shared" si="196"/>
        <v>0</v>
      </c>
      <c r="R994" s="206">
        <f t="shared" si="197"/>
        <v>0</v>
      </c>
      <c r="S994" s="206">
        <f t="shared" si="198"/>
        <v>0</v>
      </c>
      <c r="T994" s="206">
        <f t="shared" si="199"/>
        <v>0</v>
      </c>
      <c r="U994" s="206">
        <f t="shared" si="199"/>
        <v>0</v>
      </c>
      <c r="V994" s="207" t="str">
        <f t="shared" si="200"/>
        <v/>
      </c>
    </row>
    <row r="995" spans="10:22" x14ac:dyDescent="0.3">
      <c r="J995" s="185" t="str">
        <f t="shared" si="189"/>
        <v/>
      </c>
      <c r="K995" s="185" t="str">
        <f t="shared" si="190"/>
        <v/>
      </c>
      <c r="L995" s="185" t="str">
        <f t="shared" si="191"/>
        <v/>
      </c>
      <c r="M995" s="76" t="str">
        <f t="shared" si="192"/>
        <v/>
      </c>
      <c r="N995" s="26">
        <f t="shared" si="193"/>
        <v>0</v>
      </c>
      <c r="O995" s="235">
        <f t="shared" si="194"/>
        <v>0</v>
      </c>
      <c r="P995" s="235">
        <f t="shared" si="195"/>
        <v>0</v>
      </c>
      <c r="Q995" s="206">
        <f t="shared" si="196"/>
        <v>0</v>
      </c>
      <c r="R995" s="206">
        <f t="shared" si="197"/>
        <v>0</v>
      </c>
      <c r="S995" s="206">
        <f t="shared" si="198"/>
        <v>0</v>
      </c>
      <c r="T995" s="206">
        <f t="shared" si="199"/>
        <v>0</v>
      </c>
      <c r="U995" s="206">
        <f t="shared" si="199"/>
        <v>0</v>
      </c>
      <c r="V995" s="207" t="str">
        <f t="shared" si="200"/>
        <v/>
      </c>
    </row>
    <row r="996" spans="10:22" x14ac:dyDescent="0.3">
      <c r="J996" s="185" t="str">
        <f t="shared" si="189"/>
        <v/>
      </c>
      <c r="K996" s="185" t="str">
        <f t="shared" si="190"/>
        <v/>
      </c>
      <c r="L996" s="185" t="str">
        <f t="shared" si="191"/>
        <v/>
      </c>
      <c r="M996" s="76" t="str">
        <f t="shared" si="192"/>
        <v/>
      </c>
      <c r="N996" s="26">
        <f t="shared" si="193"/>
        <v>0</v>
      </c>
      <c r="O996" s="235">
        <f t="shared" si="194"/>
        <v>0</v>
      </c>
      <c r="P996" s="235">
        <f t="shared" si="195"/>
        <v>0</v>
      </c>
      <c r="Q996" s="206">
        <f t="shared" si="196"/>
        <v>0</v>
      </c>
      <c r="R996" s="206">
        <f t="shared" si="197"/>
        <v>0</v>
      </c>
      <c r="S996" s="206">
        <f t="shared" si="198"/>
        <v>0</v>
      </c>
      <c r="T996" s="206">
        <f t="shared" si="199"/>
        <v>0</v>
      </c>
      <c r="U996" s="206">
        <f t="shared" si="199"/>
        <v>0</v>
      </c>
      <c r="V996" s="207" t="str">
        <f t="shared" si="200"/>
        <v/>
      </c>
    </row>
    <row r="997" spans="10:22" x14ac:dyDescent="0.3">
      <c r="J997" s="185" t="str">
        <f t="shared" si="189"/>
        <v/>
      </c>
      <c r="K997" s="185" t="str">
        <f t="shared" si="190"/>
        <v/>
      </c>
      <c r="L997" s="185" t="str">
        <f t="shared" si="191"/>
        <v/>
      </c>
      <c r="M997" s="76" t="str">
        <f t="shared" si="192"/>
        <v/>
      </c>
      <c r="N997" s="26">
        <f t="shared" si="193"/>
        <v>0</v>
      </c>
      <c r="O997" s="235">
        <f t="shared" si="194"/>
        <v>0</v>
      </c>
      <c r="P997" s="235">
        <f t="shared" si="195"/>
        <v>0</v>
      </c>
      <c r="Q997" s="206">
        <f t="shared" si="196"/>
        <v>0</v>
      </c>
      <c r="R997" s="206">
        <f t="shared" si="197"/>
        <v>0</v>
      </c>
      <c r="S997" s="206">
        <f t="shared" si="198"/>
        <v>0</v>
      </c>
      <c r="T997" s="206">
        <f t="shared" si="199"/>
        <v>0</v>
      </c>
      <c r="U997" s="206">
        <f t="shared" si="199"/>
        <v>0</v>
      </c>
      <c r="V997" s="207" t="str">
        <f t="shared" si="200"/>
        <v/>
      </c>
    </row>
    <row r="998" spans="10:22" x14ac:dyDescent="0.3">
      <c r="J998" s="185" t="str">
        <f t="shared" si="189"/>
        <v/>
      </c>
      <c r="K998" s="185" t="str">
        <f t="shared" si="190"/>
        <v/>
      </c>
      <c r="L998" s="185" t="str">
        <f t="shared" si="191"/>
        <v/>
      </c>
      <c r="M998" s="76" t="str">
        <f t="shared" si="192"/>
        <v/>
      </c>
      <c r="N998" s="26">
        <f t="shared" si="193"/>
        <v>0</v>
      </c>
      <c r="O998" s="235">
        <f t="shared" si="194"/>
        <v>0</v>
      </c>
      <c r="P998" s="235">
        <f t="shared" si="195"/>
        <v>0</v>
      </c>
      <c r="Q998" s="206">
        <f t="shared" si="196"/>
        <v>0</v>
      </c>
      <c r="R998" s="206">
        <f t="shared" si="197"/>
        <v>0</v>
      </c>
      <c r="S998" s="206">
        <f t="shared" si="198"/>
        <v>0</v>
      </c>
      <c r="T998" s="206">
        <f t="shared" si="199"/>
        <v>0</v>
      </c>
      <c r="U998" s="206">
        <f t="shared" si="199"/>
        <v>0</v>
      </c>
      <c r="V998" s="207" t="str">
        <f t="shared" si="200"/>
        <v/>
      </c>
    </row>
    <row r="999" spans="10:22" x14ac:dyDescent="0.3">
      <c r="J999" s="185" t="str">
        <f t="shared" si="189"/>
        <v/>
      </c>
      <c r="K999" s="185" t="str">
        <f t="shared" si="190"/>
        <v/>
      </c>
      <c r="L999" s="185" t="str">
        <f t="shared" si="191"/>
        <v/>
      </c>
      <c r="M999" s="76" t="str">
        <f t="shared" si="192"/>
        <v/>
      </c>
      <c r="N999" s="26">
        <f t="shared" si="193"/>
        <v>0</v>
      </c>
      <c r="O999" s="235">
        <f t="shared" si="194"/>
        <v>0</v>
      </c>
      <c r="P999" s="235">
        <f t="shared" si="195"/>
        <v>0</v>
      </c>
      <c r="Q999" s="206">
        <f t="shared" si="196"/>
        <v>0</v>
      </c>
      <c r="R999" s="206">
        <f t="shared" si="197"/>
        <v>0</v>
      </c>
      <c r="S999" s="206">
        <f t="shared" si="198"/>
        <v>0</v>
      </c>
      <c r="T999" s="206">
        <f t="shared" si="199"/>
        <v>0</v>
      </c>
      <c r="U999" s="206">
        <f t="shared" si="199"/>
        <v>0</v>
      </c>
      <c r="V999" s="207" t="str">
        <f t="shared" si="200"/>
        <v/>
      </c>
    </row>
    <row r="1000" spans="10:22" x14ac:dyDescent="0.3">
      <c r="J1000" s="185" t="str">
        <f t="shared" si="189"/>
        <v/>
      </c>
      <c r="K1000" s="185" t="str">
        <f t="shared" si="190"/>
        <v/>
      </c>
      <c r="L1000" s="185" t="str">
        <f t="shared" si="191"/>
        <v/>
      </c>
      <c r="M1000" s="76" t="str">
        <f t="shared" si="192"/>
        <v/>
      </c>
      <c r="N1000" s="26">
        <f t="shared" si="193"/>
        <v>0</v>
      </c>
      <c r="O1000" s="235">
        <f t="shared" si="194"/>
        <v>0</v>
      </c>
      <c r="P1000" s="235">
        <f t="shared" si="195"/>
        <v>0</v>
      </c>
      <c r="Q1000" s="206">
        <f t="shared" si="196"/>
        <v>0</v>
      </c>
      <c r="R1000" s="206">
        <f t="shared" si="197"/>
        <v>0</v>
      </c>
      <c r="S1000" s="206">
        <f t="shared" si="198"/>
        <v>0</v>
      </c>
      <c r="T1000" s="206">
        <f t="shared" si="199"/>
        <v>0</v>
      </c>
      <c r="U1000" s="206">
        <f t="shared" si="199"/>
        <v>0</v>
      </c>
      <c r="V1000" s="207" t="str">
        <f t="shared" si="200"/>
        <v/>
      </c>
    </row>
  </sheetData>
  <conditionalFormatting sqref="J26:J1000">
    <cfRule type="cellIs" dxfId="152" priority="1" operator="equal">
      <formula>14</formula>
    </cfRule>
  </conditionalFormatting>
  <pageMargins left="0.7" right="0.7" top="0.75" bottom="0.75" header="0.3" footer="0.3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0"/>
  <dimension ref="A1:V485"/>
  <sheetViews>
    <sheetView topLeftCell="A19" workbookViewId="0">
      <selection activeCell="E35" sqref="E35"/>
    </sheetView>
  </sheetViews>
  <sheetFormatPr baseColWidth="10" defaultRowHeight="14.4" x14ac:dyDescent="0.3"/>
  <cols>
    <col min="1" max="1" width="15.6640625" customWidth="1"/>
    <col min="2" max="2" width="15.88671875" customWidth="1"/>
    <col min="3" max="3" width="14.33203125" customWidth="1"/>
    <col min="4" max="4" width="15.88671875" customWidth="1"/>
    <col min="5" max="5" width="12.33203125" customWidth="1"/>
    <col min="6" max="6" width="14.5546875" customWidth="1"/>
    <col min="7" max="8" width="12.33203125" customWidth="1"/>
    <col min="9" max="10" width="11.44140625" customWidth="1"/>
    <col min="11" max="12" width="16.44140625" customWidth="1"/>
    <col min="13" max="13" width="11.44140625" style="7" customWidth="1"/>
    <col min="15" max="15" width="18.44140625" customWidth="1"/>
    <col min="16" max="16" width="20" style="206" bestFit="1" customWidth="1"/>
    <col min="17" max="17" width="19.88671875" style="206" customWidth="1"/>
    <col min="18" max="18" width="18.33203125" customWidth="1"/>
    <col min="19" max="19" width="16.5546875" bestFit="1" customWidth="1"/>
    <col min="20" max="20" width="11.5546875" bestFit="1" customWidth="1"/>
    <col min="21" max="21" width="18.88671875" bestFit="1" customWidth="1"/>
    <col min="22" max="22" width="19" bestFit="1" customWidth="1"/>
  </cols>
  <sheetData>
    <row r="1" spans="1:1" x14ac:dyDescent="0.3">
      <c r="A1" t="s">
        <v>377</v>
      </c>
    </row>
    <row r="3" spans="1:1" x14ac:dyDescent="0.3">
      <c r="A3" s="113">
        <v>42606.672303240739</v>
      </c>
    </row>
    <row r="5" spans="1:1" x14ac:dyDescent="0.3">
      <c r="A5" t="s">
        <v>378</v>
      </c>
    </row>
    <row r="7" spans="1:1" x14ac:dyDescent="0.3">
      <c r="A7" t="s">
        <v>68</v>
      </c>
    </row>
    <row r="9" spans="1:1" x14ac:dyDescent="0.3">
      <c r="A9" t="s">
        <v>379</v>
      </c>
    </row>
    <row r="10" spans="1:1" x14ac:dyDescent="0.3">
      <c r="A10" t="s">
        <v>1160</v>
      </c>
    </row>
    <row r="11" spans="1:1" x14ac:dyDescent="0.3">
      <c r="A11" t="s">
        <v>380</v>
      </c>
    </row>
    <row r="12" spans="1:1" x14ac:dyDescent="0.3">
      <c r="A12" t="s">
        <v>1099</v>
      </c>
    </row>
    <row r="13" spans="1:1" x14ac:dyDescent="0.3">
      <c r="A13" t="s">
        <v>381</v>
      </c>
    </row>
    <row r="14" spans="1:1" x14ac:dyDescent="0.3">
      <c r="A14" t="s">
        <v>382</v>
      </c>
    </row>
    <row r="15" spans="1:1" x14ac:dyDescent="0.3">
      <c r="A15" t="s">
        <v>383</v>
      </c>
    </row>
    <row r="16" spans="1:1" x14ac:dyDescent="0.3">
      <c r="A16" t="s">
        <v>1161</v>
      </c>
    </row>
    <row r="17" spans="1:1" x14ac:dyDescent="0.3">
      <c r="A17" t="s">
        <v>1387</v>
      </c>
    </row>
    <row r="18" spans="1:1" x14ac:dyDescent="0.3">
      <c r="A18" t="s">
        <v>1388</v>
      </c>
    </row>
    <row r="19" spans="1:1" x14ac:dyDescent="0.3">
      <c r="A19" t="s">
        <v>384</v>
      </c>
    </row>
    <row r="20" spans="1:1" x14ac:dyDescent="0.3">
      <c r="A20" t="s">
        <v>904</v>
      </c>
    </row>
    <row r="21" spans="1:1" x14ac:dyDescent="0.3">
      <c r="A21" t="s">
        <v>1394</v>
      </c>
    </row>
    <row r="22" spans="1:1" x14ac:dyDescent="0.3">
      <c r="A22" t="s">
        <v>905</v>
      </c>
    </row>
    <row r="23" spans="1:1" x14ac:dyDescent="0.3">
      <c r="A23" t="s">
        <v>906</v>
      </c>
    </row>
    <row r="24" spans="1:1" x14ac:dyDescent="0.3">
      <c r="A24" t="s">
        <v>907</v>
      </c>
    </row>
    <row r="25" spans="1:1" x14ac:dyDescent="0.3">
      <c r="A25" t="s">
        <v>731</v>
      </c>
    </row>
    <row r="26" spans="1:1" x14ac:dyDescent="0.3">
      <c r="A26" t="s">
        <v>907</v>
      </c>
    </row>
    <row r="27" spans="1:1" x14ac:dyDescent="0.3">
      <c r="A27" t="s">
        <v>724</v>
      </c>
    </row>
    <row r="28" spans="1:1" x14ac:dyDescent="0.3">
      <c r="A28" t="s">
        <v>907</v>
      </c>
    </row>
    <row r="29" spans="1:1" x14ac:dyDescent="0.3">
      <c r="A29" t="s">
        <v>730</v>
      </c>
    </row>
    <row r="30" spans="1:1" x14ac:dyDescent="0.3">
      <c r="A30" t="s">
        <v>907</v>
      </c>
    </row>
    <row r="31" spans="1:1" x14ac:dyDescent="0.3">
      <c r="A31" t="s">
        <v>1138</v>
      </c>
    </row>
    <row r="32" spans="1:1" x14ac:dyDescent="0.3">
      <c r="A32" t="s">
        <v>907</v>
      </c>
    </row>
    <row r="33" spans="1:8" x14ac:dyDescent="0.3">
      <c r="A33" t="s">
        <v>427</v>
      </c>
    </row>
    <row r="34" spans="1:8" x14ac:dyDescent="0.3">
      <c r="A34" t="s">
        <v>907</v>
      </c>
    </row>
    <row r="35" spans="1:8" x14ac:dyDescent="0.3">
      <c r="A35" t="s">
        <v>729</v>
      </c>
    </row>
    <row r="36" spans="1:8" x14ac:dyDescent="0.3">
      <c r="A36" s="204" t="s">
        <v>907</v>
      </c>
      <c r="B36" s="204"/>
      <c r="C36" s="204"/>
      <c r="D36" s="204"/>
      <c r="E36" s="204"/>
      <c r="F36" s="204"/>
      <c r="G36" s="204"/>
      <c r="H36" s="204"/>
    </row>
    <row r="37" spans="1:8" x14ac:dyDescent="0.3">
      <c r="A37" s="204" t="s">
        <v>1137</v>
      </c>
      <c r="B37" s="204"/>
      <c r="C37" s="204"/>
      <c r="D37" s="204"/>
      <c r="E37" s="204"/>
      <c r="F37" s="204"/>
      <c r="G37" s="204"/>
      <c r="H37" s="204"/>
    </row>
    <row r="38" spans="1:8" x14ac:dyDescent="0.3">
      <c r="A38" s="204" t="s">
        <v>907</v>
      </c>
      <c r="B38" s="204"/>
      <c r="C38" s="204"/>
      <c r="D38" s="204"/>
      <c r="E38" s="204"/>
      <c r="F38" s="204"/>
      <c r="G38" s="204"/>
      <c r="H38" s="204"/>
    </row>
    <row r="39" spans="1:8" x14ac:dyDescent="0.3">
      <c r="A39" s="204" t="s">
        <v>315</v>
      </c>
      <c r="B39" s="204"/>
      <c r="C39" s="204"/>
      <c r="D39" s="204"/>
      <c r="E39" s="204"/>
      <c r="F39" s="204"/>
      <c r="G39" s="204"/>
      <c r="H39" s="204"/>
    </row>
    <row r="40" spans="1:8" x14ac:dyDescent="0.3">
      <c r="A40" s="204" t="s">
        <v>907</v>
      </c>
      <c r="B40" s="204"/>
      <c r="C40" s="204"/>
      <c r="D40" s="204"/>
      <c r="E40" s="204"/>
      <c r="F40" s="204"/>
      <c r="G40" s="204"/>
      <c r="H40" s="204"/>
    </row>
    <row r="41" spans="1:8" x14ac:dyDescent="0.3">
      <c r="A41" s="204" t="s">
        <v>428</v>
      </c>
      <c r="B41" s="204"/>
      <c r="C41" s="204"/>
      <c r="D41" s="204"/>
      <c r="E41" s="204"/>
      <c r="F41" s="204"/>
      <c r="G41" s="204"/>
      <c r="H41" s="204"/>
    </row>
    <row r="42" spans="1:8" x14ac:dyDescent="0.3">
      <c r="A42" s="204" t="s">
        <v>907</v>
      </c>
      <c r="B42" s="204"/>
      <c r="C42" s="204"/>
      <c r="D42" s="204"/>
      <c r="E42" s="204"/>
      <c r="F42" s="204"/>
      <c r="G42" s="204"/>
      <c r="H42" s="204"/>
    </row>
    <row r="43" spans="1:8" x14ac:dyDescent="0.3">
      <c r="A43" s="204" t="s">
        <v>1136</v>
      </c>
      <c r="B43" s="204"/>
      <c r="C43" s="204"/>
      <c r="D43" s="204"/>
      <c r="E43" s="204"/>
      <c r="F43" s="204"/>
      <c r="G43" s="204"/>
      <c r="H43" s="204"/>
    </row>
    <row r="44" spans="1:8" x14ac:dyDescent="0.3">
      <c r="A44" s="204" t="s">
        <v>907</v>
      </c>
      <c r="B44" s="204"/>
      <c r="C44" s="204"/>
      <c r="D44" s="204"/>
      <c r="E44" s="204"/>
      <c r="F44" s="204"/>
      <c r="G44" s="204"/>
      <c r="H44" s="204"/>
    </row>
    <row r="45" spans="1:8" x14ac:dyDescent="0.3">
      <c r="A45" s="204" t="s">
        <v>732</v>
      </c>
      <c r="B45" s="204"/>
      <c r="C45" s="204"/>
      <c r="D45" s="204"/>
      <c r="E45" s="204"/>
      <c r="F45" s="204"/>
      <c r="G45" s="204"/>
      <c r="H45" s="204"/>
    </row>
    <row r="46" spans="1:8" x14ac:dyDescent="0.3">
      <c r="A46" s="204" t="s">
        <v>907</v>
      </c>
      <c r="B46" s="204"/>
      <c r="C46" s="204"/>
      <c r="D46" s="204"/>
      <c r="E46" s="204"/>
      <c r="F46" s="204"/>
      <c r="G46" s="204"/>
      <c r="H46" s="204"/>
    </row>
    <row r="47" spans="1:8" x14ac:dyDescent="0.3">
      <c r="A47" s="204" t="s">
        <v>726</v>
      </c>
      <c r="B47" s="204"/>
      <c r="C47" s="204"/>
      <c r="D47" s="204"/>
      <c r="E47" s="204"/>
      <c r="F47" s="204"/>
      <c r="G47" s="204"/>
      <c r="H47" s="204"/>
    </row>
    <row r="48" spans="1:8" x14ac:dyDescent="0.3">
      <c r="A48" s="204" t="s">
        <v>907</v>
      </c>
      <c r="B48" s="204"/>
      <c r="C48" s="204"/>
      <c r="D48" s="204"/>
      <c r="E48" s="204"/>
      <c r="F48" s="204"/>
      <c r="G48" s="204"/>
      <c r="H48" s="204"/>
    </row>
    <row r="49" spans="1:22" x14ac:dyDescent="0.3">
      <c r="A49" s="204" t="s">
        <v>342</v>
      </c>
      <c r="B49" s="204"/>
      <c r="C49" s="204"/>
      <c r="D49" s="204"/>
      <c r="E49" s="204"/>
      <c r="F49" s="204"/>
      <c r="G49" s="204"/>
      <c r="H49" s="204"/>
    </row>
    <row r="50" spans="1:22" x14ac:dyDescent="0.3">
      <c r="A50" s="204" t="s">
        <v>907</v>
      </c>
      <c r="B50" s="204"/>
      <c r="C50" s="204"/>
      <c r="D50" s="204"/>
      <c r="E50" s="204"/>
      <c r="F50" s="204"/>
      <c r="G50" s="204"/>
      <c r="H50" s="204"/>
    </row>
    <row r="51" spans="1:22" x14ac:dyDescent="0.3">
      <c r="A51" s="204" t="s">
        <v>733</v>
      </c>
      <c r="B51" s="204"/>
      <c r="C51" s="204"/>
      <c r="D51" s="204"/>
      <c r="E51" s="204"/>
      <c r="F51" s="204"/>
      <c r="G51" s="204"/>
      <c r="H51" s="204"/>
    </row>
    <row r="52" spans="1:22" x14ac:dyDescent="0.3">
      <c r="A52" s="204" t="s">
        <v>907</v>
      </c>
      <c r="B52" s="204"/>
      <c r="C52" s="204"/>
      <c r="D52" s="204"/>
      <c r="E52" s="204"/>
      <c r="F52" s="204"/>
      <c r="G52" s="204"/>
      <c r="H52" s="204"/>
    </row>
    <row r="53" spans="1:22" x14ac:dyDescent="0.3">
      <c r="A53" s="204" t="s">
        <v>728</v>
      </c>
      <c r="B53" s="204"/>
      <c r="C53" s="204"/>
      <c r="D53" s="204"/>
      <c r="E53" s="204"/>
      <c r="F53" s="204"/>
      <c r="G53" s="204"/>
      <c r="H53" s="204"/>
    </row>
    <row r="54" spans="1:22" x14ac:dyDescent="0.3">
      <c r="A54" s="204" t="s">
        <v>907</v>
      </c>
      <c r="B54" s="204"/>
      <c r="C54" s="204"/>
      <c r="D54" s="204"/>
      <c r="E54" s="204"/>
      <c r="F54" s="204"/>
      <c r="G54" s="204"/>
      <c r="H54" s="204"/>
    </row>
    <row r="55" spans="1:22" x14ac:dyDescent="0.3">
      <c r="A55" s="204" t="s">
        <v>727</v>
      </c>
      <c r="B55" s="204"/>
      <c r="C55" s="204"/>
      <c r="D55" s="204"/>
      <c r="E55" s="204"/>
      <c r="F55" s="204"/>
      <c r="G55" s="204"/>
      <c r="H55" s="204"/>
      <c r="O55" t="s">
        <v>1147</v>
      </c>
      <c r="P55" s="206" t="e">
        <f>SUM(P56:P59)</f>
        <v>#REF!</v>
      </c>
    </row>
    <row r="56" spans="1:22" x14ac:dyDescent="0.3">
      <c r="A56" s="204" t="s">
        <v>907</v>
      </c>
      <c r="B56" s="204"/>
      <c r="C56" s="204"/>
      <c r="D56" s="204"/>
      <c r="E56" s="204"/>
      <c r="F56" s="204"/>
      <c r="G56" s="204"/>
      <c r="H56" s="204"/>
      <c r="O56" t="s">
        <v>1144</v>
      </c>
      <c r="P56" s="206">
        <f>U62</f>
        <v>10804226956</v>
      </c>
    </row>
    <row r="57" spans="1:22" x14ac:dyDescent="0.3">
      <c r="A57" s="204" t="s">
        <v>725</v>
      </c>
      <c r="B57" s="204"/>
      <c r="C57" s="204"/>
      <c r="D57" s="204"/>
      <c r="E57" s="204"/>
      <c r="F57" s="204"/>
      <c r="G57" s="204"/>
      <c r="H57" s="204"/>
      <c r="O57" t="s">
        <v>274</v>
      </c>
      <c r="P57" s="206" t="e">
        <f>#REF!</f>
        <v>#REF!</v>
      </c>
    </row>
    <row r="58" spans="1:22" x14ac:dyDescent="0.3">
      <c r="A58" s="204" t="s">
        <v>908</v>
      </c>
      <c r="B58" s="204"/>
      <c r="C58" s="204"/>
      <c r="D58" s="204"/>
      <c r="E58" s="204"/>
      <c r="F58" s="204"/>
      <c r="G58" s="204"/>
      <c r="H58" s="204"/>
      <c r="O58" t="s">
        <v>744</v>
      </c>
      <c r="P58" s="206">
        <f>ROI_Avions!G376</f>
        <v>84388810520</v>
      </c>
    </row>
    <row r="59" spans="1:22" x14ac:dyDescent="0.3">
      <c r="A59" s="204" t="s">
        <v>909</v>
      </c>
      <c r="B59" s="204"/>
      <c r="C59" s="204"/>
      <c r="D59" s="204"/>
      <c r="E59" s="204"/>
      <c r="F59" s="204"/>
      <c r="G59" s="204"/>
      <c r="H59" s="204"/>
      <c r="O59" t="s">
        <v>1148</v>
      </c>
      <c r="P59" s="206">
        <v>11000000000</v>
      </c>
    </row>
    <row r="60" spans="1:22" x14ac:dyDescent="0.3">
      <c r="A60" s="204" t="s">
        <v>910</v>
      </c>
      <c r="B60" s="204"/>
      <c r="C60" s="204"/>
      <c r="D60" s="204"/>
      <c r="E60" s="204"/>
      <c r="F60" s="204"/>
      <c r="G60" s="204"/>
      <c r="H60" s="204"/>
    </row>
    <row r="61" spans="1:22" x14ac:dyDescent="0.3">
      <c r="A61" s="204" t="s">
        <v>911</v>
      </c>
      <c r="B61" s="204"/>
      <c r="C61" s="204"/>
      <c r="D61" s="204"/>
      <c r="E61" s="204"/>
      <c r="F61" s="204"/>
      <c r="G61" s="204"/>
      <c r="H61" s="204"/>
    </row>
    <row r="62" spans="1:22" x14ac:dyDescent="0.3">
      <c r="A62" s="204" t="s">
        <v>912</v>
      </c>
      <c r="B62" s="204"/>
      <c r="C62" s="204"/>
      <c r="D62" s="204"/>
      <c r="E62" s="204"/>
      <c r="F62" s="204"/>
      <c r="G62" s="204"/>
      <c r="H62" s="204"/>
      <c r="P62" s="206">
        <f t="shared" ref="P62:Q62" si="0">SUBTOTAL(9,P64:P100)</f>
        <v>11980073</v>
      </c>
      <c r="Q62" s="206">
        <f t="shared" si="0"/>
        <v>14575348</v>
      </c>
      <c r="R62" s="206"/>
      <c r="S62" s="206">
        <f>SUBTOTAL(9,S64:S100)</f>
        <v>26</v>
      </c>
      <c r="T62" s="206">
        <f t="shared" ref="T62:V62" si="1">SUBTOTAL(9,T64:T100)</f>
        <v>79</v>
      </c>
      <c r="U62" s="206">
        <f t="shared" si="1"/>
        <v>10804226956</v>
      </c>
      <c r="V62" s="206" t="e">
        <f t="shared" si="1"/>
        <v>#REF!</v>
      </c>
    </row>
    <row r="63" spans="1:22" x14ac:dyDescent="0.3">
      <c r="A63" s="204" t="s">
        <v>448</v>
      </c>
      <c r="B63" s="204"/>
      <c r="C63" s="204"/>
      <c r="D63" s="204"/>
      <c r="E63" s="204"/>
      <c r="F63" s="204"/>
      <c r="G63" s="204"/>
      <c r="H63" s="204"/>
      <c r="J63" t="s">
        <v>1144</v>
      </c>
      <c r="K63" t="s">
        <v>3</v>
      </c>
      <c r="L63" t="s">
        <v>1143</v>
      </c>
      <c r="M63" s="7" t="s">
        <v>1145</v>
      </c>
      <c r="O63" s="74" t="s">
        <v>1144</v>
      </c>
      <c r="P63" s="74" t="s">
        <v>1143</v>
      </c>
      <c r="Q63" s="215" t="s">
        <v>3</v>
      </c>
      <c r="R63" t="s">
        <v>1146</v>
      </c>
      <c r="S63" s="216" t="s">
        <v>1132</v>
      </c>
      <c r="T63" s="216" t="s">
        <v>0</v>
      </c>
      <c r="U63" s="216" t="s">
        <v>749</v>
      </c>
      <c r="V63" s="216" t="s">
        <v>1134</v>
      </c>
    </row>
    <row r="64" spans="1:22" x14ac:dyDescent="0.3">
      <c r="A64" s="204" t="s">
        <v>913</v>
      </c>
      <c r="B64" s="204"/>
      <c r="C64" s="204"/>
      <c r="D64" s="204"/>
      <c r="E64" s="204"/>
      <c r="F64" s="204"/>
      <c r="G64" s="204"/>
      <c r="H64" s="204"/>
      <c r="I64">
        <f>LEN(A64)</f>
        <v>11</v>
      </c>
      <c r="J64" t="str">
        <f>IF(I65=8,IF(A64="",LEFT(A65,3),""),"")</f>
        <v/>
      </c>
      <c r="K64" s="8" t="str">
        <f t="shared" ref="K64:K95" si="2">IF(J64&lt;&gt;"",VALUE(LEFT(D64,LEN(D64)-2)),"")</f>
        <v/>
      </c>
      <c r="L64" s="8" t="str">
        <f t="shared" ref="L64:L95" si="3">IF(J64&lt;&gt;"",VALUE(LEFT(E64,LEN(E64)-2)),"")</f>
        <v/>
      </c>
      <c r="M64" s="7" t="str">
        <f>IFERROR(IF(LEN(J64)=8,"",L64/K64),"")</f>
        <v/>
      </c>
      <c r="O64" s="204" t="s">
        <v>1138</v>
      </c>
      <c r="P64" s="208">
        <v>0</v>
      </c>
      <c r="Q64" s="208">
        <v>0</v>
      </c>
      <c r="R64" s="218" t="e">
        <v>#DIV/0!</v>
      </c>
      <c r="S64" s="206">
        <f>COUNTIF(DataCoutRevenuAux!K:K,DataHubs!O64)</f>
        <v>6</v>
      </c>
      <c r="T64" s="206">
        <f>SUMIF(DataCoutRevenuAux!K:K,DataHubs!O64,DataCoutRevenuAux!Q:Q)</f>
        <v>18</v>
      </c>
      <c r="U64" s="206">
        <f>VLOOKUP(O64,ROI_Avions!A:B,2,FALSE)</f>
        <v>829587949</v>
      </c>
      <c r="V64" s="206" t="e">
        <f>SUMIF(#REF!,DataHubs!O64,#REF!)</f>
        <v>#REF!</v>
      </c>
    </row>
    <row r="65" spans="1:22" x14ac:dyDescent="0.3">
      <c r="A65" s="204" t="s">
        <v>907</v>
      </c>
      <c r="B65" s="204" t="s">
        <v>914</v>
      </c>
      <c r="C65" s="204" t="s">
        <v>915</v>
      </c>
      <c r="D65" s="204" t="s">
        <v>3</v>
      </c>
      <c r="E65" s="204" t="s">
        <v>397</v>
      </c>
      <c r="F65" s="204" t="s">
        <v>916</v>
      </c>
      <c r="G65" s="204"/>
      <c r="H65" s="204"/>
      <c r="I65" s="185">
        <f t="shared" ref="I65:I128" si="4">LEN(A65)</f>
        <v>3</v>
      </c>
      <c r="J65" s="185" t="str">
        <f t="shared" ref="J65:J128" si="5">IF(I66=8,IF(A65="",LEFT(A66,3),""),"")</f>
        <v/>
      </c>
      <c r="K65" s="8" t="str">
        <f t="shared" si="2"/>
        <v/>
      </c>
      <c r="L65" s="8" t="str">
        <f t="shared" si="3"/>
        <v/>
      </c>
      <c r="M65" s="7" t="str">
        <f t="shared" ref="M65:M128" si="6">IFERROR(IF(LEN(J65)=8,"",L65/K65),"")</f>
        <v/>
      </c>
      <c r="O65" s="204" t="s">
        <v>733</v>
      </c>
      <c r="P65" s="208">
        <v>11980073</v>
      </c>
      <c r="Q65" s="208">
        <v>14575348</v>
      </c>
      <c r="R65" s="218">
        <v>0.8219407865939119</v>
      </c>
      <c r="S65" s="206">
        <f>COUNTIF(DataCoutRevenuAux!K:K,DataHubs!O65)</f>
        <v>7</v>
      </c>
      <c r="T65" s="206">
        <f>SUMIF(DataCoutRevenuAux!K:K,DataHubs!O65,DataCoutRevenuAux!Q:Q)</f>
        <v>22</v>
      </c>
      <c r="U65" s="206">
        <f>VLOOKUP(O65,ROI_Avions!A:B,2,FALSE)</f>
        <v>851125219</v>
      </c>
      <c r="V65" s="206" t="e">
        <f>SUMIF(#REF!,DataHubs!O65,#REF!)</f>
        <v>#REF!</v>
      </c>
    </row>
    <row r="66" spans="1:22" x14ac:dyDescent="0.3">
      <c r="A66" s="204"/>
      <c r="B66" s="204" t="s">
        <v>918</v>
      </c>
      <c r="C66" s="204" t="s">
        <v>918</v>
      </c>
      <c r="D66" s="204" t="s">
        <v>404</v>
      </c>
      <c r="E66" s="204" t="s">
        <v>404</v>
      </c>
      <c r="F66" s="204" t="s">
        <v>1131</v>
      </c>
      <c r="G66" s="204"/>
      <c r="H66" s="204"/>
      <c r="I66" s="185">
        <f t="shared" si="4"/>
        <v>0</v>
      </c>
      <c r="J66" s="185" t="str">
        <f>IF(I67=8,IF(A66="",LEFT(A67,3),""),"")</f>
        <v>DKR</v>
      </c>
      <c r="K66" s="8">
        <f t="shared" si="2"/>
        <v>0</v>
      </c>
      <c r="L66" s="8">
        <f t="shared" si="3"/>
        <v>0</v>
      </c>
      <c r="M66" s="7" t="str">
        <f t="shared" si="6"/>
        <v/>
      </c>
      <c r="O66" s="204" t="s">
        <v>1137</v>
      </c>
      <c r="P66" s="208">
        <v>0</v>
      </c>
      <c r="Q66" s="208">
        <v>0</v>
      </c>
      <c r="R66" s="218" t="e">
        <v>#DIV/0!</v>
      </c>
      <c r="S66" s="206">
        <f>COUNTIF(DataCoutRevenuAux!K:K,DataHubs!O66)</f>
        <v>0</v>
      </c>
      <c r="T66" s="206">
        <f>SUMIF(DataCoutRevenuAux!K:K,DataHubs!O66,DataCoutRevenuAux!Q:Q)</f>
        <v>0</v>
      </c>
      <c r="U66" s="206">
        <f>VLOOKUP(O66,ROI_Avions!A:B,2,FALSE)</f>
        <v>987088224</v>
      </c>
      <c r="V66" s="206" t="e">
        <f>SUMIF(#REF!,DataHubs!O66,#REF!)</f>
        <v>#REF!</v>
      </c>
    </row>
    <row r="67" spans="1:22" x14ac:dyDescent="0.3">
      <c r="A67" s="204" t="s">
        <v>920</v>
      </c>
      <c r="B67" s="204"/>
      <c r="C67" s="204"/>
      <c r="D67" s="204"/>
      <c r="E67" s="204"/>
      <c r="F67" s="204"/>
      <c r="G67" s="204"/>
      <c r="H67" s="204"/>
      <c r="I67" s="185">
        <f t="shared" si="4"/>
        <v>8</v>
      </c>
      <c r="J67" s="185" t="str">
        <f t="shared" si="5"/>
        <v/>
      </c>
      <c r="K67" s="8" t="str">
        <f t="shared" si="2"/>
        <v/>
      </c>
      <c r="L67" s="8" t="str">
        <f t="shared" si="3"/>
        <v/>
      </c>
      <c r="M67" s="7" t="str">
        <f t="shared" si="6"/>
        <v/>
      </c>
      <c r="O67" s="204" t="s">
        <v>732</v>
      </c>
      <c r="P67" s="208">
        <v>0</v>
      </c>
      <c r="Q67" s="208">
        <v>0</v>
      </c>
      <c r="R67" s="218" t="e">
        <v>#DIV/0!</v>
      </c>
      <c r="S67" s="206">
        <f>COUNTIF(DataCoutRevenuAux!K:K,DataHubs!O67)</f>
        <v>8</v>
      </c>
      <c r="T67" s="206">
        <f>SUMIF(DataCoutRevenuAux!K:K,DataHubs!O67,DataCoutRevenuAux!Q:Q)</f>
        <v>24</v>
      </c>
      <c r="U67" s="206">
        <f>VLOOKUP(O67,ROI_Avions!A:B,2,FALSE)</f>
        <v>863516370</v>
      </c>
      <c r="V67" s="206" t="e">
        <f>SUMIF(#REF!,DataHubs!O67,#REF!)</f>
        <v>#REF!</v>
      </c>
    </row>
    <row r="68" spans="1:22" x14ac:dyDescent="0.3">
      <c r="A68" s="204"/>
      <c r="B68" s="204" t="s">
        <v>918</v>
      </c>
      <c r="C68" s="204" t="s">
        <v>918</v>
      </c>
      <c r="D68" s="204" t="s">
        <v>404</v>
      </c>
      <c r="E68" s="204" t="s">
        <v>404</v>
      </c>
      <c r="F68" s="204" t="s">
        <v>1131</v>
      </c>
      <c r="G68" s="204"/>
      <c r="H68" s="204"/>
      <c r="I68" s="185">
        <f t="shared" si="4"/>
        <v>0</v>
      </c>
      <c r="J68" s="185" t="str">
        <f t="shared" si="5"/>
        <v>DLA</v>
      </c>
      <c r="K68" s="8">
        <f t="shared" si="2"/>
        <v>0</v>
      </c>
      <c r="L68" s="8">
        <f t="shared" si="3"/>
        <v>0</v>
      </c>
      <c r="M68" s="7" t="str">
        <f t="shared" si="6"/>
        <v/>
      </c>
      <c r="O68" s="204" t="s">
        <v>731</v>
      </c>
      <c r="P68" s="208">
        <v>0</v>
      </c>
      <c r="Q68" s="208">
        <v>0</v>
      </c>
      <c r="R68" s="218" t="e">
        <v>#DIV/0!</v>
      </c>
      <c r="S68" s="206">
        <f>COUNTIF(DataCoutRevenuAux!K:K,DataHubs!O68)</f>
        <v>0</v>
      </c>
      <c r="T68" s="206">
        <f>SUMIF(DataCoutRevenuAux!K:K,DataHubs!O68,DataCoutRevenuAux!Q:Q)</f>
        <v>0</v>
      </c>
      <c r="U68" s="206">
        <f>VLOOKUP(O68,ROI_Avions!A:B,2,FALSE)</f>
        <v>555155814</v>
      </c>
      <c r="V68" s="206" t="e">
        <f>SUMIF(#REF!,DataHubs!O68,#REF!)</f>
        <v>#REF!</v>
      </c>
    </row>
    <row r="69" spans="1:22" x14ac:dyDescent="0.3">
      <c r="A69" s="204" t="s">
        <v>919</v>
      </c>
      <c r="B69" s="204"/>
      <c r="C69" s="204"/>
      <c r="D69" s="204"/>
      <c r="E69" s="204"/>
      <c r="F69" s="204"/>
      <c r="G69" s="204"/>
      <c r="H69" s="204"/>
      <c r="I69" s="185">
        <f t="shared" si="4"/>
        <v>8</v>
      </c>
      <c r="J69" s="185" t="str">
        <f t="shared" si="5"/>
        <v/>
      </c>
      <c r="K69" s="8" t="str">
        <f t="shared" si="2"/>
        <v/>
      </c>
      <c r="L69" s="8" t="str">
        <f t="shared" si="3"/>
        <v/>
      </c>
      <c r="M69" s="7" t="str">
        <f t="shared" si="6"/>
        <v/>
      </c>
      <c r="O69" s="204" t="s">
        <v>724</v>
      </c>
      <c r="P69" s="208">
        <v>0</v>
      </c>
      <c r="Q69" s="208">
        <v>0</v>
      </c>
      <c r="R69" s="218" t="e">
        <v>#DIV/0!</v>
      </c>
      <c r="S69" s="206">
        <f>COUNTIF(DataCoutRevenuAux!K:K,DataHubs!O69)</f>
        <v>0</v>
      </c>
      <c r="T69" s="206">
        <f>SUMIF(DataCoutRevenuAux!K:K,DataHubs!O69,DataCoutRevenuAux!Q:Q)</f>
        <v>0</v>
      </c>
      <c r="U69" s="206">
        <f>VLOOKUP(O69,ROI_Avions!A:B,2,FALSE)</f>
        <v>595891869</v>
      </c>
      <c r="V69" s="206" t="e">
        <f>SUMIF(#REF!,DataHubs!O69,#REF!)</f>
        <v>#REF!</v>
      </c>
    </row>
    <row r="70" spans="1:22" x14ac:dyDescent="0.3">
      <c r="A70" s="204"/>
      <c r="B70" s="204" t="s">
        <v>918</v>
      </c>
      <c r="C70" s="204" t="s">
        <v>918</v>
      </c>
      <c r="D70" s="204" t="s">
        <v>404</v>
      </c>
      <c r="E70" s="204" t="s">
        <v>404</v>
      </c>
      <c r="F70" s="204" t="s">
        <v>1131</v>
      </c>
      <c r="G70" s="204"/>
      <c r="H70" s="204"/>
      <c r="I70" s="185">
        <f t="shared" si="4"/>
        <v>0</v>
      </c>
      <c r="J70" s="185" t="str">
        <f t="shared" si="5"/>
        <v>WDH</v>
      </c>
      <c r="K70" s="8">
        <f t="shared" si="2"/>
        <v>0</v>
      </c>
      <c r="L70" s="8">
        <f t="shared" si="3"/>
        <v>0</v>
      </c>
      <c r="M70" s="7" t="str">
        <f t="shared" si="6"/>
        <v/>
      </c>
      <c r="O70" s="204" t="s">
        <v>342</v>
      </c>
      <c r="P70" s="208">
        <v>0</v>
      </c>
      <c r="Q70" s="208">
        <v>0</v>
      </c>
      <c r="R70" s="218" t="e">
        <v>#DIV/0!</v>
      </c>
      <c r="S70" s="206">
        <f>COUNTIF(DataCoutRevenuAux!K:K,DataHubs!O70)</f>
        <v>0</v>
      </c>
      <c r="T70" s="206">
        <f>SUMIF(DataCoutRevenuAux!K:K,DataHubs!O70,DataCoutRevenuAux!Q:Q)</f>
        <v>0</v>
      </c>
      <c r="U70" s="206">
        <f>VLOOKUP(O70,ROI_Avions!A:B,2,FALSE)</f>
        <v>897809549</v>
      </c>
      <c r="V70" s="206" t="e">
        <f>SUMIF(#REF!,DataHubs!O70,#REF!)</f>
        <v>#REF!</v>
      </c>
    </row>
    <row r="71" spans="1:22" x14ac:dyDescent="0.3">
      <c r="A71" s="204" t="s">
        <v>921</v>
      </c>
      <c r="B71" s="204"/>
      <c r="C71" s="204"/>
      <c r="D71" s="204"/>
      <c r="E71" s="204"/>
      <c r="F71" s="204"/>
      <c r="G71" s="204"/>
      <c r="H71" s="204"/>
      <c r="I71" s="185">
        <f t="shared" si="4"/>
        <v>8</v>
      </c>
      <c r="J71" s="185" t="str">
        <f t="shared" si="5"/>
        <v/>
      </c>
      <c r="K71" s="8" t="str">
        <f t="shared" si="2"/>
        <v/>
      </c>
      <c r="L71" s="8" t="str">
        <f t="shared" si="3"/>
        <v/>
      </c>
      <c r="M71" s="7" t="str">
        <f t="shared" si="6"/>
        <v/>
      </c>
      <c r="O71" s="204" t="s">
        <v>428</v>
      </c>
      <c r="P71" s="208">
        <v>0</v>
      </c>
      <c r="Q71" s="208">
        <v>0</v>
      </c>
      <c r="R71" s="218" t="e">
        <v>#DIV/0!</v>
      </c>
      <c r="S71" s="206">
        <f>COUNTIF(DataCoutRevenuAux!K:K,DataHubs!O71)</f>
        <v>0</v>
      </c>
      <c r="T71" s="206">
        <f>SUMIF(DataCoutRevenuAux!K:K,DataHubs!O71,DataCoutRevenuAux!Q:Q)</f>
        <v>0</v>
      </c>
      <c r="U71" s="206">
        <f>VLOOKUP(O71,ROI_Avions!A:B,2,FALSE)</f>
        <v>456350775</v>
      </c>
      <c r="V71" s="206" t="e">
        <f>SUMIF(#REF!,DataHubs!O71,#REF!)</f>
        <v>#REF!</v>
      </c>
    </row>
    <row r="72" spans="1:22" x14ac:dyDescent="0.3">
      <c r="A72" s="204"/>
      <c r="B72" s="204" t="s">
        <v>918</v>
      </c>
      <c r="C72" s="204" t="s">
        <v>918</v>
      </c>
      <c r="D72" s="204" t="s">
        <v>404</v>
      </c>
      <c r="E72" s="204" t="s">
        <v>404</v>
      </c>
      <c r="F72" s="204" t="s">
        <v>1131</v>
      </c>
      <c r="G72" s="204"/>
      <c r="H72" s="204"/>
      <c r="I72" s="185">
        <f t="shared" si="4"/>
        <v>0</v>
      </c>
      <c r="J72" s="185" t="str">
        <f t="shared" si="5"/>
        <v>BOG</v>
      </c>
      <c r="K72" s="8">
        <f t="shared" si="2"/>
        <v>0</v>
      </c>
      <c r="L72" s="8">
        <f t="shared" si="3"/>
        <v>0</v>
      </c>
      <c r="M72" s="7" t="str">
        <f t="shared" si="6"/>
        <v/>
      </c>
      <c r="O72" s="204" t="s">
        <v>729</v>
      </c>
      <c r="P72" s="208">
        <v>0</v>
      </c>
      <c r="Q72" s="208">
        <v>0</v>
      </c>
      <c r="R72" s="218" t="e">
        <v>#DIV/0!</v>
      </c>
      <c r="S72" s="206">
        <f>COUNTIF(DataCoutRevenuAux!K:K,DataHubs!O72)</f>
        <v>2</v>
      </c>
      <c r="T72" s="206">
        <f>SUMIF(DataCoutRevenuAux!K:K,DataHubs!O72,DataCoutRevenuAux!Q:Q)</f>
        <v>6</v>
      </c>
      <c r="U72" s="206">
        <f>VLOOKUP(O72,ROI_Avions!A:B,2,FALSE)</f>
        <v>444321612</v>
      </c>
      <c r="V72" s="206" t="e">
        <f>SUMIF(#REF!,DataHubs!O72,#REF!)</f>
        <v>#REF!</v>
      </c>
    </row>
    <row r="73" spans="1:22" x14ac:dyDescent="0.3">
      <c r="A73" s="204" t="s">
        <v>1139</v>
      </c>
      <c r="B73" s="204"/>
      <c r="C73" s="204"/>
      <c r="D73" s="204"/>
      <c r="E73" s="204"/>
      <c r="F73" s="204"/>
      <c r="G73" s="204"/>
      <c r="H73" s="204"/>
      <c r="I73" s="185">
        <f t="shared" si="4"/>
        <v>8</v>
      </c>
      <c r="J73" s="185" t="str">
        <f t="shared" si="5"/>
        <v/>
      </c>
      <c r="K73" s="8" t="str">
        <f t="shared" si="2"/>
        <v/>
      </c>
      <c r="L73" s="8" t="str">
        <f t="shared" si="3"/>
        <v/>
      </c>
      <c r="M73" s="7" t="str">
        <f t="shared" si="6"/>
        <v/>
      </c>
      <c r="O73" s="204" t="s">
        <v>726</v>
      </c>
      <c r="P73" s="208">
        <v>0</v>
      </c>
      <c r="Q73" s="208">
        <v>0</v>
      </c>
      <c r="R73" s="218" t="e">
        <v>#DIV/0!</v>
      </c>
      <c r="S73" s="206">
        <f>COUNTIF(DataCoutRevenuAux!K:K,DataHubs!O73)</f>
        <v>0</v>
      </c>
      <c r="T73" s="206">
        <f>SUMIF(DataCoutRevenuAux!K:K,DataHubs!O73,DataCoutRevenuAux!Q:Q)</f>
        <v>0</v>
      </c>
      <c r="U73" s="206">
        <f>VLOOKUP(O73,ROI_Avions!A:B,2,FALSE)</f>
        <v>636004377</v>
      </c>
      <c r="V73" s="206" t="e">
        <f>SUMIF(#REF!,DataHubs!O73,#REF!)</f>
        <v>#REF!</v>
      </c>
    </row>
    <row r="74" spans="1:22" x14ac:dyDescent="0.3">
      <c r="A74" s="204"/>
      <c r="B74" s="204" t="s">
        <v>918</v>
      </c>
      <c r="C74" s="204" t="s">
        <v>918</v>
      </c>
      <c r="D74" s="204" t="s">
        <v>404</v>
      </c>
      <c r="E74" s="204" t="s">
        <v>404</v>
      </c>
      <c r="F74" s="204" t="s">
        <v>1131</v>
      </c>
      <c r="G74" s="204"/>
      <c r="H74" s="204"/>
      <c r="I74" s="185">
        <f t="shared" si="4"/>
        <v>0</v>
      </c>
      <c r="J74" s="185" t="str">
        <f t="shared" si="5"/>
        <v>LOS</v>
      </c>
      <c r="K74" s="8">
        <f t="shared" si="2"/>
        <v>0</v>
      </c>
      <c r="L74" s="8">
        <f t="shared" si="3"/>
        <v>0</v>
      </c>
      <c r="M74" s="7" t="str">
        <f t="shared" si="6"/>
        <v/>
      </c>
      <c r="O74" s="204" t="s">
        <v>427</v>
      </c>
      <c r="P74" s="208">
        <v>0</v>
      </c>
      <c r="Q74" s="208">
        <v>0</v>
      </c>
      <c r="R74" s="218" t="e">
        <v>#DIV/0!</v>
      </c>
      <c r="S74" s="206">
        <f>COUNTIF(DataCoutRevenuAux!K:K,DataHubs!O74)</f>
        <v>1</v>
      </c>
      <c r="T74" s="206">
        <f>SUMIF(DataCoutRevenuAux!K:K,DataHubs!O74,DataCoutRevenuAux!Q:Q)</f>
        <v>3</v>
      </c>
      <c r="U74" s="206">
        <f>VLOOKUP(O74,ROI_Avions!A:B,2,FALSE)</f>
        <v>650382948</v>
      </c>
      <c r="V74" s="206" t="e">
        <f>SUMIF(#REF!,DataHubs!O74,#REF!)</f>
        <v>#REF!</v>
      </c>
    </row>
    <row r="75" spans="1:22" x14ac:dyDescent="0.3">
      <c r="A75" s="204" t="s">
        <v>922</v>
      </c>
      <c r="B75" s="204"/>
      <c r="C75" s="204"/>
      <c r="D75" s="204"/>
      <c r="E75" s="204"/>
      <c r="F75" s="204"/>
      <c r="G75" s="204"/>
      <c r="H75" s="204"/>
      <c r="I75" s="185">
        <f t="shared" si="4"/>
        <v>8</v>
      </c>
      <c r="J75" s="185" t="str">
        <f t="shared" si="5"/>
        <v/>
      </c>
      <c r="K75" s="8" t="str">
        <f t="shared" si="2"/>
        <v/>
      </c>
      <c r="L75" s="8" t="str">
        <f t="shared" si="3"/>
        <v/>
      </c>
      <c r="M75" s="7" t="str">
        <f t="shared" si="6"/>
        <v/>
      </c>
      <c r="O75" s="204" t="s">
        <v>1136</v>
      </c>
      <c r="P75" s="208">
        <v>0</v>
      </c>
      <c r="Q75" s="208">
        <v>0</v>
      </c>
      <c r="R75" s="218" t="e">
        <v>#DIV/0!</v>
      </c>
      <c r="S75" s="206">
        <f>COUNTIF(DataCoutRevenuAux!K:K,DataHubs!O75)</f>
        <v>0</v>
      </c>
      <c r="T75" s="206">
        <f>SUMIF(DataCoutRevenuAux!K:K,DataHubs!O75,DataCoutRevenuAux!Q:Q)</f>
        <v>0</v>
      </c>
      <c r="U75" s="206">
        <f>VLOOKUP(O75,ROI_Avions!A:B,2,FALSE)</f>
        <v>1150748134</v>
      </c>
      <c r="V75" s="206" t="e">
        <f>SUMIF(#REF!,DataHubs!O75,#REF!)</f>
        <v>#REF!</v>
      </c>
    </row>
    <row r="76" spans="1:22" x14ac:dyDescent="0.3">
      <c r="A76" s="204"/>
      <c r="B76" s="204" t="s">
        <v>918</v>
      </c>
      <c r="C76" s="204" t="s">
        <v>918</v>
      </c>
      <c r="D76" s="204" t="s">
        <v>404</v>
      </c>
      <c r="E76" s="204" t="s">
        <v>404</v>
      </c>
      <c r="F76" s="204" t="s">
        <v>1131</v>
      </c>
      <c r="G76" s="204"/>
      <c r="H76" s="204"/>
      <c r="I76" s="185">
        <f t="shared" si="4"/>
        <v>0</v>
      </c>
      <c r="J76" s="185" t="str">
        <f t="shared" si="5"/>
        <v>FNA</v>
      </c>
      <c r="K76" s="8">
        <f t="shared" si="2"/>
        <v>0</v>
      </c>
      <c r="L76" s="8">
        <f t="shared" si="3"/>
        <v>0</v>
      </c>
      <c r="M76" s="7" t="str">
        <f t="shared" si="6"/>
        <v/>
      </c>
      <c r="O76" s="204" t="s">
        <v>727</v>
      </c>
      <c r="P76" s="208">
        <v>0</v>
      </c>
      <c r="Q76" s="208">
        <v>0</v>
      </c>
      <c r="R76" s="218" t="e">
        <v>#DIV/0!</v>
      </c>
      <c r="S76" s="206">
        <f>COUNTIF(DataCoutRevenuAux!K:K,DataHubs!O76)</f>
        <v>0</v>
      </c>
      <c r="T76" s="206">
        <f>SUMIF(DataCoutRevenuAux!K:K,DataHubs!O76,DataCoutRevenuAux!Q:Q)</f>
        <v>0</v>
      </c>
      <c r="U76" s="206">
        <f>VLOOKUP(O76,ROI_Avions!A:B,2,FALSE)</f>
        <v>470932640</v>
      </c>
      <c r="V76" s="206" t="e">
        <f>SUMIF(#REF!,DataHubs!O76,#REF!)</f>
        <v>#REF!</v>
      </c>
    </row>
    <row r="77" spans="1:22" x14ac:dyDescent="0.3">
      <c r="A77" s="204" t="s">
        <v>923</v>
      </c>
      <c r="B77" s="204"/>
      <c r="C77" s="204"/>
      <c r="D77" s="204"/>
      <c r="E77" s="204"/>
      <c r="F77" s="204"/>
      <c r="G77" s="204"/>
      <c r="H77" s="204"/>
      <c r="I77" s="185">
        <f t="shared" si="4"/>
        <v>8</v>
      </c>
      <c r="J77" s="185" t="str">
        <f t="shared" si="5"/>
        <v/>
      </c>
      <c r="K77" s="8" t="str">
        <f t="shared" si="2"/>
        <v/>
      </c>
      <c r="L77" s="8" t="str">
        <f t="shared" si="3"/>
        <v/>
      </c>
      <c r="M77" s="7" t="str">
        <f t="shared" si="6"/>
        <v/>
      </c>
      <c r="O77" s="204" t="s">
        <v>728</v>
      </c>
      <c r="P77" s="208">
        <v>0</v>
      </c>
      <c r="Q77" s="208">
        <v>0</v>
      </c>
      <c r="R77" s="218" t="e">
        <v>#DIV/0!</v>
      </c>
      <c r="S77" s="206">
        <f>COUNTIF(DataCoutRevenuAux!K:K,DataHubs!O77)</f>
        <v>0</v>
      </c>
      <c r="T77" s="206">
        <f>SUMIF(DataCoutRevenuAux!K:K,DataHubs!O77,DataCoutRevenuAux!Q:Q)</f>
        <v>0</v>
      </c>
      <c r="U77" s="206">
        <f>VLOOKUP(O77,ROI_Avions!A:B,2,FALSE)</f>
        <v>449814960</v>
      </c>
      <c r="V77" s="206" t="e">
        <f>SUMIF(#REF!,DataHubs!O77,#REF!)</f>
        <v>#REF!</v>
      </c>
    </row>
    <row r="78" spans="1:22" x14ac:dyDescent="0.3">
      <c r="A78" s="204"/>
      <c r="B78" s="204" t="s">
        <v>918</v>
      </c>
      <c r="C78" s="204" t="s">
        <v>918</v>
      </c>
      <c r="D78" s="204" t="s">
        <v>404</v>
      </c>
      <c r="E78" s="204" t="s">
        <v>404</v>
      </c>
      <c r="F78" s="204" t="s">
        <v>1131</v>
      </c>
      <c r="G78" s="204"/>
      <c r="H78" s="204"/>
      <c r="I78" s="185">
        <f t="shared" si="4"/>
        <v>0</v>
      </c>
      <c r="J78" s="185" t="str">
        <f t="shared" si="5"/>
        <v>CUN</v>
      </c>
      <c r="K78" s="8">
        <f t="shared" si="2"/>
        <v>0</v>
      </c>
      <c r="L78" s="8">
        <f t="shared" si="3"/>
        <v>0</v>
      </c>
      <c r="M78" s="7" t="str">
        <f t="shared" si="6"/>
        <v/>
      </c>
      <c r="O78" s="204" t="s">
        <v>725</v>
      </c>
      <c r="P78" s="208">
        <v>0</v>
      </c>
      <c r="Q78" s="208">
        <v>0</v>
      </c>
      <c r="R78" s="218" t="e">
        <v>#DIV/0!</v>
      </c>
      <c r="S78" s="206">
        <f>COUNTIF(DataCoutRevenuAux!K:K,DataHubs!O78)</f>
        <v>0</v>
      </c>
      <c r="T78" s="206">
        <f>SUMIF(DataCoutRevenuAux!K:K,DataHubs!O78,DataCoutRevenuAux!Q:Q)</f>
        <v>0</v>
      </c>
      <c r="U78" s="206">
        <f>VLOOKUP(O78,ROI_Avions!A:B,2,FALSE)</f>
        <v>494238733</v>
      </c>
      <c r="V78" s="206" t="e">
        <f>SUMIF(#REF!,DataHubs!O78,#REF!)</f>
        <v>#REF!</v>
      </c>
    </row>
    <row r="79" spans="1:22" x14ac:dyDescent="0.3">
      <c r="A79" s="204" t="s">
        <v>1141</v>
      </c>
      <c r="B79" s="204"/>
      <c r="C79" s="204"/>
      <c r="D79" s="204"/>
      <c r="E79" s="204"/>
      <c r="F79" s="204"/>
      <c r="G79" s="204"/>
      <c r="H79" s="204"/>
      <c r="I79" s="185">
        <f t="shared" si="4"/>
        <v>8</v>
      </c>
      <c r="J79" s="185" t="str">
        <f t="shared" si="5"/>
        <v/>
      </c>
      <c r="K79" s="8" t="str">
        <f t="shared" si="2"/>
        <v/>
      </c>
      <c r="L79" s="8" t="str">
        <f t="shared" si="3"/>
        <v/>
      </c>
      <c r="M79" s="7" t="str">
        <f t="shared" si="6"/>
        <v/>
      </c>
      <c r="O79" s="204" t="s">
        <v>315</v>
      </c>
      <c r="P79" s="208">
        <v>0</v>
      </c>
      <c r="Q79" s="208">
        <v>0</v>
      </c>
      <c r="R79" s="218" t="e">
        <v>#DIV/0!</v>
      </c>
      <c r="S79" s="206">
        <f>COUNTIF(DataCoutRevenuAux!K:K,DataHubs!O79)</f>
        <v>0</v>
      </c>
      <c r="T79" s="206">
        <f>SUMIF(DataCoutRevenuAux!K:K,DataHubs!O79,DataCoutRevenuAux!Q:Q)</f>
        <v>0</v>
      </c>
      <c r="U79" s="206">
        <f>VLOOKUP(O79,ROI_Avions!A:B,2,FALSE)</f>
        <v>0</v>
      </c>
      <c r="V79" s="206" t="e">
        <f>SUMIF(#REF!,DataHubs!O79,#REF!)</f>
        <v>#REF!</v>
      </c>
    </row>
    <row r="80" spans="1:22" x14ac:dyDescent="0.3">
      <c r="A80" s="204"/>
      <c r="B80" s="204" t="s">
        <v>918</v>
      </c>
      <c r="C80" s="204" t="s">
        <v>918</v>
      </c>
      <c r="D80" s="204" t="s">
        <v>404</v>
      </c>
      <c r="E80" s="204" t="s">
        <v>404</v>
      </c>
      <c r="F80" s="204" t="s">
        <v>1131</v>
      </c>
      <c r="G80" s="204"/>
      <c r="H80" s="204"/>
      <c r="I80" s="185">
        <f t="shared" si="4"/>
        <v>0</v>
      </c>
      <c r="J80" s="185" t="str">
        <f t="shared" si="5"/>
        <v>SFO</v>
      </c>
      <c r="K80" s="8">
        <f t="shared" si="2"/>
        <v>0</v>
      </c>
      <c r="L80" s="8">
        <f t="shared" si="3"/>
        <v>0</v>
      </c>
      <c r="M80" s="7" t="str">
        <f t="shared" si="6"/>
        <v/>
      </c>
      <c r="O80" s="204" t="s">
        <v>730</v>
      </c>
      <c r="P80" s="208">
        <v>0</v>
      </c>
      <c r="Q80" s="208">
        <v>0</v>
      </c>
      <c r="R80" s="218" t="e">
        <v>#DIV/0!</v>
      </c>
      <c r="S80" s="206">
        <f>COUNTIF(DataCoutRevenuAux!K:K,DataHubs!O80)</f>
        <v>2</v>
      </c>
      <c r="T80" s="206">
        <f>SUMIF(DataCoutRevenuAux!K:K,DataHubs!O80,DataCoutRevenuAux!Q:Q)</f>
        <v>6</v>
      </c>
      <c r="U80" s="206">
        <f>VLOOKUP(O80,ROI_Avions!A:B,2,FALSE)</f>
        <v>471257783</v>
      </c>
      <c r="V80" s="206" t="e">
        <f>SUMIF(#REF!,DataHubs!O80,#REF!)</f>
        <v>#REF!</v>
      </c>
    </row>
    <row r="81" spans="1:22" x14ac:dyDescent="0.3">
      <c r="A81" s="204" t="s">
        <v>927</v>
      </c>
      <c r="B81" s="204"/>
      <c r="C81" s="204"/>
      <c r="D81" s="204"/>
      <c r="E81" s="204"/>
      <c r="F81" s="204"/>
      <c r="G81" s="204"/>
      <c r="H81" s="204"/>
      <c r="I81" s="185">
        <f t="shared" si="4"/>
        <v>8</v>
      </c>
      <c r="J81" s="185" t="str">
        <f t="shared" si="5"/>
        <v/>
      </c>
      <c r="K81" s="8" t="str">
        <f t="shared" si="2"/>
        <v/>
      </c>
      <c r="L81" s="8" t="str">
        <f t="shared" si="3"/>
        <v/>
      </c>
      <c r="M81" s="7" t="str">
        <f t="shared" si="6"/>
        <v/>
      </c>
      <c r="P81"/>
      <c r="Q81"/>
      <c r="S81" s="217"/>
      <c r="T81" s="217"/>
      <c r="U81" s="217"/>
      <c r="V81" s="217"/>
    </row>
    <row r="82" spans="1:22" x14ac:dyDescent="0.3">
      <c r="A82" s="204"/>
      <c r="B82" s="204" t="s">
        <v>918</v>
      </c>
      <c r="C82" s="204" t="s">
        <v>918</v>
      </c>
      <c r="D82" s="204" t="s">
        <v>404</v>
      </c>
      <c r="E82" s="204" t="s">
        <v>404</v>
      </c>
      <c r="F82" s="204" t="s">
        <v>1131</v>
      </c>
      <c r="G82" s="204"/>
      <c r="H82" s="204"/>
      <c r="I82" s="185">
        <f t="shared" si="4"/>
        <v>0</v>
      </c>
      <c r="J82" s="185" t="str">
        <f t="shared" si="5"/>
        <v>FIH</v>
      </c>
      <c r="K82" s="8">
        <f t="shared" si="2"/>
        <v>0</v>
      </c>
      <c r="L82" s="8">
        <f t="shared" si="3"/>
        <v>0</v>
      </c>
      <c r="M82" s="7" t="str">
        <f t="shared" si="6"/>
        <v/>
      </c>
      <c r="P82"/>
      <c r="Q82"/>
    </row>
    <row r="83" spans="1:22" x14ac:dyDescent="0.3">
      <c r="A83" s="204" t="s">
        <v>928</v>
      </c>
      <c r="B83" s="204"/>
      <c r="C83" s="204"/>
      <c r="D83" s="204"/>
      <c r="E83" s="204"/>
      <c r="F83" s="204"/>
      <c r="G83" s="204"/>
      <c r="H83" s="204"/>
      <c r="I83" s="185">
        <f t="shared" si="4"/>
        <v>8</v>
      </c>
      <c r="J83" s="185" t="str">
        <f t="shared" si="5"/>
        <v/>
      </c>
      <c r="K83" s="8" t="str">
        <f t="shared" si="2"/>
        <v/>
      </c>
      <c r="L83" s="8" t="str">
        <f t="shared" si="3"/>
        <v/>
      </c>
      <c r="M83" s="7" t="str">
        <f t="shared" si="6"/>
        <v/>
      </c>
    </row>
    <row r="84" spans="1:22" x14ac:dyDescent="0.3">
      <c r="A84" s="204"/>
      <c r="B84" s="204" t="s">
        <v>918</v>
      </c>
      <c r="C84" s="204" t="s">
        <v>918</v>
      </c>
      <c r="D84" s="204" t="s">
        <v>404</v>
      </c>
      <c r="E84" s="204" t="s">
        <v>404</v>
      </c>
      <c r="F84" s="204" t="s">
        <v>1131</v>
      </c>
      <c r="G84" s="204"/>
      <c r="H84" s="204"/>
      <c r="I84" s="185">
        <f t="shared" si="4"/>
        <v>0</v>
      </c>
      <c r="J84" s="185" t="str">
        <f t="shared" si="5"/>
        <v>MEX</v>
      </c>
      <c r="K84" s="8">
        <f t="shared" si="2"/>
        <v>0</v>
      </c>
      <c r="L84" s="8">
        <f t="shared" si="3"/>
        <v>0</v>
      </c>
      <c r="M84" s="7" t="str">
        <f t="shared" si="6"/>
        <v/>
      </c>
    </row>
    <row r="85" spans="1:22" x14ac:dyDescent="0.3">
      <c r="A85" s="204" t="s">
        <v>1140</v>
      </c>
      <c r="B85" s="204"/>
      <c r="C85" s="204"/>
      <c r="D85" s="204"/>
      <c r="E85" s="204"/>
      <c r="F85" s="204"/>
      <c r="G85" s="204"/>
      <c r="H85" s="204"/>
      <c r="I85" s="185">
        <f t="shared" si="4"/>
        <v>8</v>
      </c>
      <c r="J85" s="185" t="str">
        <f t="shared" si="5"/>
        <v/>
      </c>
      <c r="K85" s="8" t="str">
        <f t="shared" si="2"/>
        <v/>
      </c>
      <c r="L85" s="8" t="str">
        <f t="shared" si="3"/>
        <v/>
      </c>
      <c r="M85" s="7" t="str">
        <f t="shared" si="6"/>
        <v/>
      </c>
    </row>
    <row r="86" spans="1:22" x14ac:dyDescent="0.3">
      <c r="A86" s="204"/>
      <c r="B86" s="204" t="s">
        <v>918</v>
      </c>
      <c r="C86" s="204" t="s">
        <v>918</v>
      </c>
      <c r="D86" s="204" t="s">
        <v>1395</v>
      </c>
      <c r="E86" s="204" t="s">
        <v>1396</v>
      </c>
      <c r="F86" s="204" t="s">
        <v>1222</v>
      </c>
      <c r="G86" s="204"/>
      <c r="H86" s="204"/>
      <c r="I86" s="185">
        <f t="shared" si="4"/>
        <v>0</v>
      </c>
      <c r="J86" s="185" t="str">
        <f t="shared" si="5"/>
        <v>DEL</v>
      </c>
      <c r="K86" s="8">
        <f t="shared" si="2"/>
        <v>142169866</v>
      </c>
      <c r="L86" s="8">
        <f t="shared" si="3"/>
        <v>120691857</v>
      </c>
      <c r="M86" s="7">
        <f t="shared" si="6"/>
        <v>0.84892713481209869</v>
      </c>
    </row>
    <row r="87" spans="1:22" x14ac:dyDescent="0.3">
      <c r="A87" s="204" t="s">
        <v>930</v>
      </c>
      <c r="B87" s="204"/>
      <c r="C87" s="204"/>
      <c r="D87" s="204"/>
      <c r="E87" s="204"/>
      <c r="F87" s="204"/>
      <c r="G87" s="204"/>
      <c r="H87" s="204"/>
      <c r="I87" s="185">
        <f t="shared" si="4"/>
        <v>8</v>
      </c>
      <c r="J87" s="185" t="str">
        <f t="shared" si="5"/>
        <v/>
      </c>
      <c r="K87" s="8" t="str">
        <f t="shared" si="2"/>
        <v/>
      </c>
      <c r="L87" s="8" t="str">
        <f t="shared" si="3"/>
        <v/>
      </c>
      <c r="M87" s="7" t="str">
        <f t="shared" si="6"/>
        <v/>
      </c>
    </row>
    <row r="88" spans="1:22" x14ac:dyDescent="0.3">
      <c r="A88" s="204"/>
      <c r="B88" s="204" t="s">
        <v>918</v>
      </c>
      <c r="C88" s="204" t="s">
        <v>918</v>
      </c>
      <c r="D88" s="204" t="s">
        <v>404</v>
      </c>
      <c r="E88" s="204" t="s">
        <v>404</v>
      </c>
      <c r="F88" s="204" t="s">
        <v>1131</v>
      </c>
      <c r="G88" s="204"/>
      <c r="H88" s="204"/>
      <c r="I88" s="185">
        <f t="shared" si="4"/>
        <v>0</v>
      </c>
      <c r="J88" s="185" t="str">
        <f t="shared" si="5"/>
        <v>LAD</v>
      </c>
      <c r="K88" s="8">
        <f t="shared" si="2"/>
        <v>0</v>
      </c>
      <c r="L88" s="8">
        <f t="shared" si="3"/>
        <v>0</v>
      </c>
      <c r="M88" s="7" t="str">
        <f t="shared" si="6"/>
        <v/>
      </c>
    </row>
    <row r="89" spans="1:22" x14ac:dyDescent="0.3">
      <c r="A89" s="204" t="s">
        <v>929</v>
      </c>
      <c r="B89" s="204"/>
      <c r="C89" s="204"/>
      <c r="D89" s="204"/>
      <c r="E89" s="204"/>
      <c r="F89" s="204"/>
      <c r="G89" s="204"/>
      <c r="H89" s="204"/>
      <c r="I89" s="185">
        <f t="shared" si="4"/>
        <v>8</v>
      </c>
      <c r="J89" s="185" t="str">
        <f t="shared" si="5"/>
        <v/>
      </c>
      <c r="K89" s="8" t="str">
        <f t="shared" si="2"/>
        <v/>
      </c>
      <c r="L89" s="8" t="str">
        <f t="shared" si="3"/>
        <v/>
      </c>
      <c r="M89" s="7" t="str">
        <f t="shared" si="6"/>
        <v/>
      </c>
    </row>
    <row r="90" spans="1:22" x14ac:dyDescent="0.3">
      <c r="A90" s="204"/>
      <c r="B90" s="204" t="s">
        <v>918</v>
      </c>
      <c r="C90" s="204" t="s">
        <v>918</v>
      </c>
      <c r="D90" s="204" t="s">
        <v>404</v>
      </c>
      <c r="E90" s="204" t="s">
        <v>404</v>
      </c>
      <c r="F90" s="204" t="s">
        <v>1131</v>
      </c>
      <c r="G90" s="204"/>
      <c r="H90" s="204"/>
      <c r="I90" s="185">
        <f t="shared" si="4"/>
        <v>0</v>
      </c>
      <c r="J90" s="185" t="str">
        <f t="shared" si="5"/>
        <v>DME</v>
      </c>
      <c r="K90" s="8">
        <f t="shared" si="2"/>
        <v>0</v>
      </c>
      <c r="L90" s="8">
        <f t="shared" si="3"/>
        <v>0</v>
      </c>
      <c r="M90" s="7" t="str">
        <f t="shared" si="6"/>
        <v/>
      </c>
    </row>
    <row r="91" spans="1:22" x14ac:dyDescent="0.3">
      <c r="A91" s="204" t="s">
        <v>1111</v>
      </c>
      <c r="B91" s="204"/>
      <c r="C91" s="204"/>
      <c r="D91" s="204"/>
      <c r="E91" s="204"/>
      <c r="F91" s="204"/>
      <c r="G91" s="204"/>
      <c r="H91" s="204"/>
      <c r="I91" s="185">
        <f t="shared" si="4"/>
        <v>8</v>
      </c>
      <c r="J91" s="185" t="str">
        <f t="shared" si="5"/>
        <v/>
      </c>
      <c r="K91" s="8" t="str">
        <f t="shared" si="2"/>
        <v/>
      </c>
      <c r="L91" s="8" t="str">
        <f t="shared" si="3"/>
        <v/>
      </c>
      <c r="M91" s="7" t="str">
        <f t="shared" si="6"/>
        <v/>
      </c>
    </row>
    <row r="92" spans="1:22" x14ac:dyDescent="0.3">
      <c r="A92" s="204"/>
      <c r="B92" s="204" t="s">
        <v>918</v>
      </c>
      <c r="C92" s="204" t="s">
        <v>918</v>
      </c>
      <c r="D92" s="204" t="s">
        <v>1340</v>
      </c>
      <c r="E92" s="204" t="s">
        <v>1341</v>
      </c>
      <c r="F92" s="204" t="s">
        <v>1131</v>
      </c>
      <c r="G92" s="204"/>
      <c r="H92" s="204"/>
      <c r="I92" s="185">
        <f t="shared" si="4"/>
        <v>0</v>
      </c>
      <c r="J92" s="185" t="str">
        <f t="shared" si="5"/>
        <v>BOM</v>
      </c>
      <c r="K92" s="8">
        <f t="shared" si="2"/>
        <v>122480327</v>
      </c>
      <c r="L92" s="8">
        <f t="shared" si="3"/>
        <v>103650945</v>
      </c>
      <c r="M92" s="7">
        <f t="shared" si="6"/>
        <v>0.84626607014202371</v>
      </c>
    </row>
    <row r="93" spans="1:22" x14ac:dyDescent="0.3">
      <c r="A93" s="204" t="s">
        <v>924</v>
      </c>
      <c r="B93" s="204"/>
      <c r="C93" s="204"/>
      <c r="D93" s="204"/>
      <c r="E93" s="204"/>
      <c r="F93" s="204"/>
      <c r="G93" s="204"/>
      <c r="H93" s="204"/>
      <c r="I93" s="185">
        <f t="shared" si="4"/>
        <v>8</v>
      </c>
      <c r="J93" s="185" t="str">
        <f t="shared" si="5"/>
        <v/>
      </c>
      <c r="K93" s="8" t="str">
        <f t="shared" si="2"/>
        <v/>
      </c>
      <c r="L93" s="8" t="str">
        <f t="shared" si="3"/>
        <v/>
      </c>
      <c r="M93" s="7" t="str">
        <f t="shared" si="6"/>
        <v/>
      </c>
    </row>
    <row r="94" spans="1:22" x14ac:dyDescent="0.3">
      <c r="A94" s="204"/>
      <c r="B94" s="204" t="s">
        <v>918</v>
      </c>
      <c r="C94" s="204" t="s">
        <v>918</v>
      </c>
      <c r="D94" s="204" t="s">
        <v>404</v>
      </c>
      <c r="E94" s="204" t="s">
        <v>404</v>
      </c>
      <c r="F94" s="204" t="s">
        <v>1131</v>
      </c>
      <c r="G94" s="204"/>
      <c r="H94" s="204"/>
      <c r="I94" s="185">
        <f t="shared" si="4"/>
        <v>0</v>
      </c>
      <c r="J94" s="185" t="str">
        <f t="shared" si="5"/>
        <v>NSI</v>
      </c>
      <c r="K94" s="8">
        <f t="shared" si="2"/>
        <v>0</v>
      </c>
      <c r="L94" s="8">
        <f t="shared" si="3"/>
        <v>0</v>
      </c>
      <c r="M94" s="7" t="str">
        <f t="shared" si="6"/>
        <v/>
      </c>
    </row>
    <row r="95" spans="1:22" x14ac:dyDescent="0.3">
      <c r="A95" s="204" t="s">
        <v>926</v>
      </c>
      <c r="B95" s="204"/>
      <c r="C95" s="204"/>
      <c r="D95" s="204"/>
      <c r="E95" s="204"/>
      <c r="F95" s="204"/>
      <c r="G95" s="204"/>
      <c r="H95" s="204"/>
      <c r="I95" s="185">
        <f t="shared" si="4"/>
        <v>8</v>
      </c>
      <c r="J95" s="185" t="str">
        <f t="shared" si="5"/>
        <v/>
      </c>
      <c r="K95" s="8" t="str">
        <f t="shared" si="2"/>
        <v/>
      </c>
      <c r="L95" s="8" t="str">
        <f t="shared" si="3"/>
        <v/>
      </c>
      <c r="M95" s="7" t="str">
        <f t="shared" si="6"/>
        <v/>
      </c>
    </row>
    <row r="96" spans="1:22" x14ac:dyDescent="0.3">
      <c r="A96" s="204"/>
      <c r="B96" s="204" t="s">
        <v>918</v>
      </c>
      <c r="C96" s="204" t="s">
        <v>918</v>
      </c>
      <c r="D96" s="204" t="s">
        <v>404</v>
      </c>
      <c r="E96" s="204" t="s">
        <v>404</v>
      </c>
      <c r="F96" s="204" t="s">
        <v>1131</v>
      </c>
      <c r="G96" s="204"/>
      <c r="H96" s="204"/>
      <c r="I96" s="185">
        <f t="shared" si="4"/>
        <v>0</v>
      </c>
      <c r="J96" s="185" t="str">
        <f t="shared" si="5"/>
        <v>NDJ</v>
      </c>
      <c r="K96" s="8">
        <f t="shared" ref="K96:K127" si="7">IF(J96&lt;&gt;"",VALUE(LEFT(D96,LEN(D96)-2)),"")</f>
        <v>0</v>
      </c>
      <c r="L96" s="8">
        <f t="shared" ref="L96:L127" si="8">IF(J96&lt;&gt;"",VALUE(LEFT(E96,LEN(E96)-2)),"")</f>
        <v>0</v>
      </c>
      <c r="M96" s="7" t="str">
        <f t="shared" si="6"/>
        <v/>
      </c>
    </row>
    <row r="97" spans="1:13" x14ac:dyDescent="0.3">
      <c r="A97" s="204" t="s">
        <v>925</v>
      </c>
      <c r="B97" s="204"/>
      <c r="C97" s="204"/>
      <c r="D97" s="204"/>
      <c r="E97" s="204"/>
      <c r="F97" s="204"/>
      <c r="G97" s="204"/>
      <c r="H97" s="204"/>
      <c r="I97" s="185">
        <f t="shared" si="4"/>
        <v>8</v>
      </c>
      <c r="J97" s="185" t="str">
        <f t="shared" si="5"/>
        <v/>
      </c>
      <c r="K97" s="8" t="str">
        <f t="shared" si="7"/>
        <v/>
      </c>
      <c r="L97" s="8" t="str">
        <f t="shared" si="8"/>
        <v/>
      </c>
      <c r="M97" s="7" t="str">
        <f t="shared" si="6"/>
        <v/>
      </c>
    </row>
    <row r="98" spans="1:13" x14ac:dyDescent="0.3">
      <c r="A98" s="204"/>
      <c r="B98" s="204" t="s">
        <v>918</v>
      </c>
      <c r="C98" s="204" t="s">
        <v>918</v>
      </c>
      <c r="D98" s="204" t="s">
        <v>404</v>
      </c>
      <c r="E98" s="204" t="s">
        <v>404</v>
      </c>
      <c r="F98" s="204" t="s">
        <v>1131</v>
      </c>
      <c r="G98" s="204"/>
      <c r="H98" s="204"/>
      <c r="I98" s="185">
        <f t="shared" si="4"/>
        <v>0</v>
      </c>
      <c r="J98" s="185" t="str">
        <f t="shared" si="5"/>
        <v>SDD</v>
      </c>
      <c r="K98" s="8">
        <f t="shared" si="7"/>
        <v>0</v>
      </c>
      <c r="L98" s="8">
        <f t="shared" si="8"/>
        <v>0</v>
      </c>
      <c r="M98" s="7" t="str">
        <f t="shared" si="6"/>
        <v/>
      </c>
    </row>
    <row r="99" spans="1:13" x14ac:dyDescent="0.3">
      <c r="A99" s="204" t="s">
        <v>917</v>
      </c>
      <c r="B99" s="204"/>
      <c r="C99" s="204"/>
      <c r="D99" s="204"/>
      <c r="E99" s="204"/>
      <c r="F99" s="204"/>
      <c r="G99" s="204"/>
      <c r="H99" s="204"/>
      <c r="I99" s="185">
        <f t="shared" si="4"/>
        <v>8</v>
      </c>
      <c r="J99" s="185" t="str">
        <f t="shared" si="5"/>
        <v/>
      </c>
      <c r="K99" s="8" t="str">
        <f t="shared" si="7"/>
        <v/>
      </c>
      <c r="L99" s="8" t="str">
        <f t="shared" si="8"/>
        <v/>
      </c>
      <c r="M99" s="7" t="str">
        <f t="shared" si="6"/>
        <v/>
      </c>
    </row>
    <row r="100" spans="1:13" x14ac:dyDescent="0.3">
      <c r="A100" s="204"/>
      <c r="B100" s="204"/>
      <c r="C100" s="204"/>
      <c r="D100" s="204"/>
      <c r="E100" s="204"/>
      <c r="F100" s="204"/>
      <c r="G100" s="204"/>
      <c r="H100" s="204"/>
      <c r="I100" s="185">
        <f t="shared" si="4"/>
        <v>0</v>
      </c>
      <c r="J100" s="185" t="str">
        <f t="shared" si="5"/>
        <v/>
      </c>
      <c r="K100" s="8" t="str">
        <f t="shared" si="7"/>
        <v/>
      </c>
      <c r="L100" s="8" t="str">
        <f t="shared" si="8"/>
        <v/>
      </c>
      <c r="M100" s="7" t="str">
        <f t="shared" si="6"/>
        <v/>
      </c>
    </row>
    <row r="101" spans="1:13" x14ac:dyDescent="0.3">
      <c r="A101" s="204"/>
      <c r="B101" s="204"/>
      <c r="C101" s="204"/>
      <c r="D101" s="204"/>
      <c r="E101" s="204"/>
      <c r="F101" s="204"/>
      <c r="G101" s="204"/>
      <c r="H101" s="204"/>
      <c r="I101" s="185">
        <f t="shared" si="4"/>
        <v>0</v>
      </c>
      <c r="J101" s="185" t="str">
        <f t="shared" si="5"/>
        <v/>
      </c>
      <c r="K101" s="8" t="str">
        <f t="shared" si="7"/>
        <v/>
      </c>
      <c r="L101" s="8" t="str">
        <f t="shared" si="8"/>
        <v/>
      </c>
      <c r="M101" s="7" t="str">
        <f t="shared" si="6"/>
        <v/>
      </c>
    </row>
    <row r="102" spans="1:13" x14ac:dyDescent="0.3">
      <c r="A102" s="204" t="s">
        <v>30</v>
      </c>
      <c r="B102" s="204" t="s">
        <v>31</v>
      </c>
      <c r="C102" s="204" t="s">
        <v>931</v>
      </c>
      <c r="D102" s="204" t="s">
        <v>3</v>
      </c>
      <c r="E102" s="204" t="s">
        <v>397</v>
      </c>
      <c r="F102" s="204" t="s">
        <v>916</v>
      </c>
      <c r="G102" s="204"/>
      <c r="H102" s="204"/>
      <c r="I102" s="185">
        <f t="shared" si="4"/>
        <v>5</v>
      </c>
      <c r="J102" s="185" t="str">
        <f t="shared" si="5"/>
        <v/>
      </c>
      <c r="K102" s="8" t="str">
        <f t="shared" si="7"/>
        <v/>
      </c>
      <c r="L102" s="8" t="str">
        <f t="shared" si="8"/>
        <v/>
      </c>
      <c r="M102" s="7" t="str">
        <f t="shared" si="6"/>
        <v/>
      </c>
    </row>
    <row r="103" spans="1:13" x14ac:dyDescent="0.3">
      <c r="A103" s="204"/>
      <c r="B103" s="204" t="s">
        <v>1259</v>
      </c>
      <c r="C103" s="204" t="s">
        <v>1355</v>
      </c>
      <c r="D103" s="204" t="s">
        <v>1356</v>
      </c>
      <c r="E103" s="204" t="s">
        <v>1319</v>
      </c>
      <c r="F103" s="204" t="s">
        <v>1131</v>
      </c>
      <c r="G103" s="204"/>
      <c r="H103" s="204"/>
      <c r="I103" s="185">
        <f t="shared" si="4"/>
        <v>0</v>
      </c>
      <c r="J103" s="185" t="str">
        <f t="shared" si="5"/>
        <v/>
      </c>
      <c r="K103" s="8" t="str">
        <f t="shared" si="7"/>
        <v/>
      </c>
      <c r="L103" s="8" t="str">
        <f t="shared" si="8"/>
        <v/>
      </c>
      <c r="M103" s="7" t="str">
        <f t="shared" si="6"/>
        <v/>
      </c>
    </row>
    <row r="104" spans="1:13" x14ac:dyDescent="0.3">
      <c r="A104" s="204" t="s">
        <v>1354</v>
      </c>
      <c r="B104" s="204"/>
      <c r="C104" s="204"/>
      <c r="D104" s="204"/>
      <c r="E104" s="204"/>
      <c r="F104" s="204"/>
      <c r="G104" s="204"/>
      <c r="H104" s="204"/>
      <c r="I104" s="185">
        <f t="shared" si="4"/>
        <v>12</v>
      </c>
      <c r="J104" s="185" t="str">
        <f t="shared" si="5"/>
        <v/>
      </c>
      <c r="K104" s="8" t="str">
        <f t="shared" si="7"/>
        <v/>
      </c>
      <c r="L104" s="8" t="str">
        <f t="shared" si="8"/>
        <v/>
      </c>
      <c r="M104" s="7" t="str">
        <f t="shared" si="6"/>
        <v/>
      </c>
    </row>
    <row r="105" spans="1:13" x14ac:dyDescent="0.3">
      <c r="A105" s="204"/>
      <c r="B105" s="204" t="s">
        <v>1276</v>
      </c>
      <c r="C105" s="204" t="s">
        <v>1358</v>
      </c>
      <c r="D105" s="204" t="s">
        <v>1359</v>
      </c>
      <c r="E105" s="204" t="s">
        <v>1311</v>
      </c>
      <c r="F105" s="204" t="s">
        <v>1131</v>
      </c>
      <c r="G105" s="204"/>
      <c r="H105" s="204"/>
      <c r="I105" s="185">
        <f t="shared" si="4"/>
        <v>0</v>
      </c>
      <c r="J105" s="185" t="str">
        <f t="shared" si="5"/>
        <v/>
      </c>
      <c r="K105" s="8" t="str">
        <f t="shared" si="7"/>
        <v/>
      </c>
      <c r="L105" s="8" t="str">
        <f t="shared" si="8"/>
        <v/>
      </c>
      <c r="M105" s="7" t="str">
        <f t="shared" si="6"/>
        <v/>
      </c>
    </row>
    <row r="106" spans="1:13" x14ac:dyDescent="0.3">
      <c r="A106" s="204" t="s">
        <v>1357</v>
      </c>
      <c r="B106" s="204"/>
      <c r="C106" s="204"/>
      <c r="D106" s="204"/>
      <c r="E106" s="204"/>
      <c r="F106" s="204"/>
      <c r="G106" s="204"/>
      <c r="H106" s="204"/>
      <c r="I106" s="185">
        <f t="shared" si="4"/>
        <v>12</v>
      </c>
      <c r="J106" s="185" t="str">
        <f t="shared" si="5"/>
        <v/>
      </c>
      <c r="K106" s="8" t="str">
        <f t="shared" si="7"/>
        <v/>
      </c>
      <c r="L106" s="8" t="str">
        <f t="shared" si="8"/>
        <v/>
      </c>
      <c r="M106" s="7" t="str">
        <f t="shared" si="6"/>
        <v/>
      </c>
    </row>
    <row r="107" spans="1:13" x14ac:dyDescent="0.3">
      <c r="A107" s="204"/>
      <c r="B107" s="204" t="s">
        <v>1243</v>
      </c>
      <c r="C107" s="204" t="s">
        <v>1343</v>
      </c>
      <c r="D107" s="204" t="s">
        <v>1344</v>
      </c>
      <c r="E107" s="204" t="s">
        <v>1316</v>
      </c>
      <c r="F107" s="204" t="s">
        <v>1131</v>
      </c>
      <c r="G107" s="204"/>
      <c r="H107" s="204"/>
      <c r="I107" s="185">
        <f t="shared" si="4"/>
        <v>0</v>
      </c>
      <c r="J107" s="185" t="str">
        <f t="shared" si="5"/>
        <v/>
      </c>
      <c r="K107" s="8" t="str">
        <f t="shared" si="7"/>
        <v/>
      </c>
      <c r="L107" s="8" t="str">
        <f t="shared" si="8"/>
        <v/>
      </c>
      <c r="M107" s="7" t="str">
        <f t="shared" si="6"/>
        <v/>
      </c>
    </row>
    <row r="108" spans="1:13" x14ac:dyDescent="0.3">
      <c r="A108" s="204" t="s">
        <v>1342</v>
      </c>
      <c r="B108" s="204"/>
      <c r="C108" s="204"/>
      <c r="D108" s="204"/>
      <c r="E108" s="204"/>
      <c r="F108" s="204"/>
      <c r="G108" s="204"/>
      <c r="H108" s="204"/>
      <c r="I108" s="185">
        <f t="shared" si="4"/>
        <v>12</v>
      </c>
      <c r="J108" s="185" t="str">
        <f t="shared" si="5"/>
        <v/>
      </c>
      <c r="K108" s="8" t="str">
        <f t="shared" si="7"/>
        <v/>
      </c>
      <c r="L108" s="8" t="str">
        <f t="shared" si="8"/>
        <v/>
      </c>
      <c r="M108" s="7" t="str">
        <f t="shared" si="6"/>
        <v/>
      </c>
    </row>
    <row r="109" spans="1:13" x14ac:dyDescent="0.3">
      <c r="A109" s="204"/>
      <c r="B109" s="204" t="s">
        <v>1237</v>
      </c>
      <c r="C109" s="204" t="s">
        <v>1346</v>
      </c>
      <c r="D109" s="204" t="s">
        <v>1347</v>
      </c>
      <c r="E109" s="204" t="s">
        <v>1322</v>
      </c>
      <c r="F109" s="204" t="s">
        <v>1131</v>
      </c>
      <c r="G109" s="204"/>
      <c r="H109" s="204"/>
      <c r="I109" s="185">
        <f t="shared" si="4"/>
        <v>0</v>
      </c>
      <c r="J109" s="185" t="str">
        <f t="shared" si="5"/>
        <v/>
      </c>
      <c r="K109" s="8" t="str">
        <f t="shared" si="7"/>
        <v/>
      </c>
      <c r="L109" s="8" t="str">
        <f t="shared" si="8"/>
        <v/>
      </c>
      <c r="M109" s="7" t="str">
        <f t="shared" si="6"/>
        <v/>
      </c>
    </row>
    <row r="110" spans="1:13" x14ac:dyDescent="0.3">
      <c r="A110" s="204" t="s">
        <v>1345</v>
      </c>
      <c r="B110" s="204"/>
      <c r="C110" s="204"/>
      <c r="D110" s="204"/>
      <c r="E110" s="204"/>
      <c r="F110" s="204"/>
      <c r="G110" s="204"/>
      <c r="H110" s="204"/>
      <c r="I110" s="185">
        <f t="shared" si="4"/>
        <v>12</v>
      </c>
      <c r="J110" s="185" t="str">
        <f t="shared" si="5"/>
        <v/>
      </c>
      <c r="K110" s="8" t="str">
        <f t="shared" si="7"/>
        <v/>
      </c>
      <c r="L110" s="8" t="str">
        <f t="shared" si="8"/>
        <v/>
      </c>
      <c r="M110" s="7" t="str">
        <f t="shared" si="6"/>
        <v/>
      </c>
    </row>
    <row r="111" spans="1:13" x14ac:dyDescent="0.3">
      <c r="A111" s="204"/>
      <c r="B111" s="204" t="s">
        <v>1361</v>
      </c>
      <c r="C111" s="204" t="s">
        <v>1355</v>
      </c>
      <c r="D111" s="204" t="s">
        <v>1397</v>
      </c>
      <c r="E111" s="204" t="s">
        <v>1393</v>
      </c>
      <c r="F111" s="204" t="s">
        <v>1222</v>
      </c>
      <c r="G111" s="204"/>
      <c r="H111" s="204"/>
      <c r="I111" s="185">
        <f t="shared" si="4"/>
        <v>0</v>
      </c>
      <c r="J111" s="185" t="str">
        <f t="shared" si="5"/>
        <v/>
      </c>
      <c r="K111" s="8" t="str">
        <f t="shared" si="7"/>
        <v/>
      </c>
      <c r="L111" s="8" t="str">
        <f t="shared" si="8"/>
        <v/>
      </c>
      <c r="M111" s="7" t="str">
        <f t="shared" si="6"/>
        <v/>
      </c>
    </row>
    <row r="112" spans="1:13" x14ac:dyDescent="0.3">
      <c r="A112" s="204" t="s">
        <v>1360</v>
      </c>
      <c r="B112" s="204"/>
      <c r="C112" s="204"/>
      <c r="D112" s="204"/>
      <c r="E112" s="204"/>
      <c r="F112" s="204"/>
      <c r="G112" s="204"/>
      <c r="H112" s="204"/>
      <c r="I112" s="185">
        <f t="shared" si="4"/>
        <v>12</v>
      </c>
      <c r="J112" s="185" t="str">
        <f t="shared" si="5"/>
        <v/>
      </c>
      <c r="K112" s="8" t="str">
        <f t="shared" si="7"/>
        <v/>
      </c>
      <c r="L112" s="8" t="str">
        <f t="shared" si="8"/>
        <v/>
      </c>
      <c r="M112" s="7" t="str">
        <f t="shared" si="6"/>
        <v/>
      </c>
    </row>
    <row r="113" spans="1:13" x14ac:dyDescent="0.3">
      <c r="A113" s="204"/>
      <c r="B113" s="204" t="s">
        <v>453</v>
      </c>
      <c r="C113" s="204" t="s">
        <v>1032</v>
      </c>
      <c r="D113" s="204" t="s">
        <v>1221</v>
      </c>
      <c r="E113" s="204" t="s">
        <v>1220</v>
      </c>
      <c r="F113" s="204" t="s">
        <v>1131</v>
      </c>
      <c r="G113" s="204"/>
      <c r="H113" s="204"/>
      <c r="I113" s="185">
        <f t="shared" si="4"/>
        <v>0</v>
      </c>
      <c r="J113" s="185" t="str">
        <f t="shared" si="5"/>
        <v/>
      </c>
      <c r="K113" s="8" t="str">
        <f t="shared" si="7"/>
        <v/>
      </c>
      <c r="L113" s="8" t="str">
        <f t="shared" si="8"/>
        <v/>
      </c>
      <c r="M113" s="7" t="str">
        <f t="shared" si="6"/>
        <v/>
      </c>
    </row>
    <row r="114" spans="1:13" x14ac:dyDescent="0.3">
      <c r="A114" s="204" t="s">
        <v>1165</v>
      </c>
      <c r="B114" s="204"/>
      <c r="C114" s="204"/>
      <c r="D114" s="204"/>
      <c r="E114" s="204"/>
      <c r="F114" s="204"/>
      <c r="G114" s="204"/>
      <c r="H114" s="204"/>
      <c r="I114" s="185">
        <f t="shared" si="4"/>
        <v>12</v>
      </c>
      <c r="J114" s="185" t="str">
        <f t="shared" si="5"/>
        <v/>
      </c>
      <c r="K114" s="8" t="str">
        <f t="shared" si="7"/>
        <v/>
      </c>
      <c r="L114" s="8" t="str">
        <f t="shared" si="8"/>
        <v/>
      </c>
      <c r="M114" s="7" t="str">
        <f t="shared" si="6"/>
        <v/>
      </c>
    </row>
    <row r="115" spans="1:13" x14ac:dyDescent="0.3">
      <c r="A115" s="204"/>
      <c r="B115" s="204" t="s">
        <v>1386</v>
      </c>
      <c r="C115" s="204" t="s">
        <v>1032</v>
      </c>
      <c r="D115" s="204" t="s">
        <v>404</v>
      </c>
      <c r="E115" s="204" t="s">
        <v>404</v>
      </c>
      <c r="F115" s="204" t="s">
        <v>1131</v>
      </c>
      <c r="G115" s="204"/>
      <c r="H115" s="204"/>
      <c r="I115" s="185">
        <f t="shared" si="4"/>
        <v>0</v>
      </c>
      <c r="J115" s="185" t="str">
        <f t="shared" si="5"/>
        <v/>
      </c>
      <c r="K115" s="8" t="str">
        <f t="shared" si="7"/>
        <v/>
      </c>
      <c r="L115" s="8" t="str">
        <f t="shared" si="8"/>
        <v/>
      </c>
      <c r="M115" s="7" t="str">
        <f t="shared" si="6"/>
        <v/>
      </c>
    </row>
    <row r="116" spans="1:13" x14ac:dyDescent="0.3">
      <c r="A116" s="204" t="s">
        <v>1398</v>
      </c>
      <c r="B116" s="204"/>
      <c r="C116" s="204"/>
      <c r="D116" s="204"/>
      <c r="E116" s="204"/>
      <c r="F116" s="204"/>
      <c r="G116" s="204"/>
      <c r="H116" s="204"/>
      <c r="I116" s="185">
        <f t="shared" si="4"/>
        <v>12</v>
      </c>
      <c r="J116" s="185" t="str">
        <f t="shared" si="5"/>
        <v/>
      </c>
      <c r="K116" s="8" t="str">
        <f t="shared" si="7"/>
        <v/>
      </c>
      <c r="L116" s="8" t="str">
        <f t="shared" si="8"/>
        <v/>
      </c>
      <c r="M116" s="7" t="str">
        <f t="shared" si="6"/>
        <v/>
      </c>
    </row>
    <row r="117" spans="1:13" x14ac:dyDescent="0.3">
      <c r="A117" s="204"/>
      <c r="B117" s="204" t="s">
        <v>1224</v>
      </c>
      <c r="C117" s="204" t="s">
        <v>1032</v>
      </c>
      <c r="D117" s="204" t="s">
        <v>1235</v>
      </c>
      <c r="E117" s="204" t="s">
        <v>1234</v>
      </c>
      <c r="F117" s="204" t="s">
        <v>1131</v>
      </c>
      <c r="G117" s="204"/>
      <c r="H117" s="204"/>
      <c r="I117" s="185">
        <f t="shared" si="4"/>
        <v>0</v>
      </c>
      <c r="J117" s="185" t="str">
        <f t="shared" si="5"/>
        <v/>
      </c>
      <c r="K117" s="8" t="str">
        <f t="shared" si="7"/>
        <v/>
      </c>
      <c r="L117" s="8" t="str">
        <f t="shared" si="8"/>
        <v/>
      </c>
      <c r="M117" s="7" t="str">
        <f t="shared" si="6"/>
        <v/>
      </c>
    </row>
    <row r="118" spans="1:13" x14ac:dyDescent="0.3">
      <c r="A118" s="204" t="s">
        <v>1223</v>
      </c>
      <c r="B118" s="204"/>
      <c r="C118" s="204"/>
      <c r="D118" s="204"/>
      <c r="E118" s="204"/>
      <c r="F118" s="204"/>
      <c r="G118" s="204"/>
      <c r="H118" s="204"/>
      <c r="I118" s="185">
        <f t="shared" si="4"/>
        <v>12</v>
      </c>
      <c r="J118" s="185" t="str">
        <f t="shared" si="5"/>
        <v/>
      </c>
      <c r="K118" s="8" t="str">
        <f t="shared" si="7"/>
        <v/>
      </c>
      <c r="L118" s="8" t="str">
        <f t="shared" si="8"/>
        <v/>
      </c>
      <c r="M118" s="7" t="str">
        <f t="shared" si="6"/>
        <v/>
      </c>
    </row>
    <row r="119" spans="1:13" x14ac:dyDescent="0.3">
      <c r="A119" s="204"/>
      <c r="B119" s="204" t="s">
        <v>1326</v>
      </c>
      <c r="C119" s="204" t="s">
        <v>1343</v>
      </c>
      <c r="D119" s="204" t="s">
        <v>1363</v>
      </c>
      <c r="E119" s="204" t="s">
        <v>1339</v>
      </c>
      <c r="F119" s="204" t="s">
        <v>1131</v>
      </c>
      <c r="G119" s="204"/>
      <c r="H119" s="204"/>
      <c r="I119" s="185">
        <f t="shared" si="4"/>
        <v>0</v>
      </c>
      <c r="J119" s="185" t="str">
        <f t="shared" si="5"/>
        <v/>
      </c>
      <c r="K119" s="8" t="str">
        <f t="shared" si="7"/>
        <v/>
      </c>
      <c r="L119" s="8" t="str">
        <f t="shared" si="8"/>
        <v/>
      </c>
      <c r="M119" s="7" t="str">
        <f t="shared" si="6"/>
        <v/>
      </c>
    </row>
    <row r="120" spans="1:13" x14ac:dyDescent="0.3">
      <c r="A120" s="204" t="s">
        <v>1362</v>
      </c>
      <c r="B120" s="204"/>
      <c r="C120" s="204"/>
      <c r="D120" s="204"/>
      <c r="E120" s="204"/>
      <c r="F120" s="204"/>
      <c r="G120" s="204"/>
      <c r="H120" s="204"/>
      <c r="I120" s="185">
        <f t="shared" si="4"/>
        <v>12</v>
      </c>
      <c r="J120" s="185" t="str">
        <f t="shared" si="5"/>
        <v/>
      </c>
      <c r="K120" s="8" t="str">
        <f t="shared" si="7"/>
        <v/>
      </c>
      <c r="L120" s="8" t="str">
        <f t="shared" si="8"/>
        <v/>
      </c>
      <c r="M120" s="7" t="str">
        <f t="shared" si="6"/>
        <v/>
      </c>
    </row>
    <row r="121" spans="1:13" x14ac:dyDescent="0.3">
      <c r="A121" s="204"/>
      <c r="B121" s="204" t="s">
        <v>1272</v>
      </c>
      <c r="C121" s="204" t="s">
        <v>1349</v>
      </c>
      <c r="D121" s="204" t="s">
        <v>1350</v>
      </c>
      <c r="E121" s="204" t="s">
        <v>1305</v>
      </c>
      <c r="F121" s="204" t="s">
        <v>1131</v>
      </c>
      <c r="G121" s="204"/>
      <c r="H121" s="204"/>
      <c r="I121" s="185">
        <f t="shared" si="4"/>
        <v>0</v>
      </c>
      <c r="J121" s="185" t="str">
        <f t="shared" si="5"/>
        <v/>
      </c>
      <c r="K121" s="8" t="str">
        <f t="shared" si="7"/>
        <v/>
      </c>
      <c r="L121" s="8" t="str">
        <f t="shared" si="8"/>
        <v/>
      </c>
      <c r="M121" s="7" t="str">
        <f t="shared" si="6"/>
        <v/>
      </c>
    </row>
    <row r="122" spans="1:13" x14ac:dyDescent="0.3">
      <c r="A122" s="204" t="s">
        <v>1348</v>
      </c>
      <c r="B122" s="204"/>
      <c r="C122" s="204"/>
      <c r="D122" s="204"/>
      <c r="E122" s="204"/>
      <c r="F122" s="204"/>
      <c r="G122" s="204"/>
      <c r="H122" s="204"/>
      <c r="I122" s="185">
        <f t="shared" si="4"/>
        <v>12</v>
      </c>
      <c r="J122" s="185" t="str">
        <f t="shared" si="5"/>
        <v/>
      </c>
      <c r="K122" s="8" t="str">
        <f t="shared" si="7"/>
        <v/>
      </c>
      <c r="L122" s="8" t="str">
        <f t="shared" si="8"/>
        <v/>
      </c>
      <c r="M122" s="7" t="str">
        <f t="shared" si="6"/>
        <v/>
      </c>
    </row>
    <row r="123" spans="1:13" x14ac:dyDescent="0.3">
      <c r="A123" s="204"/>
      <c r="B123" s="204" t="s">
        <v>1288</v>
      </c>
      <c r="C123" s="204" t="s">
        <v>1365</v>
      </c>
      <c r="D123" s="204" t="s">
        <v>1366</v>
      </c>
      <c r="E123" s="204" t="s">
        <v>1302</v>
      </c>
      <c r="F123" s="204" t="s">
        <v>1131</v>
      </c>
      <c r="G123" s="204"/>
      <c r="H123" s="204"/>
      <c r="I123" s="185">
        <f t="shared" si="4"/>
        <v>0</v>
      </c>
      <c r="J123" s="185" t="str">
        <f t="shared" si="5"/>
        <v/>
      </c>
      <c r="K123" s="8" t="str">
        <f t="shared" si="7"/>
        <v/>
      </c>
      <c r="L123" s="8" t="str">
        <f t="shared" si="8"/>
        <v/>
      </c>
      <c r="M123" s="7" t="str">
        <f t="shared" si="6"/>
        <v/>
      </c>
    </row>
    <row r="124" spans="1:13" x14ac:dyDescent="0.3">
      <c r="A124" s="204" t="s">
        <v>1364</v>
      </c>
      <c r="B124" s="204"/>
      <c r="C124" s="204"/>
      <c r="D124" s="204"/>
      <c r="E124" s="204"/>
      <c r="F124" s="204"/>
      <c r="G124" s="204"/>
      <c r="H124" s="204"/>
      <c r="I124" s="185">
        <f t="shared" si="4"/>
        <v>12</v>
      </c>
      <c r="J124" s="185" t="str">
        <f t="shared" si="5"/>
        <v/>
      </c>
      <c r="K124" s="8" t="str">
        <f t="shared" si="7"/>
        <v/>
      </c>
      <c r="L124" s="8" t="str">
        <f t="shared" si="8"/>
        <v/>
      </c>
      <c r="M124" s="7" t="str">
        <f t="shared" si="6"/>
        <v/>
      </c>
    </row>
    <row r="125" spans="1:13" x14ac:dyDescent="0.3">
      <c r="A125" s="204"/>
      <c r="B125" s="204" t="s">
        <v>1251</v>
      </c>
      <c r="C125" s="204" t="s">
        <v>1368</v>
      </c>
      <c r="D125" s="204" t="s">
        <v>1369</v>
      </c>
      <c r="E125" s="204" t="s">
        <v>1324</v>
      </c>
      <c r="F125" s="204" t="s">
        <v>1131</v>
      </c>
      <c r="G125" s="204"/>
      <c r="H125" s="204"/>
      <c r="I125" s="185">
        <f t="shared" si="4"/>
        <v>0</v>
      </c>
      <c r="J125" s="185" t="str">
        <f t="shared" si="5"/>
        <v/>
      </c>
      <c r="K125" s="8" t="str">
        <f t="shared" si="7"/>
        <v/>
      </c>
      <c r="L125" s="8" t="str">
        <f t="shared" si="8"/>
        <v/>
      </c>
      <c r="M125" s="7" t="str">
        <f t="shared" si="6"/>
        <v/>
      </c>
    </row>
    <row r="126" spans="1:13" x14ac:dyDescent="0.3">
      <c r="A126" s="204" t="s">
        <v>1367</v>
      </c>
      <c r="B126" s="204"/>
      <c r="C126" s="204"/>
      <c r="D126" s="204"/>
      <c r="E126" s="204"/>
      <c r="F126" s="204"/>
      <c r="G126" s="204"/>
      <c r="H126" s="204"/>
      <c r="I126" s="185">
        <f t="shared" si="4"/>
        <v>12</v>
      </c>
      <c r="J126" s="185" t="str">
        <f t="shared" si="5"/>
        <v/>
      </c>
      <c r="K126" s="8" t="str">
        <f t="shared" si="7"/>
        <v/>
      </c>
      <c r="L126" s="8" t="str">
        <f t="shared" si="8"/>
        <v/>
      </c>
      <c r="M126" s="7" t="str">
        <f t="shared" si="6"/>
        <v/>
      </c>
    </row>
    <row r="127" spans="1:13" x14ac:dyDescent="0.3">
      <c r="A127" s="204"/>
      <c r="B127" s="204" t="s">
        <v>1384</v>
      </c>
      <c r="C127" s="204" t="s">
        <v>1032</v>
      </c>
      <c r="D127" s="204" t="s">
        <v>404</v>
      </c>
      <c r="E127" s="204" t="s">
        <v>404</v>
      </c>
      <c r="F127" s="204" t="s">
        <v>1131</v>
      </c>
      <c r="G127" s="204"/>
      <c r="H127" s="204"/>
      <c r="I127" s="185">
        <f t="shared" si="4"/>
        <v>0</v>
      </c>
      <c r="J127" s="185" t="str">
        <f t="shared" si="5"/>
        <v/>
      </c>
      <c r="K127" s="8" t="str">
        <f t="shared" si="7"/>
        <v/>
      </c>
      <c r="L127" s="8" t="str">
        <f t="shared" si="8"/>
        <v/>
      </c>
      <c r="M127" s="7" t="str">
        <f t="shared" si="6"/>
        <v/>
      </c>
    </row>
    <row r="128" spans="1:13" x14ac:dyDescent="0.3">
      <c r="A128" s="204" t="s">
        <v>1399</v>
      </c>
      <c r="B128" s="204"/>
      <c r="C128" s="204"/>
      <c r="D128" s="204"/>
      <c r="E128" s="204"/>
      <c r="F128" s="204"/>
      <c r="G128" s="204"/>
      <c r="H128" s="204"/>
      <c r="I128" s="185">
        <f t="shared" si="4"/>
        <v>12</v>
      </c>
      <c r="J128" s="185" t="str">
        <f t="shared" si="5"/>
        <v/>
      </c>
      <c r="K128" s="8" t="str">
        <f t="shared" ref="K128:K141" si="9">IF(J128&lt;&gt;"",VALUE(LEFT(D128,LEN(D128)-2)),"")</f>
        <v/>
      </c>
      <c r="L128" s="8" t="str">
        <f t="shared" ref="L128:L141" si="10">IF(J128&lt;&gt;"",VALUE(LEFT(E128,LEN(E128)-2)),"")</f>
        <v/>
      </c>
      <c r="M128" s="7" t="str">
        <f t="shared" si="6"/>
        <v/>
      </c>
    </row>
    <row r="129" spans="1:13" x14ac:dyDescent="0.3">
      <c r="A129" s="204"/>
      <c r="B129" s="204" t="s">
        <v>1284</v>
      </c>
      <c r="C129" s="204" t="s">
        <v>1371</v>
      </c>
      <c r="D129" s="204" t="s">
        <v>1372</v>
      </c>
      <c r="E129" s="204" t="s">
        <v>1308</v>
      </c>
      <c r="F129" s="204" t="s">
        <v>1131</v>
      </c>
      <c r="G129" s="204"/>
      <c r="H129" s="204"/>
      <c r="I129" s="185">
        <f t="shared" ref="I129:I141" si="11">LEN(A129)</f>
        <v>0</v>
      </c>
      <c r="J129" s="185" t="str">
        <f t="shared" ref="J129:J137" si="12">IF(I130=8,IF(A129="",LEFT(A130,3),""),"")</f>
        <v/>
      </c>
      <c r="K129" s="8" t="str">
        <f t="shared" si="9"/>
        <v/>
      </c>
      <c r="L129" s="8" t="str">
        <f t="shared" si="10"/>
        <v/>
      </c>
      <c r="M129" s="7" t="str">
        <f t="shared" ref="M129:M141" si="13">IFERROR(IF(LEN(J129)=8,"",L129/K129),"")</f>
        <v/>
      </c>
    </row>
    <row r="130" spans="1:13" x14ac:dyDescent="0.3">
      <c r="A130" s="204" t="s">
        <v>1370</v>
      </c>
      <c r="B130" s="204"/>
      <c r="C130" s="204"/>
      <c r="D130" s="204"/>
      <c r="E130" s="204"/>
      <c r="F130" s="204"/>
      <c r="G130" s="204"/>
      <c r="H130" s="204"/>
      <c r="I130" s="185">
        <f t="shared" si="11"/>
        <v>12</v>
      </c>
      <c r="J130" s="185" t="str">
        <f t="shared" si="12"/>
        <v/>
      </c>
      <c r="K130" s="8" t="str">
        <f t="shared" si="9"/>
        <v/>
      </c>
      <c r="L130" s="8" t="str">
        <f t="shared" si="10"/>
        <v/>
      </c>
      <c r="M130" s="7" t="str">
        <f t="shared" si="13"/>
        <v/>
      </c>
    </row>
    <row r="131" spans="1:13" x14ac:dyDescent="0.3">
      <c r="A131" s="204"/>
      <c r="B131" s="204" t="s">
        <v>1265</v>
      </c>
      <c r="C131" s="204" t="s">
        <v>1352</v>
      </c>
      <c r="D131" s="204" t="s">
        <v>1353</v>
      </c>
      <c r="E131" s="204" t="s">
        <v>1297</v>
      </c>
      <c r="F131" s="204" t="s">
        <v>1131</v>
      </c>
      <c r="G131" s="204"/>
      <c r="H131" s="204"/>
      <c r="I131" s="185">
        <f t="shared" si="11"/>
        <v>0</v>
      </c>
      <c r="J131" s="185" t="str">
        <f t="shared" si="12"/>
        <v/>
      </c>
      <c r="K131" s="8" t="str">
        <f t="shared" si="9"/>
        <v/>
      </c>
      <c r="L131" s="8" t="str">
        <f t="shared" si="10"/>
        <v/>
      </c>
      <c r="M131" s="7" t="str">
        <f t="shared" si="13"/>
        <v/>
      </c>
    </row>
    <row r="132" spans="1:13" x14ac:dyDescent="0.3">
      <c r="A132" s="204" t="s">
        <v>1351</v>
      </c>
      <c r="B132" s="204"/>
      <c r="C132" s="204"/>
      <c r="D132" s="204"/>
      <c r="E132" s="204"/>
      <c r="F132" s="204"/>
      <c r="G132" s="204"/>
      <c r="H132" s="204"/>
      <c r="I132" s="185">
        <f t="shared" si="11"/>
        <v>12</v>
      </c>
      <c r="J132" s="185" t="str">
        <f t="shared" si="12"/>
        <v/>
      </c>
      <c r="K132" s="8" t="str">
        <f t="shared" si="9"/>
        <v/>
      </c>
      <c r="L132" s="8" t="str">
        <f t="shared" si="10"/>
        <v/>
      </c>
      <c r="M132" s="7" t="str">
        <f t="shared" si="13"/>
        <v/>
      </c>
    </row>
    <row r="133" spans="1:13" x14ac:dyDescent="0.3">
      <c r="A133" s="204"/>
      <c r="B133" s="204" t="s">
        <v>1330</v>
      </c>
      <c r="C133" s="204" t="s">
        <v>1374</v>
      </c>
      <c r="D133" s="204" t="s">
        <v>1375</v>
      </c>
      <c r="E133" s="204" t="s">
        <v>1336</v>
      </c>
      <c r="F133" s="204" t="s">
        <v>1131</v>
      </c>
      <c r="G133" s="204"/>
      <c r="H133" s="204"/>
      <c r="I133" s="185">
        <f t="shared" si="11"/>
        <v>0</v>
      </c>
      <c r="J133" s="185" t="str">
        <f t="shared" si="12"/>
        <v/>
      </c>
      <c r="K133" s="8" t="str">
        <f t="shared" si="9"/>
        <v/>
      </c>
      <c r="L133" s="8" t="str">
        <f t="shared" si="10"/>
        <v/>
      </c>
      <c r="M133" s="7" t="str">
        <f t="shared" si="13"/>
        <v/>
      </c>
    </row>
    <row r="134" spans="1:13" x14ac:dyDescent="0.3">
      <c r="A134" s="204" t="s">
        <v>1373</v>
      </c>
      <c r="B134" s="204"/>
      <c r="C134" s="204"/>
      <c r="D134" s="204"/>
      <c r="E134" s="204"/>
      <c r="F134" s="204"/>
      <c r="G134" s="204"/>
      <c r="H134" s="204"/>
      <c r="I134" s="185">
        <f t="shared" si="11"/>
        <v>12</v>
      </c>
      <c r="J134" s="185" t="str">
        <f t="shared" si="12"/>
        <v/>
      </c>
      <c r="K134" s="8" t="str">
        <f t="shared" si="9"/>
        <v/>
      </c>
      <c r="L134" s="8" t="str">
        <f t="shared" si="10"/>
        <v/>
      </c>
      <c r="M134" s="7" t="str">
        <f t="shared" si="13"/>
        <v/>
      </c>
    </row>
    <row r="135" spans="1:13" x14ac:dyDescent="0.3">
      <c r="A135" s="204"/>
      <c r="B135" s="204" t="s">
        <v>1377</v>
      </c>
      <c r="C135" s="204" t="s">
        <v>1400</v>
      </c>
      <c r="D135" s="204" t="s">
        <v>1401</v>
      </c>
      <c r="E135" s="204" t="s">
        <v>1391</v>
      </c>
      <c r="F135" s="204" t="s">
        <v>1222</v>
      </c>
      <c r="G135" s="204"/>
      <c r="H135" s="204"/>
      <c r="I135" s="185">
        <f t="shared" si="11"/>
        <v>0</v>
      </c>
      <c r="J135" s="185" t="str">
        <f t="shared" si="12"/>
        <v/>
      </c>
      <c r="K135" s="8" t="str">
        <f t="shared" si="9"/>
        <v/>
      </c>
      <c r="L135" s="8" t="str">
        <f t="shared" si="10"/>
        <v/>
      </c>
      <c r="M135" s="7" t="str">
        <f t="shared" si="13"/>
        <v/>
      </c>
    </row>
    <row r="136" spans="1:13" x14ac:dyDescent="0.3">
      <c r="A136" s="204" t="s">
        <v>1376</v>
      </c>
      <c r="B136" s="204"/>
      <c r="C136" s="204"/>
      <c r="D136" s="204"/>
      <c r="E136" s="204"/>
      <c r="F136" s="204"/>
      <c r="G136" s="204"/>
      <c r="H136" s="204"/>
      <c r="I136" s="185">
        <f t="shared" si="11"/>
        <v>12</v>
      </c>
      <c r="J136" s="185" t="str">
        <f t="shared" si="12"/>
        <v/>
      </c>
      <c r="K136" s="185" t="str">
        <f t="shared" si="9"/>
        <v/>
      </c>
      <c r="L136" s="185" t="str">
        <f t="shared" si="10"/>
        <v/>
      </c>
      <c r="M136" s="7" t="str">
        <f t="shared" si="13"/>
        <v/>
      </c>
    </row>
    <row r="137" spans="1:13" x14ac:dyDescent="0.3">
      <c r="A137" s="204" t="s">
        <v>1142</v>
      </c>
      <c r="B137" s="204"/>
      <c r="C137" s="204"/>
      <c r="D137" s="204"/>
      <c r="E137" s="204"/>
      <c r="F137" s="204"/>
      <c r="G137" s="204"/>
      <c r="H137" s="204"/>
      <c r="I137" s="185">
        <f t="shared" si="11"/>
        <v>3937</v>
      </c>
      <c r="J137" s="185" t="str">
        <f t="shared" si="12"/>
        <v/>
      </c>
      <c r="K137" s="185" t="str">
        <f t="shared" si="9"/>
        <v/>
      </c>
      <c r="L137" s="185" t="str">
        <f t="shared" si="10"/>
        <v/>
      </c>
      <c r="M137" s="7" t="str">
        <f t="shared" si="13"/>
        <v/>
      </c>
    </row>
    <row r="138" spans="1:13" x14ac:dyDescent="0.3">
      <c r="A138" s="204"/>
      <c r="B138" s="204"/>
      <c r="C138" s="204"/>
      <c r="D138" s="204"/>
      <c r="E138" s="204"/>
      <c r="F138" s="204"/>
      <c r="G138" s="204"/>
      <c r="H138" s="204"/>
      <c r="I138" s="185">
        <f t="shared" si="11"/>
        <v>0</v>
      </c>
      <c r="K138" s="185" t="str">
        <f t="shared" si="9"/>
        <v/>
      </c>
      <c r="L138" s="185" t="str">
        <f t="shared" si="10"/>
        <v/>
      </c>
      <c r="M138" s="7" t="str">
        <f t="shared" si="13"/>
        <v/>
      </c>
    </row>
    <row r="139" spans="1:13" x14ac:dyDescent="0.3">
      <c r="A139" s="204" t="s">
        <v>405</v>
      </c>
      <c r="B139" s="204"/>
      <c r="C139" s="204"/>
      <c r="D139" s="204"/>
      <c r="E139" s="204"/>
      <c r="F139" s="204"/>
      <c r="G139" s="204"/>
      <c r="H139" s="204"/>
      <c r="I139" s="185">
        <f t="shared" si="11"/>
        <v>8</v>
      </c>
      <c r="K139" s="185" t="str">
        <f t="shared" si="9"/>
        <v/>
      </c>
      <c r="L139" s="185" t="str">
        <f t="shared" si="10"/>
        <v/>
      </c>
      <c r="M139" s="7" t="str">
        <f t="shared" si="13"/>
        <v/>
      </c>
    </row>
    <row r="140" spans="1:13" x14ac:dyDescent="0.3">
      <c r="A140" s="204" t="s">
        <v>735</v>
      </c>
      <c r="B140" s="204"/>
      <c r="C140" s="204"/>
      <c r="D140" s="204"/>
      <c r="E140" s="204"/>
      <c r="F140" s="204"/>
      <c r="G140" s="204"/>
      <c r="H140" s="204"/>
      <c r="I140" s="185">
        <f t="shared" si="11"/>
        <v>34</v>
      </c>
      <c r="K140" s="185" t="str">
        <f t="shared" si="9"/>
        <v/>
      </c>
      <c r="L140" s="185" t="str">
        <f t="shared" si="10"/>
        <v/>
      </c>
      <c r="M140" s="7" t="str">
        <f t="shared" si="13"/>
        <v/>
      </c>
    </row>
    <row r="141" spans="1:13" x14ac:dyDescent="0.3">
      <c r="A141" s="204" t="s">
        <v>1402</v>
      </c>
      <c r="B141" s="204"/>
      <c r="C141" s="204"/>
      <c r="D141" s="204"/>
      <c r="E141" s="204"/>
      <c r="F141" s="204"/>
      <c r="G141" s="204"/>
      <c r="H141" s="204"/>
      <c r="I141" s="185">
        <f t="shared" si="11"/>
        <v>38</v>
      </c>
      <c r="K141" s="185" t="str">
        <f t="shared" si="9"/>
        <v/>
      </c>
      <c r="L141" s="185" t="str">
        <f t="shared" si="10"/>
        <v/>
      </c>
      <c r="M141" s="7" t="str">
        <f t="shared" si="13"/>
        <v/>
      </c>
    </row>
    <row r="142" spans="1:13" x14ac:dyDescent="0.3">
      <c r="A142" s="204" t="s">
        <v>1162</v>
      </c>
      <c r="B142" s="204"/>
      <c r="C142" s="204"/>
      <c r="D142" s="204"/>
      <c r="E142" s="204"/>
      <c r="F142" s="204"/>
      <c r="G142" s="204"/>
      <c r="H142" s="204"/>
    </row>
    <row r="143" spans="1:13" x14ac:dyDescent="0.3">
      <c r="A143" s="204" t="s">
        <v>406</v>
      </c>
      <c r="B143" s="204"/>
      <c r="C143" s="204"/>
      <c r="D143" s="204"/>
      <c r="E143" s="204"/>
      <c r="F143" s="204"/>
      <c r="G143" s="204"/>
      <c r="H143" s="204"/>
    </row>
    <row r="144" spans="1:13" x14ac:dyDescent="0.3">
      <c r="A144" s="204" t="s">
        <v>407</v>
      </c>
      <c r="B144" s="204"/>
      <c r="C144" s="204"/>
      <c r="D144" s="204"/>
      <c r="E144" s="204"/>
      <c r="F144" s="204"/>
      <c r="G144" s="204"/>
      <c r="H144" s="204"/>
    </row>
    <row r="145" spans="1:8" x14ac:dyDescent="0.3">
      <c r="A145" s="204" t="s">
        <v>408</v>
      </c>
      <c r="B145" s="204"/>
      <c r="C145" s="204"/>
      <c r="D145" s="204"/>
      <c r="E145" s="204"/>
      <c r="F145" s="204"/>
      <c r="G145" s="204"/>
      <c r="H145" s="204"/>
    </row>
    <row r="146" spans="1:8" x14ac:dyDescent="0.3">
      <c r="A146" s="204" t="s">
        <v>409</v>
      </c>
      <c r="B146" s="204"/>
      <c r="C146" s="204"/>
      <c r="D146" s="204"/>
      <c r="E146" s="204"/>
      <c r="F146" s="204"/>
      <c r="G146" s="204"/>
      <c r="H146" s="204"/>
    </row>
    <row r="147" spans="1:8" x14ac:dyDescent="0.3">
      <c r="A147" s="204" t="s">
        <v>410</v>
      </c>
      <c r="B147" s="204"/>
      <c r="C147" s="204"/>
      <c r="D147" s="204"/>
      <c r="E147" s="204"/>
      <c r="F147" s="204"/>
      <c r="G147" s="204"/>
      <c r="H147" s="204"/>
    </row>
    <row r="148" spans="1:8" x14ac:dyDescent="0.3">
      <c r="A148" s="204" t="s">
        <v>411</v>
      </c>
      <c r="B148" s="204"/>
      <c r="C148" s="204"/>
      <c r="D148" s="204"/>
      <c r="E148" s="204"/>
      <c r="F148" s="204"/>
      <c r="G148" s="204"/>
      <c r="H148" s="204"/>
    </row>
    <row r="149" spans="1:8" x14ac:dyDescent="0.3">
      <c r="A149" s="204" t="s">
        <v>412</v>
      </c>
      <c r="B149" s="204"/>
      <c r="C149" s="204"/>
      <c r="D149" s="204"/>
      <c r="E149" s="204"/>
      <c r="F149" s="204"/>
      <c r="G149" s="204"/>
      <c r="H149" s="204"/>
    </row>
    <row r="150" spans="1:8" x14ac:dyDescent="0.3">
      <c r="A150" s="204" t="s">
        <v>405</v>
      </c>
      <c r="B150" s="204"/>
      <c r="C150" s="204"/>
      <c r="D150" s="204"/>
      <c r="E150" s="204"/>
      <c r="F150" s="204"/>
      <c r="G150" s="204"/>
      <c r="H150" s="204"/>
    </row>
    <row r="151" spans="1:8" x14ac:dyDescent="0.3">
      <c r="A151" s="204" t="s">
        <v>413</v>
      </c>
      <c r="B151" s="204"/>
      <c r="C151" s="204"/>
      <c r="D151" s="204"/>
      <c r="E151" s="204"/>
      <c r="F151" s="204"/>
      <c r="G151" s="204"/>
      <c r="H151" s="204"/>
    </row>
    <row r="152" spans="1:8" x14ac:dyDescent="0.3">
      <c r="A152" s="204" t="s">
        <v>414</v>
      </c>
      <c r="B152" s="204"/>
      <c r="C152" s="204"/>
      <c r="D152" s="204"/>
      <c r="E152" s="204"/>
      <c r="F152" s="204"/>
      <c r="G152" s="204"/>
      <c r="H152" s="204"/>
    </row>
    <row r="153" spans="1:8" x14ac:dyDescent="0.3">
      <c r="A153" s="204" t="s">
        <v>415</v>
      </c>
      <c r="B153" s="204"/>
      <c r="C153" s="204"/>
      <c r="D153" s="204"/>
      <c r="E153" s="204"/>
      <c r="F153" s="204"/>
      <c r="G153" s="204"/>
      <c r="H153" s="204"/>
    </row>
    <row r="154" spans="1:8" x14ac:dyDescent="0.3">
      <c r="A154" s="204"/>
      <c r="B154" s="204" t="s">
        <v>3</v>
      </c>
      <c r="C154" s="204" t="s">
        <v>416</v>
      </c>
      <c r="D154" s="204" t="s">
        <v>417</v>
      </c>
      <c r="E154" s="204" t="s">
        <v>418</v>
      </c>
      <c r="F154" s="204" t="s">
        <v>419</v>
      </c>
      <c r="G154" s="204" t="s">
        <v>420</v>
      </c>
      <c r="H154" s="204" t="s">
        <v>97</v>
      </c>
    </row>
    <row r="155" spans="1:8" x14ac:dyDescent="0.3">
      <c r="A155" s="204" t="s">
        <v>421</v>
      </c>
      <c r="B155" s="204" t="s">
        <v>422</v>
      </c>
      <c r="C155" s="204" t="s">
        <v>422</v>
      </c>
      <c r="D155" s="204" t="s">
        <v>422</v>
      </c>
      <c r="E155" s="204" t="s">
        <v>422</v>
      </c>
      <c r="F155" s="204" t="s">
        <v>422</v>
      </c>
      <c r="G155" s="204" t="s">
        <v>422</v>
      </c>
      <c r="H155" s="204" t="s">
        <v>422</v>
      </c>
    </row>
    <row r="156" spans="1:8" x14ac:dyDescent="0.3">
      <c r="A156" s="204" t="s">
        <v>394</v>
      </c>
      <c r="B156" s="204" t="s">
        <v>422</v>
      </c>
      <c r="C156" s="204" t="s">
        <v>422</v>
      </c>
      <c r="D156" s="204" t="s">
        <v>422</v>
      </c>
      <c r="E156" s="204" t="s">
        <v>422</v>
      </c>
      <c r="F156" s="204" t="s">
        <v>422</v>
      </c>
      <c r="G156" s="204" t="s">
        <v>422</v>
      </c>
      <c r="H156" s="204" t="s">
        <v>422</v>
      </c>
    </row>
    <row r="157" spans="1:8" x14ac:dyDescent="0.3">
      <c r="A157" s="204" t="s">
        <v>423</v>
      </c>
      <c r="B157" s="204" t="s">
        <v>422</v>
      </c>
      <c r="C157" s="204" t="s">
        <v>422</v>
      </c>
      <c r="D157" s="204" t="s">
        <v>422</v>
      </c>
      <c r="E157" s="204" t="s">
        <v>422</v>
      </c>
      <c r="F157" s="204" t="s">
        <v>422</v>
      </c>
      <c r="G157" s="204" t="s">
        <v>424</v>
      </c>
      <c r="H157" s="204" t="s">
        <v>422</v>
      </c>
    </row>
    <row r="158" spans="1:8" x14ac:dyDescent="0.3">
      <c r="A158" s="204" t="s">
        <v>425</v>
      </c>
      <c r="B158" s="204"/>
      <c r="C158" s="204"/>
      <c r="D158" s="204"/>
      <c r="E158" s="204"/>
      <c r="F158" s="204"/>
      <c r="G158" s="204"/>
      <c r="H158" s="204"/>
    </row>
    <row r="159" spans="1:8" x14ac:dyDescent="0.3">
      <c r="A159" s="204"/>
      <c r="B159" s="204"/>
      <c r="C159" s="204"/>
      <c r="D159" s="204"/>
      <c r="E159" s="204"/>
      <c r="F159" s="204"/>
      <c r="G159" s="204"/>
      <c r="H159" s="204"/>
    </row>
    <row r="160" spans="1:8" x14ac:dyDescent="0.3">
      <c r="A160" s="204"/>
      <c r="B160" s="204"/>
      <c r="C160" s="204"/>
      <c r="D160" s="204"/>
      <c r="E160" s="204"/>
      <c r="F160" s="204"/>
      <c r="G160" s="204"/>
      <c r="H160" s="204"/>
    </row>
    <row r="161" spans="1:8" x14ac:dyDescent="0.3">
      <c r="A161" s="204"/>
      <c r="B161" s="204"/>
      <c r="C161" s="204"/>
      <c r="D161" s="204"/>
      <c r="E161" s="204"/>
      <c r="F161" s="204"/>
      <c r="G161" s="204"/>
      <c r="H161" s="204"/>
    </row>
    <row r="162" spans="1:8" x14ac:dyDescent="0.3">
      <c r="A162" s="204"/>
      <c r="B162" s="204"/>
      <c r="C162" s="204"/>
      <c r="D162" s="204"/>
      <c r="E162" s="204"/>
      <c r="F162" s="204"/>
      <c r="G162" s="204"/>
      <c r="H162" s="204"/>
    </row>
    <row r="163" spans="1:8" x14ac:dyDescent="0.3">
      <c r="A163" s="204"/>
      <c r="B163" s="204"/>
      <c r="C163" s="204"/>
      <c r="D163" s="204"/>
      <c r="E163" s="204"/>
      <c r="F163" s="204"/>
      <c r="G163" s="204"/>
      <c r="H163" s="204"/>
    </row>
    <row r="164" spans="1:8" x14ac:dyDescent="0.3">
      <c r="A164" s="204"/>
      <c r="B164" s="204"/>
      <c r="C164" s="204"/>
      <c r="D164" s="204"/>
      <c r="E164" s="204"/>
      <c r="F164" s="204"/>
      <c r="G164" s="204"/>
      <c r="H164" s="204"/>
    </row>
    <row r="165" spans="1:8" x14ac:dyDescent="0.3">
      <c r="A165" s="204"/>
      <c r="B165" s="204"/>
      <c r="C165" s="204"/>
      <c r="D165" s="204"/>
      <c r="E165" s="204"/>
      <c r="F165" s="204"/>
      <c r="G165" s="204"/>
      <c r="H165" s="204"/>
    </row>
    <row r="166" spans="1:8" x14ac:dyDescent="0.3">
      <c r="A166" s="204"/>
      <c r="B166" s="204"/>
      <c r="C166" s="204"/>
      <c r="D166" s="204"/>
      <c r="E166" s="204"/>
      <c r="F166" s="204"/>
      <c r="G166" s="204"/>
      <c r="H166" s="204"/>
    </row>
    <row r="167" spans="1:8" x14ac:dyDescent="0.3">
      <c r="A167" s="204"/>
      <c r="B167" s="204"/>
      <c r="C167" s="204"/>
      <c r="D167" s="204"/>
      <c r="E167" s="204"/>
      <c r="F167" s="204"/>
      <c r="G167" s="204"/>
      <c r="H167" s="204"/>
    </row>
    <row r="168" spans="1:8" x14ac:dyDescent="0.3">
      <c r="A168" s="204"/>
      <c r="B168" s="204"/>
      <c r="C168" s="204"/>
      <c r="D168" s="204"/>
      <c r="E168" s="204"/>
      <c r="F168" s="204"/>
      <c r="G168" s="204"/>
      <c r="H168" s="204"/>
    </row>
    <row r="169" spans="1:8" x14ac:dyDescent="0.3">
      <c r="A169" s="204"/>
      <c r="B169" s="204"/>
      <c r="C169" s="204"/>
      <c r="D169" s="204"/>
      <c r="E169" s="204"/>
      <c r="F169" s="204"/>
      <c r="G169" s="204"/>
      <c r="H169" s="204"/>
    </row>
    <row r="170" spans="1:8" x14ac:dyDescent="0.3">
      <c r="A170" s="204"/>
      <c r="B170" s="204"/>
      <c r="C170" s="204"/>
      <c r="D170" s="204"/>
      <c r="E170" s="204"/>
      <c r="F170" s="204"/>
      <c r="G170" s="204"/>
      <c r="H170" s="204"/>
    </row>
    <row r="402" spans="1:1" x14ac:dyDescent="0.3">
      <c r="A402" s="113"/>
    </row>
    <row r="429" spans="1:1" x14ac:dyDescent="0.3">
      <c r="A429" s="1"/>
    </row>
    <row r="431" spans="1:1" x14ac:dyDescent="0.3">
      <c r="A431" s="1"/>
    </row>
    <row r="433" spans="1:8" x14ac:dyDescent="0.3">
      <c r="A433" s="1"/>
    </row>
    <row r="435" spans="1:8" x14ac:dyDescent="0.3">
      <c r="A435" s="1"/>
    </row>
    <row r="437" spans="1:8" x14ac:dyDescent="0.3">
      <c r="A437" s="1"/>
    </row>
    <row r="439" spans="1:8" x14ac:dyDescent="0.3">
      <c r="A439" s="1"/>
    </row>
    <row r="441" spans="1:8" x14ac:dyDescent="0.3">
      <c r="A441" s="1"/>
    </row>
    <row r="442" spans="1:8" x14ac:dyDescent="0.3">
      <c r="G442" t="s">
        <v>4</v>
      </c>
      <c r="H442" t="s">
        <v>397</v>
      </c>
    </row>
    <row r="443" spans="1:8" x14ac:dyDescent="0.3">
      <c r="G443" s="77">
        <v>-2172318</v>
      </c>
      <c r="H443" t="s">
        <v>837</v>
      </c>
    </row>
    <row r="444" spans="1:8" x14ac:dyDescent="0.3">
      <c r="G444" s="77">
        <v>-1090352</v>
      </c>
      <c r="H444" t="s">
        <v>838</v>
      </c>
    </row>
    <row r="445" spans="1:8" x14ac:dyDescent="0.3">
      <c r="G445" s="77">
        <v>-1232838</v>
      </c>
      <c r="H445" t="s">
        <v>839</v>
      </c>
    </row>
    <row r="446" spans="1:8" x14ac:dyDescent="0.3">
      <c r="G446" s="77">
        <v>-706624</v>
      </c>
      <c r="H446" t="s">
        <v>840</v>
      </c>
    </row>
    <row r="447" spans="1:8" x14ac:dyDescent="0.3">
      <c r="G447" s="77">
        <v>-1693989</v>
      </c>
      <c r="H447" t="s">
        <v>841</v>
      </c>
    </row>
    <row r="448" spans="1:8" x14ac:dyDescent="0.3">
      <c r="G448" s="77">
        <v>-2152447</v>
      </c>
      <c r="H448" t="s">
        <v>842</v>
      </c>
    </row>
    <row r="449" spans="7:8" x14ac:dyDescent="0.3">
      <c r="G449" s="77">
        <v>-401004</v>
      </c>
      <c r="H449" t="s">
        <v>843</v>
      </c>
    </row>
    <row r="450" spans="7:8" x14ac:dyDescent="0.3">
      <c r="G450" s="77">
        <v>-1293406</v>
      </c>
      <c r="H450" t="s">
        <v>844</v>
      </c>
    </row>
    <row r="451" spans="7:8" x14ac:dyDescent="0.3">
      <c r="G451" s="77">
        <v>-1625888</v>
      </c>
      <c r="H451" t="s">
        <v>845</v>
      </c>
    </row>
    <row r="452" spans="7:8" x14ac:dyDescent="0.3">
      <c r="G452" s="77">
        <v>-1278055</v>
      </c>
      <c r="H452" t="s">
        <v>846</v>
      </c>
    </row>
    <row r="453" spans="7:8" x14ac:dyDescent="0.3">
      <c r="G453" s="77">
        <v>-1094066</v>
      </c>
      <c r="H453" t="s">
        <v>847</v>
      </c>
    </row>
    <row r="454" spans="7:8" x14ac:dyDescent="0.3">
      <c r="G454" s="77">
        <v>-1662026</v>
      </c>
      <c r="H454" t="s">
        <v>972</v>
      </c>
    </row>
    <row r="455" spans="7:8" x14ac:dyDescent="0.3">
      <c r="G455" s="77">
        <v>-1262586</v>
      </c>
      <c r="H455" t="s">
        <v>974</v>
      </c>
    </row>
    <row r="456" spans="7:8" x14ac:dyDescent="0.3">
      <c r="G456" s="77">
        <v>-436781</v>
      </c>
      <c r="H456" t="s">
        <v>973</v>
      </c>
    </row>
    <row r="457" spans="7:8" x14ac:dyDescent="0.3">
      <c r="G457" s="77">
        <v>-1274311</v>
      </c>
      <c r="H457" t="s">
        <v>932</v>
      </c>
    </row>
    <row r="458" spans="7:8" x14ac:dyDescent="0.3">
      <c r="G458" s="77">
        <v>-1293449</v>
      </c>
      <c r="H458" t="s">
        <v>933</v>
      </c>
    </row>
    <row r="459" spans="7:8" x14ac:dyDescent="0.3">
      <c r="G459" s="77">
        <v>-2540138</v>
      </c>
      <c r="H459" t="s">
        <v>975</v>
      </c>
    </row>
    <row r="460" spans="7:8" x14ac:dyDescent="0.3">
      <c r="G460" s="77">
        <v>-2564144</v>
      </c>
      <c r="H460" t="s">
        <v>976</v>
      </c>
    </row>
    <row r="461" spans="7:8" x14ac:dyDescent="0.3">
      <c r="G461" s="77">
        <v>-2146545</v>
      </c>
      <c r="H461" t="s">
        <v>934</v>
      </c>
    </row>
    <row r="462" spans="7:8" x14ac:dyDescent="0.3">
      <c r="G462" s="77">
        <v>-2191604</v>
      </c>
      <c r="H462" t="s">
        <v>977</v>
      </c>
    </row>
    <row r="463" spans="7:8" x14ac:dyDescent="0.3">
      <c r="G463" s="77">
        <v>-2230331</v>
      </c>
      <c r="H463" t="s">
        <v>978</v>
      </c>
    </row>
    <row r="464" spans="7:8" x14ac:dyDescent="0.3">
      <c r="G464" s="77">
        <v>-2401517</v>
      </c>
      <c r="H464" t="s">
        <v>979</v>
      </c>
    </row>
    <row r="482" spans="7:8" x14ac:dyDescent="0.3">
      <c r="G482" t="s">
        <v>420</v>
      </c>
      <c r="H482" t="s">
        <v>97</v>
      </c>
    </row>
    <row r="483" spans="7:8" x14ac:dyDescent="0.3">
      <c r="G483" t="s">
        <v>422</v>
      </c>
      <c r="H483" t="s">
        <v>422</v>
      </c>
    </row>
    <row r="484" spans="7:8" x14ac:dyDescent="0.3">
      <c r="G484" t="s">
        <v>422</v>
      </c>
      <c r="H484" t="s">
        <v>422</v>
      </c>
    </row>
    <row r="485" spans="7:8" x14ac:dyDescent="0.3">
      <c r="G485" t="s">
        <v>424</v>
      </c>
      <c r="H485" t="s">
        <v>422</v>
      </c>
    </row>
  </sheetData>
  <pageMargins left="0.7" right="0.7" top="0.75" bottom="0.75" header="0.3" footer="0.3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1"/>
  <dimension ref="A1:AG750"/>
  <sheetViews>
    <sheetView zoomScale="70" zoomScaleNormal="70" workbookViewId="0"/>
  </sheetViews>
  <sheetFormatPr baseColWidth="10" defaultColWidth="11.44140625" defaultRowHeight="14.4" x14ac:dyDescent="0.3"/>
  <cols>
    <col min="1" max="1" width="11.5546875" bestFit="1" customWidth="1"/>
    <col min="2" max="2" width="17.44140625" style="73" bestFit="1" customWidth="1"/>
    <col min="3" max="3" width="17.109375" style="73" bestFit="1" customWidth="1"/>
    <col min="4" max="4" width="14.88671875" style="73" bestFit="1" customWidth="1"/>
    <col min="5" max="5" width="19.6640625" style="73" bestFit="1" customWidth="1"/>
    <col min="6" max="6" width="14.21875" bestFit="1" customWidth="1"/>
    <col min="7" max="8" width="13.5546875" bestFit="1" customWidth="1"/>
    <col min="9" max="9" width="12.33203125" customWidth="1"/>
    <col min="10" max="10" width="12.33203125" bestFit="1" customWidth="1"/>
    <col min="13" max="13" width="11.44140625" style="76"/>
    <col min="14" max="17" width="11.44140625" style="73"/>
    <col min="19" max="19" width="27.33203125" customWidth="1"/>
    <col min="20" max="20" width="18.33203125" customWidth="1"/>
    <col min="21" max="21" width="21.6640625" customWidth="1"/>
    <col min="22" max="22" width="24" customWidth="1"/>
    <col min="23" max="23" width="21" customWidth="1"/>
    <col min="24" max="55" width="23.88671875" customWidth="1"/>
    <col min="56" max="56" width="12.5546875" customWidth="1"/>
    <col min="57" max="57" width="7.6640625" customWidth="1"/>
    <col min="58" max="58" width="10.6640625" customWidth="1"/>
    <col min="59" max="59" width="7.6640625" customWidth="1"/>
    <col min="60" max="60" width="10.6640625" customWidth="1"/>
    <col min="61" max="61" width="7.6640625" customWidth="1"/>
    <col min="62" max="62" width="10.6640625" customWidth="1"/>
    <col min="63" max="63" width="7.6640625" customWidth="1"/>
    <col min="64" max="64" width="10.6640625" customWidth="1"/>
    <col min="65" max="65" width="7.6640625" customWidth="1"/>
    <col min="66" max="66" width="10.6640625" customWidth="1"/>
    <col min="67" max="67" width="7.6640625" customWidth="1"/>
    <col min="68" max="68" width="10.6640625" customWidth="1"/>
    <col min="69" max="69" width="12.5546875" customWidth="1"/>
    <col min="70" max="70" width="7.6640625" customWidth="1"/>
    <col min="71" max="72" width="10.6640625" customWidth="1"/>
    <col min="73" max="73" width="7.6640625" customWidth="1"/>
    <col min="74" max="75" width="10.6640625" customWidth="1"/>
    <col min="76" max="76" width="7.6640625" customWidth="1"/>
    <col min="77" max="78" width="10.6640625" customWidth="1"/>
    <col min="79" max="79" width="7.6640625" customWidth="1"/>
    <col min="80" max="81" width="10.6640625" customWidth="1"/>
    <col min="82" max="82" width="7.6640625" customWidth="1"/>
    <col min="83" max="84" width="10.6640625" customWidth="1"/>
    <col min="85" max="85" width="7.6640625" customWidth="1"/>
    <col min="86" max="87" width="10.6640625" customWidth="1"/>
    <col min="88" max="88" width="7.6640625" customWidth="1"/>
    <col min="89" max="90" width="10.6640625" customWidth="1"/>
    <col min="91" max="91" width="7.6640625" customWidth="1"/>
    <col min="92" max="93" width="10.6640625" customWidth="1"/>
    <col min="94" max="94" width="7.6640625" customWidth="1"/>
    <col min="95" max="96" width="10.6640625" customWidth="1"/>
    <col min="97" max="97" width="7.6640625" customWidth="1"/>
    <col min="98" max="99" width="10.6640625" customWidth="1"/>
    <col min="100" max="100" width="7.6640625" customWidth="1"/>
    <col min="101" max="102" width="10.6640625" customWidth="1"/>
    <col min="103" max="103" width="12.5546875" customWidth="1"/>
    <col min="104" max="105" width="10.6640625" customWidth="1"/>
    <col min="106" max="106" width="7.6640625" customWidth="1"/>
    <col min="107" max="109" width="10.6640625" customWidth="1"/>
    <col min="110" max="110" width="7.6640625" customWidth="1"/>
    <col min="111" max="113" width="10.6640625" customWidth="1"/>
    <col min="114" max="114" width="7.6640625" customWidth="1"/>
    <col min="115" max="117" width="10.6640625" customWidth="1"/>
    <col min="118" max="118" width="7.6640625" customWidth="1"/>
    <col min="119" max="121" width="10.6640625" customWidth="1"/>
    <col min="122" max="122" width="7.6640625" customWidth="1"/>
    <col min="123" max="125" width="10.6640625" customWidth="1"/>
    <col min="126" max="126" width="7.6640625" customWidth="1"/>
    <col min="127" max="129" width="10.6640625" customWidth="1"/>
    <col min="130" max="130" width="7.6640625" customWidth="1"/>
    <col min="131" max="133" width="10.6640625" customWidth="1"/>
    <col min="134" max="134" width="7.6640625" customWidth="1"/>
    <col min="135" max="137" width="10.6640625" customWidth="1"/>
    <col min="138" max="138" width="12.5546875" bestFit="1" customWidth="1"/>
  </cols>
  <sheetData>
    <row r="1" spans="1:8" x14ac:dyDescent="0.3">
      <c r="A1" s="204" t="s">
        <v>377</v>
      </c>
      <c r="B1" s="205"/>
      <c r="C1" s="205"/>
      <c r="D1" s="205"/>
      <c r="E1" s="205"/>
      <c r="F1" s="204"/>
      <c r="G1" s="204"/>
      <c r="H1" s="204"/>
    </row>
    <row r="2" spans="1:8" x14ac:dyDescent="0.3">
      <c r="A2" s="204"/>
      <c r="B2" s="205"/>
      <c r="C2" s="205"/>
      <c r="D2" s="205"/>
      <c r="E2" s="205"/>
      <c r="F2" s="204"/>
      <c r="G2" s="204"/>
      <c r="H2" s="204"/>
    </row>
    <row r="3" spans="1:8" x14ac:dyDescent="0.3">
      <c r="A3" s="113" t="s">
        <v>378</v>
      </c>
      <c r="B3" s="205"/>
      <c r="C3" s="205"/>
      <c r="D3" s="205"/>
      <c r="E3" s="205"/>
      <c r="F3" s="204"/>
      <c r="G3" s="204"/>
      <c r="H3" s="204"/>
    </row>
    <row r="4" spans="1:8" x14ac:dyDescent="0.3">
      <c r="A4" s="204"/>
      <c r="B4" s="205"/>
      <c r="C4" s="205"/>
      <c r="D4" s="205"/>
      <c r="E4" s="205"/>
      <c r="F4" s="204"/>
      <c r="G4" s="204"/>
      <c r="H4" s="204"/>
    </row>
    <row r="5" spans="1:8" x14ac:dyDescent="0.3">
      <c r="A5" s="204" t="s">
        <v>68</v>
      </c>
      <c r="B5" s="205"/>
      <c r="C5" s="205"/>
      <c r="D5" s="205"/>
      <c r="E5" s="205"/>
      <c r="F5" s="204"/>
      <c r="G5" s="204"/>
      <c r="H5" s="204"/>
    </row>
    <row r="6" spans="1:8" x14ac:dyDescent="0.3">
      <c r="A6" s="204"/>
      <c r="B6" s="205"/>
      <c r="C6" s="205"/>
      <c r="D6" s="205"/>
      <c r="E6" s="205"/>
      <c r="F6" s="204"/>
      <c r="G6" s="204"/>
      <c r="H6" s="204"/>
    </row>
    <row r="7" spans="1:8" x14ac:dyDescent="0.3">
      <c r="A7" s="204" t="s">
        <v>379</v>
      </c>
      <c r="B7" s="205"/>
      <c r="C7" s="205"/>
      <c r="D7" s="205"/>
      <c r="E7" s="205"/>
      <c r="F7" s="204"/>
      <c r="G7" s="204"/>
      <c r="H7" s="204"/>
    </row>
    <row r="8" spans="1:8" x14ac:dyDescent="0.3">
      <c r="A8" s="204" t="s">
        <v>1160</v>
      </c>
      <c r="B8" s="205"/>
      <c r="C8" s="205"/>
      <c r="D8" s="205"/>
      <c r="E8" s="205"/>
      <c r="F8" s="204"/>
      <c r="G8" s="204"/>
      <c r="H8" s="204"/>
    </row>
    <row r="9" spans="1:8" x14ac:dyDescent="0.3">
      <c r="A9" s="204" t="s">
        <v>1588</v>
      </c>
      <c r="B9" s="205"/>
      <c r="C9" s="205"/>
      <c r="D9" s="205"/>
      <c r="E9" s="205"/>
      <c r="F9" s="204"/>
      <c r="G9" s="204"/>
      <c r="H9" s="204"/>
    </row>
    <row r="10" spans="1:8" x14ac:dyDescent="0.3">
      <c r="A10" s="204" t="s">
        <v>1099</v>
      </c>
      <c r="B10" s="205"/>
      <c r="C10" s="205"/>
      <c r="D10" s="205"/>
      <c r="E10" s="205"/>
      <c r="F10" s="204"/>
      <c r="G10" s="204"/>
      <c r="H10" s="204"/>
    </row>
    <row r="11" spans="1:8" x14ac:dyDescent="0.3">
      <c r="A11" s="204" t="s">
        <v>1589</v>
      </c>
      <c r="B11" s="205"/>
      <c r="C11" s="205"/>
      <c r="D11" s="205"/>
      <c r="E11" s="205"/>
      <c r="F11" s="204"/>
      <c r="G11" s="204"/>
      <c r="H11" s="204"/>
    </row>
    <row r="12" spans="1:8" x14ac:dyDescent="0.3">
      <c r="A12" s="204" t="s">
        <v>1590</v>
      </c>
      <c r="B12" s="205"/>
      <c r="C12" s="205"/>
      <c r="D12" s="205"/>
      <c r="E12" s="205"/>
      <c r="F12" s="204"/>
      <c r="G12" s="204"/>
      <c r="H12" s="204"/>
    </row>
    <row r="13" spans="1:8" x14ac:dyDescent="0.3">
      <c r="A13" s="204" t="s">
        <v>382</v>
      </c>
      <c r="B13" s="205"/>
      <c r="C13" s="205"/>
      <c r="D13" s="205"/>
      <c r="E13" s="205"/>
      <c r="F13" s="204"/>
      <c r="G13" s="204"/>
      <c r="H13" s="204"/>
    </row>
    <row r="14" spans="1:8" x14ac:dyDescent="0.3">
      <c r="A14" s="204" t="s">
        <v>383</v>
      </c>
      <c r="B14" s="205"/>
      <c r="C14" s="205"/>
      <c r="D14" s="205"/>
      <c r="E14" s="205"/>
      <c r="F14" s="204"/>
      <c r="G14" s="204"/>
      <c r="H14" s="204"/>
    </row>
    <row r="15" spans="1:8" x14ac:dyDescent="0.3">
      <c r="A15" s="204" t="s">
        <v>1161</v>
      </c>
      <c r="B15" s="205"/>
      <c r="C15" s="205"/>
      <c r="D15" s="205"/>
      <c r="E15" s="205"/>
      <c r="F15" s="204"/>
      <c r="G15" s="204"/>
      <c r="H15" s="204"/>
    </row>
    <row r="16" spans="1:8" x14ac:dyDescent="0.3">
      <c r="A16" s="204" t="s">
        <v>1591</v>
      </c>
      <c r="B16" s="205"/>
      <c r="C16" s="205"/>
      <c r="D16" s="205"/>
      <c r="E16" s="205"/>
      <c r="F16" s="204"/>
      <c r="G16" s="204"/>
      <c r="H16" s="204"/>
    </row>
    <row r="17" spans="1:8" x14ac:dyDescent="0.3">
      <c r="A17" s="204" t="s">
        <v>1592</v>
      </c>
      <c r="B17" s="205"/>
      <c r="C17" s="205"/>
      <c r="D17" s="205"/>
      <c r="E17" s="205"/>
      <c r="F17" s="204"/>
      <c r="G17" s="204"/>
      <c r="H17" s="204"/>
    </row>
    <row r="18" spans="1:8" x14ac:dyDescent="0.3">
      <c r="A18" s="204" t="s">
        <v>1593</v>
      </c>
      <c r="B18" s="205"/>
      <c r="C18" s="205"/>
      <c r="D18" s="205"/>
      <c r="E18" s="205"/>
      <c r="F18" s="204"/>
      <c r="G18" s="204"/>
      <c r="H18" s="204"/>
    </row>
    <row r="19" spans="1:8" x14ac:dyDescent="0.3">
      <c r="A19" s="204" t="s">
        <v>1593</v>
      </c>
      <c r="B19" s="205"/>
      <c r="C19" s="205"/>
      <c r="D19" s="205"/>
      <c r="E19" s="205"/>
      <c r="F19" s="204"/>
      <c r="G19" s="204"/>
      <c r="H19" s="204"/>
    </row>
    <row r="20" spans="1:8" x14ac:dyDescent="0.3">
      <c r="A20" s="204" t="s">
        <v>1593</v>
      </c>
      <c r="B20" s="205"/>
      <c r="C20" s="205"/>
      <c r="D20" s="205"/>
      <c r="E20" s="205"/>
      <c r="F20" s="204"/>
      <c r="G20" s="204"/>
      <c r="H20" s="204"/>
    </row>
    <row r="21" spans="1:8" x14ac:dyDescent="0.3">
      <c r="A21" s="204"/>
      <c r="B21" s="205"/>
      <c r="C21" s="205"/>
      <c r="D21" s="205"/>
      <c r="E21" s="205"/>
      <c r="F21" s="204"/>
      <c r="G21" s="204"/>
      <c r="H21" s="204"/>
    </row>
    <row r="22" spans="1:8" x14ac:dyDescent="0.3">
      <c r="A22" s="204"/>
      <c r="B22" s="205"/>
      <c r="C22" s="205"/>
      <c r="D22" s="205"/>
      <c r="E22" s="205"/>
      <c r="F22" s="204"/>
      <c r="G22" s="204"/>
      <c r="H22" s="204"/>
    </row>
    <row r="23" spans="1:8" x14ac:dyDescent="0.3">
      <c r="A23" s="204" t="s">
        <v>1594</v>
      </c>
      <c r="B23" s="205"/>
      <c r="C23" s="205"/>
      <c r="D23" s="205"/>
      <c r="E23" s="205"/>
      <c r="F23" s="204"/>
      <c r="G23" s="204"/>
      <c r="H23" s="204"/>
    </row>
    <row r="24" spans="1:8" x14ac:dyDescent="0.3">
      <c r="A24" s="204" t="s">
        <v>1595</v>
      </c>
      <c r="B24" s="205"/>
      <c r="C24" s="205"/>
      <c r="D24" s="205"/>
      <c r="E24" s="205"/>
      <c r="F24" s="204"/>
      <c r="G24" s="204"/>
      <c r="H24" s="204"/>
    </row>
    <row r="25" spans="1:8" x14ac:dyDescent="0.3">
      <c r="A25" s="204" t="s">
        <v>387</v>
      </c>
      <c r="B25" s="205"/>
      <c r="C25" s="205"/>
      <c r="D25" s="205"/>
      <c r="E25" s="205"/>
      <c r="F25" s="204"/>
      <c r="G25" s="204"/>
      <c r="H25" s="204"/>
    </row>
    <row r="26" spans="1:8" x14ac:dyDescent="0.3">
      <c r="A26" s="204" t="s">
        <v>1596</v>
      </c>
      <c r="B26" s="205"/>
      <c r="C26" s="205"/>
      <c r="D26" s="205"/>
      <c r="E26" s="205"/>
      <c r="F26" s="204"/>
      <c r="G26" s="204"/>
      <c r="H26" s="204"/>
    </row>
    <row r="27" spans="1:8" x14ac:dyDescent="0.3">
      <c r="A27" s="204" t="s">
        <v>1597</v>
      </c>
      <c r="B27" s="205"/>
      <c r="C27" s="205"/>
      <c r="D27" s="205"/>
      <c r="E27" s="205"/>
      <c r="F27" s="204"/>
      <c r="G27" s="204"/>
      <c r="H27" s="204"/>
    </row>
    <row r="28" spans="1:8" x14ac:dyDescent="0.3">
      <c r="A28" s="204" t="s">
        <v>1597</v>
      </c>
      <c r="B28" s="205"/>
      <c r="C28" s="205"/>
      <c r="D28" s="205"/>
      <c r="E28" s="205"/>
      <c r="F28" s="204"/>
      <c r="G28" s="204"/>
      <c r="H28" s="204"/>
    </row>
    <row r="29" spans="1:8" x14ac:dyDescent="0.3">
      <c r="A29" s="204" t="s">
        <v>1598</v>
      </c>
      <c r="B29" s="205"/>
      <c r="C29" s="205"/>
      <c r="D29" s="205"/>
      <c r="E29" s="205"/>
      <c r="F29" s="204"/>
      <c r="G29" s="204"/>
      <c r="H29" s="204"/>
    </row>
    <row r="30" spans="1:8" x14ac:dyDescent="0.3">
      <c r="A30" s="204">
        <v>20</v>
      </c>
      <c r="B30" s="205"/>
      <c r="C30" s="205"/>
      <c r="D30" s="205"/>
      <c r="E30" s="205"/>
      <c r="F30" s="204"/>
      <c r="G30" s="204"/>
      <c r="H30" s="204"/>
    </row>
    <row r="31" spans="1:8" x14ac:dyDescent="0.3">
      <c r="A31" s="204" t="s">
        <v>1599</v>
      </c>
      <c r="B31" s="205"/>
      <c r="C31" s="205"/>
      <c r="D31" s="205"/>
      <c r="E31" s="205"/>
      <c r="F31" s="204"/>
      <c r="G31" s="204"/>
      <c r="H31" s="204"/>
    </row>
    <row r="32" spans="1:8" x14ac:dyDescent="0.3">
      <c r="A32" s="204" t="s">
        <v>1600</v>
      </c>
      <c r="B32" s="205"/>
      <c r="C32" s="205"/>
      <c r="D32" s="205"/>
      <c r="E32" s="205"/>
      <c r="F32" s="204"/>
      <c r="G32" s="204"/>
      <c r="H32" s="204"/>
    </row>
    <row r="33" spans="1:28" x14ac:dyDescent="0.3">
      <c r="A33" s="204" t="s">
        <v>1601</v>
      </c>
      <c r="B33" s="205"/>
      <c r="C33" s="205"/>
      <c r="D33" s="205"/>
      <c r="E33" s="205"/>
      <c r="F33" s="204"/>
      <c r="G33" s="204"/>
      <c r="H33" s="204"/>
    </row>
    <row r="34" spans="1:28" x14ac:dyDescent="0.3">
      <c r="A34" s="204"/>
      <c r="B34" s="205"/>
      <c r="C34" s="205"/>
      <c r="D34" s="205"/>
      <c r="E34" s="205"/>
      <c r="F34" s="204"/>
      <c r="G34" s="204"/>
      <c r="H34" s="204"/>
    </row>
    <row r="35" spans="1:28" x14ac:dyDescent="0.3">
      <c r="A35" s="204" t="s">
        <v>1602</v>
      </c>
      <c r="B35" s="205"/>
      <c r="C35" s="205"/>
      <c r="D35" s="205"/>
      <c r="E35" s="205"/>
      <c r="F35" s="204"/>
      <c r="G35" s="204"/>
      <c r="H35" s="204"/>
    </row>
    <row r="36" spans="1:28" x14ac:dyDescent="0.3">
      <c r="A36" s="204" t="s">
        <v>1603</v>
      </c>
      <c r="B36" s="205"/>
      <c r="C36" s="205"/>
      <c r="D36" s="205"/>
      <c r="E36" s="205"/>
      <c r="F36" s="204"/>
      <c r="G36" s="204"/>
      <c r="H36" s="204"/>
    </row>
    <row r="37" spans="1:28" x14ac:dyDescent="0.3">
      <c r="A37" s="204" t="s">
        <v>1604</v>
      </c>
      <c r="B37" s="205" t="s">
        <v>1149</v>
      </c>
      <c r="C37" s="205" t="s">
        <v>912</v>
      </c>
      <c r="D37" s="205"/>
      <c r="E37" s="205"/>
      <c r="F37" s="204"/>
      <c r="G37" s="204"/>
      <c r="H37" s="204"/>
    </row>
    <row r="38" spans="1:28" x14ac:dyDescent="0.3">
      <c r="A38" s="204" t="s">
        <v>1144</v>
      </c>
      <c r="B38" s="205" t="s">
        <v>1605</v>
      </c>
      <c r="C38" s="205" t="s">
        <v>123</v>
      </c>
      <c r="D38" s="205"/>
      <c r="E38" s="205"/>
      <c r="F38" s="204"/>
      <c r="G38" s="204"/>
      <c r="H38" s="204"/>
      <c r="Y38" t="s">
        <v>737</v>
      </c>
    </row>
    <row r="39" spans="1:28" x14ac:dyDescent="0.3">
      <c r="A39" s="204" t="s">
        <v>274</v>
      </c>
      <c r="B39" s="205" t="s">
        <v>1606</v>
      </c>
      <c r="C39" s="205"/>
      <c r="D39" s="205"/>
      <c r="E39" s="205"/>
      <c r="F39" s="204"/>
      <c r="G39" s="204"/>
      <c r="H39" s="204"/>
      <c r="J39" t="s">
        <v>398</v>
      </c>
      <c r="K39" t="s">
        <v>399</v>
      </c>
      <c r="L39" t="s">
        <v>431</v>
      </c>
      <c r="M39" s="76" t="s">
        <v>30</v>
      </c>
      <c r="N39" s="73" t="s">
        <v>32</v>
      </c>
      <c r="O39" s="73" t="s">
        <v>33</v>
      </c>
      <c r="P39" s="73" t="s">
        <v>34</v>
      </c>
      <c r="Q39" s="73" t="s">
        <v>35</v>
      </c>
      <c r="S39" s="74" t="s">
        <v>401</v>
      </c>
      <c r="T39" s="204" t="s">
        <v>432</v>
      </c>
      <c r="U39" s="204" t="s">
        <v>433</v>
      </c>
      <c r="V39" s="204" t="s">
        <v>434</v>
      </c>
      <c r="W39" s="204" t="s">
        <v>435</v>
      </c>
    </row>
    <row r="40" spans="1:28" x14ac:dyDescent="0.3">
      <c r="A40" s="204" t="s">
        <v>744</v>
      </c>
      <c r="B40" s="205" t="s">
        <v>1607</v>
      </c>
      <c r="C40" s="205"/>
      <c r="D40" s="205"/>
      <c r="E40" s="205"/>
      <c r="F40" s="204"/>
      <c r="G40" s="204"/>
      <c r="H40" s="204"/>
      <c r="N40" s="8"/>
      <c r="O40" s="8"/>
      <c r="P40" s="8"/>
      <c r="Q40" s="8"/>
      <c r="S40" s="75" t="s">
        <v>1248</v>
      </c>
      <c r="T40" s="39">
        <v>3161</v>
      </c>
      <c r="U40" s="39">
        <v>4194</v>
      </c>
      <c r="V40" s="39">
        <v>7254</v>
      </c>
      <c r="W40" s="39">
        <v>7900</v>
      </c>
      <c r="Y40" t="s">
        <v>32</v>
      </c>
      <c r="Z40" t="s">
        <v>710</v>
      </c>
      <c r="AA40" t="s">
        <v>711</v>
      </c>
      <c r="AB40" t="s">
        <v>35</v>
      </c>
    </row>
    <row r="41" spans="1:28" x14ac:dyDescent="0.3">
      <c r="A41" s="204"/>
      <c r="B41" s="205" t="s">
        <v>1608</v>
      </c>
      <c r="C41" s="205"/>
      <c r="D41" s="205"/>
      <c r="E41" s="205"/>
      <c r="F41" s="204"/>
      <c r="G41" s="204"/>
      <c r="H41" s="204"/>
      <c r="N41" s="8"/>
      <c r="O41" s="8"/>
      <c r="P41" s="8"/>
      <c r="Q41" s="8"/>
      <c r="S41" s="75" t="s">
        <v>1255</v>
      </c>
      <c r="T41" s="39">
        <v>3103</v>
      </c>
      <c r="U41" s="39">
        <v>4116</v>
      </c>
      <c r="V41" s="39">
        <v>7118</v>
      </c>
      <c r="W41" s="39">
        <v>7700</v>
      </c>
      <c r="Y41">
        <f>SUM(Y42:Y1048576)</f>
        <v>0</v>
      </c>
      <c r="Z41">
        <f t="shared" ref="Z41:AB41" si="0">SUM(Z42:Z1048576)</f>
        <v>0</v>
      </c>
      <c r="AA41">
        <f t="shared" si="0"/>
        <v>0</v>
      </c>
      <c r="AB41">
        <f t="shared" si="0"/>
        <v>0</v>
      </c>
    </row>
    <row r="42" spans="1:28" x14ac:dyDescent="0.3">
      <c r="A42" s="204"/>
      <c r="B42" s="205" t="s">
        <v>1609</v>
      </c>
      <c r="C42" s="205"/>
      <c r="D42" s="205"/>
      <c r="E42" s="205"/>
      <c r="F42" s="204"/>
      <c r="G42" s="204"/>
      <c r="H42" s="204"/>
      <c r="N42" s="8"/>
      <c r="O42" s="8"/>
      <c r="P42" s="8"/>
      <c r="Q42" s="8"/>
      <c r="S42" s="75" t="s">
        <v>736</v>
      </c>
      <c r="T42" s="39">
        <v>2854</v>
      </c>
      <c r="U42" s="39">
        <v>3579</v>
      </c>
      <c r="V42" s="39">
        <v>7968</v>
      </c>
      <c r="W42" s="39">
        <v>6470</v>
      </c>
    </row>
    <row r="43" spans="1:28" x14ac:dyDescent="0.3">
      <c r="A43" s="204"/>
      <c r="B43" s="205" t="s">
        <v>1610</v>
      </c>
      <c r="C43" s="205"/>
      <c r="D43" s="205"/>
      <c r="E43" s="205"/>
      <c r="F43" s="204"/>
      <c r="G43" s="204"/>
      <c r="H43" s="204"/>
      <c r="N43" s="8"/>
      <c r="O43" s="8"/>
      <c r="P43" s="8"/>
      <c r="Q43" s="8"/>
      <c r="S43" s="75" t="s">
        <v>1249</v>
      </c>
      <c r="T43" s="39">
        <v>3134</v>
      </c>
      <c r="U43" s="39">
        <v>4112</v>
      </c>
      <c r="V43" s="39">
        <v>7111</v>
      </c>
      <c r="W43" s="39">
        <v>7700</v>
      </c>
    </row>
    <row r="44" spans="1:28" x14ac:dyDescent="0.3">
      <c r="A44" s="204" t="s">
        <v>1611</v>
      </c>
      <c r="B44" s="205" t="s">
        <v>1612</v>
      </c>
      <c r="C44" s="205" t="s">
        <v>1613</v>
      </c>
      <c r="D44" s="205" t="s">
        <v>1614</v>
      </c>
      <c r="E44" s="205" t="s">
        <v>1615</v>
      </c>
      <c r="F44" s="204"/>
      <c r="G44" s="204"/>
      <c r="H44" s="204"/>
      <c r="N44" s="8"/>
      <c r="O44" s="8"/>
      <c r="P44" s="8"/>
      <c r="Q44" s="8"/>
      <c r="S44" s="75" t="s">
        <v>1269</v>
      </c>
      <c r="T44" s="39">
        <v>3171</v>
      </c>
      <c r="U44" s="39">
        <v>4092</v>
      </c>
      <c r="V44" s="39">
        <v>7077</v>
      </c>
      <c r="W44" s="39">
        <v>8000</v>
      </c>
    </row>
    <row r="45" spans="1:28" x14ac:dyDescent="0.3">
      <c r="A45" s="204" t="s">
        <v>315</v>
      </c>
      <c r="B45" s="205">
        <v>1</v>
      </c>
      <c r="C45" s="205">
        <v>1</v>
      </c>
      <c r="D45" s="205" t="s">
        <v>404</v>
      </c>
      <c r="E45" s="205">
        <v>148</v>
      </c>
      <c r="F45" s="204"/>
      <c r="G45" s="204"/>
      <c r="H45" s="204"/>
      <c r="N45" s="8"/>
      <c r="O45" s="8"/>
      <c r="P45" s="8"/>
      <c r="Q45" s="8"/>
      <c r="S45" s="75" t="s">
        <v>1247</v>
      </c>
      <c r="T45" s="39">
        <v>3212</v>
      </c>
      <c r="U45" s="39">
        <v>3493</v>
      </c>
      <c r="V45" s="39">
        <v>4122</v>
      </c>
      <c r="W45" s="39">
        <v>6627</v>
      </c>
    </row>
    <row r="46" spans="1:28" x14ac:dyDescent="0.3">
      <c r="A46" s="204" t="s">
        <v>1616</v>
      </c>
      <c r="B46" s="205"/>
      <c r="C46" s="205"/>
      <c r="D46" s="205"/>
      <c r="E46" s="205"/>
      <c r="F46" s="204"/>
      <c r="G46" s="204"/>
      <c r="H46" s="204"/>
      <c r="N46" s="8"/>
      <c r="O46" s="8"/>
      <c r="P46" s="8"/>
      <c r="Q46" s="8"/>
      <c r="S46" s="75" t="s">
        <v>1281</v>
      </c>
      <c r="T46" s="39">
        <v>3226</v>
      </c>
      <c r="U46" s="39">
        <v>4273</v>
      </c>
      <c r="V46" s="39">
        <v>7389</v>
      </c>
      <c r="W46" s="39">
        <v>7500</v>
      </c>
    </row>
    <row r="47" spans="1:28" x14ac:dyDescent="0.3">
      <c r="A47" s="204"/>
      <c r="B47" s="205"/>
      <c r="C47" s="205"/>
      <c r="D47" s="205"/>
      <c r="E47" s="205"/>
      <c r="F47" s="204"/>
      <c r="G47" s="204"/>
      <c r="H47" s="204"/>
      <c r="N47" s="8"/>
      <c r="O47" s="8"/>
      <c r="P47" s="8"/>
      <c r="Q47" s="8"/>
      <c r="S47" s="75" t="s">
        <v>1293</v>
      </c>
      <c r="T47" s="39">
        <v>3197</v>
      </c>
      <c r="U47" s="39">
        <v>4233</v>
      </c>
      <c r="V47" s="39">
        <v>7320</v>
      </c>
      <c r="W47" s="39">
        <v>8000</v>
      </c>
    </row>
    <row r="48" spans="1:28" x14ac:dyDescent="0.3">
      <c r="A48" s="204" t="s">
        <v>405</v>
      </c>
      <c r="B48" s="205"/>
      <c r="C48" s="205"/>
      <c r="D48" s="205"/>
      <c r="E48" s="205"/>
      <c r="F48" s="204"/>
      <c r="G48" s="204"/>
      <c r="H48" s="204"/>
      <c r="N48" s="8"/>
      <c r="O48" s="8"/>
      <c r="P48" s="8"/>
      <c r="Q48" s="8"/>
      <c r="S48" s="75" t="s">
        <v>1415</v>
      </c>
      <c r="T48" s="39">
        <v>3133</v>
      </c>
      <c r="U48" s="39">
        <v>4111</v>
      </c>
      <c r="V48" s="39">
        <v>7109</v>
      </c>
      <c r="W48" s="39">
        <v>8000</v>
      </c>
    </row>
    <row r="49" spans="1:33" x14ac:dyDescent="0.3">
      <c r="A49" s="204" t="s">
        <v>1617</v>
      </c>
      <c r="B49" s="205"/>
      <c r="C49" s="205"/>
      <c r="D49" s="205"/>
      <c r="E49" s="205"/>
      <c r="F49" s="204"/>
      <c r="G49" s="204"/>
      <c r="H49" s="204"/>
      <c r="N49" s="8"/>
      <c r="O49" s="8"/>
      <c r="P49" s="8"/>
      <c r="Q49" s="8"/>
      <c r="S49" s="75" t="s">
        <v>1292</v>
      </c>
      <c r="T49" s="39">
        <v>3314</v>
      </c>
      <c r="U49" s="39">
        <v>4275</v>
      </c>
      <c r="V49" s="39">
        <v>7394</v>
      </c>
      <c r="W49" s="39">
        <v>8100</v>
      </c>
    </row>
    <row r="50" spans="1:33" x14ac:dyDescent="0.3">
      <c r="A50" s="204" t="s">
        <v>1618</v>
      </c>
      <c r="B50" s="205"/>
      <c r="C50" s="205"/>
      <c r="D50" s="205"/>
      <c r="E50" s="205"/>
      <c r="F50" s="204"/>
      <c r="G50" s="204"/>
      <c r="H50" s="204"/>
      <c r="N50" s="8"/>
      <c r="O50" s="8"/>
      <c r="P50" s="8"/>
      <c r="Q50" s="8"/>
      <c r="S50" s="75" t="s">
        <v>1416</v>
      </c>
      <c r="T50" s="39">
        <v>3237</v>
      </c>
      <c r="U50" s="39">
        <v>4238</v>
      </c>
      <c r="V50" s="39">
        <v>7330</v>
      </c>
      <c r="W50" s="39">
        <v>8000</v>
      </c>
    </row>
    <row r="51" spans="1:33" x14ac:dyDescent="0.3">
      <c r="A51" s="204" t="s">
        <v>406</v>
      </c>
      <c r="B51" s="205"/>
      <c r="C51" s="205"/>
      <c r="D51" s="205"/>
      <c r="E51" s="205"/>
      <c r="F51" s="204"/>
      <c r="G51" s="204"/>
      <c r="H51" s="204"/>
      <c r="N51" s="8"/>
      <c r="O51" s="8"/>
      <c r="P51" s="8"/>
      <c r="Q51" s="8"/>
      <c r="S51" s="75" t="s">
        <v>1417</v>
      </c>
      <c r="T51" s="39">
        <v>3209</v>
      </c>
      <c r="U51" s="39">
        <v>4136</v>
      </c>
      <c r="V51" s="39">
        <v>7152</v>
      </c>
      <c r="W51" s="39">
        <v>8000</v>
      </c>
    </row>
    <row r="52" spans="1:33" x14ac:dyDescent="0.3">
      <c r="A52" s="204" t="s">
        <v>407</v>
      </c>
      <c r="B52" s="205"/>
      <c r="C52" s="205"/>
      <c r="D52" s="205"/>
      <c r="E52" s="205"/>
      <c r="F52" s="204"/>
      <c r="G52" s="204"/>
      <c r="H52" s="204"/>
      <c r="N52" s="8"/>
      <c r="O52" s="8"/>
      <c r="P52" s="8"/>
      <c r="Q52" s="8"/>
      <c r="S52" s="75" t="s">
        <v>1280</v>
      </c>
      <c r="T52" s="39">
        <v>3207</v>
      </c>
      <c r="U52" s="39">
        <v>4265</v>
      </c>
      <c r="V52" s="39">
        <v>7376</v>
      </c>
      <c r="W52" s="39">
        <v>8000</v>
      </c>
    </row>
    <row r="53" spans="1:33" x14ac:dyDescent="0.3">
      <c r="A53" s="204" t="s">
        <v>408</v>
      </c>
      <c r="B53" s="205"/>
      <c r="C53" s="205"/>
      <c r="D53" s="205"/>
      <c r="E53" s="205"/>
      <c r="F53" s="204"/>
      <c r="G53" s="204"/>
      <c r="H53" s="204"/>
      <c r="N53" s="8"/>
      <c r="O53" s="8"/>
      <c r="P53" s="8"/>
      <c r="Q53" s="8"/>
      <c r="S53" s="75" t="s">
        <v>1418</v>
      </c>
      <c r="T53" s="39">
        <v>3138</v>
      </c>
      <c r="U53" s="39">
        <v>4173</v>
      </c>
      <c r="V53" s="39">
        <v>7217</v>
      </c>
      <c r="W53" s="39">
        <v>8000</v>
      </c>
    </row>
    <row r="54" spans="1:33" x14ac:dyDescent="0.3">
      <c r="A54" s="204" t="s">
        <v>409</v>
      </c>
      <c r="B54" s="205"/>
      <c r="C54" s="205"/>
      <c r="D54" s="205"/>
      <c r="E54" s="205"/>
      <c r="F54" s="204"/>
      <c r="G54" s="204"/>
      <c r="H54" s="204"/>
      <c r="N54" s="8"/>
      <c r="O54" s="8"/>
      <c r="P54" s="8"/>
      <c r="Q54" s="8"/>
      <c r="S54" s="75" t="s">
        <v>1419</v>
      </c>
      <c r="T54" s="39">
        <v>3295</v>
      </c>
      <c r="U54" s="39">
        <v>4382</v>
      </c>
      <c r="V54" s="39">
        <v>7578</v>
      </c>
      <c r="W54" s="39">
        <v>8300</v>
      </c>
    </row>
    <row r="55" spans="1:33" x14ac:dyDescent="0.3">
      <c r="A55" s="204" t="s">
        <v>410</v>
      </c>
      <c r="B55" s="205"/>
      <c r="C55" s="205"/>
      <c r="D55" s="205"/>
      <c r="E55" s="205"/>
      <c r="F55" s="204"/>
      <c r="G55" s="204"/>
      <c r="H55" s="204"/>
      <c r="N55" s="8"/>
      <c r="O55" s="8"/>
      <c r="P55" s="8"/>
      <c r="Q55" s="8"/>
      <c r="S55" s="75" t="s">
        <v>1420</v>
      </c>
      <c r="T55" s="39">
        <v>3294</v>
      </c>
      <c r="U55" s="39">
        <v>4381</v>
      </c>
      <c r="V55" s="39">
        <v>7576</v>
      </c>
      <c r="W55" s="39">
        <v>8000</v>
      </c>
    </row>
    <row r="56" spans="1:33" x14ac:dyDescent="0.3">
      <c r="A56" s="204" t="s">
        <v>411</v>
      </c>
      <c r="B56" s="205"/>
      <c r="C56" s="205"/>
      <c r="D56" s="205"/>
      <c r="E56" s="205"/>
      <c r="F56" s="204"/>
      <c r="G56" s="204"/>
      <c r="H56" s="204"/>
      <c r="N56" s="8"/>
      <c r="O56" s="8"/>
      <c r="P56" s="8"/>
      <c r="Q56" s="8"/>
    </row>
    <row r="57" spans="1:33" x14ac:dyDescent="0.3">
      <c r="A57" s="204" t="s">
        <v>412</v>
      </c>
      <c r="B57" s="205"/>
      <c r="C57" s="205"/>
      <c r="D57" s="205"/>
      <c r="E57" s="205"/>
      <c r="F57" s="204"/>
      <c r="G57" s="204"/>
      <c r="H57" s="204"/>
      <c r="N57" s="8"/>
      <c r="O57" s="8"/>
      <c r="P57" s="8"/>
      <c r="Q57" s="8"/>
    </row>
    <row r="58" spans="1:33" x14ac:dyDescent="0.3">
      <c r="A58" s="204" t="s">
        <v>405</v>
      </c>
      <c r="B58" s="205"/>
      <c r="C58" s="205"/>
      <c r="D58" s="205"/>
      <c r="E58" s="205"/>
      <c r="F58" s="204"/>
      <c r="G58" s="204"/>
      <c r="H58" s="204"/>
      <c r="N58" s="8"/>
      <c r="O58" s="8"/>
      <c r="P58" s="8"/>
      <c r="Q58" s="8"/>
    </row>
    <row r="59" spans="1:33" x14ac:dyDescent="0.3">
      <c r="A59" s="204" t="s">
        <v>413</v>
      </c>
      <c r="B59" s="205"/>
      <c r="C59" s="205"/>
      <c r="D59" s="205"/>
      <c r="E59" s="205"/>
      <c r="F59" s="204"/>
      <c r="G59" s="204"/>
      <c r="H59" s="204"/>
      <c r="N59" s="8"/>
      <c r="O59" s="8"/>
      <c r="P59" s="8"/>
      <c r="Q59" s="8"/>
      <c r="AD59" s="242" t="s">
        <v>1155</v>
      </c>
      <c r="AE59" s="242"/>
      <c r="AF59" s="242"/>
      <c r="AG59" s="242"/>
    </row>
    <row r="60" spans="1:33" x14ac:dyDescent="0.3">
      <c r="A60" s="204" t="s">
        <v>414</v>
      </c>
      <c r="B60" s="205"/>
      <c r="C60" s="205"/>
      <c r="D60" s="205"/>
      <c r="E60" s="205"/>
      <c r="F60" s="204"/>
      <c r="G60" s="204"/>
      <c r="H60" s="204"/>
      <c r="N60" s="8"/>
      <c r="O60" s="8"/>
      <c r="P60" s="8"/>
      <c r="Q60" s="8"/>
    </row>
    <row r="61" spans="1:33" x14ac:dyDescent="0.3">
      <c r="A61" s="204" t="s">
        <v>415</v>
      </c>
      <c r="B61" s="205"/>
      <c r="C61" s="205"/>
      <c r="D61" s="205"/>
      <c r="E61" s="205"/>
      <c r="F61" s="204"/>
      <c r="G61" s="204"/>
      <c r="H61" s="204"/>
      <c r="N61" s="8"/>
      <c r="O61" s="8"/>
      <c r="P61" s="8"/>
      <c r="Q61" s="8"/>
      <c r="AD61" s="204">
        <f t="shared" ref="AD61:AD73" si="1">IFERROR(IF(A61&lt;&gt;"",IF(A62&lt;&gt;"",IF(FIND("Mode AM +Tarif actuel",A62),VALUE(LEFT(B61,LEN(B61)-2)),),0),0),0)</f>
        <v>0</v>
      </c>
      <c r="AE61" s="204">
        <f t="shared" ref="AE61:AE73" si="2">IFERROR(IF(A61&lt;&gt;"",IF(A62&lt;&gt;"",IF(FIND("Mode AM +Tarif actuel",A62),VALUE(LEFT(C61,LEN(C61)-2)),),0),0),0)</f>
        <v>0</v>
      </c>
      <c r="AF61" s="204">
        <f t="shared" ref="AF61:AF73" si="3">IFERROR(IF(A61&lt;&gt;"",IF(A62&lt;&gt;"",IF(FIND("Mode AM +Tarif actuel",A62),VALUE(LEFT(D61,LEN(D61)-2)),),0),0),0)</f>
        <v>0</v>
      </c>
      <c r="AG61" s="204">
        <f t="shared" ref="AG61:AG73" si="4">IFERROR(IF(A61&lt;&gt;"",IF(A62&lt;&gt;"",IF(FIND("Mode AM +Tarif actuel",A62),VALUE(LEFT(E61,LEN(E61)-2)),),0),0),0)</f>
        <v>0</v>
      </c>
    </row>
    <row r="62" spans="1:33" x14ac:dyDescent="0.3">
      <c r="A62" s="204"/>
      <c r="B62" s="205" t="s">
        <v>3</v>
      </c>
      <c r="C62" s="205" t="s">
        <v>416</v>
      </c>
      <c r="D62" s="205" t="s">
        <v>417</v>
      </c>
      <c r="E62" s="205" t="s">
        <v>418</v>
      </c>
      <c r="F62" s="204" t="s">
        <v>419</v>
      </c>
      <c r="G62" s="204" t="s">
        <v>420</v>
      </c>
      <c r="H62" s="204" t="s">
        <v>97</v>
      </c>
      <c r="N62" s="8"/>
      <c r="O62" s="8"/>
      <c r="P62" s="8"/>
      <c r="Q62" s="8"/>
      <c r="AD62" s="204">
        <f t="shared" si="1"/>
        <v>0</v>
      </c>
      <c r="AE62" s="204">
        <f t="shared" si="2"/>
        <v>0</v>
      </c>
      <c r="AF62" s="204">
        <f t="shared" si="3"/>
        <v>0</v>
      </c>
      <c r="AG62" s="204">
        <f t="shared" si="4"/>
        <v>0</v>
      </c>
    </row>
    <row r="63" spans="1:33" x14ac:dyDescent="0.3">
      <c r="A63" s="204" t="s">
        <v>421</v>
      </c>
      <c r="B63" s="205" t="s">
        <v>422</v>
      </c>
      <c r="C63" s="205" t="s">
        <v>422</v>
      </c>
      <c r="D63" s="205" t="s">
        <v>422</v>
      </c>
      <c r="E63" s="205" t="s">
        <v>422</v>
      </c>
      <c r="F63" s="204" t="s">
        <v>422</v>
      </c>
      <c r="G63" s="204" t="s">
        <v>422</v>
      </c>
      <c r="H63" s="204" t="s">
        <v>422</v>
      </c>
      <c r="N63" s="8"/>
      <c r="O63" s="8"/>
      <c r="P63" s="8"/>
      <c r="Q63" s="8"/>
      <c r="AD63" s="204">
        <f t="shared" si="1"/>
        <v>0</v>
      </c>
      <c r="AE63" s="204">
        <f t="shared" si="2"/>
        <v>0</v>
      </c>
      <c r="AF63" s="204">
        <f t="shared" si="3"/>
        <v>0</v>
      </c>
      <c r="AG63" s="204">
        <f t="shared" si="4"/>
        <v>0</v>
      </c>
    </row>
    <row r="64" spans="1:33" x14ac:dyDescent="0.3">
      <c r="A64" s="204" t="s">
        <v>394</v>
      </c>
      <c r="B64" s="205" t="s">
        <v>422</v>
      </c>
      <c r="C64" s="205" t="s">
        <v>422</v>
      </c>
      <c r="D64" s="205" t="s">
        <v>422</v>
      </c>
      <c r="E64" s="205" t="s">
        <v>422</v>
      </c>
      <c r="F64" s="204" t="s">
        <v>422</v>
      </c>
      <c r="G64" s="204" t="s">
        <v>422</v>
      </c>
      <c r="H64" s="204" t="s">
        <v>422</v>
      </c>
      <c r="N64" s="8"/>
      <c r="O64" s="8"/>
      <c r="P64" s="8"/>
      <c r="Q64" s="8"/>
      <c r="AD64" s="204">
        <f t="shared" si="1"/>
        <v>0</v>
      </c>
      <c r="AE64" s="204">
        <f t="shared" si="2"/>
        <v>0</v>
      </c>
      <c r="AF64" s="204">
        <f t="shared" si="3"/>
        <v>0</v>
      </c>
      <c r="AG64" s="204">
        <f t="shared" si="4"/>
        <v>0</v>
      </c>
    </row>
    <row r="65" spans="1:33" x14ac:dyDescent="0.3">
      <c r="A65" s="204" t="s">
        <v>423</v>
      </c>
      <c r="B65" s="205" t="s">
        <v>422</v>
      </c>
      <c r="C65" s="205" t="s">
        <v>422</v>
      </c>
      <c r="D65" s="205" t="s">
        <v>422</v>
      </c>
      <c r="E65" s="205" t="s">
        <v>422</v>
      </c>
      <c r="F65" s="204" t="s">
        <v>422</v>
      </c>
      <c r="G65" s="204" t="s">
        <v>424</v>
      </c>
      <c r="H65" s="204" t="s">
        <v>422</v>
      </c>
      <c r="N65" s="8"/>
      <c r="O65" s="8"/>
      <c r="P65" s="8"/>
      <c r="Q65" s="8"/>
      <c r="AD65" s="204">
        <f t="shared" si="1"/>
        <v>0</v>
      </c>
      <c r="AE65" s="204">
        <f t="shared" si="2"/>
        <v>0</v>
      </c>
      <c r="AF65" s="204">
        <f t="shared" si="3"/>
        <v>0</v>
      </c>
      <c r="AG65" s="204">
        <f t="shared" si="4"/>
        <v>0</v>
      </c>
    </row>
    <row r="66" spans="1:33" x14ac:dyDescent="0.3">
      <c r="A66" s="204" t="s">
        <v>425</v>
      </c>
      <c r="B66" s="205"/>
      <c r="C66" s="205"/>
      <c r="D66" s="205"/>
      <c r="E66" s="205"/>
      <c r="F66" s="204"/>
      <c r="G66" s="204"/>
      <c r="H66" s="204"/>
      <c r="I66" t="str">
        <f>IF(G66="Détail",LEN(A66),"")</f>
        <v/>
      </c>
      <c r="J66" t="str">
        <f>IF(I66="","",LEFT(A66,3))</f>
        <v/>
      </c>
      <c r="K66" t="str">
        <f>IF(J66&lt;&gt;"",MID(A66,5,3),"")</f>
        <v/>
      </c>
      <c r="L66" t="str">
        <f>IF(J66&lt;&gt;"",RIGHT(A66,2),"")</f>
        <v/>
      </c>
      <c r="M66" s="76" t="str">
        <f>IF(J66&lt;&gt;"",CONCATENATE(J66,"/",K66),"")</f>
        <v/>
      </c>
      <c r="N66" s="8">
        <f>IFERROR(IF(A66&lt;&gt;"",IF(A67&lt;&gt;"",IF(FIND("Mode AM +Tarif actuel",A67),VALUE(LEFT(B67,LEN(B67)-2)),),0),0),0)</f>
        <v>0</v>
      </c>
      <c r="O66" s="8">
        <f>IFERROR(IF(A66&lt;&gt;"",IF(A67&lt;&gt;"",IF(FIND("Mode AM +Tarif actuel",A67),VALUE(LEFT(C67,LEN(C67)-2)),),0),0),0)</f>
        <v>0</v>
      </c>
      <c r="P66" s="8">
        <f>IFERROR(IF(A66&lt;&gt;"",IF(A67&lt;&gt;"",IF(FIND("Mode AM +Tarif actuel",A67),VALUE(LEFT(D67,LEN(D67)-2)),),0),0),0)</f>
        <v>0</v>
      </c>
      <c r="Q66" s="8">
        <f>IFERROR(IF(A66&lt;&gt;"",IF(A67&lt;&gt;"",IF(FIND("Mode AM +Tarif actuel",A67),VALUE(LEFT(E67,LEN(E67)-2)),),0),0),0)</f>
        <v>0</v>
      </c>
      <c r="X66" s="71" t="str">
        <f>M66</f>
        <v/>
      </c>
      <c r="Y66">
        <f>IFERROR(IF(A66&lt;&gt;"",IF(A67&lt;&gt;"",IF(FIND("Mode AM +Tarif actuel",A67),VALUE(LEFT(B66,LEN(B66)-2)),),0),0),0)-IFERROR(IF(A66&lt;&gt;"",IF(A67&lt;&gt;"",IF(FIND("Mode AM +Tarif actuel",A67),VALUE(LEFT(B67,LEN(B67)-2)),),0),0),0)</f>
        <v>0</v>
      </c>
      <c r="Z66">
        <f>IFERROR(IF(A66&lt;&gt;"",IF(A67&lt;&gt;"",IF(FIND("Mode AM +Tarif actuel",A67),VALUE(LEFT(C66,LEN(C66)-2)),),0),0),0)-IFERROR(IF(A66&lt;&gt;"",IF(A67&lt;&gt;"",IF(FIND("Mode AM +Tarif actuel",A67),VALUE(LEFT(C67,LEN(C67)-2)),),0),0),0)</f>
        <v>0</v>
      </c>
      <c r="AA66">
        <f>IFERROR(IF(A66&lt;&gt;"",IF(A67&lt;&gt;"",IF(FIND("Mode AM +Tarif actuel",A67),VALUE(LEFT(D66,LEN(D66)-2)),),0),0),0)-IFERROR(IF(A66&lt;&gt;"",IF(A67&lt;&gt;"",IF(FIND("Mode AM +Tarif actuel",A67),VALUE(LEFT(D67,LEN(D67)-2)),),0),0),0)</f>
        <v>0</v>
      </c>
      <c r="AB66">
        <f>IFERROR(IF(A66&lt;&gt;"",IF(A67&lt;&gt;"",IF(FIND("Mode AM +Tarif actuel",A67),VALUE(LEFT(E66,LEN(E66)-2)),),0),0),0)-IFERROR(IF(A66&lt;&gt;"",IF(A67&lt;&gt;"",IF(FIND("Mode AM +Tarif actuel",A67),VALUE(LEFT(E67,LEN(E67)-2)),),0),0),0)</f>
        <v>0</v>
      </c>
      <c r="AC66" t="str">
        <f>IF(SUM(Y66:AB66)&gt;0,"A revoir","")</f>
        <v/>
      </c>
      <c r="AD66" s="204">
        <f t="shared" si="1"/>
        <v>0</v>
      </c>
      <c r="AE66" s="204">
        <f t="shared" si="2"/>
        <v>0</v>
      </c>
      <c r="AF66" s="204">
        <f t="shared" si="3"/>
        <v>0</v>
      </c>
      <c r="AG66" s="204">
        <f t="shared" si="4"/>
        <v>0</v>
      </c>
    </row>
    <row r="67" spans="1:33" x14ac:dyDescent="0.3">
      <c r="A67" s="204"/>
      <c r="B67" s="205"/>
      <c r="C67" s="205"/>
      <c r="D67" s="205"/>
      <c r="E67" s="205"/>
      <c r="F67" s="204"/>
      <c r="G67" s="204"/>
      <c r="H67" s="204"/>
      <c r="I67" t="str">
        <f t="shared" ref="I67:I68" si="5">IF(G67="Détail",LEN(A67),"")</f>
        <v/>
      </c>
      <c r="J67" t="str">
        <f t="shared" ref="J67:J68" si="6">IF(I67="","",LEFT(A67,3))</f>
        <v/>
      </c>
      <c r="K67" t="str">
        <f t="shared" ref="K67:K68" si="7">IF(J67&lt;&gt;"",MID(A67,5,3),"")</f>
        <v/>
      </c>
      <c r="L67" t="str">
        <f t="shared" ref="L67:L68" si="8">IF(J67&lt;&gt;"",RIGHT(A67,2),"")</f>
        <v/>
      </c>
      <c r="M67" s="76" t="str">
        <f t="shared" ref="M67:M68" si="9">IF(J67&lt;&gt;"",CONCATENATE(J67,"/",K67),"")</f>
        <v/>
      </c>
      <c r="N67" s="8">
        <f t="shared" ref="N67:N68" si="10">IFERROR(IF(A67&lt;&gt;"",IF(A68&lt;&gt;"",IF(FIND("Mode AM +Tarif actuel",A68),VALUE(LEFT(B68,LEN(B68)-2)),),0),0),0)</f>
        <v>0</v>
      </c>
      <c r="O67" s="8">
        <f t="shared" ref="O67:O68" si="11">IFERROR(IF(A67&lt;&gt;"",IF(A68&lt;&gt;"",IF(FIND("Mode AM +Tarif actuel",A68),VALUE(LEFT(C68,LEN(C68)-2)),),0),0),0)</f>
        <v>0</v>
      </c>
      <c r="P67" s="8">
        <f t="shared" ref="P67:P68" si="12">IFERROR(IF(A67&lt;&gt;"",IF(A68&lt;&gt;"",IF(FIND("Mode AM +Tarif actuel",A68),VALUE(LEFT(D68,LEN(D68)-2)),),0),0),0)</f>
        <v>0</v>
      </c>
      <c r="Q67" s="8">
        <f t="shared" ref="Q67:Q68" si="13">IFERROR(IF(A67&lt;&gt;"",IF(A68&lt;&gt;"",IF(FIND("Mode AM +Tarif actuel",A68),VALUE(LEFT(E68,LEN(E68)-2)),),0),0),0)</f>
        <v>0</v>
      </c>
      <c r="X67" s="71" t="str">
        <f t="shared" ref="X67:X130" si="14">M67</f>
        <v/>
      </c>
      <c r="Y67">
        <f t="shared" ref="Y67:Y130" si="15">IFERROR(IF(A67&lt;&gt;"",IF(A68&lt;&gt;"",IF(FIND("Mode AM +Tarif actuel",A68),VALUE(LEFT(B67,LEN(B67)-2)),),0),0),0)-IFERROR(IF(A67&lt;&gt;"",IF(A68&lt;&gt;"",IF(FIND("Mode AM +Tarif actuel",A68),VALUE(LEFT(B68,LEN(B68)-2)),),0),0),0)</f>
        <v>0</v>
      </c>
      <c r="Z67">
        <f t="shared" ref="Z67:Z130" si="16">IFERROR(IF(A67&lt;&gt;"",IF(A68&lt;&gt;"",IF(FIND("Mode AM +Tarif actuel",A68),VALUE(LEFT(C67,LEN(C67)-2)),),0),0),0)-IFERROR(IF(A67&lt;&gt;"",IF(A68&lt;&gt;"",IF(FIND("Mode AM +Tarif actuel",A68),VALUE(LEFT(C68,LEN(C68)-2)),),0),0),0)</f>
        <v>0</v>
      </c>
      <c r="AA67">
        <f t="shared" ref="AA67:AA130" si="17">IFERROR(IF(A67&lt;&gt;"",IF(A68&lt;&gt;"",IF(FIND("Mode AM +Tarif actuel",A68),VALUE(LEFT(D67,LEN(D67)-2)),),0),0),0)-IFERROR(IF(A67&lt;&gt;"",IF(A68&lt;&gt;"",IF(FIND("Mode AM +Tarif actuel",A68),VALUE(LEFT(D68,LEN(D68)-2)),),0),0),0)</f>
        <v>0</v>
      </c>
      <c r="AB67">
        <f t="shared" ref="AB67:AB130" si="18">IFERROR(IF(A67&lt;&gt;"",IF(A68&lt;&gt;"",IF(FIND("Mode AM +Tarif actuel",A68),VALUE(LEFT(E67,LEN(E67)-2)),),0),0),0)-IFERROR(IF(A67&lt;&gt;"",IF(A68&lt;&gt;"",IF(FIND("Mode AM +Tarif actuel",A68),VALUE(LEFT(E68,LEN(E68)-2)),),0),0),0)</f>
        <v>0</v>
      </c>
      <c r="AC67" t="str">
        <f t="shared" ref="AC67:AC130" si="19">IF(SUM(Y67:AB67)&gt;0,"A revoir","")</f>
        <v/>
      </c>
      <c r="AD67" s="204">
        <f t="shared" si="1"/>
        <v>0</v>
      </c>
      <c r="AE67" s="204">
        <f t="shared" si="2"/>
        <v>0</v>
      </c>
      <c r="AF67" s="204">
        <f t="shared" si="3"/>
        <v>0</v>
      </c>
      <c r="AG67" s="204">
        <f t="shared" si="4"/>
        <v>0</v>
      </c>
    </row>
    <row r="68" spans="1:33" x14ac:dyDescent="0.3">
      <c r="A68" s="204"/>
      <c r="B68" s="205"/>
      <c r="C68" s="205"/>
      <c r="D68" s="205"/>
      <c r="E68" s="205"/>
      <c r="F68" s="204"/>
      <c r="G68" s="204"/>
      <c r="H68" s="204"/>
      <c r="I68" t="str">
        <f t="shared" si="5"/>
        <v/>
      </c>
      <c r="J68" t="str">
        <f t="shared" si="6"/>
        <v/>
      </c>
      <c r="K68" t="str">
        <f t="shared" si="7"/>
        <v/>
      </c>
      <c r="L68" t="str">
        <f t="shared" si="8"/>
        <v/>
      </c>
      <c r="M68" s="76" t="str">
        <f t="shared" si="9"/>
        <v/>
      </c>
      <c r="N68" s="8">
        <f t="shared" si="10"/>
        <v>0</v>
      </c>
      <c r="O68" s="8">
        <f t="shared" si="11"/>
        <v>0</v>
      </c>
      <c r="P68" s="8">
        <f t="shared" si="12"/>
        <v>0</v>
      </c>
      <c r="Q68" s="8">
        <f t="shared" si="13"/>
        <v>0</v>
      </c>
      <c r="X68" s="71" t="str">
        <f t="shared" si="14"/>
        <v/>
      </c>
      <c r="Y68">
        <f t="shared" si="15"/>
        <v>0</v>
      </c>
      <c r="Z68">
        <f t="shared" si="16"/>
        <v>0</v>
      </c>
      <c r="AA68">
        <f t="shared" si="17"/>
        <v>0</v>
      </c>
      <c r="AB68">
        <f t="shared" si="18"/>
        <v>0</v>
      </c>
      <c r="AC68" t="str">
        <f t="shared" si="19"/>
        <v/>
      </c>
      <c r="AD68" s="204">
        <f t="shared" si="1"/>
        <v>0</v>
      </c>
      <c r="AE68" s="204">
        <f t="shared" si="2"/>
        <v>0</v>
      </c>
      <c r="AF68" s="204">
        <f t="shared" si="3"/>
        <v>0</v>
      </c>
      <c r="AG68" s="204">
        <f t="shared" si="4"/>
        <v>0</v>
      </c>
    </row>
    <row r="69" spans="1:33" x14ac:dyDescent="0.3">
      <c r="A69" s="204"/>
      <c r="B69" s="205"/>
      <c r="C69" s="205"/>
      <c r="D69" s="205"/>
      <c r="E69" s="205"/>
      <c r="F69" s="204"/>
      <c r="G69" s="204"/>
      <c r="H69" s="204"/>
      <c r="I69" s="204" t="str">
        <f t="shared" ref="I69:I132" si="20">IF(G69="Détail",LEN(A69),"")</f>
        <v/>
      </c>
      <c r="J69" s="204" t="str">
        <f t="shared" ref="J69:J132" si="21">IF(I69="","",LEFT(A69,3))</f>
        <v/>
      </c>
      <c r="K69" s="204" t="str">
        <f t="shared" ref="K69:K132" si="22">IF(J69&lt;&gt;"",MID(A69,5,3),"")</f>
        <v/>
      </c>
      <c r="L69" s="204" t="str">
        <f t="shared" ref="L69:L132" si="23">IF(J69&lt;&gt;"",RIGHT(A69,2),"")</f>
        <v/>
      </c>
      <c r="M69" s="76" t="str">
        <f t="shared" ref="M69:M132" si="24">IF(J69&lt;&gt;"",CONCATENATE(J69,"/",K69),"")</f>
        <v/>
      </c>
      <c r="N69" s="206">
        <f t="shared" ref="N69:N132" si="25">IFERROR(IF(A69&lt;&gt;"",IF(A70&lt;&gt;"",IF(FIND("Mode AM +Tarif actuel",A70),VALUE(LEFT(B70,LEN(B70)-2)),),0),0),0)</f>
        <v>0</v>
      </c>
      <c r="O69" s="206">
        <f t="shared" ref="O69:O132" si="26">IFERROR(IF(A69&lt;&gt;"",IF(A70&lt;&gt;"",IF(FIND("Mode AM +Tarif actuel",A70),VALUE(LEFT(C70,LEN(C70)-2)),),0),0),0)</f>
        <v>0</v>
      </c>
      <c r="P69" s="206">
        <f t="shared" ref="P69:P132" si="27">IFERROR(IF(A69&lt;&gt;"",IF(A70&lt;&gt;"",IF(FIND("Mode AM +Tarif actuel",A70),VALUE(LEFT(D70,LEN(D70)-2)),),0),0),0)</f>
        <v>0</v>
      </c>
      <c r="Q69" s="206">
        <f t="shared" ref="Q69:Q132" si="28">IFERROR(IF(A69&lt;&gt;"",IF(A70&lt;&gt;"",IF(FIND("Mode AM +Tarif actuel",A70),VALUE(LEFT(E70,LEN(E70)-2)),),0),0),0)</f>
        <v>0</v>
      </c>
      <c r="X69" s="71" t="str">
        <f t="shared" si="14"/>
        <v/>
      </c>
      <c r="Y69">
        <f t="shared" si="15"/>
        <v>0</v>
      </c>
      <c r="Z69">
        <f t="shared" si="16"/>
        <v>0</v>
      </c>
      <c r="AA69">
        <f t="shared" si="17"/>
        <v>0</v>
      </c>
      <c r="AB69">
        <f t="shared" si="18"/>
        <v>0</v>
      </c>
      <c r="AC69" t="str">
        <f t="shared" si="19"/>
        <v/>
      </c>
      <c r="AD69" s="204">
        <f t="shared" si="1"/>
        <v>0</v>
      </c>
      <c r="AE69" s="204">
        <f t="shared" si="2"/>
        <v>0</v>
      </c>
      <c r="AF69" s="204">
        <f t="shared" si="3"/>
        <v>0</v>
      </c>
      <c r="AG69" s="204">
        <f t="shared" si="4"/>
        <v>0</v>
      </c>
    </row>
    <row r="70" spans="1:33" x14ac:dyDescent="0.3">
      <c r="A70" s="204"/>
      <c r="B70" s="205"/>
      <c r="C70" s="205"/>
      <c r="D70" s="205"/>
      <c r="E70" s="205"/>
      <c r="F70" s="204"/>
      <c r="G70" s="204"/>
      <c r="H70" s="204"/>
      <c r="I70" s="204" t="str">
        <f t="shared" si="20"/>
        <v/>
      </c>
      <c r="J70" s="204" t="str">
        <f t="shared" si="21"/>
        <v/>
      </c>
      <c r="K70" s="204" t="str">
        <f t="shared" si="22"/>
        <v/>
      </c>
      <c r="L70" s="204" t="str">
        <f t="shared" si="23"/>
        <v/>
      </c>
      <c r="M70" s="76" t="str">
        <f t="shared" si="24"/>
        <v/>
      </c>
      <c r="N70" s="206">
        <f t="shared" si="25"/>
        <v>0</v>
      </c>
      <c r="O70" s="206">
        <f t="shared" si="26"/>
        <v>0</v>
      </c>
      <c r="P70" s="206">
        <f t="shared" si="27"/>
        <v>0</v>
      </c>
      <c r="Q70" s="206">
        <f t="shared" si="28"/>
        <v>0</v>
      </c>
      <c r="X70" s="71" t="str">
        <f t="shared" si="14"/>
        <v/>
      </c>
      <c r="Y70">
        <f t="shared" si="15"/>
        <v>0</v>
      </c>
      <c r="Z70">
        <f t="shared" si="16"/>
        <v>0</v>
      </c>
      <c r="AA70">
        <f t="shared" si="17"/>
        <v>0</v>
      </c>
      <c r="AB70">
        <f t="shared" si="18"/>
        <v>0</v>
      </c>
      <c r="AC70" t="str">
        <f t="shared" si="19"/>
        <v/>
      </c>
      <c r="AD70" s="204">
        <f t="shared" si="1"/>
        <v>0</v>
      </c>
      <c r="AE70" s="204">
        <f t="shared" si="2"/>
        <v>0</v>
      </c>
      <c r="AF70" s="204">
        <f t="shared" si="3"/>
        <v>0</v>
      </c>
      <c r="AG70" s="204">
        <f t="shared" si="4"/>
        <v>0</v>
      </c>
    </row>
    <row r="71" spans="1:33" x14ac:dyDescent="0.3">
      <c r="A71" s="204"/>
      <c r="B71" s="205"/>
      <c r="C71" s="205"/>
      <c r="D71" s="205"/>
      <c r="E71" s="205"/>
      <c r="F71" s="204"/>
      <c r="G71" s="204"/>
      <c r="H71" s="204"/>
      <c r="I71" s="204" t="str">
        <f t="shared" si="20"/>
        <v/>
      </c>
      <c r="J71" s="204" t="str">
        <f t="shared" si="21"/>
        <v/>
      </c>
      <c r="K71" s="204" t="str">
        <f t="shared" si="22"/>
        <v/>
      </c>
      <c r="L71" s="204" t="str">
        <f t="shared" si="23"/>
        <v/>
      </c>
      <c r="M71" s="76" t="str">
        <f t="shared" si="24"/>
        <v/>
      </c>
      <c r="N71" s="206">
        <f t="shared" si="25"/>
        <v>0</v>
      </c>
      <c r="O71" s="206">
        <f t="shared" si="26"/>
        <v>0</v>
      </c>
      <c r="P71" s="206">
        <f t="shared" si="27"/>
        <v>0</v>
      </c>
      <c r="Q71" s="206">
        <f t="shared" si="28"/>
        <v>0</v>
      </c>
      <c r="X71" s="71" t="str">
        <f t="shared" si="14"/>
        <v/>
      </c>
      <c r="Y71">
        <f t="shared" si="15"/>
        <v>0</v>
      </c>
      <c r="Z71">
        <f t="shared" si="16"/>
        <v>0</v>
      </c>
      <c r="AA71">
        <f t="shared" si="17"/>
        <v>0</v>
      </c>
      <c r="AB71">
        <f t="shared" si="18"/>
        <v>0</v>
      </c>
      <c r="AC71" t="str">
        <f t="shared" si="19"/>
        <v/>
      </c>
      <c r="AD71" s="204">
        <f t="shared" si="1"/>
        <v>0</v>
      </c>
      <c r="AE71" s="204">
        <f t="shared" si="2"/>
        <v>0</v>
      </c>
      <c r="AF71" s="204">
        <f t="shared" si="3"/>
        <v>0</v>
      </c>
      <c r="AG71" s="204">
        <f t="shared" si="4"/>
        <v>0</v>
      </c>
    </row>
    <row r="72" spans="1:33" x14ac:dyDescent="0.3">
      <c r="A72" s="204"/>
      <c r="B72" s="205"/>
      <c r="C72" s="205"/>
      <c r="D72" s="205"/>
      <c r="E72" s="205"/>
      <c r="F72" s="204"/>
      <c r="G72" s="204"/>
      <c r="H72" s="204"/>
      <c r="I72" s="204" t="str">
        <f t="shared" si="20"/>
        <v/>
      </c>
      <c r="J72" s="204" t="str">
        <f t="shared" si="21"/>
        <v/>
      </c>
      <c r="K72" s="204" t="str">
        <f t="shared" si="22"/>
        <v/>
      </c>
      <c r="L72" s="204" t="str">
        <f t="shared" si="23"/>
        <v/>
      </c>
      <c r="M72" s="76" t="str">
        <f t="shared" si="24"/>
        <v/>
      </c>
      <c r="N72" s="206">
        <f t="shared" si="25"/>
        <v>0</v>
      </c>
      <c r="O72" s="206">
        <f t="shared" si="26"/>
        <v>0</v>
      </c>
      <c r="P72" s="206">
        <f t="shared" si="27"/>
        <v>0</v>
      </c>
      <c r="Q72" s="206">
        <f t="shared" si="28"/>
        <v>0</v>
      </c>
      <c r="X72" s="71" t="str">
        <f t="shared" si="14"/>
        <v/>
      </c>
      <c r="Y72">
        <f t="shared" si="15"/>
        <v>0</v>
      </c>
      <c r="Z72">
        <f t="shared" si="16"/>
        <v>0</v>
      </c>
      <c r="AA72">
        <f t="shared" si="17"/>
        <v>0</v>
      </c>
      <c r="AB72">
        <f t="shared" si="18"/>
        <v>0</v>
      </c>
      <c r="AC72" t="str">
        <f t="shared" si="19"/>
        <v/>
      </c>
      <c r="AD72" s="204">
        <f t="shared" si="1"/>
        <v>0</v>
      </c>
      <c r="AE72" s="204">
        <f t="shared" si="2"/>
        <v>0</v>
      </c>
      <c r="AF72" s="204">
        <f t="shared" si="3"/>
        <v>0</v>
      </c>
      <c r="AG72" s="204">
        <f t="shared" si="4"/>
        <v>0</v>
      </c>
    </row>
    <row r="73" spans="1:33" x14ac:dyDescent="0.3">
      <c r="A73" s="204"/>
      <c r="B73" s="205"/>
      <c r="C73" s="205"/>
      <c r="D73" s="205"/>
      <c r="E73" s="205"/>
      <c r="F73" s="204"/>
      <c r="G73" s="204"/>
      <c r="H73" s="204"/>
      <c r="I73" s="204" t="str">
        <f t="shared" si="20"/>
        <v/>
      </c>
      <c r="J73" s="204" t="str">
        <f t="shared" si="21"/>
        <v/>
      </c>
      <c r="K73" s="204" t="str">
        <f t="shared" si="22"/>
        <v/>
      </c>
      <c r="L73" s="204" t="str">
        <f t="shared" si="23"/>
        <v/>
      </c>
      <c r="M73" s="76" t="str">
        <f t="shared" si="24"/>
        <v/>
      </c>
      <c r="N73" s="206">
        <f t="shared" si="25"/>
        <v>0</v>
      </c>
      <c r="O73" s="206">
        <f t="shared" si="26"/>
        <v>0</v>
      </c>
      <c r="P73" s="206">
        <f t="shared" si="27"/>
        <v>0</v>
      </c>
      <c r="Q73" s="206">
        <f t="shared" si="28"/>
        <v>0</v>
      </c>
      <c r="X73" s="71" t="str">
        <f t="shared" si="14"/>
        <v/>
      </c>
      <c r="Y73">
        <f t="shared" si="15"/>
        <v>0</v>
      </c>
      <c r="Z73">
        <f t="shared" si="16"/>
        <v>0</v>
      </c>
      <c r="AA73">
        <f t="shared" si="17"/>
        <v>0</v>
      </c>
      <c r="AB73">
        <f t="shared" si="18"/>
        <v>0</v>
      </c>
      <c r="AC73" t="str">
        <f t="shared" si="19"/>
        <v/>
      </c>
      <c r="AD73" s="204">
        <f t="shared" si="1"/>
        <v>0</v>
      </c>
      <c r="AE73" s="204">
        <f t="shared" si="2"/>
        <v>0</v>
      </c>
      <c r="AF73" s="204">
        <f t="shared" si="3"/>
        <v>0</v>
      </c>
      <c r="AG73" s="204">
        <f t="shared" si="4"/>
        <v>0</v>
      </c>
    </row>
    <row r="74" spans="1:33" x14ac:dyDescent="0.3">
      <c r="A74" s="204"/>
      <c r="B74" s="205"/>
      <c r="C74" s="205"/>
      <c r="D74" s="205"/>
      <c r="E74" s="205"/>
      <c r="F74" s="204"/>
      <c r="G74" s="204"/>
      <c r="H74" s="204"/>
      <c r="I74" s="204" t="str">
        <f t="shared" si="20"/>
        <v/>
      </c>
      <c r="J74" s="204" t="str">
        <f t="shared" si="21"/>
        <v/>
      </c>
      <c r="K74" s="204" t="str">
        <f t="shared" si="22"/>
        <v/>
      </c>
      <c r="L74" s="204" t="str">
        <f t="shared" si="23"/>
        <v/>
      </c>
      <c r="M74" s="76" t="str">
        <f t="shared" si="24"/>
        <v/>
      </c>
      <c r="N74" s="206">
        <f t="shared" si="25"/>
        <v>0</v>
      </c>
      <c r="O74" s="206">
        <f t="shared" si="26"/>
        <v>0</v>
      </c>
      <c r="P74" s="206">
        <f t="shared" si="27"/>
        <v>0</v>
      </c>
      <c r="Q74" s="206">
        <f t="shared" si="28"/>
        <v>0</v>
      </c>
      <c r="X74" s="71" t="str">
        <f t="shared" si="14"/>
        <v/>
      </c>
      <c r="Y74">
        <f t="shared" si="15"/>
        <v>0</v>
      </c>
      <c r="Z74">
        <f t="shared" si="16"/>
        <v>0</v>
      </c>
      <c r="AA74">
        <f t="shared" si="17"/>
        <v>0</v>
      </c>
      <c r="AB74">
        <f t="shared" si="18"/>
        <v>0</v>
      </c>
      <c r="AC74" t="str">
        <f t="shared" si="19"/>
        <v/>
      </c>
      <c r="AD74" s="204">
        <f>IFERROR(IF(A74&lt;&gt;"",IF(A75&lt;&gt;"",IF(FIND("Mode AM +Tarif actuel",A75),VALUE(LEFT(B74,LEN(B74)-2)),),0),0),0)</f>
        <v>0</v>
      </c>
      <c r="AE74" s="204">
        <f>IFERROR(IF(A74&lt;&gt;"",IF(A75&lt;&gt;"",IF(FIND("Mode AM +Tarif actuel",A75),VALUE(LEFT(C74,LEN(C74)-2)),),0),0),0)</f>
        <v>0</v>
      </c>
      <c r="AF74" s="204">
        <f>IFERROR(IF(A74&lt;&gt;"",IF(A75&lt;&gt;"",IF(FIND("Mode AM +Tarif actuel",A75),VALUE(LEFT(D74,LEN(D74)-2)),),0),0),0)</f>
        <v>0</v>
      </c>
      <c r="AG74" s="204">
        <f>IFERROR(IF(A74&lt;&gt;"",IF(A75&lt;&gt;"",IF(FIND("Mode AM +Tarif actuel",A75),VALUE(LEFT(E74,LEN(E74)-2)),),0),0),0)</f>
        <v>0</v>
      </c>
    </row>
    <row r="75" spans="1:33" x14ac:dyDescent="0.3">
      <c r="A75" s="204"/>
      <c r="B75" s="205"/>
      <c r="C75" s="205"/>
      <c r="D75" s="205"/>
      <c r="E75" s="205"/>
      <c r="F75" s="204"/>
      <c r="G75" s="204"/>
      <c r="H75" s="204"/>
      <c r="I75" s="204" t="str">
        <f t="shared" si="20"/>
        <v/>
      </c>
      <c r="J75" s="204" t="str">
        <f t="shared" si="21"/>
        <v/>
      </c>
      <c r="K75" s="204" t="str">
        <f t="shared" si="22"/>
        <v/>
      </c>
      <c r="L75" s="204" t="str">
        <f t="shared" si="23"/>
        <v/>
      </c>
      <c r="M75" s="76" t="str">
        <f t="shared" si="24"/>
        <v/>
      </c>
      <c r="N75" s="206">
        <f t="shared" si="25"/>
        <v>0</v>
      </c>
      <c r="O75" s="206">
        <f t="shared" si="26"/>
        <v>0</v>
      </c>
      <c r="P75" s="206">
        <f t="shared" si="27"/>
        <v>0</v>
      </c>
      <c r="Q75" s="206">
        <f t="shared" si="28"/>
        <v>0</v>
      </c>
      <c r="X75" s="71" t="str">
        <f t="shared" si="14"/>
        <v/>
      </c>
      <c r="Y75">
        <f t="shared" si="15"/>
        <v>0</v>
      </c>
      <c r="Z75">
        <f t="shared" si="16"/>
        <v>0</v>
      </c>
      <c r="AA75">
        <f t="shared" si="17"/>
        <v>0</v>
      </c>
      <c r="AB75">
        <f t="shared" si="18"/>
        <v>0</v>
      </c>
      <c r="AC75" t="str">
        <f t="shared" si="19"/>
        <v/>
      </c>
      <c r="AD75" s="204">
        <f t="shared" ref="AD75:AD138" si="29">IFERROR(IF(A75&lt;&gt;"",IF(A76&lt;&gt;"",IF(FIND("Mode AM +Tarif actuel",A76),VALUE(LEFT(B75,LEN(B75)-2)),),0),0),0)</f>
        <v>0</v>
      </c>
      <c r="AE75" s="204">
        <f t="shared" ref="AE75:AE138" si="30">IFERROR(IF(A75&lt;&gt;"",IF(A76&lt;&gt;"",IF(FIND("Mode AM +Tarif actuel",A76),VALUE(LEFT(C75,LEN(C75)-2)),),0),0),0)</f>
        <v>0</v>
      </c>
      <c r="AF75" s="204">
        <f t="shared" ref="AF75:AF138" si="31">IFERROR(IF(A75&lt;&gt;"",IF(A76&lt;&gt;"",IF(FIND("Mode AM +Tarif actuel",A76),VALUE(LEFT(D75,LEN(D75)-2)),),0),0),0)</f>
        <v>0</v>
      </c>
      <c r="AG75" s="204">
        <f t="shared" ref="AG75:AG138" si="32">IFERROR(IF(A75&lt;&gt;"",IF(A76&lt;&gt;"",IF(FIND("Mode AM +Tarif actuel",A76),VALUE(LEFT(E75,LEN(E75)-2)),),0),0),0)</f>
        <v>0</v>
      </c>
    </row>
    <row r="76" spans="1:33" x14ac:dyDescent="0.3">
      <c r="A76" s="204"/>
      <c r="B76" s="205"/>
      <c r="C76" s="205"/>
      <c r="D76" s="205"/>
      <c r="E76" s="205"/>
      <c r="F76" s="204"/>
      <c r="G76" s="204"/>
      <c r="H76" s="204"/>
      <c r="I76" s="204" t="str">
        <f t="shared" si="20"/>
        <v/>
      </c>
      <c r="J76" s="204" t="str">
        <f t="shared" si="21"/>
        <v/>
      </c>
      <c r="K76" s="204" t="str">
        <f t="shared" si="22"/>
        <v/>
      </c>
      <c r="L76" s="204" t="str">
        <f t="shared" si="23"/>
        <v/>
      </c>
      <c r="M76" s="76" t="str">
        <f t="shared" si="24"/>
        <v/>
      </c>
      <c r="N76" s="206">
        <f t="shared" si="25"/>
        <v>0</v>
      </c>
      <c r="O76" s="206">
        <f t="shared" si="26"/>
        <v>0</v>
      </c>
      <c r="P76" s="206">
        <f t="shared" si="27"/>
        <v>0</v>
      </c>
      <c r="Q76" s="206">
        <f t="shared" si="28"/>
        <v>0</v>
      </c>
      <c r="X76" s="71" t="str">
        <f t="shared" si="14"/>
        <v/>
      </c>
      <c r="Y76">
        <f t="shared" si="15"/>
        <v>0</v>
      </c>
      <c r="Z76">
        <f t="shared" si="16"/>
        <v>0</v>
      </c>
      <c r="AA76">
        <f t="shared" si="17"/>
        <v>0</v>
      </c>
      <c r="AB76">
        <f t="shared" si="18"/>
        <v>0</v>
      </c>
      <c r="AC76" t="str">
        <f t="shared" si="19"/>
        <v/>
      </c>
      <c r="AD76" s="204">
        <f t="shared" si="29"/>
        <v>0</v>
      </c>
      <c r="AE76" s="204">
        <f t="shared" si="30"/>
        <v>0</v>
      </c>
      <c r="AF76" s="204">
        <f t="shared" si="31"/>
        <v>0</v>
      </c>
      <c r="AG76" s="204">
        <f t="shared" si="32"/>
        <v>0</v>
      </c>
    </row>
    <row r="77" spans="1:33" x14ac:dyDescent="0.3">
      <c r="A77" s="204"/>
      <c r="B77" s="205"/>
      <c r="C77" s="205"/>
      <c r="D77" s="205"/>
      <c r="E77" s="205"/>
      <c r="F77" s="204"/>
      <c r="G77" s="204"/>
      <c r="H77" s="204"/>
      <c r="I77" s="204" t="str">
        <f t="shared" si="20"/>
        <v/>
      </c>
      <c r="J77" s="204" t="str">
        <f t="shared" si="21"/>
        <v/>
      </c>
      <c r="K77" s="204" t="str">
        <f t="shared" si="22"/>
        <v/>
      </c>
      <c r="L77" s="204" t="str">
        <f t="shared" si="23"/>
        <v/>
      </c>
      <c r="M77" s="76" t="str">
        <f t="shared" si="24"/>
        <v/>
      </c>
      <c r="N77" s="206">
        <f t="shared" si="25"/>
        <v>0</v>
      </c>
      <c r="O77" s="206">
        <f t="shared" si="26"/>
        <v>0</v>
      </c>
      <c r="P77" s="206">
        <f t="shared" si="27"/>
        <v>0</v>
      </c>
      <c r="Q77" s="206">
        <f t="shared" si="28"/>
        <v>0</v>
      </c>
      <c r="X77" s="71" t="str">
        <f t="shared" si="14"/>
        <v/>
      </c>
      <c r="Y77">
        <f t="shared" si="15"/>
        <v>0</v>
      </c>
      <c r="Z77">
        <f t="shared" si="16"/>
        <v>0</v>
      </c>
      <c r="AA77">
        <f t="shared" si="17"/>
        <v>0</v>
      </c>
      <c r="AB77">
        <f t="shared" si="18"/>
        <v>0</v>
      </c>
      <c r="AC77" t="str">
        <f t="shared" si="19"/>
        <v/>
      </c>
      <c r="AD77" s="204">
        <f t="shared" si="29"/>
        <v>0</v>
      </c>
      <c r="AE77" s="204">
        <f t="shared" si="30"/>
        <v>0</v>
      </c>
      <c r="AF77" s="204">
        <f t="shared" si="31"/>
        <v>0</v>
      </c>
      <c r="AG77" s="204">
        <f t="shared" si="32"/>
        <v>0</v>
      </c>
    </row>
    <row r="78" spans="1:33" x14ac:dyDescent="0.3">
      <c r="A78" s="204"/>
      <c r="B78" s="205"/>
      <c r="C78" s="205"/>
      <c r="D78" s="205"/>
      <c r="E78" s="205"/>
      <c r="F78" s="204"/>
      <c r="G78" s="204"/>
      <c r="H78" s="204"/>
      <c r="I78" s="204" t="str">
        <f t="shared" si="20"/>
        <v/>
      </c>
      <c r="J78" s="204" t="str">
        <f t="shared" si="21"/>
        <v/>
      </c>
      <c r="K78" s="204" t="str">
        <f t="shared" si="22"/>
        <v/>
      </c>
      <c r="L78" s="204" t="str">
        <f t="shared" si="23"/>
        <v/>
      </c>
      <c r="M78" s="76" t="str">
        <f t="shared" si="24"/>
        <v/>
      </c>
      <c r="N78" s="206">
        <f t="shared" si="25"/>
        <v>0</v>
      </c>
      <c r="O78" s="206">
        <f t="shared" si="26"/>
        <v>0</v>
      </c>
      <c r="P78" s="206">
        <f t="shared" si="27"/>
        <v>0</v>
      </c>
      <c r="Q78" s="206">
        <f t="shared" si="28"/>
        <v>0</v>
      </c>
      <c r="X78" s="71" t="str">
        <f t="shared" si="14"/>
        <v/>
      </c>
      <c r="Y78">
        <f t="shared" si="15"/>
        <v>0</v>
      </c>
      <c r="Z78">
        <f t="shared" si="16"/>
        <v>0</v>
      </c>
      <c r="AA78">
        <f t="shared" si="17"/>
        <v>0</v>
      </c>
      <c r="AB78">
        <f t="shared" si="18"/>
        <v>0</v>
      </c>
      <c r="AC78" t="str">
        <f t="shared" si="19"/>
        <v/>
      </c>
      <c r="AD78" s="204">
        <f t="shared" si="29"/>
        <v>0</v>
      </c>
      <c r="AE78" s="204">
        <f t="shared" si="30"/>
        <v>0</v>
      </c>
      <c r="AF78" s="204">
        <f t="shared" si="31"/>
        <v>0</v>
      </c>
      <c r="AG78" s="204">
        <f t="shared" si="32"/>
        <v>0</v>
      </c>
    </row>
    <row r="79" spans="1:33" x14ac:dyDescent="0.3">
      <c r="A79" s="204"/>
      <c r="B79" s="205"/>
      <c r="C79" s="205"/>
      <c r="D79" s="205"/>
      <c r="E79" s="205"/>
      <c r="F79" s="204"/>
      <c r="G79" s="204"/>
      <c r="H79" s="204"/>
      <c r="I79" s="204" t="str">
        <f t="shared" si="20"/>
        <v/>
      </c>
      <c r="J79" s="204" t="str">
        <f t="shared" si="21"/>
        <v/>
      </c>
      <c r="K79" s="204" t="str">
        <f t="shared" si="22"/>
        <v/>
      </c>
      <c r="L79" s="204" t="str">
        <f t="shared" si="23"/>
        <v/>
      </c>
      <c r="M79" s="76" t="str">
        <f t="shared" si="24"/>
        <v/>
      </c>
      <c r="N79" s="206">
        <f t="shared" si="25"/>
        <v>0</v>
      </c>
      <c r="O79" s="206">
        <f t="shared" si="26"/>
        <v>0</v>
      </c>
      <c r="P79" s="206">
        <f t="shared" si="27"/>
        <v>0</v>
      </c>
      <c r="Q79" s="206">
        <f t="shared" si="28"/>
        <v>0</v>
      </c>
      <c r="X79" s="71" t="str">
        <f t="shared" si="14"/>
        <v/>
      </c>
      <c r="Y79">
        <f t="shared" si="15"/>
        <v>0</v>
      </c>
      <c r="Z79">
        <f t="shared" si="16"/>
        <v>0</v>
      </c>
      <c r="AA79">
        <f t="shared" si="17"/>
        <v>0</v>
      </c>
      <c r="AB79">
        <f t="shared" si="18"/>
        <v>0</v>
      </c>
      <c r="AC79" t="str">
        <f t="shared" si="19"/>
        <v/>
      </c>
      <c r="AD79" s="204">
        <f t="shared" si="29"/>
        <v>0</v>
      </c>
      <c r="AE79" s="204">
        <f t="shared" si="30"/>
        <v>0</v>
      </c>
      <c r="AF79" s="204">
        <f t="shared" si="31"/>
        <v>0</v>
      </c>
      <c r="AG79" s="204">
        <f t="shared" si="32"/>
        <v>0</v>
      </c>
    </row>
    <row r="80" spans="1:33" x14ac:dyDescent="0.3">
      <c r="A80" s="204"/>
      <c r="B80" s="205"/>
      <c r="C80" s="205"/>
      <c r="D80" s="205"/>
      <c r="E80" s="205"/>
      <c r="F80" s="204"/>
      <c r="G80" s="204"/>
      <c r="H80" s="204"/>
      <c r="I80" s="204" t="str">
        <f t="shared" si="20"/>
        <v/>
      </c>
      <c r="J80" s="204" t="str">
        <f t="shared" si="21"/>
        <v/>
      </c>
      <c r="K80" s="204" t="str">
        <f t="shared" si="22"/>
        <v/>
      </c>
      <c r="L80" s="204" t="str">
        <f t="shared" si="23"/>
        <v/>
      </c>
      <c r="M80" s="76" t="str">
        <f t="shared" si="24"/>
        <v/>
      </c>
      <c r="N80" s="206">
        <f t="shared" si="25"/>
        <v>0</v>
      </c>
      <c r="O80" s="206">
        <f t="shared" si="26"/>
        <v>0</v>
      </c>
      <c r="P80" s="206">
        <f t="shared" si="27"/>
        <v>0</v>
      </c>
      <c r="Q80" s="206">
        <f t="shared" si="28"/>
        <v>0</v>
      </c>
      <c r="X80" s="71" t="str">
        <f t="shared" si="14"/>
        <v/>
      </c>
      <c r="Y80">
        <f t="shared" si="15"/>
        <v>0</v>
      </c>
      <c r="Z80">
        <f t="shared" si="16"/>
        <v>0</v>
      </c>
      <c r="AA80">
        <f t="shared" si="17"/>
        <v>0</v>
      </c>
      <c r="AB80">
        <f t="shared" si="18"/>
        <v>0</v>
      </c>
      <c r="AC80" t="str">
        <f t="shared" si="19"/>
        <v/>
      </c>
      <c r="AD80" s="204">
        <f t="shared" si="29"/>
        <v>0</v>
      </c>
      <c r="AE80" s="204">
        <f t="shared" si="30"/>
        <v>0</v>
      </c>
      <c r="AF80" s="204">
        <f t="shared" si="31"/>
        <v>0</v>
      </c>
      <c r="AG80" s="204">
        <f t="shared" si="32"/>
        <v>0</v>
      </c>
    </row>
    <row r="81" spans="1:33" x14ac:dyDescent="0.3">
      <c r="A81" s="204"/>
      <c r="B81" s="205"/>
      <c r="C81" s="205"/>
      <c r="D81" s="205"/>
      <c r="E81" s="205"/>
      <c r="F81" s="204"/>
      <c r="G81" s="204"/>
      <c r="H81" s="204"/>
      <c r="I81" s="204" t="str">
        <f t="shared" si="20"/>
        <v/>
      </c>
      <c r="J81" s="204" t="str">
        <f t="shared" si="21"/>
        <v/>
      </c>
      <c r="K81" s="204" t="str">
        <f t="shared" si="22"/>
        <v/>
      </c>
      <c r="L81" s="204" t="str">
        <f t="shared" si="23"/>
        <v/>
      </c>
      <c r="M81" s="76" t="str">
        <f t="shared" si="24"/>
        <v/>
      </c>
      <c r="N81" s="206">
        <f t="shared" si="25"/>
        <v>0</v>
      </c>
      <c r="O81" s="206">
        <f t="shared" si="26"/>
        <v>0</v>
      </c>
      <c r="P81" s="206">
        <f t="shared" si="27"/>
        <v>0</v>
      </c>
      <c r="Q81" s="206">
        <f t="shared" si="28"/>
        <v>0</v>
      </c>
      <c r="X81" s="71" t="str">
        <f t="shared" si="14"/>
        <v/>
      </c>
      <c r="Y81">
        <f t="shared" si="15"/>
        <v>0</v>
      </c>
      <c r="Z81">
        <f t="shared" si="16"/>
        <v>0</v>
      </c>
      <c r="AA81">
        <f t="shared" si="17"/>
        <v>0</v>
      </c>
      <c r="AB81">
        <f t="shared" si="18"/>
        <v>0</v>
      </c>
      <c r="AC81" t="str">
        <f t="shared" si="19"/>
        <v/>
      </c>
      <c r="AD81" s="204">
        <f t="shared" si="29"/>
        <v>0</v>
      </c>
      <c r="AE81" s="204">
        <f t="shared" si="30"/>
        <v>0</v>
      </c>
      <c r="AF81" s="204">
        <f t="shared" si="31"/>
        <v>0</v>
      </c>
      <c r="AG81" s="204">
        <f t="shared" si="32"/>
        <v>0</v>
      </c>
    </row>
    <row r="82" spans="1:33" x14ac:dyDescent="0.3">
      <c r="A82" s="204"/>
      <c r="B82" s="205"/>
      <c r="C82" s="205"/>
      <c r="D82" s="205"/>
      <c r="E82" s="205"/>
      <c r="F82" s="204"/>
      <c r="G82" s="204"/>
      <c r="H82" s="204"/>
      <c r="I82" s="204" t="str">
        <f t="shared" si="20"/>
        <v/>
      </c>
      <c r="J82" s="204" t="str">
        <f t="shared" si="21"/>
        <v/>
      </c>
      <c r="K82" s="204" t="str">
        <f t="shared" si="22"/>
        <v/>
      </c>
      <c r="L82" s="204" t="str">
        <f t="shared" si="23"/>
        <v/>
      </c>
      <c r="M82" s="76" t="str">
        <f t="shared" si="24"/>
        <v/>
      </c>
      <c r="N82" s="206">
        <f t="shared" si="25"/>
        <v>0</v>
      </c>
      <c r="O82" s="206">
        <f t="shared" si="26"/>
        <v>0</v>
      </c>
      <c r="P82" s="206">
        <f t="shared" si="27"/>
        <v>0</v>
      </c>
      <c r="Q82" s="206">
        <f t="shared" si="28"/>
        <v>0</v>
      </c>
      <c r="X82" s="71" t="str">
        <f t="shared" si="14"/>
        <v/>
      </c>
      <c r="Y82">
        <f t="shared" si="15"/>
        <v>0</v>
      </c>
      <c r="Z82">
        <f t="shared" si="16"/>
        <v>0</v>
      </c>
      <c r="AA82">
        <f t="shared" si="17"/>
        <v>0</v>
      </c>
      <c r="AB82">
        <f t="shared" si="18"/>
        <v>0</v>
      </c>
      <c r="AC82" t="str">
        <f t="shared" si="19"/>
        <v/>
      </c>
      <c r="AD82" s="204">
        <f t="shared" si="29"/>
        <v>0</v>
      </c>
      <c r="AE82" s="204">
        <f t="shared" si="30"/>
        <v>0</v>
      </c>
      <c r="AF82" s="204">
        <f t="shared" si="31"/>
        <v>0</v>
      </c>
      <c r="AG82" s="204">
        <f t="shared" si="32"/>
        <v>0</v>
      </c>
    </row>
    <row r="83" spans="1:33" x14ac:dyDescent="0.3">
      <c r="A83" s="204"/>
      <c r="B83" s="205"/>
      <c r="C83" s="205"/>
      <c r="D83" s="205"/>
      <c r="E83" s="205"/>
      <c r="F83" s="204"/>
      <c r="G83" s="204"/>
      <c r="H83" s="204"/>
      <c r="I83" s="204" t="str">
        <f t="shared" si="20"/>
        <v/>
      </c>
      <c r="J83" s="204" t="str">
        <f t="shared" si="21"/>
        <v/>
      </c>
      <c r="K83" s="204" t="str">
        <f t="shared" si="22"/>
        <v/>
      </c>
      <c r="L83" s="204" t="str">
        <f t="shared" si="23"/>
        <v/>
      </c>
      <c r="M83" s="76" t="str">
        <f t="shared" si="24"/>
        <v/>
      </c>
      <c r="N83" s="206">
        <f t="shared" si="25"/>
        <v>0</v>
      </c>
      <c r="O83" s="206">
        <f t="shared" si="26"/>
        <v>0</v>
      </c>
      <c r="P83" s="206">
        <f t="shared" si="27"/>
        <v>0</v>
      </c>
      <c r="Q83" s="206">
        <f t="shared" si="28"/>
        <v>0</v>
      </c>
      <c r="X83" s="71" t="str">
        <f t="shared" si="14"/>
        <v/>
      </c>
      <c r="Y83">
        <f t="shared" si="15"/>
        <v>0</v>
      </c>
      <c r="Z83">
        <f t="shared" si="16"/>
        <v>0</v>
      </c>
      <c r="AA83">
        <f t="shared" si="17"/>
        <v>0</v>
      </c>
      <c r="AB83">
        <f t="shared" si="18"/>
        <v>0</v>
      </c>
      <c r="AC83" t="str">
        <f t="shared" si="19"/>
        <v/>
      </c>
      <c r="AD83" s="204">
        <f t="shared" si="29"/>
        <v>0</v>
      </c>
      <c r="AE83" s="204">
        <f t="shared" si="30"/>
        <v>0</v>
      </c>
      <c r="AF83" s="204">
        <f t="shared" si="31"/>
        <v>0</v>
      </c>
      <c r="AG83" s="204">
        <f t="shared" si="32"/>
        <v>0</v>
      </c>
    </row>
    <row r="84" spans="1:33" x14ac:dyDescent="0.3">
      <c r="A84" s="204"/>
      <c r="B84" s="205"/>
      <c r="C84" s="205"/>
      <c r="D84" s="205"/>
      <c r="E84" s="205"/>
      <c r="F84" s="204"/>
      <c r="G84" s="204"/>
      <c r="H84" s="204"/>
      <c r="I84" s="204" t="str">
        <f t="shared" si="20"/>
        <v/>
      </c>
      <c r="J84" s="204" t="str">
        <f t="shared" si="21"/>
        <v/>
      </c>
      <c r="K84" s="204" t="str">
        <f t="shared" si="22"/>
        <v/>
      </c>
      <c r="L84" s="204" t="str">
        <f t="shared" si="23"/>
        <v/>
      </c>
      <c r="M84" s="76" t="str">
        <f t="shared" si="24"/>
        <v/>
      </c>
      <c r="N84" s="206">
        <f t="shared" si="25"/>
        <v>0</v>
      </c>
      <c r="O84" s="206">
        <f t="shared" si="26"/>
        <v>0</v>
      </c>
      <c r="P84" s="206">
        <f t="shared" si="27"/>
        <v>0</v>
      </c>
      <c r="Q84" s="206">
        <f t="shared" si="28"/>
        <v>0</v>
      </c>
      <c r="X84" s="71" t="str">
        <f t="shared" si="14"/>
        <v/>
      </c>
      <c r="Y84">
        <f t="shared" si="15"/>
        <v>0</v>
      </c>
      <c r="Z84">
        <f t="shared" si="16"/>
        <v>0</v>
      </c>
      <c r="AA84">
        <f t="shared" si="17"/>
        <v>0</v>
      </c>
      <c r="AB84">
        <f t="shared" si="18"/>
        <v>0</v>
      </c>
      <c r="AC84" t="str">
        <f t="shared" si="19"/>
        <v/>
      </c>
      <c r="AD84" s="204">
        <f t="shared" si="29"/>
        <v>0</v>
      </c>
      <c r="AE84" s="204">
        <f t="shared" si="30"/>
        <v>0</v>
      </c>
      <c r="AF84" s="204">
        <f t="shared" si="31"/>
        <v>0</v>
      </c>
      <c r="AG84" s="204">
        <f t="shared" si="32"/>
        <v>0</v>
      </c>
    </row>
    <row r="85" spans="1:33" x14ac:dyDescent="0.3">
      <c r="A85" s="204"/>
      <c r="B85" s="205"/>
      <c r="C85" s="205"/>
      <c r="D85" s="205"/>
      <c r="E85" s="205"/>
      <c r="F85" s="204"/>
      <c r="G85" s="204"/>
      <c r="H85" s="204"/>
      <c r="I85" s="204" t="str">
        <f t="shared" si="20"/>
        <v/>
      </c>
      <c r="J85" s="204" t="str">
        <f t="shared" si="21"/>
        <v/>
      </c>
      <c r="K85" s="204" t="str">
        <f t="shared" si="22"/>
        <v/>
      </c>
      <c r="L85" s="204" t="str">
        <f t="shared" si="23"/>
        <v/>
      </c>
      <c r="M85" s="76" t="str">
        <f t="shared" si="24"/>
        <v/>
      </c>
      <c r="N85" s="206">
        <f t="shared" si="25"/>
        <v>0</v>
      </c>
      <c r="O85" s="206">
        <f t="shared" si="26"/>
        <v>0</v>
      </c>
      <c r="P85" s="206">
        <f t="shared" si="27"/>
        <v>0</v>
      </c>
      <c r="Q85" s="206">
        <f t="shared" si="28"/>
        <v>0</v>
      </c>
      <c r="X85" s="71" t="str">
        <f t="shared" si="14"/>
        <v/>
      </c>
      <c r="Y85">
        <f t="shared" si="15"/>
        <v>0</v>
      </c>
      <c r="Z85">
        <f t="shared" si="16"/>
        <v>0</v>
      </c>
      <c r="AA85">
        <f t="shared" si="17"/>
        <v>0</v>
      </c>
      <c r="AB85">
        <f t="shared" si="18"/>
        <v>0</v>
      </c>
      <c r="AC85" t="str">
        <f t="shared" si="19"/>
        <v/>
      </c>
      <c r="AD85" s="204">
        <f t="shared" si="29"/>
        <v>0</v>
      </c>
      <c r="AE85" s="204">
        <f t="shared" si="30"/>
        <v>0</v>
      </c>
      <c r="AF85" s="204">
        <f t="shared" si="31"/>
        <v>0</v>
      </c>
      <c r="AG85" s="204">
        <f t="shared" si="32"/>
        <v>0</v>
      </c>
    </row>
    <row r="86" spans="1:33" x14ac:dyDescent="0.3">
      <c r="A86" s="204"/>
      <c r="B86" s="205"/>
      <c r="C86" s="205"/>
      <c r="D86" s="205"/>
      <c r="E86" s="205"/>
      <c r="F86" s="204"/>
      <c r="G86" s="204"/>
      <c r="H86" s="204"/>
      <c r="I86" s="204" t="str">
        <f t="shared" si="20"/>
        <v/>
      </c>
      <c r="J86" s="204" t="str">
        <f t="shared" si="21"/>
        <v/>
      </c>
      <c r="K86" s="204" t="str">
        <f t="shared" si="22"/>
        <v/>
      </c>
      <c r="L86" s="204" t="str">
        <f t="shared" si="23"/>
        <v/>
      </c>
      <c r="M86" s="76" t="str">
        <f t="shared" si="24"/>
        <v/>
      </c>
      <c r="N86" s="206">
        <f t="shared" si="25"/>
        <v>0</v>
      </c>
      <c r="O86" s="206">
        <f t="shared" si="26"/>
        <v>0</v>
      </c>
      <c r="P86" s="206">
        <f t="shared" si="27"/>
        <v>0</v>
      </c>
      <c r="Q86" s="206">
        <f t="shared" si="28"/>
        <v>0</v>
      </c>
      <c r="X86" s="71" t="str">
        <f t="shared" si="14"/>
        <v/>
      </c>
      <c r="Y86">
        <f t="shared" si="15"/>
        <v>0</v>
      </c>
      <c r="Z86">
        <f t="shared" si="16"/>
        <v>0</v>
      </c>
      <c r="AA86">
        <f t="shared" si="17"/>
        <v>0</v>
      </c>
      <c r="AB86">
        <f t="shared" si="18"/>
        <v>0</v>
      </c>
      <c r="AC86" t="str">
        <f t="shared" si="19"/>
        <v/>
      </c>
      <c r="AD86" s="204">
        <f t="shared" si="29"/>
        <v>0</v>
      </c>
      <c r="AE86" s="204">
        <f t="shared" si="30"/>
        <v>0</v>
      </c>
      <c r="AF86" s="204">
        <f t="shared" si="31"/>
        <v>0</v>
      </c>
      <c r="AG86" s="204">
        <f t="shared" si="32"/>
        <v>0</v>
      </c>
    </row>
    <row r="87" spans="1:33" x14ac:dyDescent="0.3">
      <c r="A87" s="204"/>
      <c r="B87" s="205"/>
      <c r="C87" s="205"/>
      <c r="D87" s="205"/>
      <c r="E87" s="205"/>
      <c r="F87" s="204"/>
      <c r="G87" s="204"/>
      <c r="H87" s="204"/>
      <c r="I87" s="204" t="str">
        <f t="shared" si="20"/>
        <v/>
      </c>
      <c r="J87" s="204" t="str">
        <f t="shared" si="21"/>
        <v/>
      </c>
      <c r="K87" s="204" t="str">
        <f t="shared" si="22"/>
        <v/>
      </c>
      <c r="L87" s="204" t="str">
        <f t="shared" si="23"/>
        <v/>
      </c>
      <c r="M87" s="76" t="str">
        <f t="shared" si="24"/>
        <v/>
      </c>
      <c r="N87" s="206">
        <f t="shared" si="25"/>
        <v>0</v>
      </c>
      <c r="O87" s="206">
        <f t="shared" si="26"/>
        <v>0</v>
      </c>
      <c r="P87" s="206">
        <f t="shared" si="27"/>
        <v>0</v>
      </c>
      <c r="Q87" s="206">
        <f t="shared" si="28"/>
        <v>0</v>
      </c>
      <c r="X87" s="71" t="str">
        <f t="shared" si="14"/>
        <v/>
      </c>
      <c r="Y87">
        <f t="shared" si="15"/>
        <v>0</v>
      </c>
      <c r="Z87">
        <f t="shared" si="16"/>
        <v>0</v>
      </c>
      <c r="AA87">
        <f t="shared" si="17"/>
        <v>0</v>
      </c>
      <c r="AB87">
        <f t="shared" si="18"/>
        <v>0</v>
      </c>
      <c r="AC87" t="str">
        <f t="shared" si="19"/>
        <v/>
      </c>
      <c r="AD87" s="204">
        <f t="shared" si="29"/>
        <v>0</v>
      </c>
      <c r="AE87" s="204">
        <f t="shared" si="30"/>
        <v>0</v>
      </c>
      <c r="AF87" s="204">
        <f t="shared" si="31"/>
        <v>0</v>
      </c>
      <c r="AG87" s="204">
        <f t="shared" si="32"/>
        <v>0</v>
      </c>
    </row>
    <row r="88" spans="1:33" x14ac:dyDescent="0.3">
      <c r="A88" s="204"/>
      <c r="B88" s="205"/>
      <c r="C88" s="205"/>
      <c r="D88" s="205"/>
      <c r="E88" s="205"/>
      <c r="F88" s="204"/>
      <c r="G88" s="204"/>
      <c r="H88" s="204"/>
      <c r="I88" s="204" t="str">
        <f t="shared" si="20"/>
        <v/>
      </c>
      <c r="J88" s="204" t="str">
        <f t="shared" si="21"/>
        <v/>
      </c>
      <c r="K88" s="204" t="str">
        <f t="shared" si="22"/>
        <v/>
      </c>
      <c r="L88" s="204" t="str">
        <f t="shared" si="23"/>
        <v/>
      </c>
      <c r="M88" s="76" t="str">
        <f t="shared" si="24"/>
        <v/>
      </c>
      <c r="N88" s="206">
        <f t="shared" si="25"/>
        <v>0</v>
      </c>
      <c r="O88" s="206">
        <f t="shared" si="26"/>
        <v>0</v>
      </c>
      <c r="P88" s="206">
        <f t="shared" si="27"/>
        <v>0</v>
      </c>
      <c r="Q88" s="206">
        <f t="shared" si="28"/>
        <v>0</v>
      </c>
      <c r="X88" s="71" t="str">
        <f t="shared" si="14"/>
        <v/>
      </c>
      <c r="Y88">
        <f t="shared" si="15"/>
        <v>0</v>
      </c>
      <c r="Z88">
        <f t="shared" si="16"/>
        <v>0</v>
      </c>
      <c r="AA88">
        <f t="shared" si="17"/>
        <v>0</v>
      </c>
      <c r="AB88">
        <f t="shared" si="18"/>
        <v>0</v>
      </c>
      <c r="AC88" t="str">
        <f t="shared" si="19"/>
        <v/>
      </c>
      <c r="AD88" s="204">
        <f t="shared" si="29"/>
        <v>0</v>
      </c>
      <c r="AE88" s="204">
        <f t="shared" si="30"/>
        <v>0</v>
      </c>
      <c r="AF88" s="204">
        <f t="shared" si="31"/>
        <v>0</v>
      </c>
      <c r="AG88" s="204">
        <f t="shared" si="32"/>
        <v>0</v>
      </c>
    </row>
    <row r="89" spans="1:33" x14ac:dyDescent="0.3">
      <c r="A89" s="204"/>
      <c r="B89" s="205"/>
      <c r="C89" s="205"/>
      <c r="D89" s="205"/>
      <c r="E89" s="205"/>
      <c r="F89" s="204"/>
      <c r="G89" s="204"/>
      <c r="H89" s="204"/>
      <c r="I89" s="204" t="str">
        <f t="shared" si="20"/>
        <v/>
      </c>
      <c r="J89" s="204" t="str">
        <f t="shared" si="21"/>
        <v/>
      </c>
      <c r="K89" s="204" t="str">
        <f t="shared" si="22"/>
        <v/>
      </c>
      <c r="L89" s="204" t="str">
        <f t="shared" si="23"/>
        <v/>
      </c>
      <c r="M89" s="76" t="str">
        <f t="shared" si="24"/>
        <v/>
      </c>
      <c r="N89" s="206">
        <f t="shared" si="25"/>
        <v>0</v>
      </c>
      <c r="O89" s="206">
        <f t="shared" si="26"/>
        <v>0</v>
      </c>
      <c r="P89" s="206">
        <f t="shared" si="27"/>
        <v>0</v>
      </c>
      <c r="Q89" s="206">
        <f t="shared" si="28"/>
        <v>0</v>
      </c>
      <c r="X89" s="71" t="str">
        <f t="shared" si="14"/>
        <v/>
      </c>
      <c r="Y89">
        <f t="shared" si="15"/>
        <v>0</v>
      </c>
      <c r="Z89">
        <f t="shared" si="16"/>
        <v>0</v>
      </c>
      <c r="AA89">
        <f t="shared" si="17"/>
        <v>0</v>
      </c>
      <c r="AB89">
        <f t="shared" si="18"/>
        <v>0</v>
      </c>
      <c r="AC89" t="str">
        <f t="shared" si="19"/>
        <v/>
      </c>
      <c r="AD89" s="204">
        <f t="shared" si="29"/>
        <v>0</v>
      </c>
      <c r="AE89" s="204">
        <f t="shared" si="30"/>
        <v>0</v>
      </c>
      <c r="AF89" s="204">
        <f t="shared" si="31"/>
        <v>0</v>
      </c>
      <c r="AG89" s="204">
        <f t="shared" si="32"/>
        <v>0</v>
      </c>
    </row>
    <row r="90" spans="1:33" x14ac:dyDescent="0.3">
      <c r="A90" s="204"/>
      <c r="B90" s="205"/>
      <c r="C90" s="205"/>
      <c r="D90" s="205"/>
      <c r="E90" s="205"/>
      <c r="F90" s="204"/>
      <c r="G90" s="204"/>
      <c r="H90" s="204"/>
      <c r="I90" s="204" t="str">
        <f t="shared" si="20"/>
        <v/>
      </c>
      <c r="J90" s="204" t="str">
        <f t="shared" si="21"/>
        <v/>
      </c>
      <c r="K90" s="204" t="str">
        <f t="shared" si="22"/>
        <v/>
      </c>
      <c r="L90" s="204" t="str">
        <f t="shared" si="23"/>
        <v/>
      </c>
      <c r="M90" s="76" t="str">
        <f t="shared" si="24"/>
        <v/>
      </c>
      <c r="N90" s="206">
        <f t="shared" si="25"/>
        <v>0</v>
      </c>
      <c r="O90" s="206">
        <f t="shared" si="26"/>
        <v>0</v>
      </c>
      <c r="P90" s="206">
        <f t="shared" si="27"/>
        <v>0</v>
      </c>
      <c r="Q90" s="206">
        <f t="shared" si="28"/>
        <v>0</v>
      </c>
      <c r="X90" s="71" t="str">
        <f t="shared" si="14"/>
        <v/>
      </c>
      <c r="Y90">
        <f t="shared" si="15"/>
        <v>0</v>
      </c>
      <c r="Z90">
        <f t="shared" si="16"/>
        <v>0</v>
      </c>
      <c r="AA90">
        <f t="shared" si="17"/>
        <v>0</v>
      </c>
      <c r="AB90">
        <f t="shared" si="18"/>
        <v>0</v>
      </c>
      <c r="AC90" t="str">
        <f t="shared" si="19"/>
        <v/>
      </c>
      <c r="AD90" s="204">
        <f t="shared" si="29"/>
        <v>0</v>
      </c>
      <c r="AE90" s="204">
        <f t="shared" si="30"/>
        <v>0</v>
      </c>
      <c r="AF90" s="204">
        <f t="shared" si="31"/>
        <v>0</v>
      </c>
      <c r="AG90" s="204">
        <f t="shared" si="32"/>
        <v>0</v>
      </c>
    </row>
    <row r="91" spans="1:33" x14ac:dyDescent="0.3">
      <c r="A91" s="204"/>
      <c r="B91" s="205"/>
      <c r="C91" s="205"/>
      <c r="D91" s="205"/>
      <c r="E91" s="205"/>
      <c r="F91" s="204"/>
      <c r="G91" s="204"/>
      <c r="H91" s="204"/>
      <c r="I91" s="204" t="str">
        <f t="shared" si="20"/>
        <v/>
      </c>
      <c r="J91" s="204" t="str">
        <f t="shared" si="21"/>
        <v/>
      </c>
      <c r="K91" s="204" t="str">
        <f t="shared" si="22"/>
        <v/>
      </c>
      <c r="L91" s="204" t="str">
        <f t="shared" si="23"/>
        <v/>
      </c>
      <c r="M91" s="76" t="str">
        <f t="shared" si="24"/>
        <v/>
      </c>
      <c r="N91" s="206">
        <f t="shared" si="25"/>
        <v>0</v>
      </c>
      <c r="O91" s="206">
        <f t="shared" si="26"/>
        <v>0</v>
      </c>
      <c r="P91" s="206">
        <f t="shared" si="27"/>
        <v>0</v>
      </c>
      <c r="Q91" s="206">
        <f t="shared" si="28"/>
        <v>0</v>
      </c>
      <c r="X91" s="71" t="str">
        <f t="shared" si="14"/>
        <v/>
      </c>
      <c r="Y91">
        <f t="shared" si="15"/>
        <v>0</v>
      </c>
      <c r="Z91">
        <f t="shared" si="16"/>
        <v>0</v>
      </c>
      <c r="AA91">
        <f t="shared" si="17"/>
        <v>0</v>
      </c>
      <c r="AB91">
        <f t="shared" si="18"/>
        <v>0</v>
      </c>
      <c r="AC91" t="str">
        <f t="shared" si="19"/>
        <v/>
      </c>
      <c r="AD91" s="204">
        <f t="shared" si="29"/>
        <v>0</v>
      </c>
      <c r="AE91" s="204">
        <f t="shared" si="30"/>
        <v>0</v>
      </c>
      <c r="AF91" s="204">
        <f t="shared" si="31"/>
        <v>0</v>
      </c>
      <c r="AG91" s="204">
        <f t="shared" si="32"/>
        <v>0</v>
      </c>
    </row>
    <row r="92" spans="1:33" x14ac:dyDescent="0.3">
      <c r="A92" s="204"/>
      <c r="B92" s="205"/>
      <c r="C92" s="205"/>
      <c r="D92" s="205"/>
      <c r="E92" s="205"/>
      <c r="F92" s="204"/>
      <c r="G92" s="204"/>
      <c r="H92" s="204"/>
      <c r="I92" s="204" t="str">
        <f t="shared" si="20"/>
        <v/>
      </c>
      <c r="J92" s="204" t="str">
        <f t="shared" si="21"/>
        <v/>
      </c>
      <c r="K92" s="204" t="str">
        <f t="shared" si="22"/>
        <v/>
      </c>
      <c r="L92" s="204" t="str">
        <f t="shared" si="23"/>
        <v/>
      </c>
      <c r="M92" s="76" t="str">
        <f t="shared" si="24"/>
        <v/>
      </c>
      <c r="N92" s="206">
        <f t="shared" si="25"/>
        <v>0</v>
      </c>
      <c r="O92" s="206">
        <f t="shared" si="26"/>
        <v>0</v>
      </c>
      <c r="P92" s="206">
        <f t="shared" si="27"/>
        <v>0</v>
      </c>
      <c r="Q92" s="206">
        <f t="shared" si="28"/>
        <v>0</v>
      </c>
      <c r="X92" s="71" t="str">
        <f t="shared" si="14"/>
        <v/>
      </c>
      <c r="Y92">
        <f t="shared" si="15"/>
        <v>0</v>
      </c>
      <c r="Z92">
        <f t="shared" si="16"/>
        <v>0</v>
      </c>
      <c r="AA92">
        <f t="shared" si="17"/>
        <v>0</v>
      </c>
      <c r="AB92">
        <f t="shared" si="18"/>
        <v>0</v>
      </c>
      <c r="AC92" t="str">
        <f t="shared" si="19"/>
        <v/>
      </c>
      <c r="AD92" s="204">
        <f t="shared" si="29"/>
        <v>0</v>
      </c>
      <c r="AE92" s="204">
        <f t="shared" si="30"/>
        <v>0</v>
      </c>
      <c r="AF92" s="204">
        <f t="shared" si="31"/>
        <v>0</v>
      </c>
      <c r="AG92" s="204">
        <f t="shared" si="32"/>
        <v>0</v>
      </c>
    </row>
    <row r="93" spans="1:33" x14ac:dyDescent="0.3">
      <c r="A93" s="204"/>
      <c r="B93" s="205"/>
      <c r="C93" s="205"/>
      <c r="D93" s="205"/>
      <c r="E93" s="205"/>
      <c r="F93" s="204"/>
      <c r="G93" s="204"/>
      <c r="H93" s="204"/>
      <c r="I93" s="204" t="str">
        <f t="shared" si="20"/>
        <v/>
      </c>
      <c r="J93" s="204" t="str">
        <f t="shared" si="21"/>
        <v/>
      </c>
      <c r="K93" s="204" t="str">
        <f t="shared" si="22"/>
        <v/>
      </c>
      <c r="L93" s="204" t="str">
        <f t="shared" si="23"/>
        <v/>
      </c>
      <c r="M93" s="76" t="str">
        <f t="shared" si="24"/>
        <v/>
      </c>
      <c r="N93" s="206">
        <f t="shared" si="25"/>
        <v>0</v>
      </c>
      <c r="O93" s="206">
        <f t="shared" si="26"/>
        <v>0</v>
      </c>
      <c r="P93" s="206">
        <f t="shared" si="27"/>
        <v>0</v>
      </c>
      <c r="Q93" s="206">
        <f t="shared" si="28"/>
        <v>0</v>
      </c>
      <c r="X93" s="71" t="str">
        <f t="shared" si="14"/>
        <v/>
      </c>
      <c r="Y93">
        <f t="shared" si="15"/>
        <v>0</v>
      </c>
      <c r="Z93">
        <f t="shared" si="16"/>
        <v>0</v>
      </c>
      <c r="AA93">
        <f t="shared" si="17"/>
        <v>0</v>
      </c>
      <c r="AB93">
        <f t="shared" si="18"/>
        <v>0</v>
      </c>
      <c r="AC93" t="str">
        <f t="shared" si="19"/>
        <v/>
      </c>
      <c r="AD93" s="204">
        <f t="shared" si="29"/>
        <v>0</v>
      </c>
      <c r="AE93" s="204">
        <f t="shared" si="30"/>
        <v>0</v>
      </c>
      <c r="AF93" s="204">
        <f t="shared" si="31"/>
        <v>0</v>
      </c>
      <c r="AG93" s="204">
        <f t="shared" si="32"/>
        <v>0</v>
      </c>
    </row>
    <row r="94" spans="1:33" x14ac:dyDescent="0.3">
      <c r="A94" s="204"/>
      <c r="B94" s="205"/>
      <c r="C94" s="205"/>
      <c r="D94" s="205"/>
      <c r="E94" s="205"/>
      <c r="F94" s="204"/>
      <c r="G94" s="204"/>
      <c r="H94" s="204"/>
      <c r="I94" s="204" t="str">
        <f t="shared" si="20"/>
        <v/>
      </c>
      <c r="J94" s="204" t="str">
        <f t="shared" si="21"/>
        <v/>
      </c>
      <c r="K94" s="204" t="str">
        <f t="shared" si="22"/>
        <v/>
      </c>
      <c r="L94" s="204" t="str">
        <f t="shared" si="23"/>
        <v/>
      </c>
      <c r="M94" s="76" t="str">
        <f t="shared" si="24"/>
        <v/>
      </c>
      <c r="N94" s="206">
        <f t="shared" si="25"/>
        <v>0</v>
      </c>
      <c r="O94" s="206">
        <f t="shared" si="26"/>
        <v>0</v>
      </c>
      <c r="P94" s="206">
        <f t="shared" si="27"/>
        <v>0</v>
      </c>
      <c r="Q94" s="206">
        <f t="shared" si="28"/>
        <v>0</v>
      </c>
      <c r="X94" s="71" t="str">
        <f t="shared" si="14"/>
        <v/>
      </c>
      <c r="Y94">
        <f t="shared" si="15"/>
        <v>0</v>
      </c>
      <c r="Z94">
        <f t="shared" si="16"/>
        <v>0</v>
      </c>
      <c r="AA94">
        <f t="shared" si="17"/>
        <v>0</v>
      </c>
      <c r="AB94">
        <f t="shared" si="18"/>
        <v>0</v>
      </c>
      <c r="AC94" t="str">
        <f t="shared" si="19"/>
        <v/>
      </c>
      <c r="AD94" s="204">
        <f t="shared" si="29"/>
        <v>0</v>
      </c>
      <c r="AE94" s="204">
        <f t="shared" si="30"/>
        <v>0</v>
      </c>
      <c r="AF94" s="204">
        <f t="shared" si="31"/>
        <v>0</v>
      </c>
      <c r="AG94" s="204">
        <f t="shared" si="32"/>
        <v>0</v>
      </c>
    </row>
    <row r="95" spans="1:33" x14ac:dyDescent="0.3">
      <c r="A95" s="204"/>
      <c r="B95" s="205"/>
      <c r="C95" s="205"/>
      <c r="D95" s="205"/>
      <c r="E95" s="205"/>
      <c r="F95" s="204"/>
      <c r="G95" s="204"/>
      <c r="H95" s="204"/>
      <c r="I95" s="204" t="str">
        <f t="shared" si="20"/>
        <v/>
      </c>
      <c r="J95" s="204" t="str">
        <f t="shared" si="21"/>
        <v/>
      </c>
      <c r="K95" s="204" t="str">
        <f t="shared" si="22"/>
        <v/>
      </c>
      <c r="L95" s="204" t="str">
        <f t="shared" si="23"/>
        <v/>
      </c>
      <c r="M95" s="76" t="str">
        <f t="shared" si="24"/>
        <v/>
      </c>
      <c r="N95" s="206">
        <f t="shared" si="25"/>
        <v>0</v>
      </c>
      <c r="O95" s="206">
        <f t="shared" si="26"/>
        <v>0</v>
      </c>
      <c r="P95" s="206">
        <f t="shared" si="27"/>
        <v>0</v>
      </c>
      <c r="Q95" s="206">
        <f t="shared" si="28"/>
        <v>0</v>
      </c>
      <c r="X95" s="71" t="str">
        <f t="shared" si="14"/>
        <v/>
      </c>
      <c r="Y95">
        <f t="shared" si="15"/>
        <v>0</v>
      </c>
      <c r="Z95">
        <f t="shared" si="16"/>
        <v>0</v>
      </c>
      <c r="AA95">
        <f t="shared" si="17"/>
        <v>0</v>
      </c>
      <c r="AB95">
        <f t="shared" si="18"/>
        <v>0</v>
      </c>
      <c r="AC95" t="str">
        <f t="shared" si="19"/>
        <v/>
      </c>
      <c r="AD95" s="204">
        <f t="shared" si="29"/>
        <v>0</v>
      </c>
      <c r="AE95" s="204">
        <f t="shared" si="30"/>
        <v>0</v>
      </c>
      <c r="AF95" s="204">
        <f t="shared" si="31"/>
        <v>0</v>
      </c>
      <c r="AG95" s="204">
        <f t="shared" si="32"/>
        <v>0</v>
      </c>
    </row>
    <row r="96" spans="1:33" x14ac:dyDescent="0.3">
      <c r="A96" s="204"/>
      <c r="B96" s="205"/>
      <c r="C96" s="205"/>
      <c r="D96" s="205"/>
      <c r="E96" s="205"/>
      <c r="F96" s="204"/>
      <c r="G96" s="204"/>
      <c r="H96" s="204"/>
      <c r="I96" s="204" t="str">
        <f t="shared" si="20"/>
        <v/>
      </c>
      <c r="J96" s="204" t="str">
        <f t="shared" si="21"/>
        <v/>
      </c>
      <c r="K96" s="204" t="str">
        <f t="shared" si="22"/>
        <v/>
      </c>
      <c r="L96" s="204" t="str">
        <f t="shared" si="23"/>
        <v/>
      </c>
      <c r="M96" s="76" t="str">
        <f t="shared" si="24"/>
        <v/>
      </c>
      <c r="N96" s="206">
        <f t="shared" si="25"/>
        <v>0</v>
      </c>
      <c r="O96" s="206">
        <f t="shared" si="26"/>
        <v>0</v>
      </c>
      <c r="P96" s="206">
        <f t="shared" si="27"/>
        <v>0</v>
      </c>
      <c r="Q96" s="206">
        <f t="shared" si="28"/>
        <v>0</v>
      </c>
      <c r="X96" s="71" t="str">
        <f t="shared" si="14"/>
        <v/>
      </c>
      <c r="Y96">
        <f t="shared" si="15"/>
        <v>0</v>
      </c>
      <c r="Z96">
        <f t="shared" si="16"/>
        <v>0</v>
      </c>
      <c r="AA96">
        <f t="shared" si="17"/>
        <v>0</v>
      </c>
      <c r="AB96">
        <f t="shared" si="18"/>
        <v>0</v>
      </c>
      <c r="AC96" t="str">
        <f t="shared" si="19"/>
        <v/>
      </c>
      <c r="AD96" s="204">
        <f t="shared" si="29"/>
        <v>0</v>
      </c>
      <c r="AE96" s="204">
        <f t="shared" si="30"/>
        <v>0</v>
      </c>
      <c r="AF96" s="204">
        <f t="shared" si="31"/>
        <v>0</v>
      </c>
      <c r="AG96" s="204">
        <f t="shared" si="32"/>
        <v>0</v>
      </c>
    </row>
    <row r="97" spans="1:33" x14ac:dyDescent="0.3">
      <c r="A97" s="204"/>
      <c r="B97" s="205"/>
      <c r="C97" s="205"/>
      <c r="D97" s="205"/>
      <c r="E97" s="205"/>
      <c r="F97" s="204"/>
      <c r="G97" s="204"/>
      <c r="H97" s="204"/>
      <c r="I97" s="204" t="str">
        <f t="shared" si="20"/>
        <v/>
      </c>
      <c r="J97" s="204" t="str">
        <f t="shared" si="21"/>
        <v/>
      </c>
      <c r="K97" s="204" t="str">
        <f t="shared" si="22"/>
        <v/>
      </c>
      <c r="L97" s="204" t="str">
        <f t="shared" si="23"/>
        <v/>
      </c>
      <c r="M97" s="76" t="str">
        <f t="shared" si="24"/>
        <v/>
      </c>
      <c r="N97" s="206">
        <f t="shared" si="25"/>
        <v>0</v>
      </c>
      <c r="O97" s="206">
        <f t="shared" si="26"/>
        <v>0</v>
      </c>
      <c r="P97" s="206">
        <f t="shared" si="27"/>
        <v>0</v>
      </c>
      <c r="Q97" s="206">
        <f t="shared" si="28"/>
        <v>0</v>
      </c>
      <c r="X97" s="71" t="str">
        <f t="shared" si="14"/>
        <v/>
      </c>
      <c r="Y97">
        <f t="shared" si="15"/>
        <v>0</v>
      </c>
      <c r="Z97">
        <f t="shared" si="16"/>
        <v>0</v>
      </c>
      <c r="AA97">
        <f t="shared" si="17"/>
        <v>0</v>
      </c>
      <c r="AB97">
        <f t="shared" si="18"/>
        <v>0</v>
      </c>
      <c r="AC97" t="str">
        <f t="shared" si="19"/>
        <v/>
      </c>
      <c r="AD97" s="204">
        <f t="shared" si="29"/>
        <v>0</v>
      </c>
      <c r="AE97" s="204">
        <f t="shared" si="30"/>
        <v>0</v>
      </c>
      <c r="AF97" s="204">
        <f t="shared" si="31"/>
        <v>0</v>
      </c>
      <c r="AG97" s="204">
        <f t="shared" si="32"/>
        <v>0</v>
      </c>
    </row>
    <row r="98" spans="1:33" x14ac:dyDescent="0.3">
      <c r="A98" s="204"/>
      <c r="B98" s="205"/>
      <c r="C98" s="205"/>
      <c r="D98" s="205"/>
      <c r="E98" s="205"/>
      <c r="F98" s="204"/>
      <c r="G98" s="204"/>
      <c r="H98" s="204"/>
      <c r="I98" s="204" t="str">
        <f t="shared" si="20"/>
        <v/>
      </c>
      <c r="J98" s="204" t="str">
        <f t="shared" si="21"/>
        <v/>
      </c>
      <c r="K98" s="204" t="str">
        <f t="shared" si="22"/>
        <v/>
      </c>
      <c r="L98" s="204" t="str">
        <f t="shared" si="23"/>
        <v/>
      </c>
      <c r="M98" s="76" t="str">
        <f t="shared" si="24"/>
        <v/>
      </c>
      <c r="N98" s="206">
        <f t="shared" si="25"/>
        <v>0</v>
      </c>
      <c r="O98" s="206">
        <f t="shared" si="26"/>
        <v>0</v>
      </c>
      <c r="P98" s="206">
        <f t="shared" si="27"/>
        <v>0</v>
      </c>
      <c r="Q98" s="206">
        <f t="shared" si="28"/>
        <v>0</v>
      </c>
      <c r="X98" s="71" t="str">
        <f t="shared" si="14"/>
        <v/>
      </c>
      <c r="Y98">
        <f t="shared" si="15"/>
        <v>0</v>
      </c>
      <c r="Z98">
        <f t="shared" si="16"/>
        <v>0</v>
      </c>
      <c r="AA98">
        <f t="shared" si="17"/>
        <v>0</v>
      </c>
      <c r="AB98">
        <f t="shared" si="18"/>
        <v>0</v>
      </c>
      <c r="AC98" t="str">
        <f t="shared" si="19"/>
        <v/>
      </c>
      <c r="AD98" s="204">
        <f t="shared" si="29"/>
        <v>0</v>
      </c>
      <c r="AE98" s="204">
        <f t="shared" si="30"/>
        <v>0</v>
      </c>
      <c r="AF98" s="204">
        <f t="shared" si="31"/>
        <v>0</v>
      </c>
      <c r="AG98" s="204">
        <f t="shared" si="32"/>
        <v>0</v>
      </c>
    </row>
    <row r="99" spans="1:33" x14ac:dyDescent="0.3">
      <c r="A99" s="204"/>
      <c r="B99" s="205"/>
      <c r="C99" s="205"/>
      <c r="D99" s="205"/>
      <c r="E99" s="205"/>
      <c r="F99" s="204"/>
      <c r="G99" s="204"/>
      <c r="H99" s="204"/>
      <c r="I99" s="204" t="str">
        <f t="shared" si="20"/>
        <v/>
      </c>
      <c r="J99" s="204" t="str">
        <f t="shared" si="21"/>
        <v/>
      </c>
      <c r="K99" s="204" t="str">
        <f t="shared" si="22"/>
        <v/>
      </c>
      <c r="L99" s="204" t="str">
        <f t="shared" si="23"/>
        <v/>
      </c>
      <c r="M99" s="76" t="str">
        <f t="shared" si="24"/>
        <v/>
      </c>
      <c r="N99" s="206">
        <f t="shared" si="25"/>
        <v>0</v>
      </c>
      <c r="O99" s="206">
        <f t="shared" si="26"/>
        <v>0</v>
      </c>
      <c r="P99" s="206">
        <f t="shared" si="27"/>
        <v>0</v>
      </c>
      <c r="Q99" s="206">
        <f t="shared" si="28"/>
        <v>0</v>
      </c>
      <c r="X99" s="71" t="str">
        <f t="shared" si="14"/>
        <v/>
      </c>
      <c r="Y99">
        <f t="shared" si="15"/>
        <v>0</v>
      </c>
      <c r="Z99">
        <f t="shared" si="16"/>
        <v>0</v>
      </c>
      <c r="AA99">
        <f t="shared" si="17"/>
        <v>0</v>
      </c>
      <c r="AB99">
        <f t="shared" si="18"/>
        <v>0</v>
      </c>
      <c r="AC99" t="str">
        <f t="shared" si="19"/>
        <v/>
      </c>
      <c r="AD99" s="204">
        <f t="shared" si="29"/>
        <v>0</v>
      </c>
      <c r="AE99" s="204">
        <f t="shared" si="30"/>
        <v>0</v>
      </c>
      <c r="AF99" s="204">
        <f t="shared" si="31"/>
        <v>0</v>
      </c>
      <c r="AG99" s="204">
        <f t="shared" si="32"/>
        <v>0</v>
      </c>
    </row>
    <row r="100" spans="1:33" x14ac:dyDescent="0.3">
      <c r="A100" s="204"/>
      <c r="B100" s="205"/>
      <c r="C100" s="205"/>
      <c r="D100" s="205"/>
      <c r="E100" s="205"/>
      <c r="F100" s="204"/>
      <c r="G100" s="204"/>
      <c r="H100" s="204"/>
      <c r="I100" s="204" t="str">
        <f t="shared" si="20"/>
        <v/>
      </c>
      <c r="J100" s="204" t="str">
        <f t="shared" si="21"/>
        <v/>
      </c>
      <c r="K100" s="204" t="str">
        <f t="shared" si="22"/>
        <v/>
      </c>
      <c r="L100" s="204" t="str">
        <f t="shared" si="23"/>
        <v/>
      </c>
      <c r="M100" s="76" t="str">
        <f t="shared" si="24"/>
        <v/>
      </c>
      <c r="N100" s="206">
        <f t="shared" si="25"/>
        <v>0</v>
      </c>
      <c r="O100" s="206">
        <f t="shared" si="26"/>
        <v>0</v>
      </c>
      <c r="P100" s="206">
        <f t="shared" si="27"/>
        <v>0</v>
      </c>
      <c r="Q100" s="206">
        <f t="shared" si="28"/>
        <v>0</v>
      </c>
      <c r="X100" s="71" t="str">
        <f t="shared" si="14"/>
        <v/>
      </c>
      <c r="Y100">
        <f t="shared" si="15"/>
        <v>0</v>
      </c>
      <c r="Z100">
        <f t="shared" si="16"/>
        <v>0</v>
      </c>
      <c r="AA100">
        <f t="shared" si="17"/>
        <v>0</v>
      </c>
      <c r="AB100">
        <f t="shared" si="18"/>
        <v>0</v>
      </c>
      <c r="AC100" t="str">
        <f t="shared" si="19"/>
        <v/>
      </c>
      <c r="AD100" s="204">
        <f t="shared" si="29"/>
        <v>0</v>
      </c>
      <c r="AE100" s="204">
        <f t="shared" si="30"/>
        <v>0</v>
      </c>
      <c r="AF100" s="204">
        <f t="shared" si="31"/>
        <v>0</v>
      </c>
      <c r="AG100" s="204">
        <f t="shared" si="32"/>
        <v>0</v>
      </c>
    </row>
    <row r="101" spans="1:33" x14ac:dyDescent="0.3">
      <c r="A101" s="204"/>
      <c r="B101" s="205"/>
      <c r="C101" s="205"/>
      <c r="D101" s="205"/>
      <c r="E101" s="205"/>
      <c r="F101" s="204"/>
      <c r="G101" s="204"/>
      <c r="H101" s="204"/>
      <c r="I101" s="204" t="str">
        <f t="shared" si="20"/>
        <v/>
      </c>
      <c r="J101" s="204" t="str">
        <f t="shared" si="21"/>
        <v/>
      </c>
      <c r="K101" s="204" t="str">
        <f t="shared" si="22"/>
        <v/>
      </c>
      <c r="L101" s="204" t="str">
        <f t="shared" si="23"/>
        <v/>
      </c>
      <c r="M101" s="76" t="str">
        <f t="shared" si="24"/>
        <v/>
      </c>
      <c r="N101" s="206">
        <f t="shared" si="25"/>
        <v>0</v>
      </c>
      <c r="O101" s="206">
        <f t="shared" si="26"/>
        <v>0</v>
      </c>
      <c r="P101" s="206">
        <f t="shared" si="27"/>
        <v>0</v>
      </c>
      <c r="Q101" s="206">
        <f t="shared" si="28"/>
        <v>0</v>
      </c>
      <c r="X101" s="71" t="str">
        <f t="shared" si="14"/>
        <v/>
      </c>
      <c r="Y101">
        <f t="shared" si="15"/>
        <v>0</v>
      </c>
      <c r="Z101">
        <f t="shared" si="16"/>
        <v>0</v>
      </c>
      <c r="AA101">
        <f t="shared" si="17"/>
        <v>0</v>
      </c>
      <c r="AB101">
        <f t="shared" si="18"/>
        <v>0</v>
      </c>
      <c r="AC101" t="str">
        <f t="shared" si="19"/>
        <v/>
      </c>
      <c r="AD101" s="204">
        <f t="shared" si="29"/>
        <v>0</v>
      </c>
      <c r="AE101" s="204">
        <f t="shared" si="30"/>
        <v>0</v>
      </c>
      <c r="AF101" s="204">
        <f t="shared" si="31"/>
        <v>0</v>
      </c>
      <c r="AG101" s="204">
        <f t="shared" si="32"/>
        <v>0</v>
      </c>
    </row>
    <row r="102" spans="1:33" x14ac:dyDescent="0.3">
      <c r="A102" s="204"/>
      <c r="B102" s="205"/>
      <c r="C102" s="205"/>
      <c r="D102" s="205"/>
      <c r="E102" s="205"/>
      <c r="F102" s="204"/>
      <c r="G102" s="204"/>
      <c r="H102" s="204"/>
      <c r="I102" s="204" t="str">
        <f t="shared" si="20"/>
        <v/>
      </c>
      <c r="J102" s="204" t="str">
        <f t="shared" si="21"/>
        <v/>
      </c>
      <c r="K102" s="204" t="str">
        <f t="shared" si="22"/>
        <v/>
      </c>
      <c r="L102" s="204" t="str">
        <f t="shared" si="23"/>
        <v/>
      </c>
      <c r="M102" s="76" t="str">
        <f t="shared" si="24"/>
        <v/>
      </c>
      <c r="N102" s="206">
        <f t="shared" si="25"/>
        <v>0</v>
      </c>
      <c r="O102" s="206">
        <f t="shared" si="26"/>
        <v>0</v>
      </c>
      <c r="P102" s="206">
        <f t="shared" si="27"/>
        <v>0</v>
      </c>
      <c r="Q102" s="206">
        <f t="shared" si="28"/>
        <v>0</v>
      </c>
      <c r="X102" s="71" t="str">
        <f t="shared" si="14"/>
        <v/>
      </c>
      <c r="Y102">
        <f t="shared" si="15"/>
        <v>0</v>
      </c>
      <c r="Z102">
        <f t="shared" si="16"/>
        <v>0</v>
      </c>
      <c r="AA102">
        <f t="shared" si="17"/>
        <v>0</v>
      </c>
      <c r="AB102">
        <f t="shared" si="18"/>
        <v>0</v>
      </c>
      <c r="AC102" t="str">
        <f t="shared" si="19"/>
        <v/>
      </c>
      <c r="AD102" s="204">
        <f t="shared" si="29"/>
        <v>0</v>
      </c>
      <c r="AE102" s="204">
        <f t="shared" si="30"/>
        <v>0</v>
      </c>
      <c r="AF102" s="204">
        <f t="shared" si="31"/>
        <v>0</v>
      </c>
      <c r="AG102" s="204">
        <f t="shared" si="32"/>
        <v>0</v>
      </c>
    </row>
    <row r="103" spans="1:33" x14ac:dyDescent="0.3">
      <c r="A103" s="204"/>
      <c r="B103" s="205"/>
      <c r="C103" s="205"/>
      <c r="D103" s="205"/>
      <c r="E103" s="205"/>
      <c r="F103" s="204"/>
      <c r="G103" s="204"/>
      <c r="H103" s="204"/>
      <c r="I103" s="204" t="str">
        <f t="shared" si="20"/>
        <v/>
      </c>
      <c r="J103" s="204" t="str">
        <f t="shared" si="21"/>
        <v/>
      </c>
      <c r="K103" s="204" t="str">
        <f t="shared" si="22"/>
        <v/>
      </c>
      <c r="L103" s="204" t="str">
        <f t="shared" si="23"/>
        <v/>
      </c>
      <c r="M103" s="76" t="str">
        <f t="shared" si="24"/>
        <v/>
      </c>
      <c r="N103" s="206">
        <f t="shared" si="25"/>
        <v>0</v>
      </c>
      <c r="O103" s="206">
        <f t="shared" si="26"/>
        <v>0</v>
      </c>
      <c r="P103" s="206">
        <f t="shared" si="27"/>
        <v>0</v>
      </c>
      <c r="Q103" s="206">
        <f t="shared" si="28"/>
        <v>0</v>
      </c>
      <c r="X103" s="71" t="str">
        <f t="shared" si="14"/>
        <v/>
      </c>
      <c r="Y103">
        <f t="shared" si="15"/>
        <v>0</v>
      </c>
      <c r="Z103">
        <f t="shared" si="16"/>
        <v>0</v>
      </c>
      <c r="AA103">
        <f t="shared" si="17"/>
        <v>0</v>
      </c>
      <c r="AB103">
        <f t="shared" si="18"/>
        <v>0</v>
      </c>
      <c r="AC103" t="str">
        <f t="shared" si="19"/>
        <v/>
      </c>
      <c r="AD103" s="204">
        <f t="shared" si="29"/>
        <v>0</v>
      </c>
      <c r="AE103" s="204">
        <f t="shared" si="30"/>
        <v>0</v>
      </c>
      <c r="AF103" s="204">
        <f t="shared" si="31"/>
        <v>0</v>
      </c>
      <c r="AG103" s="204">
        <f t="shared" si="32"/>
        <v>0</v>
      </c>
    </row>
    <row r="104" spans="1:33" x14ac:dyDescent="0.3">
      <c r="A104" s="204"/>
      <c r="B104" s="205"/>
      <c r="C104" s="205"/>
      <c r="D104" s="205"/>
      <c r="E104" s="205"/>
      <c r="F104" s="204"/>
      <c r="G104" s="204"/>
      <c r="H104" s="204"/>
      <c r="I104" s="204" t="str">
        <f t="shared" si="20"/>
        <v/>
      </c>
      <c r="J104" s="204" t="str">
        <f t="shared" si="21"/>
        <v/>
      </c>
      <c r="K104" s="204" t="str">
        <f t="shared" si="22"/>
        <v/>
      </c>
      <c r="L104" s="204" t="str">
        <f t="shared" si="23"/>
        <v/>
      </c>
      <c r="M104" s="76" t="str">
        <f t="shared" si="24"/>
        <v/>
      </c>
      <c r="N104" s="206">
        <f t="shared" si="25"/>
        <v>0</v>
      </c>
      <c r="O104" s="206">
        <f t="shared" si="26"/>
        <v>0</v>
      </c>
      <c r="P104" s="206">
        <f t="shared" si="27"/>
        <v>0</v>
      </c>
      <c r="Q104" s="206">
        <f t="shared" si="28"/>
        <v>0</v>
      </c>
      <c r="X104" s="71" t="str">
        <f t="shared" si="14"/>
        <v/>
      </c>
      <c r="Y104">
        <f t="shared" si="15"/>
        <v>0</v>
      </c>
      <c r="Z104">
        <f t="shared" si="16"/>
        <v>0</v>
      </c>
      <c r="AA104">
        <f t="shared" si="17"/>
        <v>0</v>
      </c>
      <c r="AB104">
        <f t="shared" si="18"/>
        <v>0</v>
      </c>
      <c r="AC104" t="str">
        <f t="shared" si="19"/>
        <v/>
      </c>
      <c r="AD104" s="204">
        <f t="shared" si="29"/>
        <v>0</v>
      </c>
      <c r="AE104" s="204">
        <f t="shared" si="30"/>
        <v>0</v>
      </c>
      <c r="AF104" s="204">
        <f t="shared" si="31"/>
        <v>0</v>
      </c>
      <c r="AG104" s="204">
        <f t="shared" si="32"/>
        <v>0</v>
      </c>
    </row>
    <row r="105" spans="1:33" x14ac:dyDescent="0.3">
      <c r="A105" s="204"/>
      <c r="B105" s="205"/>
      <c r="C105" s="205"/>
      <c r="D105" s="205"/>
      <c r="E105" s="205"/>
      <c r="F105" s="204"/>
      <c r="G105" s="204"/>
      <c r="H105" s="204"/>
      <c r="I105" s="204" t="str">
        <f t="shared" si="20"/>
        <v/>
      </c>
      <c r="J105" s="204" t="str">
        <f t="shared" si="21"/>
        <v/>
      </c>
      <c r="K105" s="204" t="str">
        <f t="shared" si="22"/>
        <v/>
      </c>
      <c r="L105" s="204" t="str">
        <f t="shared" si="23"/>
        <v/>
      </c>
      <c r="M105" s="76" t="str">
        <f t="shared" si="24"/>
        <v/>
      </c>
      <c r="N105" s="206">
        <f t="shared" si="25"/>
        <v>0</v>
      </c>
      <c r="O105" s="206">
        <f t="shared" si="26"/>
        <v>0</v>
      </c>
      <c r="P105" s="206">
        <f t="shared" si="27"/>
        <v>0</v>
      </c>
      <c r="Q105" s="206">
        <f t="shared" si="28"/>
        <v>0</v>
      </c>
      <c r="X105" s="71" t="str">
        <f t="shared" si="14"/>
        <v/>
      </c>
      <c r="Y105">
        <f t="shared" si="15"/>
        <v>0</v>
      </c>
      <c r="Z105">
        <f t="shared" si="16"/>
        <v>0</v>
      </c>
      <c r="AA105">
        <f t="shared" si="17"/>
        <v>0</v>
      </c>
      <c r="AB105">
        <f t="shared" si="18"/>
        <v>0</v>
      </c>
      <c r="AC105" t="str">
        <f t="shared" si="19"/>
        <v/>
      </c>
      <c r="AD105" s="204">
        <f t="shared" si="29"/>
        <v>0</v>
      </c>
      <c r="AE105" s="204">
        <f t="shared" si="30"/>
        <v>0</v>
      </c>
      <c r="AF105" s="204">
        <f t="shared" si="31"/>
        <v>0</v>
      </c>
      <c r="AG105" s="204">
        <f t="shared" si="32"/>
        <v>0</v>
      </c>
    </row>
    <row r="106" spans="1:33" x14ac:dyDescent="0.3">
      <c r="A106" s="204"/>
      <c r="B106" s="205"/>
      <c r="C106" s="205"/>
      <c r="D106" s="205"/>
      <c r="E106" s="205"/>
      <c r="F106" s="204"/>
      <c r="G106" s="204"/>
      <c r="H106" s="204"/>
      <c r="I106" s="204" t="str">
        <f t="shared" si="20"/>
        <v/>
      </c>
      <c r="J106" s="204" t="str">
        <f t="shared" si="21"/>
        <v/>
      </c>
      <c r="K106" s="204" t="str">
        <f t="shared" si="22"/>
        <v/>
      </c>
      <c r="L106" s="204" t="str">
        <f t="shared" si="23"/>
        <v/>
      </c>
      <c r="M106" s="76" t="str">
        <f t="shared" si="24"/>
        <v/>
      </c>
      <c r="N106" s="206">
        <f t="shared" si="25"/>
        <v>0</v>
      </c>
      <c r="O106" s="206">
        <f t="shared" si="26"/>
        <v>0</v>
      </c>
      <c r="P106" s="206">
        <f t="shared" si="27"/>
        <v>0</v>
      </c>
      <c r="Q106" s="206">
        <f t="shared" si="28"/>
        <v>0</v>
      </c>
      <c r="X106" s="71" t="str">
        <f t="shared" si="14"/>
        <v/>
      </c>
      <c r="Y106">
        <f t="shared" si="15"/>
        <v>0</v>
      </c>
      <c r="Z106">
        <f t="shared" si="16"/>
        <v>0</v>
      </c>
      <c r="AA106">
        <f t="shared" si="17"/>
        <v>0</v>
      </c>
      <c r="AB106">
        <f t="shared" si="18"/>
        <v>0</v>
      </c>
      <c r="AC106" t="str">
        <f t="shared" si="19"/>
        <v/>
      </c>
      <c r="AD106" s="204">
        <f t="shared" si="29"/>
        <v>0</v>
      </c>
      <c r="AE106" s="204">
        <f t="shared" si="30"/>
        <v>0</v>
      </c>
      <c r="AF106" s="204">
        <f t="shared" si="31"/>
        <v>0</v>
      </c>
      <c r="AG106" s="204">
        <f t="shared" si="32"/>
        <v>0</v>
      </c>
    </row>
    <row r="107" spans="1:33" x14ac:dyDescent="0.3">
      <c r="A107" s="204"/>
      <c r="B107" s="205"/>
      <c r="C107" s="205"/>
      <c r="D107" s="205"/>
      <c r="E107" s="205"/>
      <c r="F107" s="204"/>
      <c r="G107" s="204"/>
      <c r="H107" s="204"/>
      <c r="I107" s="204" t="str">
        <f t="shared" si="20"/>
        <v/>
      </c>
      <c r="J107" s="204" t="str">
        <f t="shared" si="21"/>
        <v/>
      </c>
      <c r="K107" s="204" t="str">
        <f t="shared" si="22"/>
        <v/>
      </c>
      <c r="L107" s="204" t="str">
        <f t="shared" si="23"/>
        <v/>
      </c>
      <c r="M107" s="76" t="str">
        <f t="shared" si="24"/>
        <v/>
      </c>
      <c r="N107" s="206">
        <f t="shared" si="25"/>
        <v>0</v>
      </c>
      <c r="O107" s="206">
        <f t="shared" si="26"/>
        <v>0</v>
      </c>
      <c r="P107" s="206">
        <f t="shared" si="27"/>
        <v>0</v>
      </c>
      <c r="Q107" s="206">
        <f t="shared" si="28"/>
        <v>0</v>
      </c>
      <c r="X107" s="71" t="str">
        <f t="shared" si="14"/>
        <v/>
      </c>
      <c r="Y107">
        <f t="shared" si="15"/>
        <v>0</v>
      </c>
      <c r="Z107">
        <f t="shared" si="16"/>
        <v>0</v>
      </c>
      <c r="AA107">
        <f t="shared" si="17"/>
        <v>0</v>
      </c>
      <c r="AB107">
        <f t="shared" si="18"/>
        <v>0</v>
      </c>
      <c r="AC107" t="str">
        <f t="shared" si="19"/>
        <v/>
      </c>
      <c r="AD107" s="204">
        <f t="shared" si="29"/>
        <v>0</v>
      </c>
      <c r="AE107" s="204">
        <f t="shared" si="30"/>
        <v>0</v>
      </c>
      <c r="AF107" s="204">
        <f t="shared" si="31"/>
        <v>0</v>
      </c>
      <c r="AG107" s="204">
        <f t="shared" si="32"/>
        <v>0</v>
      </c>
    </row>
    <row r="108" spans="1:33" x14ac:dyDescent="0.3">
      <c r="A108" s="204"/>
      <c r="B108" s="205"/>
      <c r="C108" s="205"/>
      <c r="D108" s="205"/>
      <c r="E108" s="205"/>
      <c r="F108" s="204"/>
      <c r="G108" s="204"/>
      <c r="H108" s="204"/>
      <c r="I108" s="204" t="str">
        <f t="shared" si="20"/>
        <v/>
      </c>
      <c r="J108" s="204" t="str">
        <f t="shared" si="21"/>
        <v/>
      </c>
      <c r="K108" s="204" t="str">
        <f t="shared" si="22"/>
        <v/>
      </c>
      <c r="L108" s="204" t="str">
        <f t="shared" si="23"/>
        <v/>
      </c>
      <c r="M108" s="76" t="str">
        <f t="shared" si="24"/>
        <v/>
      </c>
      <c r="N108" s="206">
        <f t="shared" si="25"/>
        <v>0</v>
      </c>
      <c r="O108" s="206">
        <f t="shared" si="26"/>
        <v>0</v>
      </c>
      <c r="P108" s="206">
        <f t="shared" si="27"/>
        <v>0</v>
      </c>
      <c r="Q108" s="206">
        <f t="shared" si="28"/>
        <v>0</v>
      </c>
      <c r="X108" s="71" t="str">
        <f t="shared" si="14"/>
        <v/>
      </c>
      <c r="Y108">
        <f t="shared" si="15"/>
        <v>0</v>
      </c>
      <c r="Z108">
        <f t="shared" si="16"/>
        <v>0</v>
      </c>
      <c r="AA108">
        <f t="shared" si="17"/>
        <v>0</v>
      </c>
      <c r="AB108">
        <f t="shared" si="18"/>
        <v>0</v>
      </c>
      <c r="AC108" t="str">
        <f t="shared" si="19"/>
        <v/>
      </c>
      <c r="AD108" s="204">
        <f t="shared" si="29"/>
        <v>0</v>
      </c>
      <c r="AE108" s="204">
        <f t="shared" si="30"/>
        <v>0</v>
      </c>
      <c r="AF108" s="204">
        <f t="shared" si="31"/>
        <v>0</v>
      </c>
      <c r="AG108" s="204">
        <f t="shared" si="32"/>
        <v>0</v>
      </c>
    </row>
    <row r="109" spans="1:33" x14ac:dyDescent="0.3">
      <c r="A109" s="204"/>
      <c r="B109" s="205"/>
      <c r="C109" s="205"/>
      <c r="D109" s="205"/>
      <c r="E109" s="205"/>
      <c r="F109" s="204"/>
      <c r="G109" s="204"/>
      <c r="H109" s="204"/>
      <c r="I109" s="204" t="str">
        <f t="shared" si="20"/>
        <v/>
      </c>
      <c r="J109" s="204" t="str">
        <f t="shared" si="21"/>
        <v/>
      </c>
      <c r="K109" s="204" t="str">
        <f t="shared" si="22"/>
        <v/>
      </c>
      <c r="L109" s="204" t="str">
        <f t="shared" si="23"/>
        <v/>
      </c>
      <c r="M109" s="76" t="str">
        <f t="shared" si="24"/>
        <v/>
      </c>
      <c r="N109" s="206">
        <f t="shared" si="25"/>
        <v>0</v>
      </c>
      <c r="O109" s="206">
        <f t="shared" si="26"/>
        <v>0</v>
      </c>
      <c r="P109" s="206">
        <f t="shared" si="27"/>
        <v>0</v>
      </c>
      <c r="Q109" s="206">
        <f t="shared" si="28"/>
        <v>0</v>
      </c>
      <c r="X109" s="71" t="str">
        <f t="shared" si="14"/>
        <v/>
      </c>
      <c r="Y109">
        <f t="shared" si="15"/>
        <v>0</v>
      </c>
      <c r="Z109">
        <f t="shared" si="16"/>
        <v>0</v>
      </c>
      <c r="AA109">
        <f t="shared" si="17"/>
        <v>0</v>
      </c>
      <c r="AB109">
        <f t="shared" si="18"/>
        <v>0</v>
      </c>
      <c r="AC109" t="str">
        <f t="shared" si="19"/>
        <v/>
      </c>
      <c r="AD109" s="204">
        <f t="shared" si="29"/>
        <v>0</v>
      </c>
      <c r="AE109" s="204">
        <f t="shared" si="30"/>
        <v>0</v>
      </c>
      <c r="AF109" s="204">
        <f t="shared" si="31"/>
        <v>0</v>
      </c>
      <c r="AG109" s="204">
        <f t="shared" si="32"/>
        <v>0</v>
      </c>
    </row>
    <row r="110" spans="1:33" x14ac:dyDescent="0.3">
      <c r="A110" s="204"/>
      <c r="B110" s="205"/>
      <c r="C110" s="205"/>
      <c r="D110" s="205"/>
      <c r="E110" s="205"/>
      <c r="F110" s="204"/>
      <c r="G110" s="204"/>
      <c r="H110" s="204"/>
      <c r="I110" s="204" t="str">
        <f t="shared" si="20"/>
        <v/>
      </c>
      <c r="J110" s="204" t="str">
        <f t="shared" si="21"/>
        <v/>
      </c>
      <c r="K110" s="204" t="str">
        <f t="shared" si="22"/>
        <v/>
      </c>
      <c r="L110" s="204" t="str">
        <f t="shared" si="23"/>
        <v/>
      </c>
      <c r="M110" s="76" t="str">
        <f t="shared" si="24"/>
        <v/>
      </c>
      <c r="N110" s="206">
        <f t="shared" si="25"/>
        <v>0</v>
      </c>
      <c r="O110" s="206">
        <f t="shared" si="26"/>
        <v>0</v>
      </c>
      <c r="P110" s="206">
        <f t="shared" si="27"/>
        <v>0</v>
      </c>
      <c r="Q110" s="206">
        <f t="shared" si="28"/>
        <v>0</v>
      </c>
      <c r="X110" s="71" t="str">
        <f t="shared" si="14"/>
        <v/>
      </c>
      <c r="Y110">
        <f t="shared" si="15"/>
        <v>0</v>
      </c>
      <c r="Z110">
        <f t="shared" si="16"/>
        <v>0</v>
      </c>
      <c r="AA110">
        <f t="shared" si="17"/>
        <v>0</v>
      </c>
      <c r="AB110">
        <f t="shared" si="18"/>
        <v>0</v>
      </c>
      <c r="AC110" t="str">
        <f t="shared" si="19"/>
        <v/>
      </c>
      <c r="AD110" s="204">
        <f t="shared" si="29"/>
        <v>0</v>
      </c>
      <c r="AE110" s="204">
        <f t="shared" si="30"/>
        <v>0</v>
      </c>
      <c r="AF110" s="204">
        <f t="shared" si="31"/>
        <v>0</v>
      </c>
      <c r="AG110" s="204">
        <f t="shared" si="32"/>
        <v>0</v>
      </c>
    </row>
    <row r="111" spans="1:33" x14ac:dyDescent="0.3">
      <c r="A111" s="204"/>
      <c r="B111" s="205"/>
      <c r="C111" s="205"/>
      <c r="D111" s="205"/>
      <c r="E111" s="205"/>
      <c r="F111" s="204"/>
      <c r="G111" s="204"/>
      <c r="H111" s="204"/>
      <c r="I111" s="204" t="str">
        <f t="shared" si="20"/>
        <v/>
      </c>
      <c r="J111" s="204" t="str">
        <f t="shared" si="21"/>
        <v/>
      </c>
      <c r="K111" s="204" t="str">
        <f t="shared" si="22"/>
        <v/>
      </c>
      <c r="L111" s="204" t="str">
        <f t="shared" si="23"/>
        <v/>
      </c>
      <c r="M111" s="76" t="str">
        <f t="shared" si="24"/>
        <v/>
      </c>
      <c r="N111" s="206">
        <f t="shared" si="25"/>
        <v>0</v>
      </c>
      <c r="O111" s="206">
        <f t="shared" si="26"/>
        <v>0</v>
      </c>
      <c r="P111" s="206">
        <f t="shared" si="27"/>
        <v>0</v>
      </c>
      <c r="Q111" s="206">
        <f t="shared" si="28"/>
        <v>0</v>
      </c>
      <c r="X111" s="71" t="str">
        <f t="shared" si="14"/>
        <v/>
      </c>
      <c r="Y111">
        <f t="shared" si="15"/>
        <v>0</v>
      </c>
      <c r="Z111">
        <f t="shared" si="16"/>
        <v>0</v>
      </c>
      <c r="AA111">
        <f t="shared" si="17"/>
        <v>0</v>
      </c>
      <c r="AB111">
        <f t="shared" si="18"/>
        <v>0</v>
      </c>
      <c r="AC111" t="str">
        <f t="shared" si="19"/>
        <v/>
      </c>
      <c r="AD111" s="204">
        <f t="shared" si="29"/>
        <v>0</v>
      </c>
      <c r="AE111" s="204">
        <f t="shared" si="30"/>
        <v>0</v>
      </c>
      <c r="AF111" s="204">
        <f t="shared" si="31"/>
        <v>0</v>
      </c>
      <c r="AG111" s="204">
        <f t="shared" si="32"/>
        <v>0</v>
      </c>
    </row>
    <row r="112" spans="1:33" x14ac:dyDescent="0.3">
      <c r="A112" s="204"/>
      <c r="B112" s="205"/>
      <c r="C112" s="205"/>
      <c r="D112" s="205"/>
      <c r="E112" s="205"/>
      <c r="F112" s="204"/>
      <c r="G112" s="204"/>
      <c r="H112" s="204"/>
      <c r="I112" s="204" t="str">
        <f t="shared" si="20"/>
        <v/>
      </c>
      <c r="J112" s="204" t="str">
        <f t="shared" si="21"/>
        <v/>
      </c>
      <c r="K112" s="204" t="str">
        <f t="shared" si="22"/>
        <v/>
      </c>
      <c r="L112" s="204" t="str">
        <f t="shared" si="23"/>
        <v/>
      </c>
      <c r="M112" s="76" t="str">
        <f t="shared" si="24"/>
        <v/>
      </c>
      <c r="N112" s="206">
        <f t="shared" si="25"/>
        <v>0</v>
      </c>
      <c r="O112" s="206">
        <f t="shared" si="26"/>
        <v>0</v>
      </c>
      <c r="P112" s="206">
        <f t="shared" si="27"/>
        <v>0</v>
      </c>
      <c r="Q112" s="206">
        <f t="shared" si="28"/>
        <v>0</v>
      </c>
      <c r="X112" s="71" t="str">
        <f t="shared" si="14"/>
        <v/>
      </c>
      <c r="Y112">
        <f t="shared" si="15"/>
        <v>0</v>
      </c>
      <c r="Z112">
        <f t="shared" si="16"/>
        <v>0</v>
      </c>
      <c r="AA112">
        <f t="shared" si="17"/>
        <v>0</v>
      </c>
      <c r="AB112">
        <f t="shared" si="18"/>
        <v>0</v>
      </c>
      <c r="AC112" t="str">
        <f t="shared" si="19"/>
        <v/>
      </c>
      <c r="AD112" s="204">
        <f t="shared" si="29"/>
        <v>0</v>
      </c>
      <c r="AE112" s="204">
        <f t="shared" si="30"/>
        <v>0</v>
      </c>
      <c r="AF112" s="204">
        <f t="shared" si="31"/>
        <v>0</v>
      </c>
      <c r="AG112" s="204">
        <f t="shared" si="32"/>
        <v>0</v>
      </c>
    </row>
    <row r="113" spans="1:33" x14ac:dyDescent="0.3">
      <c r="A113" s="204"/>
      <c r="B113" s="205"/>
      <c r="C113" s="205"/>
      <c r="D113" s="205"/>
      <c r="E113" s="205"/>
      <c r="F113" s="204"/>
      <c r="G113" s="204"/>
      <c r="H113" s="204"/>
      <c r="I113" s="204" t="str">
        <f t="shared" si="20"/>
        <v/>
      </c>
      <c r="J113" s="204" t="str">
        <f t="shared" si="21"/>
        <v/>
      </c>
      <c r="K113" s="204" t="str">
        <f t="shared" si="22"/>
        <v/>
      </c>
      <c r="L113" s="204" t="str">
        <f t="shared" si="23"/>
        <v/>
      </c>
      <c r="M113" s="76" t="str">
        <f t="shared" si="24"/>
        <v/>
      </c>
      <c r="N113" s="206">
        <f t="shared" si="25"/>
        <v>0</v>
      </c>
      <c r="O113" s="206">
        <f t="shared" si="26"/>
        <v>0</v>
      </c>
      <c r="P113" s="206">
        <f t="shared" si="27"/>
        <v>0</v>
      </c>
      <c r="Q113" s="206">
        <f t="shared" si="28"/>
        <v>0</v>
      </c>
      <c r="X113" s="71" t="str">
        <f t="shared" si="14"/>
        <v/>
      </c>
      <c r="Y113">
        <f t="shared" si="15"/>
        <v>0</v>
      </c>
      <c r="Z113">
        <f t="shared" si="16"/>
        <v>0</v>
      </c>
      <c r="AA113">
        <f t="shared" si="17"/>
        <v>0</v>
      </c>
      <c r="AB113">
        <f t="shared" si="18"/>
        <v>0</v>
      </c>
      <c r="AC113" t="str">
        <f t="shared" si="19"/>
        <v/>
      </c>
      <c r="AD113" s="204">
        <f t="shared" si="29"/>
        <v>0</v>
      </c>
      <c r="AE113" s="204">
        <f t="shared" si="30"/>
        <v>0</v>
      </c>
      <c r="AF113" s="204">
        <f t="shared" si="31"/>
        <v>0</v>
      </c>
      <c r="AG113" s="204">
        <f t="shared" si="32"/>
        <v>0</v>
      </c>
    </row>
    <row r="114" spans="1:33" x14ac:dyDescent="0.3">
      <c r="A114" s="204"/>
      <c r="B114" s="205"/>
      <c r="C114" s="205"/>
      <c r="D114" s="205"/>
      <c r="E114" s="205"/>
      <c r="F114" s="204"/>
      <c r="G114" s="204"/>
      <c r="H114" s="204"/>
      <c r="I114" s="204" t="str">
        <f t="shared" si="20"/>
        <v/>
      </c>
      <c r="J114" s="204" t="str">
        <f t="shared" si="21"/>
        <v/>
      </c>
      <c r="K114" s="204" t="str">
        <f t="shared" si="22"/>
        <v/>
      </c>
      <c r="L114" s="204" t="str">
        <f t="shared" si="23"/>
        <v/>
      </c>
      <c r="M114" s="76" t="str">
        <f t="shared" si="24"/>
        <v/>
      </c>
      <c r="N114" s="206">
        <f t="shared" si="25"/>
        <v>0</v>
      </c>
      <c r="O114" s="206">
        <f t="shared" si="26"/>
        <v>0</v>
      </c>
      <c r="P114" s="206">
        <f t="shared" si="27"/>
        <v>0</v>
      </c>
      <c r="Q114" s="206">
        <f t="shared" si="28"/>
        <v>0</v>
      </c>
      <c r="X114" s="71" t="str">
        <f t="shared" si="14"/>
        <v/>
      </c>
      <c r="Y114">
        <f t="shared" si="15"/>
        <v>0</v>
      </c>
      <c r="Z114">
        <f t="shared" si="16"/>
        <v>0</v>
      </c>
      <c r="AA114">
        <f t="shared" si="17"/>
        <v>0</v>
      </c>
      <c r="AB114">
        <f t="shared" si="18"/>
        <v>0</v>
      </c>
      <c r="AC114" t="str">
        <f t="shared" si="19"/>
        <v/>
      </c>
      <c r="AD114" s="204">
        <f t="shared" si="29"/>
        <v>0</v>
      </c>
      <c r="AE114" s="204">
        <f t="shared" si="30"/>
        <v>0</v>
      </c>
      <c r="AF114" s="204">
        <f t="shared" si="31"/>
        <v>0</v>
      </c>
      <c r="AG114" s="204">
        <f t="shared" si="32"/>
        <v>0</v>
      </c>
    </row>
    <row r="115" spans="1:33" x14ac:dyDescent="0.3">
      <c r="A115" s="204"/>
      <c r="B115" s="205"/>
      <c r="C115" s="205"/>
      <c r="D115" s="205"/>
      <c r="E115" s="205"/>
      <c r="F115" s="204"/>
      <c r="G115" s="204"/>
      <c r="H115" s="204"/>
      <c r="I115" s="204" t="str">
        <f t="shared" si="20"/>
        <v/>
      </c>
      <c r="J115" s="204" t="str">
        <f t="shared" si="21"/>
        <v/>
      </c>
      <c r="K115" s="204" t="str">
        <f t="shared" si="22"/>
        <v/>
      </c>
      <c r="L115" s="204" t="str">
        <f t="shared" si="23"/>
        <v/>
      </c>
      <c r="M115" s="76" t="str">
        <f t="shared" si="24"/>
        <v/>
      </c>
      <c r="N115" s="206">
        <f t="shared" si="25"/>
        <v>0</v>
      </c>
      <c r="O115" s="206">
        <f t="shared" si="26"/>
        <v>0</v>
      </c>
      <c r="P115" s="206">
        <f t="shared" si="27"/>
        <v>0</v>
      </c>
      <c r="Q115" s="206">
        <f t="shared" si="28"/>
        <v>0</v>
      </c>
      <c r="X115" s="71" t="str">
        <f t="shared" si="14"/>
        <v/>
      </c>
      <c r="Y115">
        <f t="shared" si="15"/>
        <v>0</v>
      </c>
      <c r="Z115">
        <f t="shared" si="16"/>
        <v>0</v>
      </c>
      <c r="AA115">
        <f t="shared" si="17"/>
        <v>0</v>
      </c>
      <c r="AB115">
        <f t="shared" si="18"/>
        <v>0</v>
      </c>
      <c r="AC115" t="str">
        <f t="shared" si="19"/>
        <v/>
      </c>
      <c r="AD115" s="204">
        <f t="shared" si="29"/>
        <v>0</v>
      </c>
      <c r="AE115" s="204">
        <f t="shared" si="30"/>
        <v>0</v>
      </c>
      <c r="AF115" s="204">
        <f t="shared" si="31"/>
        <v>0</v>
      </c>
      <c r="AG115" s="204">
        <f t="shared" si="32"/>
        <v>0</v>
      </c>
    </row>
    <row r="116" spans="1:33" x14ac:dyDescent="0.3">
      <c r="A116" s="204"/>
      <c r="B116" s="205"/>
      <c r="C116" s="205"/>
      <c r="D116" s="205"/>
      <c r="E116" s="205"/>
      <c r="F116" s="204"/>
      <c r="G116" s="204"/>
      <c r="H116" s="204"/>
      <c r="I116" s="204" t="str">
        <f t="shared" si="20"/>
        <v/>
      </c>
      <c r="J116" s="204" t="str">
        <f t="shared" si="21"/>
        <v/>
      </c>
      <c r="K116" s="204" t="str">
        <f t="shared" si="22"/>
        <v/>
      </c>
      <c r="L116" s="204" t="str">
        <f t="shared" si="23"/>
        <v/>
      </c>
      <c r="M116" s="76" t="str">
        <f t="shared" si="24"/>
        <v/>
      </c>
      <c r="N116" s="206">
        <f t="shared" si="25"/>
        <v>0</v>
      </c>
      <c r="O116" s="206">
        <f t="shared" si="26"/>
        <v>0</v>
      </c>
      <c r="P116" s="206">
        <f t="shared" si="27"/>
        <v>0</v>
      </c>
      <c r="Q116" s="206">
        <f t="shared" si="28"/>
        <v>0</v>
      </c>
      <c r="X116" s="71" t="str">
        <f t="shared" si="14"/>
        <v/>
      </c>
      <c r="Y116">
        <f t="shared" si="15"/>
        <v>0</v>
      </c>
      <c r="Z116">
        <f t="shared" si="16"/>
        <v>0</v>
      </c>
      <c r="AA116">
        <f t="shared" si="17"/>
        <v>0</v>
      </c>
      <c r="AB116">
        <f t="shared" si="18"/>
        <v>0</v>
      </c>
      <c r="AC116" t="str">
        <f t="shared" si="19"/>
        <v/>
      </c>
      <c r="AD116" s="204">
        <f t="shared" si="29"/>
        <v>0</v>
      </c>
      <c r="AE116" s="204">
        <f t="shared" si="30"/>
        <v>0</v>
      </c>
      <c r="AF116" s="204">
        <f t="shared" si="31"/>
        <v>0</v>
      </c>
      <c r="AG116" s="204">
        <f t="shared" si="32"/>
        <v>0</v>
      </c>
    </row>
    <row r="117" spans="1:33" x14ac:dyDescent="0.3">
      <c r="A117" s="204"/>
      <c r="B117" s="205"/>
      <c r="C117" s="205"/>
      <c r="D117" s="205"/>
      <c r="E117" s="205"/>
      <c r="F117" s="204"/>
      <c r="G117" s="204"/>
      <c r="H117" s="204"/>
      <c r="I117" s="204" t="str">
        <f t="shared" si="20"/>
        <v/>
      </c>
      <c r="J117" s="204" t="str">
        <f t="shared" si="21"/>
        <v/>
      </c>
      <c r="K117" s="204" t="str">
        <f t="shared" si="22"/>
        <v/>
      </c>
      <c r="L117" s="204" t="str">
        <f t="shared" si="23"/>
        <v/>
      </c>
      <c r="M117" s="76" t="str">
        <f t="shared" si="24"/>
        <v/>
      </c>
      <c r="N117" s="206">
        <f t="shared" si="25"/>
        <v>0</v>
      </c>
      <c r="O117" s="206">
        <f t="shared" si="26"/>
        <v>0</v>
      </c>
      <c r="P117" s="206">
        <f t="shared" si="27"/>
        <v>0</v>
      </c>
      <c r="Q117" s="206">
        <f t="shared" si="28"/>
        <v>0</v>
      </c>
      <c r="X117" s="71" t="str">
        <f t="shared" si="14"/>
        <v/>
      </c>
      <c r="Y117">
        <f t="shared" si="15"/>
        <v>0</v>
      </c>
      <c r="Z117">
        <f t="shared" si="16"/>
        <v>0</v>
      </c>
      <c r="AA117">
        <f t="shared" si="17"/>
        <v>0</v>
      </c>
      <c r="AB117">
        <f t="shared" si="18"/>
        <v>0</v>
      </c>
      <c r="AC117" t="str">
        <f t="shared" si="19"/>
        <v/>
      </c>
      <c r="AD117" s="204">
        <f t="shared" si="29"/>
        <v>0</v>
      </c>
      <c r="AE117" s="204">
        <f t="shared" si="30"/>
        <v>0</v>
      </c>
      <c r="AF117" s="204">
        <f t="shared" si="31"/>
        <v>0</v>
      </c>
      <c r="AG117" s="204">
        <f t="shared" si="32"/>
        <v>0</v>
      </c>
    </row>
    <row r="118" spans="1:33" x14ac:dyDescent="0.3">
      <c r="A118" s="204"/>
      <c r="B118" s="205"/>
      <c r="C118" s="205"/>
      <c r="D118" s="205"/>
      <c r="E118" s="205"/>
      <c r="F118" s="204"/>
      <c r="G118" s="204"/>
      <c r="H118" s="204"/>
      <c r="I118" s="204" t="str">
        <f t="shared" si="20"/>
        <v/>
      </c>
      <c r="J118" s="204" t="str">
        <f t="shared" si="21"/>
        <v/>
      </c>
      <c r="K118" s="204" t="str">
        <f t="shared" si="22"/>
        <v/>
      </c>
      <c r="L118" s="204" t="str">
        <f t="shared" si="23"/>
        <v/>
      </c>
      <c r="M118" s="76" t="str">
        <f t="shared" si="24"/>
        <v/>
      </c>
      <c r="N118" s="206">
        <f t="shared" si="25"/>
        <v>0</v>
      </c>
      <c r="O118" s="206">
        <f t="shared" si="26"/>
        <v>0</v>
      </c>
      <c r="P118" s="206">
        <f t="shared" si="27"/>
        <v>0</v>
      </c>
      <c r="Q118" s="206">
        <f t="shared" si="28"/>
        <v>0</v>
      </c>
      <c r="X118" s="71" t="str">
        <f t="shared" si="14"/>
        <v/>
      </c>
      <c r="Y118">
        <f t="shared" si="15"/>
        <v>0</v>
      </c>
      <c r="Z118">
        <f t="shared" si="16"/>
        <v>0</v>
      </c>
      <c r="AA118">
        <f t="shared" si="17"/>
        <v>0</v>
      </c>
      <c r="AB118">
        <f t="shared" si="18"/>
        <v>0</v>
      </c>
      <c r="AC118" t="str">
        <f t="shared" si="19"/>
        <v/>
      </c>
      <c r="AD118" s="204">
        <f t="shared" si="29"/>
        <v>0</v>
      </c>
      <c r="AE118" s="204">
        <f t="shared" si="30"/>
        <v>0</v>
      </c>
      <c r="AF118" s="204">
        <f t="shared" si="31"/>
        <v>0</v>
      </c>
      <c r="AG118" s="204">
        <f t="shared" si="32"/>
        <v>0</v>
      </c>
    </row>
    <row r="119" spans="1:33" x14ac:dyDescent="0.3">
      <c r="A119" s="204"/>
      <c r="B119" s="205"/>
      <c r="C119" s="205"/>
      <c r="D119" s="205"/>
      <c r="E119" s="205"/>
      <c r="F119" s="204"/>
      <c r="G119" s="204"/>
      <c r="H119" s="204"/>
      <c r="I119" s="204" t="str">
        <f t="shared" si="20"/>
        <v/>
      </c>
      <c r="J119" s="204" t="str">
        <f t="shared" si="21"/>
        <v/>
      </c>
      <c r="K119" s="204" t="str">
        <f t="shared" si="22"/>
        <v/>
      </c>
      <c r="L119" s="204" t="str">
        <f t="shared" si="23"/>
        <v/>
      </c>
      <c r="M119" s="76" t="str">
        <f t="shared" si="24"/>
        <v/>
      </c>
      <c r="N119" s="206">
        <f t="shared" si="25"/>
        <v>0</v>
      </c>
      <c r="O119" s="206">
        <f t="shared" si="26"/>
        <v>0</v>
      </c>
      <c r="P119" s="206">
        <f t="shared" si="27"/>
        <v>0</v>
      </c>
      <c r="Q119" s="206">
        <f t="shared" si="28"/>
        <v>0</v>
      </c>
      <c r="X119" s="71" t="str">
        <f t="shared" si="14"/>
        <v/>
      </c>
      <c r="Y119">
        <f t="shared" si="15"/>
        <v>0</v>
      </c>
      <c r="Z119">
        <f t="shared" si="16"/>
        <v>0</v>
      </c>
      <c r="AA119">
        <f t="shared" si="17"/>
        <v>0</v>
      </c>
      <c r="AB119">
        <f t="shared" si="18"/>
        <v>0</v>
      </c>
      <c r="AC119" t="str">
        <f t="shared" si="19"/>
        <v/>
      </c>
      <c r="AD119" s="204">
        <f t="shared" si="29"/>
        <v>0</v>
      </c>
      <c r="AE119" s="204">
        <f t="shared" si="30"/>
        <v>0</v>
      </c>
      <c r="AF119" s="204">
        <f t="shared" si="31"/>
        <v>0</v>
      </c>
      <c r="AG119" s="204">
        <f t="shared" si="32"/>
        <v>0</v>
      </c>
    </row>
    <row r="120" spans="1:33" x14ac:dyDescent="0.3">
      <c r="A120" s="204"/>
      <c r="B120" s="205"/>
      <c r="C120" s="205"/>
      <c r="D120" s="205"/>
      <c r="E120" s="205"/>
      <c r="F120" s="204"/>
      <c r="G120" s="204"/>
      <c r="H120" s="204"/>
      <c r="I120" s="204" t="str">
        <f t="shared" si="20"/>
        <v/>
      </c>
      <c r="J120" s="204" t="str">
        <f t="shared" si="21"/>
        <v/>
      </c>
      <c r="K120" s="204" t="str">
        <f t="shared" si="22"/>
        <v/>
      </c>
      <c r="L120" s="204" t="str">
        <f t="shared" si="23"/>
        <v/>
      </c>
      <c r="M120" s="76" t="str">
        <f t="shared" si="24"/>
        <v/>
      </c>
      <c r="N120" s="206">
        <f t="shared" si="25"/>
        <v>0</v>
      </c>
      <c r="O120" s="206">
        <f t="shared" si="26"/>
        <v>0</v>
      </c>
      <c r="P120" s="206">
        <f t="shared" si="27"/>
        <v>0</v>
      </c>
      <c r="Q120" s="206">
        <f t="shared" si="28"/>
        <v>0</v>
      </c>
      <c r="X120" s="71" t="str">
        <f t="shared" si="14"/>
        <v/>
      </c>
      <c r="Y120">
        <f t="shared" si="15"/>
        <v>0</v>
      </c>
      <c r="Z120">
        <f t="shared" si="16"/>
        <v>0</v>
      </c>
      <c r="AA120">
        <f t="shared" si="17"/>
        <v>0</v>
      </c>
      <c r="AB120">
        <f t="shared" si="18"/>
        <v>0</v>
      </c>
      <c r="AC120" t="str">
        <f t="shared" si="19"/>
        <v/>
      </c>
      <c r="AD120" s="204">
        <f t="shared" si="29"/>
        <v>0</v>
      </c>
      <c r="AE120" s="204">
        <f t="shared" si="30"/>
        <v>0</v>
      </c>
      <c r="AF120" s="204">
        <f t="shared" si="31"/>
        <v>0</v>
      </c>
      <c r="AG120" s="204">
        <f t="shared" si="32"/>
        <v>0</v>
      </c>
    </row>
    <row r="121" spans="1:33" x14ac:dyDescent="0.3">
      <c r="A121" s="204"/>
      <c r="B121" s="205"/>
      <c r="C121" s="205"/>
      <c r="D121" s="205"/>
      <c r="E121" s="205"/>
      <c r="F121" s="204"/>
      <c r="G121" s="204"/>
      <c r="H121" s="204"/>
      <c r="I121" s="204" t="str">
        <f t="shared" si="20"/>
        <v/>
      </c>
      <c r="J121" s="204" t="str">
        <f t="shared" si="21"/>
        <v/>
      </c>
      <c r="K121" s="204" t="str">
        <f t="shared" si="22"/>
        <v/>
      </c>
      <c r="L121" s="204" t="str">
        <f t="shared" si="23"/>
        <v/>
      </c>
      <c r="M121" s="76" t="str">
        <f t="shared" si="24"/>
        <v/>
      </c>
      <c r="N121" s="206">
        <f t="shared" si="25"/>
        <v>0</v>
      </c>
      <c r="O121" s="206">
        <f t="shared" si="26"/>
        <v>0</v>
      </c>
      <c r="P121" s="206">
        <f t="shared" si="27"/>
        <v>0</v>
      </c>
      <c r="Q121" s="206">
        <f t="shared" si="28"/>
        <v>0</v>
      </c>
      <c r="X121" s="71" t="str">
        <f t="shared" si="14"/>
        <v/>
      </c>
      <c r="Y121">
        <f t="shared" si="15"/>
        <v>0</v>
      </c>
      <c r="Z121">
        <f t="shared" si="16"/>
        <v>0</v>
      </c>
      <c r="AA121">
        <f t="shared" si="17"/>
        <v>0</v>
      </c>
      <c r="AB121">
        <f t="shared" si="18"/>
        <v>0</v>
      </c>
      <c r="AC121" t="str">
        <f t="shared" si="19"/>
        <v/>
      </c>
      <c r="AD121" s="204">
        <f t="shared" si="29"/>
        <v>0</v>
      </c>
      <c r="AE121" s="204">
        <f t="shared" si="30"/>
        <v>0</v>
      </c>
      <c r="AF121" s="204">
        <f t="shared" si="31"/>
        <v>0</v>
      </c>
      <c r="AG121" s="204">
        <f t="shared" si="32"/>
        <v>0</v>
      </c>
    </row>
    <row r="122" spans="1:33" x14ac:dyDescent="0.3">
      <c r="A122" s="204"/>
      <c r="B122" s="205"/>
      <c r="C122" s="205"/>
      <c r="D122" s="205"/>
      <c r="E122" s="205"/>
      <c r="F122" s="204"/>
      <c r="G122" s="204"/>
      <c r="H122" s="204"/>
      <c r="I122" s="204" t="str">
        <f t="shared" si="20"/>
        <v/>
      </c>
      <c r="J122" s="204" t="str">
        <f t="shared" si="21"/>
        <v/>
      </c>
      <c r="K122" s="204" t="str">
        <f t="shared" si="22"/>
        <v/>
      </c>
      <c r="L122" s="204" t="str">
        <f t="shared" si="23"/>
        <v/>
      </c>
      <c r="M122" s="76" t="str">
        <f t="shared" si="24"/>
        <v/>
      </c>
      <c r="N122" s="206">
        <f t="shared" si="25"/>
        <v>0</v>
      </c>
      <c r="O122" s="206">
        <f t="shared" si="26"/>
        <v>0</v>
      </c>
      <c r="P122" s="206">
        <f t="shared" si="27"/>
        <v>0</v>
      </c>
      <c r="Q122" s="206">
        <f t="shared" si="28"/>
        <v>0</v>
      </c>
      <c r="X122" s="71" t="str">
        <f t="shared" si="14"/>
        <v/>
      </c>
      <c r="Y122">
        <f t="shared" si="15"/>
        <v>0</v>
      </c>
      <c r="Z122">
        <f t="shared" si="16"/>
        <v>0</v>
      </c>
      <c r="AA122">
        <f t="shared" si="17"/>
        <v>0</v>
      </c>
      <c r="AB122">
        <f t="shared" si="18"/>
        <v>0</v>
      </c>
      <c r="AC122" t="str">
        <f t="shared" si="19"/>
        <v/>
      </c>
      <c r="AD122" s="204">
        <f t="shared" si="29"/>
        <v>0</v>
      </c>
      <c r="AE122" s="204">
        <f t="shared" si="30"/>
        <v>0</v>
      </c>
      <c r="AF122" s="204">
        <f t="shared" si="31"/>
        <v>0</v>
      </c>
      <c r="AG122" s="204">
        <f t="shared" si="32"/>
        <v>0</v>
      </c>
    </row>
    <row r="123" spans="1:33" x14ac:dyDescent="0.3">
      <c r="A123" s="204"/>
      <c r="B123" s="205"/>
      <c r="C123" s="205"/>
      <c r="D123" s="205"/>
      <c r="E123" s="205"/>
      <c r="F123" s="204"/>
      <c r="G123" s="204"/>
      <c r="H123" s="204"/>
      <c r="I123" s="204" t="str">
        <f t="shared" si="20"/>
        <v/>
      </c>
      <c r="J123" s="204" t="str">
        <f t="shared" si="21"/>
        <v/>
      </c>
      <c r="K123" s="204" t="str">
        <f t="shared" si="22"/>
        <v/>
      </c>
      <c r="L123" s="204" t="str">
        <f t="shared" si="23"/>
        <v/>
      </c>
      <c r="M123" s="76" t="str">
        <f t="shared" si="24"/>
        <v/>
      </c>
      <c r="N123" s="206">
        <f t="shared" si="25"/>
        <v>0</v>
      </c>
      <c r="O123" s="206">
        <f t="shared" si="26"/>
        <v>0</v>
      </c>
      <c r="P123" s="206">
        <f t="shared" si="27"/>
        <v>0</v>
      </c>
      <c r="Q123" s="206">
        <f t="shared" si="28"/>
        <v>0</v>
      </c>
      <c r="X123" s="71" t="str">
        <f t="shared" si="14"/>
        <v/>
      </c>
      <c r="Y123">
        <f t="shared" si="15"/>
        <v>0</v>
      </c>
      <c r="Z123">
        <f t="shared" si="16"/>
        <v>0</v>
      </c>
      <c r="AA123">
        <f t="shared" si="17"/>
        <v>0</v>
      </c>
      <c r="AB123">
        <f t="shared" si="18"/>
        <v>0</v>
      </c>
      <c r="AC123" t="str">
        <f t="shared" si="19"/>
        <v/>
      </c>
      <c r="AD123" s="204">
        <f t="shared" si="29"/>
        <v>0</v>
      </c>
      <c r="AE123" s="204">
        <f t="shared" si="30"/>
        <v>0</v>
      </c>
      <c r="AF123" s="204">
        <f t="shared" si="31"/>
        <v>0</v>
      </c>
      <c r="AG123" s="204">
        <f t="shared" si="32"/>
        <v>0</v>
      </c>
    </row>
    <row r="124" spans="1:33" x14ac:dyDescent="0.3">
      <c r="A124" s="204"/>
      <c r="B124" s="205"/>
      <c r="C124" s="205"/>
      <c r="D124" s="205"/>
      <c r="E124" s="205"/>
      <c r="F124" s="204"/>
      <c r="G124" s="204"/>
      <c r="H124" s="204"/>
      <c r="I124" s="204" t="str">
        <f t="shared" si="20"/>
        <v/>
      </c>
      <c r="J124" s="204" t="str">
        <f t="shared" si="21"/>
        <v/>
      </c>
      <c r="K124" s="204" t="str">
        <f t="shared" si="22"/>
        <v/>
      </c>
      <c r="L124" s="204" t="str">
        <f t="shared" si="23"/>
        <v/>
      </c>
      <c r="M124" s="76" t="str">
        <f t="shared" si="24"/>
        <v/>
      </c>
      <c r="N124" s="206">
        <f t="shared" si="25"/>
        <v>0</v>
      </c>
      <c r="O124" s="206">
        <f t="shared" si="26"/>
        <v>0</v>
      </c>
      <c r="P124" s="206">
        <f t="shared" si="27"/>
        <v>0</v>
      </c>
      <c r="Q124" s="206">
        <f t="shared" si="28"/>
        <v>0</v>
      </c>
      <c r="X124" s="71" t="str">
        <f t="shared" si="14"/>
        <v/>
      </c>
      <c r="Y124">
        <f t="shared" si="15"/>
        <v>0</v>
      </c>
      <c r="Z124">
        <f t="shared" si="16"/>
        <v>0</v>
      </c>
      <c r="AA124">
        <f t="shared" si="17"/>
        <v>0</v>
      </c>
      <c r="AB124">
        <f t="shared" si="18"/>
        <v>0</v>
      </c>
      <c r="AC124" t="str">
        <f t="shared" si="19"/>
        <v/>
      </c>
      <c r="AD124" s="204">
        <f t="shared" si="29"/>
        <v>0</v>
      </c>
      <c r="AE124" s="204">
        <f t="shared" si="30"/>
        <v>0</v>
      </c>
      <c r="AF124" s="204">
        <f t="shared" si="31"/>
        <v>0</v>
      </c>
      <c r="AG124" s="204">
        <f t="shared" si="32"/>
        <v>0</v>
      </c>
    </row>
    <row r="125" spans="1:33" x14ac:dyDescent="0.3">
      <c r="A125" s="204"/>
      <c r="B125" s="205"/>
      <c r="C125" s="205"/>
      <c r="D125" s="205"/>
      <c r="E125" s="205"/>
      <c r="F125" s="204"/>
      <c r="G125" s="204"/>
      <c r="H125" s="204"/>
      <c r="I125" s="204" t="str">
        <f t="shared" si="20"/>
        <v/>
      </c>
      <c r="J125" s="204" t="str">
        <f t="shared" si="21"/>
        <v/>
      </c>
      <c r="K125" s="204" t="str">
        <f t="shared" si="22"/>
        <v/>
      </c>
      <c r="L125" s="204" t="str">
        <f t="shared" si="23"/>
        <v/>
      </c>
      <c r="M125" s="76" t="str">
        <f t="shared" si="24"/>
        <v/>
      </c>
      <c r="N125" s="206">
        <f t="shared" si="25"/>
        <v>0</v>
      </c>
      <c r="O125" s="206">
        <f t="shared" si="26"/>
        <v>0</v>
      </c>
      <c r="P125" s="206">
        <f t="shared" si="27"/>
        <v>0</v>
      </c>
      <c r="Q125" s="206">
        <f t="shared" si="28"/>
        <v>0</v>
      </c>
      <c r="X125" s="71" t="str">
        <f t="shared" si="14"/>
        <v/>
      </c>
      <c r="Y125">
        <f t="shared" si="15"/>
        <v>0</v>
      </c>
      <c r="Z125">
        <f t="shared" si="16"/>
        <v>0</v>
      </c>
      <c r="AA125">
        <f t="shared" si="17"/>
        <v>0</v>
      </c>
      <c r="AB125">
        <f t="shared" si="18"/>
        <v>0</v>
      </c>
      <c r="AC125" t="str">
        <f t="shared" si="19"/>
        <v/>
      </c>
      <c r="AD125" s="204">
        <f t="shared" si="29"/>
        <v>0</v>
      </c>
      <c r="AE125" s="204">
        <f t="shared" si="30"/>
        <v>0</v>
      </c>
      <c r="AF125" s="204">
        <f t="shared" si="31"/>
        <v>0</v>
      </c>
      <c r="AG125" s="204">
        <f t="shared" si="32"/>
        <v>0</v>
      </c>
    </row>
    <row r="126" spans="1:33" x14ac:dyDescent="0.3">
      <c r="A126" s="204"/>
      <c r="B126" s="205"/>
      <c r="C126" s="205"/>
      <c r="D126" s="205"/>
      <c r="E126" s="205"/>
      <c r="F126" s="204"/>
      <c r="G126" s="204"/>
      <c r="H126" s="204"/>
      <c r="I126" s="204" t="str">
        <f t="shared" si="20"/>
        <v/>
      </c>
      <c r="J126" s="204" t="str">
        <f t="shared" si="21"/>
        <v/>
      </c>
      <c r="K126" s="204" t="str">
        <f t="shared" si="22"/>
        <v/>
      </c>
      <c r="L126" s="204" t="str">
        <f t="shared" si="23"/>
        <v/>
      </c>
      <c r="M126" s="76" t="str">
        <f t="shared" si="24"/>
        <v/>
      </c>
      <c r="N126" s="206">
        <f t="shared" si="25"/>
        <v>0</v>
      </c>
      <c r="O126" s="206">
        <f t="shared" si="26"/>
        <v>0</v>
      </c>
      <c r="P126" s="206">
        <f t="shared" si="27"/>
        <v>0</v>
      </c>
      <c r="Q126" s="206">
        <f t="shared" si="28"/>
        <v>0</v>
      </c>
      <c r="X126" s="71" t="str">
        <f t="shared" si="14"/>
        <v/>
      </c>
      <c r="Y126">
        <f t="shared" si="15"/>
        <v>0</v>
      </c>
      <c r="Z126">
        <f t="shared" si="16"/>
        <v>0</v>
      </c>
      <c r="AA126">
        <f t="shared" si="17"/>
        <v>0</v>
      </c>
      <c r="AB126">
        <f t="shared" si="18"/>
        <v>0</v>
      </c>
      <c r="AC126" t="str">
        <f t="shared" si="19"/>
        <v/>
      </c>
      <c r="AD126" s="204">
        <f t="shared" si="29"/>
        <v>0</v>
      </c>
      <c r="AE126" s="204">
        <f t="shared" si="30"/>
        <v>0</v>
      </c>
      <c r="AF126" s="204">
        <f t="shared" si="31"/>
        <v>0</v>
      </c>
      <c r="AG126" s="204">
        <f t="shared" si="32"/>
        <v>0</v>
      </c>
    </row>
    <row r="127" spans="1:33" x14ac:dyDescent="0.3">
      <c r="A127" s="204"/>
      <c r="B127" s="205"/>
      <c r="C127" s="205"/>
      <c r="D127" s="205"/>
      <c r="E127" s="205"/>
      <c r="F127" s="204"/>
      <c r="G127" s="204"/>
      <c r="H127" s="204"/>
      <c r="I127" s="204" t="str">
        <f t="shared" si="20"/>
        <v/>
      </c>
      <c r="J127" s="204" t="str">
        <f t="shared" si="21"/>
        <v/>
      </c>
      <c r="K127" s="204" t="str">
        <f t="shared" si="22"/>
        <v/>
      </c>
      <c r="L127" s="204" t="str">
        <f t="shared" si="23"/>
        <v/>
      </c>
      <c r="M127" s="76" t="str">
        <f t="shared" si="24"/>
        <v/>
      </c>
      <c r="N127" s="206">
        <f t="shared" si="25"/>
        <v>0</v>
      </c>
      <c r="O127" s="206">
        <f t="shared" si="26"/>
        <v>0</v>
      </c>
      <c r="P127" s="206">
        <f t="shared" si="27"/>
        <v>0</v>
      </c>
      <c r="Q127" s="206">
        <f t="shared" si="28"/>
        <v>0</v>
      </c>
      <c r="X127" s="71" t="str">
        <f t="shared" si="14"/>
        <v/>
      </c>
      <c r="Y127">
        <f t="shared" si="15"/>
        <v>0</v>
      </c>
      <c r="Z127">
        <f t="shared" si="16"/>
        <v>0</v>
      </c>
      <c r="AA127">
        <f t="shared" si="17"/>
        <v>0</v>
      </c>
      <c r="AB127">
        <f t="shared" si="18"/>
        <v>0</v>
      </c>
      <c r="AC127" t="str">
        <f t="shared" si="19"/>
        <v/>
      </c>
      <c r="AD127" s="204">
        <f t="shared" si="29"/>
        <v>0</v>
      </c>
      <c r="AE127" s="204">
        <f t="shared" si="30"/>
        <v>0</v>
      </c>
      <c r="AF127" s="204">
        <f t="shared" si="31"/>
        <v>0</v>
      </c>
      <c r="AG127" s="204">
        <f t="shared" si="32"/>
        <v>0</v>
      </c>
    </row>
    <row r="128" spans="1:33" x14ac:dyDescent="0.3">
      <c r="A128" s="204"/>
      <c r="B128" s="205"/>
      <c r="C128" s="205"/>
      <c r="D128" s="205"/>
      <c r="E128" s="205"/>
      <c r="F128" s="204"/>
      <c r="G128" s="204"/>
      <c r="H128" s="204"/>
      <c r="I128" s="204" t="str">
        <f t="shared" si="20"/>
        <v/>
      </c>
      <c r="J128" s="204" t="str">
        <f t="shared" si="21"/>
        <v/>
      </c>
      <c r="K128" s="204" t="str">
        <f t="shared" si="22"/>
        <v/>
      </c>
      <c r="L128" s="204" t="str">
        <f t="shared" si="23"/>
        <v/>
      </c>
      <c r="M128" s="76" t="str">
        <f t="shared" si="24"/>
        <v/>
      </c>
      <c r="N128" s="206">
        <f t="shared" si="25"/>
        <v>0</v>
      </c>
      <c r="O128" s="206">
        <f t="shared" si="26"/>
        <v>0</v>
      </c>
      <c r="P128" s="206">
        <f t="shared" si="27"/>
        <v>0</v>
      </c>
      <c r="Q128" s="206">
        <f t="shared" si="28"/>
        <v>0</v>
      </c>
      <c r="X128" s="71" t="str">
        <f t="shared" si="14"/>
        <v/>
      </c>
      <c r="Y128">
        <f t="shared" si="15"/>
        <v>0</v>
      </c>
      <c r="Z128">
        <f t="shared" si="16"/>
        <v>0</v>
      </c>
      <c r="AA128">
        <f t="shared" si="17"/>
        <v>0</v>
      </c>
      <c r="AB128">
        <f t="shared" si="18"/>
        <v>0</v>
      </c>
      <c r="AC128" t="str">
        <f t="shared" si="19"/>
        <v/>
      </c>
      <c r="AD128" s="204">
        <f t="shared" si="29"/>
        <v>0</v>
      </c>
      <c r="AE128" s="204">
        <f t="shared" si="30"/>
        <v>0</v>
      </c>
      <c r="AF128" s="204">
        <f t="shared" si="31"/>
        <v>0</v>
      </c>
      <c r="AG128" s="204">
        <f t="shared" si="32"/>
        <v>0</v>
      </c>
    </row>
    <row r="129" spans="1:33" x14ac:dyDescent="0.3">
      <c r="A129" s="204"/>
      <c r="B129" s="205"/>
      <c r="C129" s="205"/>
      <c r="D129" s="205"/>
      <c r="E129" s="205"/>
      <c r="F129" s="204"/>
      <c r="G129" s="204"/>
      <c r="H129" s="204"/>
      <c r="I129" s="204" t="str">
        <f t="shared" si="20"/>
        <v/>
      </c>
      <c r="J129" s="204" t="str">
        <f t="shared" si="21"/>
        <v/>
      </c>
      <c r="K129" s="204" t="str">
        <f t="shared" si="22"/>
        <v/>
      </c>
      <c r="L129" s="204" t="str">
        <f t="shared" si="23"/>
        <v/>
      </c>
      <c r="M129" s="76" t="str">
        <f t="shared" si="24"/>
        <v/>
      </c>
      <c r="N129" s="206">
        <f t="shared" si="25"/>
        <v>0</v>
      </c>
      <c r="O129" s="206">
        <f t="shared" si="26"/>
        <v>0</v>
      </c>
      <c r="P129" s="206">
        <f t="shared" si="27"/>
        <v>0</v>
      </c>
      <c r="Q129" s="206">
        <f t="shared" si="28"/>
        <v>0</v>
      </c>
      <c r="X129" s="71" t="str">
        <f t="shared" si="14"/>
        <v/>
      </c>
      <c r="Y129">
        <f t="shared" si="15"/>
        <v>0</v>
      </c>
      <c r="Z129">
        <f t="shared" si="16"/>
        <v>0</v>
      </c>
      <c r="AA129">
        <f t="shared" si="17"/>
        <v>0</v>
      </c>
      <c r="AB129">
        <f t="shared" si="18"/>
        <v>0</v>
      </c>
      <c r="AC129" t="str">
        <f t="shared" si="19"/>
        <v/>
      </c>
      <c r="AD129" s="204">
        <f t="shared" si="29"/>
        <v>0</v>
      </c>
      <c r="AE129" s="204">
        <f t="shared" si="30"/>
        <v>0</v>
      </c>
      <c r="AF129" s="204">
        <f t="shared" si="31"/>
        <v>0</v>
      </c>
      <c r="AG129" s="204">
        <f t="shared" si="32"/>
        <v>0</v>
      </c>
    </row>
    <row r="130" spans="1:33" x14ac:dyDescent="0.3">
      <c r="A130" s="204" t="s">
        <v>1586</v>
      </c>
      <c r="B130" s="205"/>
      <c r="C130" s="205"/>
      <c r="D130" s="205"/>
      <c r="E130" s="205"/>
      <c r="F130" s="204"/>
      <c r="G130" s="204"/>
      <c r="H130" s="204"/>
      <c r="I130" s="204" t="str">
        <f t="shared" si="20"/>
        <v/>
      </c>
      <c r="J130" s="204" t="str">
        <f t="shared" si="21"/>
        <v/>
      </c>
      <c r="K130" s="204" t="str">
        <f t="shared" si="22"/>
        <v/>
      </c>
      <c r="L130" s="204" t="str">
        <f t="shared" si="23"/>
        <v/>
      </c>
      <c r="M130" s="76" t="str">
        <f t="shared" si="24"/>
        <v/>
      </c>
      <c r="N130" s="206">
        <f t="shared" si="25"/>
        <v>0</v>
      </c>
      <c r="O130" s="206">
        <f t="shared" si="26"/>
        <v>0</v>
      </c>
      <c r="P130" s="206">
        <f t="shared" si="27"/>
        <v>0</v>
      </c>
      <c r="Q130" s="206">
        <f t="shared" si="28"/>
        <v>0</v>
      </c>
      <c r="X130" s="71" t="str">
        <f t="shared" si="14"/>
        <v/>
      </c>
      <c r="Y130">
        <f t="shared" si="15"/>
        <v>0</v>
      </c>
      <c r="Z130">
        <f t="shared" si="16"/>
        <v>0</v>
      </c>
      <c r="AA130">
        <f t="shared" si="17"/>
        <v>0</v>
      </c>
      <c r="AB130">
        <f t="shared" si="18"/>
        <v>0</v>
      </c>
      <c r="AC130" t="str">
        <f t="shared" si="19"/>
        <v/>
      </c>
      <c r="AD130" s="204">
        <f t="shared" si="29"/>
        <v>0</v>
      </c>
      <c r="AE130" s="204">
        <f t="shared" si="30"/>
        <v>0</v>
      </c>
      <c r="AF130" s="204">
        <f t="shared" si="31"/>
        <v>0</v>
      </c>
      <c r="AG130" s="204">
        <f t="shared" si="32"/>
        <v>0</v>
      </c>
    </row>
    <row r="131" spans="1:33" x14ac:dyDescent="0.3">
      <c r="A131" s="204" t="s">
        <v>1548</v>
      </c>
      <c r="B131" s="205"/>
      <c r="C131" s="205"/>
      <c r="D131" s="205"/>
      <c r="E131" s="205"/>
      <c r="F131" s="204"/>
      <c r="G131" s="204"/>
      <c r="H131" s="204"/>
      <c r="I131" s="204" t="str">
        <f t="shared" si="20"/>
        <v/>
      </c>
      <c r="J131" s="204" t="str">
        <f t="shared" si="21"/>
        <v/>
      </c>
      <c r="K131" s="204" t="str">
        <f t="shared" si="22"/>
        <v/>
      </c>
      <c r="L131" s="204" t="str">
        <f t="shared" si="23"/>
        <v/>
      </c>
      <c r="M131" s="76" t="str">
        <f t="shared" si="24"/>
        <v/>
      </c>
      <c r="N131" s="206">
        <f t="shared" si="25"/>
        <v>0</v>
      </c>
      <c r="O131" s="206">
        <f t="shared" si="26"/>
        <v>0</v>
      </c>
      <c r="P131" s="206">
        <f t="shared" si="27"/>
        <v>0</v>
      </c>
      <c r="Q131" s="206">
        <f t="shared" si="28"/>
        <v>0</v>
      </c>
      <c r="X131" s="71" t="str">
        <f t="shared" ref="X131:X194" si="33">M131</f>
        <v/>
      </c>
      <c r="Y131">
        <f t="shared" ref="Y131:Y194" si="34">IFERROR(IF(A131&lt;&gt;"",IF(A132&lt;&gt;"",IF(FIND("Mode AM +Tarif actuel",A132),VALUE(LEFT(B131,LEN(B131)-2)),),0),0),0)-IFERROR(IF(A131&lt;&gt;"",IF(A132&lt;&gt;"",IF(FIND("Mode AM +Tarif actuel",A132),VALUE(LEFT(B132,LEN(B132)-2)),),0),0),0)</f>
        <v>0</v>
      </c>
      <c r="Z131">
        <f t="shared" ref="Z131:Z194" si="35">IFERROR(IF(A131&lt;&gt;"",IF(A132&lt;&gt;"",IF(FIND("Mode AM +Tarif actuel",A132),VALUE(LEFT(C131,LEN(C131)-2)),),0),0),0)-IFERROR(IF(A131&lt;&gt;"",IF(A132&lt;&gt;"",IF(FIND("Mode AM +Tarif actuel",A132),VALUE(LEFT(C132,LEN(C132)-2)),),0),0),0)</f>
        <v>0</v>
      </c>
      <c r="AA131">
        <f t="shared" ref="AA131:AA194" si="36">IFERROR(IF(A131&lt;&gt;"",IF(A132&lt;&gt;"",IF(FIND("Mode AM +Tarif actuel",A132),VALUE(LEFT(D131,LEN(D131)-2)),),0),0),0)-IFERROR(IF(A131&lt;&gt;"",IF(A132&lt;&gt;"",IF(FIND("Mode AM +Tarif actuel",A132),VALUE(LEFT(D132,LEN(D132)-2)),),0),0),0)</f>
        <v>0</v>
      </c>
      <c r="AB131">
        <f t="shared" ref="AB131:AB194" si="37">IFERROR(IF(A131&lt;&gt;"",IF(A132&lt;&gt;"",IF(FIND("Mode AM +Tarif actuel",A132),VALUE(LEFT(E131,LEN(E131)-2)),),0),0),0)-IFERROR(IF(A131&lt;&gt;"",IF(A132&lt;&gt;"",IF(FIND("Mode AM +Tarif actuel",A132),VALUE(LEFT(E132,LEN(E132)-2)),),0),0),0)</f>
        <v>0</v>
      </c>
      <c r="AC131" t="str">
        <f t="shared" ref="AC131:AC194" si="38">IF(SUM(Y131:AB131)&gt;0,"A revoir","")</f>
        <v/>
      </c>
      <c r="AD131" s="204">
        <f t="shared" si="29"/>
        <v>0</v>
      </c>
      <c r="AE131" s="204">
        <f t="shared" si="30"/>
        <v>0</v>
      </c>
      <c r="AF131" s="204">
        <f t="shared" si="31"/>
        <v>0</v>
      </c>
      <c r="AG131" s="204">
        <f t="shared" si="32"/>
        <v>0</v>
      </c>
    </row>
    <row r="132" spans="1:33" x14ac:dyDescent="0.3">
      <c r="A132" s="204" t="s">
        <v>406</v>
      </c>
      <c r="B132" s="205"/>
      <c r="C132" s="205"/>
      <c r="D132" s="205"/>
      <c r="E132" s="205"/>
      <c r="F132" s="204"/>
      <c r="G132" s="204"/>
      <c r="H132" s="204"/>
      <c r="I132" s="204" t="str">
        <f t="shared" si="20"/>
        <v/>
      </c>
      <c r="J132" s="204" t="str">
        <f t="shared" si="21"/>
        <v/>
      </c>
      <c r="K132" s="204" t="str">
        <f t="shared" si="22"/>
        <v/>
      </c>
      <c r="L132" s="204" t="str">
        <f t="shared" si="23"/>
        <v/>
      </c>
      <c r="M132" s="76" t="str">
        <f t="shared" si="24"/>
        <v/>
      </c>
      <c r="N132" s="206">
        <f t="shared" si="25"/>
        <v>0</v>
      </c>
      <c r="O132" s="206">
        <f t="shared" si="26"/>
        <v>0</v>
      </c>
      <c r="P132" s="206">
        <f t="shared" si="27"/>
        <v>0</v>
      </c>
      <c r="Q132" s="206">
        <f t="shared" si="28"/>
        <v>0</v>
      </c>
      <c r="X132" s="71" t="str">
        <f t="shared" si="33"/>
        <v/>
      </c>
      <c r="Y132">
        <f t="shared" si="34"/>
        <v>0</v>
      </c>
      <c r="Z132">
        <f t="shared" si="35"/>
        <v>0</v>
      </c>
      <c r="AA132">
        <f t="shared" si="36"/>
        <v>0</v>
      </c>
      <c r="AB132">
        <f t="shared" si="37"/>
        <v>0</v>
      </c>
      <c r="AC132" t="str">
        <f t="shared" si="38"/>
        <v/>
      </c>
      <c r="AD132" s="204">
        <f t="shared" si="29"/>
        <v>0</v>
      </c>
      <c r="AE132" s="204">
        <f t="shared" si="30"/>
        <v>0</v>
      </c>
      <c r="AF132" s="204">
        <f t="shared" si="31"/>
        <v>0</v>
      </c>
      <c r="AG132" s="204">
        <f t="shared" si="32"/>
        <v>0</v>
      </c>
    </row>
    <row r="133" spans="1:33" x14ac:dyDescent="0.3">
      <c r="A133" s="204" t="s">
        <v>407</v>
      </c>
      <c r="B133" s="205"/>
      <c r="C133" s="205"/>
      <c r="D133" s="205"/>
      <c r="E133" s="205"/>
      <c r="F133" s="204"/>
      <c r="G133" s="204"/>
      <c r="H133" s="204"/>
      <c r="I133" s="204" t="str">
        <f t="shared" ref="I133:I196" si="39">IF(G133="Détail",LEN(A133),"")</f>
        <v/>
      </c>
      <c r="J133" s="204" t="str">
        <f t="shared" ref="J133:J196" si="40">IF(I133="","",LEFT(A133,3))</f>
        <v/>
      </c>
      <c r="K133" s="204" t="str">
        <f t="shared" ref="K133:K196" si="41">IF(J133&lt;&gt;"",MID(A133,5,3),"")</f>
        <v/>
      </c>
      <c r="L133" s="204" t="str">
        <f t="shared" ref="L133:L196" si="42">IF(J133&lt;&gt;"",RIGHT(A133,2),"")</f>
        <v/>
      </c>
      <c r="M133" s="76" t="str">
        <f t="shared" ref="M133:M196" si="43">IF(J133&lt;&gt;"",CONCATENATE(J133,"/",K133),"")</f>
        <v/>
      </c>
      <c r="N133" s="206">
        <f t="shared" ref="N133:N196" si="44">IFERROR(IF(A133&lt;&gt;"",IF(A134&lt;&gt;"",IF(FIND("Mode AM +Tarif actuel",A134),VALUE(LEFT(B134,LEN(B134)-2)),),0),0),0)</f>
        <v>0</v>
      </c>
      <c r="O133" s="206">
        <f t="shared" ref="O133:O196" si="45">IFERROR(IF(A133&lt;&gt;"",IF(A134&lt;&gt;"",IF(FIND("Mode AM +Tarif actuel",A134),VALUE(LEFT(C134,LEN(C134)-2)),),0),0),0)</f>
        <v>0</v>
      </c>
      <c r="P133" s="206">
        <f t="shared" ref="P133:P196" si="46">IFERROR(IF(A133&lt;&gt;"",IF(A134&lt;&gt;"",IF(FIND("Mode AM +Tarif actuel",A134),VALUE(LEFT(D134,LEN(D134)-2)),),0),0),0)</f>
        <v>0</v>
      </c>
      <c r="Q133" s="206">
        <f t="shared" ref="Q133:Q196" si="47">IFERROR(IF(A133&lt;&gt;"",IF(A134&lt;&gt;"",IF(FIND("Mode AM +Tarif actuel",A134),VALUE(LEFT(E134,LEN(E134)-2)),),0),0),0)</f>
        <v>0</v>
      </c>
      <c r="X133" s="71" t="str">
        <f t="shared" si="33"/>
        <v/>
      </c>
      <c r="Y133">
        <f t="shared" si="34"/>
        <v>0</v>
      </c>
      <c r="Z133">
        <f t="shared" si="35"/>
        <v>0</v>
      </c>
      <c r="AA133">
        <f t="shared" si="36"/>
        <v>0</v>
      </c>
      <c r="AB133">
        <f t="shared" si="37"/>
        <v>0</v>
      </c>
      <c r="AC133" t="str">
        <f t="shared" si="38"/>
        <v/>
      </c>
      <c r="AD133" s="204">
        <f t="shared" si="29"/>
        <v>0</v>
      </c>
      <c r="AE133" s="204">
        <f t="shared" si="30"/>
        <v>0</v>
      </c>
      <c r="AF133" s="204">
        <f t="shared" si="31"/>
        <v>0</v>
      </c>
      <c r="AG133" s="204">
        <f t="shared" si="32"/>
        <v>0</v>
      </c>
    </row>
    <row r="134" spans="1:33" x14ac:dyDescent="0.3">
      <c r="A134" s="204" t="s">
        <v>408</v>
      </c>
      <c r="B134" s="205"/>
      <c r="C134" s="205"/>
      <c r="D134" s="205"/>
      <c r="E134" s="205"/>
      <c r="F134" s="204"/>
      <c r="G134" s="204"/>
      <c r="H134" s="204"/>
      <c r="I134" s="204" t="str">
        <f t="shared" si="39"/>
        <v/>
      </c>
      <c r="J134" s="204" t="str">
        <f t="shared" si="40"/>
        <v/>
      </c>
      <c r="K134" s="204" t="str">
        <f t="shared" si="41"/>
        <v/>
      </c>
      <c r="L134" s="204" t="str">
        <f t="shared" si="42"/>
        <v/>
      </c>
      <c r="M134" s="76" t="str">
        <f t="shared" si="43"/>
        <v/>
      </c>
      <c r="N134" s="206">
        <f t="shared" si="44"/>
        <v>0</v>
      </c>
      <c r="O134" s="206">
        <f t="shared" si="45"/>
        <v>0</v>
      </c>
      <c r="P134" s="206">
        <f t="shared" si="46"/>
        <v>0</v>
      </c>
      <c r="Q134" s="206">
        <f t="shared" si="47"/>
        <v>0</v>
      </c>
      <c r="X134" s="71" t="str">
        <f t="shared" si="33"/>
        <v/>
      </c>
      <c r="Y134">
        <f t="shared" si="34"/>
        <v>0</v>
      </c>
      <c r="Z134">
        <f t="shared" si="35"/>
        <v>0</v>
      </c>
      <c r="AA134">
        <f t="shared" si="36"/>
        <v>0</v>
      </c>
      <c r="AB134">
        <f t="shared" si="37"/>
        <v>0</v>
      </c>
      <c r="AC134" t="str">
        <f t="shared" si="38"/>
        <v/>
      </c>
      <c r="AD134" s="204">
        <f t="shared" si="29"/>
        <v>0</v>
      </c>
      <c r="AE134" s="204">
        <f t="shared" si="30"/>
        <v>0</v>
      </c>
      <c r="AF134" s="204">
        <f t="shared" si="31"/>
        <v>0</v>
      </c>
      <c r="AG134" s="204">
        <f t="shared" si="32"/>
        <v>0</v>
      </c>
    </row>
    <row r="135" spans="1:33" x14ac:dyDescent="0.3">
      <c r="A135" s="204" t="s">
        <v>409</v>
      </c>
      <c r="B135" s="205"/>
      <c r="C135" s="205"/>
      <c r="D135" s="205"/>
      <c r="E135" s="205"/>
      <c r="F135" s="204"/>
      <c r="G135" s="204"/>
      <c r="H135" s="204"/>
      <c r="I135" s="204" t="str">
        <f t="shared" si="39"/>
        <v/>
      </c>
      <c r="J135" s="204" t="str">
        <f t="shared" si="40"/>
        <v/>
      </c>
      <c r="K135" s="204" t="str">
        <f t="shared" si="41"/>
        <v/>
      </c>
      <c r="L135" s="204" t="str">
        <f t="shared" si="42"/>
        <v/>
      </c>
      <c r="M135" s="76" t="str">
        <f t="shared" si="43"/>
        <v/>
      </c>
      <c r="N135" s="206">
        <f t="shared" si="44"/>
        <v>0</v>
      </c>
      <c r="O135" s="206">
        <f t="shared" si="45"/>
        <v>0</v>
      </c>
      <c r="P135" s="206">
        <f t="shared" si="46"/>
        <v>0</v>
      </c>
      <c r="Q135" s="206">
        <f t="shared" si="47"/>
        <v>0</v>
      </c>
      <c r="X135" s="71" t="str">
        <f t="shared" si="33"/>
        <v/>
      </c>
      <c r="Y135">
        <f t="shared" si="34"/>
        <v>0</v>
      </c>
      <c r="Z135">
        <f t="shared" si="35"/>
        <v>0</v>
      </c>
      <c r="AA135">
        <f t="shared" si="36"/>
        <v>0</v>
      </c>
      <c r="AB135">
        <f t="shared" si="37"/>
        <v>0</v>
      </c>
      <c r="AC135" t="str">
        <f t="shared" si="38"/>
        <v/>
      </c>
      <c r="AD135" s="204">
        <f t="shared" si="29"/>
        <v>0</v>
      </c>
      <c r="AE135" s="204">
        <f t="shared" si="30"/>
        <v>0</v>
      </c>
      <c r="AF135" s="204">
        <f t="shared" si="31"/>
        <v>0</v>
      </c>
      <c r="AG135" s="204">
        <f t="shared" si="32"/>
        <v>0</v>
      </c>
    </row>
    <row r="136" spans="1:33" x14ac:dyDescent="0.3">
      <c r="A136" s="204" t="s">
        <v>410</v>
      </c>
      <c r="B136" s="205"/>
      <c r="C136" s="205"/>
      <c r="D136" s="205"/>
      <c r="E136" s="205"/>
      <c r="F136" s="204"/>
      <c r="G136" s="204"/>
      <c r="H136" s="204"/>
      <c r="I136" s="204" t="str">
        <f t="shared" si="39"/>
        <v/>
      </c>
      <c r="J136" s="204" t="str">
        <f t="shared" si="40"/>
        <v/>
      </c>
      <c r="K136" s="204" t="str">
        <f t="shared" si="41"/>
        <v/>
      </c>
      <c r="L136" s="204" t="str">
        <f t="shared" si="42"/>
        <v/>
      </c>
      <c r="M136" s="76" t="str">
        <f t="shared" si="43"/>
        <v/>
      </c>
      <c r="N136" s="206">
        <f t="shared" si="44"/>
        <v>0</v>
      </c>
      <c r="O136" s="206">
        <f t="shared" si="45"/>
        <v>0</v>
      </c>
      <c r="P136" s="206">
        <f t="shared" si="46"/>
        <v>0</v>
      </c>
      <c r="Q136" s="206">
        <f t="shared" si="47"/>
        <v>0</v>
      </c>
      <c r="X136" s="71" t="str">
        <f t="shared" si="33"/>
        <v/>
      </c>
      <c r="Y136">
        <f t="shared" si="34"/>
        <v>0</v>
      </c>
      <c r="Z136">
        <f t="shared" si="35"/>
        <v>0</v>
      </c>
      <c r="AA136">
        <f t="shared" si="36"/>
        <v>0</v>
      </c>
      <c r="AB136">
        <f t="shared" si="37"/>
        <v>0</v>
      </c>
      <c r="AC136" t="str">
        <f t="shared" si="38"/>
        <v/>
      </c>
      <c r="AD136" s="204">
        <f t="shared" si="29"/>
        <v>0</v>
      </c>
      <c r="AE136" s="204">
        <f t="shared" si="30"/>
        <v>0</v>
      </c>
      <c r="AF136" s="204">
        <f t="shared" si="31"/>
        <v>0</v>
      </c>
      <c r="AG136" s="204">
        <f t="shared" si="32"/>
        <v>0</v>
      </c>
    </row>
    <row r="137" spans="1:33" x14ac:dyDescent="0.3">
      <c r="A137" s="204" t="s">
        <v>411</v>
      </c>
      <c r="B137" s="205"/>
      <c r="C137" s="205"/>
      <c r="D137" s="205"/>
      <c r="E137" s="205"/>
      <c r="F137" s="204"/>
      <c r="G137" s="204"/>
      <c r="H137" s="204"/>
      <c r="I137" s="204" t="str">
        <f t="shared" si="39"/>
        <v/>
      </c>
      <c r="J137" s="204" t="str">
        <f t="shared" si="40"/>
        <v/>
      </c>
      <c r="K137" s="204" t="str">
        <f t="shared" si="41"/>
        <v/>
      </c>
      <c r="L137" s="204" t="str">
        <f t="shared" si="42"/>
        <v/>
      </c>
      <c r="M137" s="76" t="str">
        <f t="shared" si="43"/>
        <v/>
      </c>
      <c r="N137" s="206">
        <f t="shared" si="44"/>
        <v>0</v>
      </c>
      <c r="O137" s="206">
        <f t="shared" si="45"/>
        <v>0</v>
      </c>
      <c r="P137" s="206">
        <f t="shared" si="46"/>
        <v>0</v>
      </c>
      <c r="Q137" s="206">
        <f t="shared" si="47"/>
        <v>0</v>
      </c>
      <c r="X137" s="71" t="str">
        <f t="shared" si="33"/>
        <v/>
      </c>
      <c r="Y137">
        <f t="shared" si="34"/>
        <v>0</v>
      </c>
      <c r="Z137">
        <f t="shared" si="35"/>
        <v>0</v>
      </c>
      <c r="AA137">
        <f t="shared" si="36"/>
        <v>0</v>
      </c>
      <c r="AB137">
        <f t="shared" si="37"/>
        <v>0</v>
      </c>
      <c r="AC137" t="str">
        <f t="shared" si="38"/>
        <v/>
      </c>
      <c r="AD137" s="204">
        <f t="shared" si="29"/>
        <v>0</v>
      </c>
      <c r="AE137" s="204">
        <f t="shared" si="30"/>
        <v>0</v>
      </c>
      <c r="AF137" s="204">
        <f t="shared" si="31"/>
        <v>0</v>
      </c>
      <c r="AG137" s="204">
        <f t="shared" si="32"/>
        <v>0</v>
      </c>
    </row>
    <row r="138" spans="1:33" x14ac:dyDescent="0.3">
      <c r="A138" s="204" t="s">
        <v>412</v>
      </c>
      <c r="B138" s="205"/>
      <c r="C138" s="205"/>
      <c r="D138" s="205"/>
      <c r="E138" s="205"/>
      <c r="F138" s="204"/>
      <c r="G138" s="204"/>
      <c r="H138" s="204"/>
      <c r="I138" s="204" t="str">
        <f t="shared" si="39"/>
        <v/>
      </c>
      <c r="J138" s="204" t="str">
        <f t="shared" si="40"/>
        <v/>
      </c>
      <c r="K138" s="204" t="str">
        <f t="shared" si="41"/>
        <v/>
      </c>
      <c r="L138" s="204" t="str">
        <f t="shared" si="42"/>
        <v/>
      </c>
      <c r="M138" s="76" t="str">
        <f t="shared" si="43"/>
        <v/>
      </c>
      <c r="N138" s="206">
        <f t="shared" si="44"/>
        <v>0</v>
      </c>
      <c r="O138" s="206">
        <f t="shared" si="45"/>
        <v>0</v>
      </c>
      <c r="P138" s="206">
        <f t="shared" si="46"/>
        <v>0</v>
      </c>
      <c r="Q138" s="206">
        <f t="shared" si="47"/>
        <v>0</v>
      </c>
      <c r="X138" s="71" t="str">
        <f t="shared" si="33"/>
        <v/>
      </c>
      <c r="Y138">
        <f t="shared" si="34"/>
        <v>0</v>
      </c>
      <c r="Z138">
        <f t="shared" si="35"/>
        <v>0</v>
      </c>
      <c r="AA138">
        <f t="shared" si="36"/>
        <v>0</v>
      </c>
      <c r="AB138">
        <f t="shared" si="37"/>
        <v>0</v>
      </c>
      <c r="AC138" t="str">
        <f t="shared" si="38"/>
        <v/>
      </c>
      <c r="AD138" s="204">
        <f t="shared" si="29"/>
        <v>0</v>
      </c>
      <c r="AE138" s="204">
        <f t="shared" si="30"/>
        <v>0</v>
      </c>
      <c r="AF138" s="204">
        <f t="shared" si="31"/>
        <v>0</v>
      </c>
      <c r="AG138" s="204">
        <f t="shared" si="32"/>
        <v>0</v>
      </c>
    </row>
    <row r="139" spans="1:33" x14ac:dyDescent="0.3">
      <c r="A139" s="204" t="s">
        <v>405</v>
      </c>
      <c r="B139" s="205"/>
      <c r="C139" s="205"/>
      <c r="D139" s="205"/>
      <c r="E139" s="205"/>
      <c r="F139" s="204"/>
      <c r="G139" s="204"/>
      <c r="H139" s="204"/>
      <c r="I139" s="204" t="str">
        <f t="shared" si="39"/>
        <v/>
      </c>
      <c r="J139" s="204" t="str">
        <f t="shared" si="40"/>
        <v/>
      </c>
      <c r="K139" s="204" t="str">
        <f t="shared" si="41"/>
        <v/>
      </c>
      <c r="L139" s="204" t="str">
        <f t="shared" si="42"/>
        <v/>
      </c>
      <c r="M139" s="76" t="str">
        <f t="shared" si="43"/>
        <v/>
      </c>
      <c r="N139" s="206">
        <f t="shared" si="44"/>
        <v>0</v>
      </c>
      <c r="O139" s="206">
        <f t="shared" si="45"/>
        <v>0</v>
      </c>
      <c r="P139" s="206">
        <f t="shared" si="46"/>
        <v>0</v>
      </c>
      <c r="Q139" s="206">
        <f t="shared" si="47"/>
        <v>0</v>
      </c>
      <c r="X139" s="71" t="str">
        <f t="shared" si="33"/>
        <v/>
      </c>
      <c r="Y139">
        <f t="shared" si="34"/>
        <v>0</v>
      </c>
      <c r="Z139">
        <f t="shared" si="35"/>
        <v>0</v>
      </c>
      <c r="AA139">
        <f t="shared" si="36"/>
        <v>0</v>
      </c>
      <c r="AB139">
        <f t="shared" si="37"/>
        <v>0</v>
      </c>
      <c r="AC139" t="str">
        <f t="shared" si="38"/>
        <v/>
      </c>
      <c r="AD139" s="204">
        <f t="shared" ref="AD139:AD202" si="48">IFERROR(IF(A139&lt;&gt;"",IF(A140&lt;&gt;"",IF(FIND("Mode AM +Tarif actuel",A140),VALUE(LEFT(B139,LEN(B139)-2)),),0),0),0)</f>
        <v>0</v>
      </c>
      <c r="AE139" s="204">
        <f t="shared" ref="AE139:AE202" si="49">IFERROR(IF(A139&lt;&gt;"",IF(A140&lt;&gt;"",IF(FIND("Mode AM +Tarif actuel",A140),VALUE(LEFT(C139,LEN(C139)-2)),),0),0),0)</f>
        <v>0</v>
      </c>
      <c r="AF139" s="204">
        <f t="shared" ref="AF139:AF202" si="50">IFERROR(IF(A139&lt;&gt;"",IF(A140&lt;&gt;"",IF(FIND("Mode AM +Tarif actuel",A140),VALUE(LEFT(D139,LEN(D139)-2)),),0),0),0)</f>
        <v>0</v>
      </c>
      <c r="AG139" s="204">
        <f t="shared" ref="AG139:AG202" si="51">IFERROR(IF(A139&lt;&gt;"",IF(A140&lt;&gt;"",IF(FIND("Mode AM +Tarif actuel",A140),VALUE(LEFT(E139,LEN(E139)-2)),),0),0),0)</f>
        <v>0</v>
      </c>
    </row>
    <row r="140" spans="1:33" x14ac:dyDescent="0.3">
      <c r="A140" s="204" t="s">
        <v>413</v>
      </c>
      <c r="B140" s="205"/>
      <c r="C140" s="205"/>
      <c r="D140" s="205"/>
      <c r="E140" s="205"/>
      <c r="F140" s="204"/>
      <c r="G140" s="204"/>
      <c r="H140" s="204"/>
      <c r="I140" s="204" t="str">
        <f t="shared" si="39"/>
        <v/>
      </c>
      <c r="J140" s="204" t="str">
        <f t="shared" si="40"/>
        <v/>
      </c>
      <c r="K140" s="204" t="str">
        <f t="shared" si="41"/>
        <v/>
      </c>
      <c r="L140" s="204" t="str">
        <f t="shared" si="42"/>
        <v/>
      </c>
      <c r="M140" s="76" t="str">
        <f t="shared" si="43"/>
        <v/>
      </c>
      <c r="N140" s="206">
        <f t="shared" si="44"/>
        <v>0</v>
      </c>
      <c r="O140" s="206">
        <f t="shared" si="45"/>
        <v>0</v>
      </c>
      <c r="P140" s="206">
        <f t="shared" si="46"/>
        <v>0</v>
      </c>
      <c r="Q140" s="206">
        <f t="shared" si="47"/>
        <v>0</v>
      </c>
      <c r="X140" s="71" t="str">
        <f t="shared" si="33"/>
        <v/>
      </c>
      <c r="Y140">
        <f t="shared" si="34"/>
        <v>0</v>
      </c>
      <c r="Z140">
        <f t="shared" si="35"/>
        <v>0</v>
      </c>
      <c r="AA140">
        <f t="shared" si="36"/>
        <v>0</v>
      </c>
      <c r="AB140">
        <f t="shared" si="37"/>
        <v>0</v>
      </c>
      <c r="AC140" t="str">
        <f t="shared" si="38"/>
        <v/>
      </c>
      <c r="AD140" s="204">
        <f t="shared" si="48"/>
        <v>0</v>
      </c>
      <c r="AE140" s="204">
        <f t="shared" si="49"/>
        <v>0</v>
      </c>
      <c r="AF140" s="204">
        <f t="shared" si="50"/>
        <v>0</v>
      </c>
      <c r="AG140" s="204">
        <f t="shared" si="51"/>
        <v>0</v>
      </c>
    </row>
    <row r="141" spans="1:33" x14ac:dyDescent="0.3">
      <c r="A141" s="204" t="s">
        <v>414</v>
      </c>
      <c r="B141" s="205"/>
      <c r="C141" s="205"/>
      <c r="D141" s="205"/>
      <c r="E141" s="205"/>
      <c r="F141" s="204"/>
      <c r="G141" s="204"/>
      <c r="H141" s="204"/>
      <c r="I141" s="204" t="str">
        <f t="shared" si="39"/>
        <v/>
      </c>
      <c r="J141" s="204" t="str">
        <f t="shared" si="40"/>
        <v/>
      </c>
      <c r="K141" s="204" t="str">
        <f t="shared" si="41"/>
        <v/>
      </c>
      <c r="L141" s="204" t="str">
        <f t="shared" si="42"/>
        <v/>
      </c>
      <c r="M141" s="76" t="str">
        <f t="shared" si="43"/>
        <v/>
      </c>
      <c r="N141" s="206">
        <f t="shared" si="44"/>
        <v>0</v>
      </c>
      <c r="O141" s="206">
        <f t="shared" si="45"/>
        <v>0</v>
      </c>
      <c r="P141" s="206">
        <f t="shared" si="46"/>
        <v>0</v>
      </c>
      <c r="Q141" s="206">
        <f t="shared" si="47"/>
        <v>0</v>
      </c>
      <c r="X141" s="71" t="str">
        <f t="shared" si="33"/>
        <v/>
      </c>
      <c r="Y141">
        <f t="shared" si="34"/>
        <v>0</v>
      </c>
      <c r="Z141">
        <f t="shared" si="35"/>
        <v>0</v>
      </c>
      <c r="AA141">
        <f t="shared" si="36"/>
        <v>0</v>
      </c>
      <c r="AB141">
        <f t="shared" si="37"/>
        <v>0</v>
      </c>
      <c r="AC141" t="str">
        <f t="shared" si="38"/>
        <v/>
      </c>
      <c r="AD141" s="204">
        <f t="shared" si="48"/>
        <v>0</v>
      </c>
      <c r="AE141" s="204">
        <f t="shared" si="49"/>
        <v>0</v>
      </c>
      <c r="AF141" s="204">
        <f t="shared" si="50"/>
        <v>0</v>
      </c>
      <c r="AG141" s="204">
        <f t="shared" si="51"/>
        <v>0</v>
      </c>
    </row>
    <row r="142" spans="1:33" x14ac:dyDescent="0.3">
      <c r="A142" s="204" t="s">
        <v>415</v>
      </c>
      <c r="B142" s="205"/>
      <c r="C142" s="205"/>
      <c r="D142" s="205"/>
      <c r="E142" s="205"/>
      <c r="F142" s="204"/>
      <c r="G142" s="204"/>
      <c r="H142" s="204"/>
      <c r="I142" s="204" t="str">
        <f t="shared" si="39"/>
        <v/>
      </c>
      <c r="J142" s="204" t="str">
        <f t="shared" si="40"/>
        <v/>
      </c>
      <c r="K142" s="204" t="str">
        <f t="shared" si="41"/>
        <v/>
      </c>
      <c r="L142" s="204" t="str">
        <f t="shared" si="42"/>
        <v/>
      </c>
      <c r="M142" s="76" t="str">
        <f t="shared" si="43"/>
        <v/>
      </c>
      <c r="N142" s="206">
        <f t="shared" si="44"/>
        <v>0</v>
      </c>
      <c r="O142" s="206">
        <f t="shared" si="45"/>
        <v>0</v>
      </c>
      <c r="P142" s="206">
        <f t="shared" si="46"/>
        <v>0</v>
      </c>
      <c r="Q142" s="206">
        <f t="shared" si="47"/>
        <v>0</v>
      </c>
      <c r="X142" s="71" t="str">
        <f t="shared" si="33"/>
        <v/>
      </c>
      <c r="Y142">
        <f t="shared" si="34"/>
        <v>0</v>
      </c>
      <c r="Z142">
        <f t="shared" si="35"/>
        <v>0</v>
      </c>
      <c r="AA142">
        <f t="shared" si="36"/>
        <v>0</v>
      </c>
      <c r="AB142">
        <f t="shared" si="37"/>
        <v>0</v>
      </c>
      <c r="AC142" t="str">
        <f t="shared" si="38"/>
        <v/>
      </c>
      <c r="AD142" s="204">
        <f t="shared" si="48"/>
        <v>0</v>
      </c>
      <c r="AE142" s="204">
        <f t="shared" si="49"/>
        <v>0</v>
      </c>
      <c r="AF142" s="204">
        <f t="shared" si="50"/>
        <v>0</v>
      </c>
      <c r="AG142" s="204">
        <f t="shared" si="51"/>
        <v>0</v>
      </c>
    </row>
    <row r="143" spans="1:33" x14ac:dyDescent="0.3">
      <c r="A143" s="204"/>
      <c r="B143" s="205" t="s">
        <v>3</v>
      </c>
      <c r="C143" s="205" t="s">
        <v>416</v>
      </c>
      <c r="D143" s="205" t="s">
        <v>417</v>
      </c>
      <c r="E143" s="205" t="s">
        <v>418</v>
      </c>
      <c r="F143" s="204" t="s">
        <v>419</v>
      </c>
      <c r="G143" s="204" t="s">
        <v>420</v>
      </c>
      <c r="H143" s="204" t="s">
        <v>97</v>
      </c>
      <c r="I143" s="204" t="str">
        <f t="shared" si="39"/>
        <v/>
      </c>
      <c r="J143" s="204" t="str">
        <f t="shared" si="40"/>
        <v/>
      </c>
      <c r="K143" s="204" t="str">
        <f t="shared" si="41"/>
        <v/>
      </c>
      <c r="L143" s="204" t="str">
        <f t="shared" si="42"/>
        <v/>
      </c>
      <c r="M143" s="76" t="str">
        <f t="shared" si="43"/>
        <v/>
      </c>
      <c r="N143" s="206">
        <f t="shared" si="44"/>
        <v>0</v>
      </c>
      <c r="O143" s="206">
        <f t="shared" si="45"/>
        <v>0</v>
      </c>
      <c r="P143" s="206">
        <f t="shared" si="46"/>
        <v>0</v>
      </c>
      <c r="Q143" s="206">
        <f t="shared" si="47"/>
        <v>0</v>
      </c>
      <c r="X143" s="71" t="str">
        <f t="shared" si="33"/>
        <v/>
      </c>
      <c r="Y143">
        <f t="shared" si="34"/>
        <v>0</v>
      </c>
      <c r="Z143">
        <f t="shared" si="35"/>
        <v>0</v>
      </c>
      <c r="AA143">
        <f t="shared" si="36"/>
        <v>0</v>
      </c>
      <c r="AB143">
        <f t="shared" si="37"/>
        <v>0</v>
      </c>
      <c r="AC143" t="str">
        <f t="shared" si="38"/>
        <v/>
      </c>
      <c r="AD143" s="204">
        <f t="shared" si="48"/>
        <v>0</v>
      </c>
      <c r="AE143" s="204">
        <f t="shared" si="49"/>
        <v>0</v>
      </c>
      <c r="AF143" s="204">
        <f t="shared" si="50"/>
        <v>0</v>
      </c>
      <c r="AG143" s="204">
        <f t="shared" si="51"/>
        <v>0</v>
      </c>
    </row>
    <row r="144" spans="1:33" x14ac:dyDescent="0.3">
      <c r="A144" s="204" t="s">
        <v>421</v>
      </c>
      <c r="B144" s="205" t="s">
        <v>422</v>
      </c>
      <c r="C144" s="205" t="s">
        <v>422</v>
      </c>
      <c r="D144" s="205" t="s">
        <v>422</v>
      </c>
      <c r="E144" s="205" t="s">
        <v>422</v>
      </c>
      <c r="F144" s="204" t="s">
        <v>422</v>
      </c>
      <c r="G144" s="204" t="s">
        <v>422</v>
      </c>
      <c r="H144" s="204" t="s">
        <v>422</v>
      </c>
      <c r="I144" s="204" t="str">
        <f t="shared" si="39"/>
        <v/>
      </c>
      <c r="J144" s="204" t="str">
        <f t="shared" si="40"/>
        <v/>
      </c>
      <c r="K144" s="204" t="str">
        <f t="shared" si="41"/>
        <v/>
      </c>
      <c r="L144" s="204" t="str">
        <f t="shared" si="42"/>
        <v/>
      </c>
      <c r="M144" s="76" t="str">
        <f t="shared" si="43"/>
        <v/>
      </c>
      <c r="N144" s="206">
        <f t="shared" si="44"/>
        <v>0</v>
      </c>
      <c r="O144" s="206">
        <f t="shared" si="45"/>
        <v>0</v>
      </c>
      <c r="P144" s="206">
        <f t="shared" si="46"/>
        <v>0</v>
      </c>
      <c r="Q144" s="206">
        <f t="shared" si="47"/>
        <v>0</v>
      </c>
      <c r="X144" s="71" t="str">
        <f t="shared" si="33"/>
        <v/>
      </c>
      <c r="Y144">
        <f t="shared" si="34"/>
        <v>0</v>
      </c>
      <c r="Z144">
        <f t="shared" si="35"/>
        <v>0</v>
      </c>
      <c r="AA144">
        <f t="shared" si="36"/>
        <v>0</v>
      </c>
      <c r="AB144">
        <f t="shared" si="37"/>
        <v>0</v>
      </c>
      <c r="AC144" t="str">
        <f t="shared" si="38"/>
        <v/>
      </c>
      <c r="AD144" s="204">
        <f t="shared" si="48"/>
        <v>0</v>
      </c>
      <c r="AE144" s="204">
        <f t="shared" si="49"/>
        <v>0</v>
      </c>
      <c r="AF144" s="204">
        <f t="shared" si="50"/>
        <v>0</v>
      </c>
      <c r="AG144" s="204">
        <f t="shared" si="51"/>
        <v>0</v>
      </c>
    </row>
    <row r="145" spans="1:33" x14ac:dyDescent="0.3">
      <c r="A145" s="204" t="s">
        <v>394</v>
      </c>
      <c r="B145" s="205" t="s">
        <v>422</v>
      </c>
      <c r="C145" s="205" t="s">
        <v>422</v>
      </c>
      <c r="D145" s="205" t="s">
        <v>422</v>
      </c>
      <c r="E145" s="205" t="s">
        <v>422</v>
      </c>
      <c r="F145" s="204" t="s">
        <v>422</v>
      </c>
      <c r="G145" s="204" t="s">
        <v>422</v>
      </c>
      <c r="H145" s="204" t="s">
        <v>422</v>
      </c>
      <c r="I145" s="204" t="str">
        <f t="shared" si="39"/>
        <v/>
      </c>
      <c r="J145" s="204" t="str">
        <f t="shared" si="40"/>
        <v/>
      </c>
      <c r="K145" s="204" t="str">
        <f t="shared" si="41"/>
        <v/>
      </c>
      <c r="L145" s="204" t="str">
        <f t="shared" si="42"/>
        <v/>
      </c>
      <c r="M145" s="76" t="str">
        <f t="shared" si="43"/>
        <v/>
      </c>
      <c r="N145" s="206">
        <f t="shared" si="44"/>
        <v>0</v>
      </c>
      <c r="O145" s="206">
        <f t="shared" si="45"/>
        <v>0</v>
      </c>
      <c r="P145" s="206">
        <f t="shared" si="46"/>
        <v>0</v>
      </c>
      <c r="Q145" s="206">
        <f t="shared" si="47"/>
        <v>0</v>
      </c>
      <c r="X145" s="71" t="str">
        <f t="shared" si="33"/>
        <v/>
      </c>
      <c r="Y145">
        <f t="shared" si="34"/>
        <v>0</v>
      </c>
      <c r="Z145">
        <f t="shared" si="35"/>
        <v>0</v>
      </c>
      <c r="AA145">
        <f t="shared" si="36"/>
        <v>0</v>
      </c>
      <c r="AB145">
        <f t="shared" si="37"/>
        <v>0</v>
      </c>
      <c r="AC145" t="str">
        <f t="shared" si="38"/>
        <v/>
      </c>
      <c r="AD145" s="204">
        <f t="shared" si="48"/>
        <v>0</v>
      </c>
      <c r="AE145" s="204">
        <f t="shared" si="49"/>
        <v>0</v>
      </c>
      <c r="AF145" s="204">
        <f t="shared" si="50"/>
        <v>0</v>
      </c>
      <c r="AG145" s="204">
        <f t="shared" si="51"/>
        <v>0</v>
      </c>
    </row>
    <row r="146" spans="1:33" x14ac:dyDescent="0.3">
      <c r="A146" s="204" t="s">
        <v>423</v>
      </c>
      <c r="B146" s="205" t="s">
        <v>422</v>
      </c>
      <c r="C146" s="205" t="s">
        <v>422</v>
      </c>
      <c r="D146" s="205" t="s">
        <v>422</v>
      </c>
      <c r="E146" s="205" t="s">
        <v>422</v>
      </c>
      <c r="F146" s="204" t="s">
        <v>422</v>
      </c>
      <c r="G146" s="204" t="s">
        <v>424</v>
      </c>
      <c r="H146" s="204" t="s">
        <v>422</v>
      </c>
      <c r="I146" s="204" t="str">
        <f t="shared" si="39"/>
        <v/>
      </c>
      <c r="J146" s="204" t="str">
        <f t="shared" si="40"/>
        <v/>
      </c>
      <c r="K146" s="204" t="str">
        <f t="shared" si="41"/>
        <v/>
      </c>
      <c r="L146" s="204" t="str">
        <f t="shared" si="42"/>
        <v/>
      </c>
      <c r="M146" s="76" t="str">
        <f t="shared" si="43"/>
        <v/>
      </c>
      <c r="N146" s="206">
        <f t="shared" si="44"/>
        <v>0</v>
      </c>
      <c r="O146" s="206">
        <f t="shared" si="45"/>
        <v>0</v>
      </c>
      <c r="P146" s="206">
        <f t="shared" si="46"/>
        <v>0</v>
      </c>
      <c r="Q146" s="206">
        <f t="shared" si="47"/>
        <v>0</v>
      </c>
      <c r="X146" s="71" t="str">
        <f t="shared" si="33"/>
        <v/>
      </c>
      <c r="Y146">
        <f t="shared" si="34"/>
        <v>0</v>
      </c>
      <c r="Z146">
        <f t="shared" si="35"/>
        <v>0</v>
      </c>
      <c r="AA146">
        <f t="shared" si="36"/>
        <v>0</v>
      </c>
      <c r="AB146">
        <f t="shared" si="37"/>
        <v>0</v>
      </c>
      <c r="AC146" t="str">
        <f t="shared" si="38"/>
        <v/>
      </c>
      <c r="AD146" s="204">
        <f t="shared" si="48"/>
        <v>0</v>
      </c>
      <c r="AE146" s="204">
        <f t="shared" si="49"/>
        <v>0</v>
      </c>
      <c r="AF146" s="204">
        <f t="shared" si="50"/>
        <v>0</v>
      </c>
      <c r="AG146" s="204">
        <f t="shared" si="51"/>
        <v>0</v>
      </c>
    </row>
    <row r="147" spans="1:33" x14ac:dyDescent="0.3">
      <c r="A147" s="204" t="s">
        <v>425</v>
      </c>
      <c r="B147" s="205"/>
      <c r="C147" s="205"/>
      <c r="D147" s="205"/>
      <c r="E147" s="205"/>
      <c r="F147" s="204"/>
      <c r="G147" s="204"/>
      <c r="H147" s="204"/>
      <c r="I147" s="204" t="str">
        <f t="shared" si="39"/>
        <v/>
      </c>
      <c r="J147" s="204" t="str">
        <f t="shared" si="40"/>
        <v/>
      </c>
      <c r="K147" s="204" t="str">
        <f t="shared" si="41"/>
        <v/>
      </c>
      <c r="L147" s="204" t="str">
        <f t="shared" si="42"/>
        <v/>
      </c>
      <c r="M147" s="76" t="str">
        <f t="shared" si="43"/>
        <v/>
      </c>
      <c r="N147" s="206">
        <f t="shared" si="44"/>
        <v>0</v>
      </c>
      <c r="O147" s="206">
        <f t="shared" si="45"/>
        <v>0</v>
      </c>
      <c r="P147" s="206">
        <f t="shared" si="46"/>
        <v>0</v>
      </c>
      <c r="Q147" s="206">
        <f t="shared" si="47"/>
        <v>0</v>
      </c>
      <c r="X147" s="71" t="str">
        <f t="shared" si="33"/>
        <v/>
      </c>
      <c r="Y147">
        <f t="shared" si="34"/>
        <v>0</v>
      </c>
      <c r="Z147">
        <f t="shared" si="35"/>
        <v>0</v>
      </c>
      <c r="AA147">
        <f t="shared" si="36"/>
        <v>0</v>
      </c>
      <c r="AB147">
        <f t="shared" si="37"/>
        <v>0</v>
      </c>
      <c r="AC147" t="str">
        <f t="shared" si="38"/>
        <v/>
      </c>
      <c r="AD147" s="204">
        <f t="shared" si="48"/>
        <v>0</v>
      </c>
      <c r="AE147" s="204">
        <f t="shared" si="49"/>
        <v>0</v>
      </c>
      <c r="AF147" s="204">
        <f t="shared" si="50"/>
        <v>0</v>
      </c>
      <c r="AG147" s="204">
        <f t="shared" si="51"/>
        <v>0</v>
      </c>
    </row>
    <row r="148" spans="1:33" x14ac:dyDescent="0.3">
      <c r="A148" s="204" t="s">
        <v>439</v>
      </c>
      <c r="B148" s="205"/>
      <c r="C148" s="205"/>
      <c r="D148" s="205"/>
      <c r="E148" s="205"/>
      <c r="F148" s="204"/>
      <c r="G148" s="204"/>
      <c r="H148" s="204"/>
      <c r="I148" s="204" t="str">
        <f t="shared" si="39"/>
        <v/>
      </c>
      <c r="J148" s="204" t="str">
        <f t="shared" si="40"/>
        <v/>
      </c>
      <c r="K148" s="204" t="str">
        <f t="shared" si="41"/>
        <v/>
      </c>
      <c r="L148" s="204" t="str">
        <f t="shared" si="42"/>
        <v/>
      </c>
      <c r="M148" s="76" t="str">
        <f t="shared" si="43"/>
        <v/>
      </c>
      <c r="N148" s="206">
        <f t="shared" si="44"/>
        <v>0</v>
      </c>
      <c r="O148" s="206">
        <f t="shared" si="45"/>
        <v>0</v>
      </c>
      <c r="P148" s="206">
        <f t="shared" si="46"/>
        <v>0</v>
      </c>
      <c r="Q148" s="206">
        <f t="shared" si="47"/>
        <v>0</v>
      </c>
      <c r="X148" s="71" t="str">
        <f t="shared" si="33"/>
        <v/>
      </c>
      <c r="Y148">
        <f t="shared" si="34"/>
        <v>0</v>
      </c>
      <c r="Z148">
        <f t="shared" si="35"/>
        <v>0</v>
      </c>
      <c r="AA148">
        <f t="shared" si="36"/>
        <v>0</v>
      </c>
      <c r="AB148">
        <f t="shared" si="37"/>
        <v>0</v>
      </c>
      <c r="AC148" t="str">
        <f t="shared" si="38"/>
        <v/>
      </c>
      <c r="AD148" s="204">
        <f t="shared" si="48"/>
        <v>0</v>
      </c>
      <c r="AE148" s="204">
        <f t="shared" si="49"/>
        <v>0</v>
      </c>
      <c r="AF148" s="204">
        <f t="shared" si="50"/>
        <v>0</v>
      </c>
      <c r="AG148" s="204">
        <f t="shared" si="51"/>
        <v>0</v>
      </c>
    </row>
    <row r="149" spans="1:33" x14ac:dyDescent="0.3">
      <c r="A149" s="204" t="s">
        <v>440</v>
      </c>
      <c r="B149" s="205"/>
      <c r="C149" s="205"/>
      <c r="D149" s="205"/>
      <c r="E149" s="205"/>
      <c r="F149" s="204"/>
      <c r="G149" s="204"/>
      <c r="H149" s="204"/>
      <c r="I149" s="204" t="str">
        <f t="shared" si="39"/>
        <v/>
      </c>
      <c r="J149" s="204" t="str">
        <f t="shared" si="40"/>
        <v/>
      </c>
      <c r="K149" s="204" t="str">
        <f t="shared" si="41"/>
        <v/>
      </c>
      <c r="L149" s="204" t="str">
        <f t="shared" si="42"/>
        <v/>
      </c>
      <c r="M149" s="76" t="str">
        <f t="shared" si="43"/>
        <v/>
      </c>
      <c r="N149" s="206">
        <f t="shared" si="44"/>
        <v>0</v>
      </c>
      <c r="O149" s="206">
        <f t="shared" si="45"/>
        <v>0</v>
      </c>
      <c r="P149" s="206">
        <f t="shared" si="46"/>
        <v>0</v>
      </c>
      <c r="Q149" s="206">
        <f t="shared" si="47"/>
        <v>0</v>
      </c>
      <c r="X149" s="71" t="str">
        <f t="shared" si="33"/>
        <v/>
      </c>
      <c r="Y149">
        <f t="shared" si="34"/>
        <v>0</v>
      </c>
      <c r="Z149">
        <f t="shared" si="35"/>
        <v>0</v>
      </c>
      <c r="AA149">
        <f t="shared" si="36"/>
        <v>0</v>
      </c>
      <c r="AB149">
        <f t="shared" si="37"/>
        <v>0</v>
      </c>
      <c r="AC149" t="str">
        <f t="shared" si="38"/>
        <v/>
      </c>
      <c r="AD149" s="204">
        <f t="shared" si="48"/>
        <v>0</v>
      </c>
      <c r="AE149" s="204">
        <f t="shared" si="49"/>
        <v>0</v>
      </c>
      <c r="AF149" s="204">
        <f t="shared" si="50"/>
        <v>0</v>
      </c>
      <c r="AG149" s="204">
        <f t="shared" si="51"/>
        <v>0</v>
      </c>
    </row>
    <row r="150" spans="1:33" x14ac:dyDescent="0.3">
      <c r="A150" s="204" t="s">
        <v>441</v>
      </c>
      <c r="B150" s="205"/>
      <c r="C150" s="205"/>
      <c r="D150" s="205"/>
      <c r="E150" s="205"/>
      <c r="F150" s="204"/>
      <c r="G150" s="204"/>
      <c r="H150" s="204"/>
      <c r="I150" s="204" t="str">
        <f t="shared" si="39"/>
        <v/>
      </c>
      <c r="J150" s="204" t="str">
        <f t="shared" si="40"/>
        <v/>
      </c>
      <c r="K150" s="204" t="str">
        <f t="shared" si="41"/>
        <v/>
      </c>
      <c r="L150" s="204" t="str">
        <f t="shared" si="42"/>
        <v/>
      </c>
      <c r="M150" s="76" t="str">
        <f t="shared" si="43"/>
        <v/>
      </c>
      <c r="N150" s="206">
        <f t="shared" si="44"/>
        <v>0</v>
      </c>
      <c r="O150" s="206">
        <f t="shared" si="45"/>
        <v>0</v>
      </c>
      <c r="P150" s="206">
        <f t="shared" si="46"/>
        <v>0</v>
      </c>
      <c r="Q150" s="206">
        <f t="shared" si="47"/>
        <v>0</v>
      </c>
      <c r="X150" s="71" t="str">
        <f t="shared" si="33"/>
        <v/>
      </c>
      <c r="Y150">
        <f t="shared" si="34"/>
        <v>0</v>
      </c>
      <c r="Z150">
        <f t="shared" si="35"/>
        <v>0</v>
      </c>
      <c r="AA150">
        <f t="shared" si="36"/>
        <v>0</v>
      </c>
      <c r="AB150">
        <f t="shared" si="37"/>
        <v>0</v>
      </c>
      <c r="AC150" t="str">
        <f t="shared" si="38"/>
        <v/>
      </c>
      <c r="AD150" s="204">
        <f t="shared" si="48"/>
        <v>0</v>
      </c>
      <c r="AE150" s="204">
        <f t="shared" si="49"/>
        <v>0</v>
      </c>
      <c r="AF150" s="204">
        <f t="shared" si="50"/>
        <v>0</v>
      </c>
      <c r="AG150" s="204">
        <f t="shared" si="51"/>
        <v>0</v>
      </c>
    </row>
    <row r="151" spans="1:33" x14ac:dyDescent="0.3">
      <c r="A151" s="204" t="s">
        <v>442</v>
      </c>
      <c r="B151" s="205"/>
      <c r="C151" s="205"/>
      <c r="D151" s="205"/>
      <c r="E151" s="205"/>
      <c r="F151" s="204"/>
      <c r="G151" s="204"/>
      <c r="H151" s="204"/>
      <c r="I151" s="204" t="str">
        <f t="shared" si="39"/>
        <v/>
      </c>
      <c r="J151" s="204" t="str">
        <f t="shared" si="40"/>
        <v/>
      </c>
      <c r="K151" s="204" t="str">
        <f t="shared" si="41"/>
        <v/>
      </c>
      <c r="L151" s="204" t="str">
        <f t="shared" si="42"/>
        <v/>
      </c>
      <c r="M151" s="76" t="str">
        <f t="shared" si="43"/>
        <v/>
      </c>
      <c r="N151" s="206">
        <f t="shared" si="44"/>
        <v>0</v>
      </c>
      <c r="O151" s="206">
        <f t="shared" si="45"/>
        <v>0</v>
      </c>
      <c r="P151" s="206">
        <f t="shared" si="46"/>
        <v>0</v>
      </c>
      <c r="Q151" s="206">
        <f t="shared" si="47"/>
        <v>0</v>
      </c>
      <c r="X151" s="71" t="str">
        <f t="shared" si="33"/>
        <v/>
      </c>
      <c r="Y151">
        <f t="shared" si="34"/>
        <v>0</v>
      </c>
      <c r="Z151">
        <f t="shared" si="35"/>
        <v>0</v>
      </c>
      <c r="AA151">
        <f t="shared" si="36"/>
        <v>0</v>
      </c>
      <c r="AB151">
        <f t="shared" si="37"/>
        <v>0</v>
      </c>
      <c r="AC151" t="str">
        <f t="shared" si="38"/>
        <v/>
      </c>
      <c r="AD151" s="204">
        <f t="shared" si="48"/>
        <v>0</v>
      </c>
      <c r="AE151" s="204">
        <f t="shared" si="49"/>
        <v>0</v>
      </c>
      <c r="AF151" s="204">
        <f t="shared" si="50"/>
        <v>0</v>
      </c>
      <c r="AG151" s="204">
        <f t="shared" si="51"/>
        <v>0</v>
      </c>
    </row>
    <row r="152" spans="1:33" x14ac:dyDescent="0.3">
      <c r="A152" s="204" t="s">
        <v>1142</v>
      </c>
      <c r="B152" s="205"/>
      <c r="C152" s="205"/>
      <c r="D152" s="205"/>
      <c r="E152" s="205"/>
      <c r="F152" s="204"/>
      <c r="G152" s="204"/>
      <c r="H152" s="204"/>
      <c r="I152" s="204" t="str">
        <f t="shared" si="39"/>
        <v/>
      </c>
      <c r="J152" s="204" t="str">
        <f t="shared" si="40"/>
        <v/>
      </c>
      <c r="K152" s="204" t="str">
        <f t="shared" si="41"/>
        <v/>
      </c>
      <c r="L152" s="204" t="str">
        <f t="shared" si="42"/>
        <v/>
      </c>
      <c r="M152" s="76" t="str">
        <f t="shared" si="43"/>
        <v/>
      </c>
      <c r="N152" s="206">
        <f t="shared" si="44"/>
        <v>0</v>
      </c>
      <c r="O152" s="206">
        <f t="shared" si="45"/>
        <v>0</v>
      </c>
      <c r="P152" s="206">
        <f t="shared" si="46"/>
        <v>0</v>
      </c>
      <c r="Q152" s="206">
        <f t="shared" si="47"/>
        <v>0</v>
      </c>
      <c r="X152" s="71" t="str">
        <f t="shared" si="33"/>
        <v/>
      </c>
      <c r="Y152">
        <f t="shared" si="34"/>
        <v>0</v>
      </c>
      <c r="Z152">
        <f t="shared" si="35"/>
        <v>0</v>
      </c>
      <c r="AA152">
        <f t="shared" si="36"/>
        <v>0</v>
      </c>
      <c r="AB152">
        <f t="shared" si="37"/>
        <v>0</v>
      </c>
      <c r="AC152" t="str">
        <f t="shared" si="38"/>
        <v/>
      </c>
      <c r="AD152" s="204">
        <f t="shared" si="48"/>
        <v>0</v>
      </c>
      <c r="AE152" s="204">
        <f t="shared" si="49"/>
        <v>0</v>
      </c>
      <c r="AF152" s="204">
        <f t="shared" si="50"/>
        <v>0</v>
      </c>
      <c r="AG152" s="204">
        <f t="shared" si="51"/>
        <v>0</v>
      </c>
    </row>
    <row r="153" spans="1:33" x14ac:dyDescent="0.3">
      <c r="A153" s="204"/>
      <c r="B153" s="205"/>
      <c r="C153" s="205"/>
      <c r="D153" s="205"/>
      <c r="E153" s="205"/>
      <c r="F153" s="204"/>
      <c r="G153" s="204"/>
      <c r="H153" s="204"/>
      <c r="I153" s="204" t="str">
        <f t="shared" si="39"/>
        <v/>
      </c>
      <c r="J153" s="204" t="str">
        <f t="shared" si="40"/>
        <v/>
      </c>
      <c r="K153" s="204" t="str">
        <f t="shared" si="41"/>
        <v/>
      </c>
      <c r="L153" s="204" t="str">
        <f t="shared" si="42"/>
        <v/>
      </c>
      <c r="M153" s="76" t="str">
        <f t="shared" si="43"/>
        <v/>
      </c>
      <c r="N153" s="206">
        <f t="shared" si="44"/>
        <v>0</v>
      </c>
      <c r="O153" s="206">
        <f t="shared" si="45"/>
        <v>0</v>
      </c>
      <c r="P153" s="206">
        <f t="shared" si="46"/>
        <v>0</v>
      </c>
      <c r="Q153" s="206">
        <f t="shared" si="47"/>
        <v>0</v>
      </c>
      <c r="X153" s="71" t="str">
        <f t="shared" si="33"/>
        <v/>
      </c>
      <c r="Y153">
        <f t="shared" si="34"/>
        <v>0</v>
      </c>
      <c r="Z153">
        <f t="shared" si="35"/>
        <v>0</v>
      </c>
      <c r="AA153">
        <f t="shared" si="36"/>
        <v>0</v>
      </c>
      <c r="AB153">
        <f t="shared" si="37"/>
        <v>0</v>
      </c>
      <c r="AC153" t="str">
        <f t="shared" si="38"/>
        <v/>
      </c>
      <c r="AD153" s="204">
        <f t="shared" si="48"/>
        <v>0</v>
      </c>
      <c r="AE153" s="204">
        <f t="shared" si="49"/>
        <v>0</v>
      </c>
      <c r="AF153" s="204">
        <f t="shared" si="50"/>
        <v>0</v>
      </c>
      <c r="AG153" s="204">
        <f t="shared" si="51"/>
        <v>0</v>
      </c>
    </row>
    <row r="154" spans="1:33" x14ac:dyDescent="0.3">
      <c r="A154" s="204" t="s">
        <v>405</v>
      </c>
      <c r="B154" s="205"/>
      <c r="C154" s="205"/>
      <c r="D154" s="205"/>
      <c r="E154" s="205"/>
      <c r="F154" s="204"/>
      <c r="G154" s="204"/>
      <c r="H154" s="204"/>
      <c r="I154" s="204" t="str">
        <f t="shared" si="39"/>
        <v/>
      </c>
      <c r="J154" s="204" t="str">
        <f t="shared" si="40"/>
        <v/>
      </c>
      <c r="K154" s="204" t="str">
        <f t="shared" si="41"/>
        <v/>
      </c>
      <c r="L154" s="204" t="str">
        <f t="shared" si="42"/>
        <v/>
      </c>
      <c r="M154" s="76" t="str">
        <f t="shared" si="43"/>
        <v/>
      </c>
      <c r="N154" s="206">
        <f t="shared" si="44"/>
        <v>0</v>
      </c>
      <c r="O154" s="206">
        <f t="shared" si="45"/>
        <v>0</v>
      </c>
      <c r="P154" s="206">
        <f t="shared" si="46"/>
        <v>0</v>
      </c>
      <c r="Q154" s="206">
        <f t="shared" si="47"/>
        <v>0</v>
      </c>
      <c r="X154" s="71" t="str">
        <f t="shared" si="33"/>
        <v/>
      </c>
      <c r="Y154">
        <f t="shared" si="34"/>
        <v>0</v>
      </c>
      <c r="Z154">
        <f t="shared" si="35"/>
        <v>0</v>
      </c>
      <c r="AA154">
        <f t="shared" si="36"/>
        <v>0</v>
      </c>
      <c r="AB154">
        <f t="shared" si="37"/>
        <v>0</v>
      </c>
      <c r="AC154" t="str">
        <f t="shared" si="38"/>
        <v/>
      </c>
      <c r="AD154" s="204">
        <f t="shared" si="48"/>
        <v>0</v>
      </c>
      <c r="AE154" s="204">
        <f t="shared" si="49"/>
        <v>0</v>
      </c>
      <c r="AF154" s="204">
        <f t="shared" si="50"/>
        <v>0</v>
      </c>
      <c r="AG154" s="204">
        <f t="shared" si="51"/>
        <v>0</v>
      </c>
    </row>
    <row r="155" spans="1:33" x14ac:dyDescent="0.3">
      <c r="A155" s="204" t="s">
        <v>735</v>
      </c>
      <c r="B155" s="205"/>
      <c r="C155" s="205"/>
      <c r="D155" s="205"/>
      <c r="E155" s="205"/>
      <c r="F155" s="204"/>
      <c r="G155" s="204"/>
      <c r="H155" s="204"/>
      <c r="I155" s="204" t="str">
        <f t="shared" si="39"/>
        <v/>
      </c>
      <c r="J155" s="204" t="str">
        <f t="shared" si="40"/>
        <v/>
      </c>
      <c r="K155" s="204" t="str">
        <f t="shared" si="41"/>
        <v/>
      </c>
      <c r="L155" s="204" t="str">
        <f t="shared" si="42"/>
        <v/>
      </c>
      <c r="M155" s="76" t="str">
        <f t="shared" si="43"/>
        <v/>
      </c>
      <c r="N155" s="206">
        <f t="shared" si="44"/>
        <v>0</v>
      </c>
      <c r="O155" s="206">
        <f t="shared" si="45"/>
        <v>0</v>
      </c>
      <c r="P155" s="206">
        <f t="shared" si="46"/>
        <v>0</v>
      </c>
      <c r="Q155" s="206">
        <f t="shared" si="47"/>
        <v>0</v>
      </c>
      <c r="X155" s="71" t="str">
        <f t="shared" si="33"/>
        <v/>
      </c>
      <c r="Y155">
        <f t="shared" si="34"/>
        <v>0</v>
      </c>
      <c r="Z155">
        <f t="shared" si="35"/>
        <v>0</v>
      </c>
      <c r="AA155">
        <f t="shared" si="36"/>
        <v>0</v>
      </c>
      <c r="AB155">
        <f t="shared" si="37"/>
        <v>0</v>
      </c>
      <c r="AC155" t="str">
        <f t="shared" si="38"/>
        <v/>
      </c>
      <c r="AD155" s="204">
        <f t="shared" si="48"/>
        <v>0</v>
      </c>
      <c r="AE155" s="204">
        <f t="shared" si="49"/>
        <v>0</v>
      </c>
      <c r="AF155" s="204">
        <f t="shared" si="50"/>
        <v>0</v>
      </c>
      <c r="AG155" s="204">
        <f t="shared" si="51"/>
        <v>0</v>
      </c>
    </row>
    <row r="156" spans="1:33" x14ac:dyDescent="0.3">
      <c r="A156" s="204" t="s">
        <v>1549</v>
      </c>
      <c r="B156" s="205"/>
      <c r="C156" s="205"/>
      <c r="D156" s="205"/>
      <c r="E156" s="205"/>
      <c r="F156" s="204"/>
      <c r="G156" s="204"/>
      <c r="H156" s="204"/>
      <c r="I156" s="204" t="str">
        <f t="shared" si="39"/>
        <v/>
      </c>
      <c r="J156" s="204" t="str">
        <f t="shared" si="40"/>
        <v/>
      </c>
      <c r="K156" s="204" t="str">
        <f t="shared" si="41"/>
        <v/>
      </c>
      <c r="L156" s="204" t="str">
        <f t="shared" si="42"/>
        <v/>
      </c>
      <c r="M156" s="76" t="str">
        <f t="shared" si="43"/>
        <v/>
      </c>
      <c r="N156" s="206">
        <f t="shared" si="44"/>
        <v>0</v>
      </c>
      <c r="O156" s="206">
        <f t="shared" si="45"/>
        <v>0</v>
      </c>
      <c r="P156" s="206">
        <f t="shared" si="46"/>
        <v>0</v>
      </c>
      <c r="Q156" s="206">
        <f t="shared" si="47"/>
        <v>0</v>
      </c>
      <c r="X156" s="71" t="str">
        <f t="shared" si="33"/>
        <v/>
      </c>
      <c r="Y156">
        <f t="shared" si="34"/>
        <v>0</v>
      </c>
      <c r="Z156">
        <f t="shared" si="35"/>
        <v>0</v>
      </c>
      <c r="AA156">
        <f t="shared" si="36"/>
        <v>0</v>
      </c>
      <c r="AB156">
        <f t="shared" si="37"/>
        <v>0</v>
      </c>
      <c r="AC156" t="str">
        <f t="shared" si="38"/>
        <v/>
      </c>
      <c r="AD156" s="204">
        <f t="shared" si="48"/>
        <v>0</v>
      </c>
      <c r="AE156" s="204">
        <f t="shared" si="49"/>
        <v>0</v>
      </c>
      <c r="AF156" s="204">
        <f t="shared" si="50"/>
        <v>0</v>
      </c>
      <c r="AG156" s="204">
        <f t="shared" si="51"/>
        <v>0</v>
      </c>
    </row>
    <row r="157" spans="1:33" x14ac:dyDescent="0.3">
      <c r="A157" s="204" t="s">
        <v>1548</v>
      </c>
      <c r="B157" s="205"/>
      <c r="C157" s="205"/>
      <c r="D157" s="205"/>
      <c r="E157" s="205"/>
      <c r="F157" s="204"/>
      <c r="G157" s="204"/>
      <c r="H157" s="204"/>
      <c r="I157" s="204" t="str">
        <f t="shared" si="39"/>
        <v/>
      </c>
      <c r="J157" s="204" t="str">
        <f t="shared" si="40"/>
        <v/>
      </c>
      <c r="K157" s="204" t="str">
        <f t="shared" si="41"/>
        <v/>
      </c>
      <c r="L157" s="204" t="str">
        <f t="shared" si="42"/>
        <v/>
      </c>
      <c r="M157" s="76" t="str">
        <f t="shared" si="43"/>
        <v/>
      </c>
      <c r="N157" s="206">
        <f t="shared" si="44"/>
        <v>0</v>
      </c>
      <c r="O157" s="206">
        <f t="shared" si="45"/>
        <v>0</v>
      </c>
      <c r="P157" s="206">
        <f t="shared" si="46"/>
        <v>0</v>
      </c>
      <c r="Q157" s="206">
        <f t="shared" si="47"/>
        <v>0</v>
      </c>
      <c r="X157" s="71" t="str">
        <f t="shared" si="33"/>
        <v/>
      </c>
      <c r="Y157">
        <f t="shared" si="34"/>
        <v>0</v>
      </c>
      <c r="Z157">
        <f t="shared" si="35"/>
        <v>0</v>
      </c>
      <c r="AA157">
        <f t="shared" si="36"/>
        <v>0</v>
      </c>
      <c r="AB157">
        <f t="shared" si="37"/>
        <v>0</v>
      </c>
      <c r="AC157" t="str">
        <f t="shared" si="38"/>
        <v/>
      </c>
      <c r="AD157" s="204">
        <f t="shared" si="48"/>
        <v>0</v>
      </c>
      <c r="AE157" s="204">
        <f t="shared" si="49"/>
        <v>0</v>
      </c>
      <c r="AF157" s="204">
        <f t="shared" si="50"/>
        <v>0</v>
      </c>
      <c r="AG157" s="204">
        <f t="shared" si="51"/>
        <v>0</v>
      </c>
    </row>
    <row r="158" spans="1:33" x14ac:dyDescent="0.3">
      <c r="A158" s="204" t="s">
        <v>406</v>
      </c>
      <c r="B158" s="205"/>
      <c r="C158" s="205"/>
      <c r="D158" s="205"/>
      <c r="E158" s="205"/>
      <c r="F158" s="204"/>
      <c r="G158" s="204"/>
      <c r="H158" s="204"/>
      <c r="I158" s="204" t="str">
        <f t="shared" si="39"/>
        <v/>
      </c>
      <c r="J158" s="204" t="str">
        <f t="shared" si="40"/>
        <v/>
      </c>
      <c r="K158" s="204" t="str">
        <f t="shared" si="41"/>
        <v/>
      </c>
      <c r="L158" s="204" t="str">
        <f t="shared" si="42"/>
        <v/>
      </c>
      <c r="M158" s="76" t="str">
        <f t="shared" si="43"/>
        <v/>
      </c>
      <c r="N158" s="206">
        <f t="shared" si="44"/>
        <v>0</v>
      </c>
      <c r="O158" s="206">
        <f t="shared" si="45"/>
        <v>0</v>
      </c>
      <c r="P158" s="206">
        <f t="shared" si="46"/>
        <v>0</v>
      </c>
      <c r="Q158" s="206">
        <f t="shared" si="47"/>
        <v>0</v>
      </c>
      <c r="X158" s="71" t="str">
        <f t="shared" si="33"/>
        <v/>
      </c>
      <c r="Y158">
        <f t="shared" si="34"/>
        <v>0</v>
      </c>
      <c r="Z158">
        <f t="shared" si="35"/>
        <v>0</v>
      </c>
      <c r="AA158">
        <f t="shared" si="36"/>
        <v>0</v>
      </c>
      <c r="AB158">
        <f t="shared" si="37"/>
        <v>0</v>
      </c>
      <c r="AC158" t="str">
        <f t="shared" si="38"/>
        <v/>
      </c>
      <c r="AD158" s="204">
        <f t="shared" si="48"/>
        <v>0</v>
      </c>
      <c r="AE158" s="204">
        <f t="shared" si="49"/>
        <v>0</v>
      </c>
      <c r="AF158" s="204">
        <f t="shared" si="50"/>
        <v>0</v>
      </c>
      <c r="AG158" s="204">
        <f t="shared" si="51"/>
        <v>0</v>
      </c>
    </row>
    <row r="159" spans="1:33" x14ac:dyDescent="0.3">
      <c r="A159" s="204" t="s">
        <v>407</v>
      </c>
      <c r="B159" s="205"/>
      <c r="C159" s="205"/>
      <c r="D159" s="205"/>
      <c r="E159" s="205"/>
      <c r="F159" s="204"/>
      <c r="G159" s="204"/>
      <c r="H159" s="204"/>
      <c r="I159" s="204" t="str">
        <f t="shared" si="39"/>
        <v/>
      </c>
      <c r="J159" s="204" t="str">
        <f t="shared" si="40"/>
        <v/>
      </c>
      <c r="K159" s="204" t="str">
        <f t="shared" si="41"/>
        <v/>
      </c>
      <c r="L159" s="204" t="str">
        <f t="shared" si="42"/>
        <v/>
      </c>
      <c r="M159" s="76" t="str">
        <f t="shared" si="43"/>
        <v/>
      </c>
      <c r="N159" s="206">
        <f t="shared" si="44"/>
        <v>0</v>
      </c>
      <c r="O159" s="206">
        <f t="shared" si="45"/>
        <v>0</v>
      </c>
      <c r="P159" s="206">
        <f t="shared" si="46"/>
        <v>0</v>
      </c>
      <c r="Q159" s="206">
        <f t="shared" si="47"/>
        <v>0</v>
      </c>
      <c r="X159" s="71" t="str">
        <f t="shared" si="33"/>
        <v/>
      </c>
      <c r="Y159">
        <f t="shared" si="34"/>
        <v>0</v>
      </c>
      <c r="Z159">
        <f t="shared" si="35"/>
        <v>0</v>
      </c>
      <c r="AA159">
        <f t="shared" si="36"/>
        <v>0</v>
      </c>
      <c r="AB159">
        <f t="shared" si="37"/>
        <v>0</v>
      </c>
      <c r="AC159" t="str">
        <f t="shared" si="38"/>
        <v/>
      </c>
      <c r="AD159" s="204">
        <f t="shared" si="48"/>
        <v>0</v>
      </c>
      <c r="AE159" s="204">
        <f t="shared" si="49"/>
        <v>0</v>
      </c>
      <c r="AF159" s="204">
        <f t="shared" si="50"/>
        <v>0</v>
      </c>
      <c r="AG159" s="204">
        <f t="shared" si="51"/>
        <v>0</v>
      </c>
    </row>
    <row r="160" spans="1:33" x14ac:dyDescent="0.3">
      <c r="A160" s="204" t="s">
        <v>408</v>
      </c>
      <c r="B160" s="205"/>
      <c r="C160" s="205"/>
      <c r="D160" s="205"/>
      <c r="E160" s="205"/>
      <c r="F160" s="204"/>
      <c r="G160" s="204"/>
      <c r="H160" s="204"/>
      <c r="I160" s="204" t="str">
        <f t="shared" si="39"/>
        <v/>
      </c>
      <c r="J160" s="204" t="str">
        <f t="shared" si="40"/>
        <v/>
      </c>
      <c r="K160" s="204" t="str">
        <f t="shared" si="41"/>
        <v/>
      </c>
      <c r="L160" s="204" t="str">
        <f t="shared" si="42"/>
        <v/>
      </c>
      <c r="M160" s="76" t="str">
        <f t="shared" si="43"/>
        <v/>
      </c>
      <c r="N160" s="206">
        <f t="shared" si="44"/>
        <v>0</v>
      </c>
      <c r="O160" s="206">
        <f t="shared" si="45"/>
        <v>0</v>
      </c>
      <c r="P160" s="206">
        <f t="shared" si="46"/>
        <v>0</v>
      </c>
      <c r="Q160" s="206">
        <f t="shared" si="47"/>
        <v>0</v>
      </c>
      <c r="X160" s="71" t="str">
        <f t="shared" si="33"/>
        <v/>
      </c>
      <c r="Y160">
        <f t="shared" si="34"/>
        <v>0</v>
      </c>
      <c r="Z160">
        <f t="shared" si="35"/>
        <v>0</v>
      </c>
      <c r="AA160">
        <f t="shared" si="36"/>
        <v>0</v>
      </c>
      <c r="AB160">
        <f t="shared" si="37"/>
        <v>0</v>
      </c>
      <c r="AC160" t="str">
        <f t="shared" si="38"/>
        <v/>
      </c>
      <c r="AD160" s="204">
        <f t="shared" si="48"/>
        <v>0</v>
      </c>
      <c r="AE160" s="204">
        <f t="shared" si="49"/>
        <v>0</v>
      </c>
      <c r="AF160" s="204">
        <f t="shared" si="50"/>
        <v>0</v>
      </c>
      <c r="AG160" s="204">
        <f t="shared" si="51"/>
        <v>0</v>
      </c>
    </row>
    <row r="161" spans="1:33" x14ac:dyDescent="0.3">
      <c r="A161" s="204" t="s">
        <v>409</v>
      </c>
      <c r="B161" s="205"/>
      <c r="C161" s="205"/>
      <c r="D161" s="205"/>
      <c r="E161" s="205"/>
      <c r="F161" s="204"/>
      <c r="G161" s="204"/>
      <c r="H161" s="204"/>
      <c r="I161" s="204" t="str">
        <f t="shared" si="39"/>
        <v/>
      </c>
      <c r="J161" s="204" t="str">
        <f t="shared" si="40"/>
        <v/>
      </c>
      <c r="K161" s="204" t="str">
        <f t="shared" si="41"/>
        <v/>
      </c>
      <c r="L161" s="204" t="str">
        <f t="shared" si="42"/>
        <v/>
      </c>
      <c r="M161" s="76" t="str">
        <f t="shared" si="43"/>
        <v/>
      </c>
      <c r="N161" s="206">
        <f t="shared" si="44"/>
        <v>0</v>
      </c>
      <c r="O161" s="206">
        <f t="shared" si="45"/>
        <v>0</v>
      </c>
      <c r="P161" s="206">
        <f t="shared" si="46"/>
        <v>0</v>
      </c>
      <c r="Q161" s="206">
        <f t="shared" si="47"/>
        <v>0</v>
      </c>
      <c r="X161" s="71" t="str">
        <f t="shared" si="33"/>
        <v/>
      </c>
      <c r="Y161">
        <f t="shared" si="34"/>
        <v>0</v>
      </c>
      <c r="Z161">
        <f t="shared" si="35"/>
        <v>0</v>
      </c>
      <c r="AA161">
        <f t="shared" si="36"/>
        <v>0</v>
      </c>
      <c r="AB161">
        <f t="shared" si="37"/>
        <v>0</v>
      </c>
      <c r="AC161" t="str">
        <f t="shared" si="38"/>
        <v/>
      </c>
      <c r="AD161" s="204">
        <f t="shared" si="48"/>
        <v>0</v>
      </c>
      <c r="AE161" s="204">
        <f t="shared" si="49"/>
        <v>0</v>
      </c>
      <c r="AF161" s="204">
        <f t="shared" si="50"/>
        <v>0</v>
      </c>
      <c r="AG161" s="204">
        <f t="shared" si="51"/>
        <v>0</v>
      </c>
    </row>
    <row r="162" spans="1:33" x14ac:dyDescent="0.3">
      <c r="A162" s="204" t="s">
        <v>410</v>
      </c>
      <c r="B162" s="205"/>
      <c r="C162" s="205"/>
      <c r="D162" s="205"/>
      <c r="E162" s="205"/>
      <c r="F162" s="204"/>
      <c r="G162" s="204"/>
      <c r="H162" s="204"/>
      <c r="I162" s="204" t="str">
        <f t="shared" si="39"/>
        <v/>
      </c>
      <c r="J162" s="204" t="str">
        <f t="shared" si="40"/>
        <v/>
      </c>
      <c r="K162" s="204" t="str">
        <f t="shared" si="41"/>
        <v/>
      </c>
      <c r="L162" s="204" t="str">
        <f t="shared" si="42"/>
        <v/>
      </c>
      <c r="M162" s="76" t="str">
        <f t="shared" si="43"/>
        <v/>
      </c>
      <c r="N162" s="206">
        <f t="shared" si="44"/>
        <v>0</v>
      </c>
      <c r="O162" s="206">
        <f t="shared" si="45"/>
        <v>0</v>
      </c>
      <c r="P162" s="206">
        <f t="shared" si="46"/>
        <v>0</v>
      </c>
      <c r="Q162" s="206">
        <f t="shared" si="47"/>
        <v>0</v>
      </c>
      <c r="X162" s="71" t="str">
        <f t="shared" si="33"/>
        <v/>
      </c>
      <c r="Y162">
        <f t="shared" si="34"/>
        <v>0</v>
      </c>
      <c r="Z162">
        <f t="shared" si="35"/>
        <v>0</v>
      </c>
      <c r="AA162">
        <f t="shared" si="36"/>
        <v>0</v>
      </c>
      <c r="AB162">
        <f t="shared" si="37"/>
        <v>0</v>
      </c>
      <c r="AC162" t="str">
        <f t="shared" si="38"/>
        <v/>
      </c>
      <c r="AD162" s="204">
        <f t="shared" si="48"/>
        <v>0</v>
      </c>
      <c r="AE162" s="204">
        <f t="shared" si="49"/>
        <v>0</v>
      </c>
      <c r="AF162" s="204">
        <f t="shared" si="50"/>
        <v>0</v>
      </c>
      <c r="AG162" s="204">
        <f t="shared" si="51"/>
        <v>0</v>
      </c>
    </row>
    <row r="163" spans="1:33" x14ac:dyDescent="0.3">
      <c r="A163" s="204" t="s">
        <v>411</v>
      </c>
      <c r="B163" s="205"/>
      <c r="C163" s="205"/>
      <c r="D163" s="205"/>
      <c r="E163" s="205"/>
      <c r="F163" s="204"/>
      <c r="G163" s="204"/>
      <c r="H163" s="204"/>
      <c r="I163" s="204" t="str">
        <f t="shared" si="39"/>
        <v/>
      </c>
      <c r="J163" s="204" t="str">
        <f t="shared" si="40"/>
        <v/>
      </c>
      <c r="K163" s="204" t="str">
        <f t="shared" si="41"/>
        <v/>
      </c>
      <c r="L163" s="204" t="str">
        <f t="shared" si="42"/>
        <v/>
      </c>
      <c r="M163" s="76" t="str">
        <f t="shared" si="43"/>
        <v/>
      </c>
      <c r="N163" s="206">
        <f t="shared" si="44"/>
        <v>0</v>
      </c>
      <c r="O163" s="206">
        <f t="shared" si="45"/>
        <v>0</v>
      </c>
      <c r="P163" s="206">
        <f t="shared" si="46"/>
        <v>0</v>
      </c>
      <c r="Q163" s="206">
        <f t="shared" si="47"/>
        <v>0</v>
      </c>
      <c r="X163" s="71" t="str">
        <f t="shared" si="33"/>
        <v/>
      </c>
      <c r="Y163">
        <f t="shared" si="34"/>
        <v>0</v>
      </c>
      <c r="Z163">
        <f t="shared" si="35"/>
        <v>0</v>
      </c>
      <c r="AA163">
        <f t="shared" si="36"/>
        <v>0</v>
      </c>
      <c r="AB163">
        <f t="shared" si="37"/>
        <v>0</v>
      </c>
      <c r="AC163" t="str">
        <f t="shared" si="38"/>
        <v/>
      </c>
      <c r="AD163" s="204">
        <f t="shared" si="48"/>
        <v>0</v>
      </c>
      <c r="AE163" s="204">
        <f t="shared" si="49"/>
        <v>0</v>
      </c>
      <c r="AF163" s="204">
        <f t="shared" si="50"/>
        <v>0</v>
      </c>
      <c r="AG163" s="204">
        <f t="shared" si="51"/>
        <v>0</v>
      </c>
    </row>
    <row r="164" spans="1:33" x14ac:dyDescent="0.3">
      <c r="A164" s="204" t="s">
        <v>412</v>
      </c>
      <c r="B164" s="205"/>
      <c r="C164" s="205"/>
      <c r="D164" s="205"/>
      <c r="E164" s="205"/>
      <c r="F164" s="204"/>
      <c r="G164" s="204"/>
      <c r="H164" s="204"/>
      <c r="I164" s="204" t="str">
        <f t="shared" si="39"/>
        <v/>
      </c>
      <c r="J164" s="204" t="str">
        <f t="shared" si="40"/>
        <v/>
      </c>
      <c r="K164" s="204" t="str">
        <f t="shared" si="41"/>
        <v/>
      </c>
      <c r="L164" s="204" t="str">
        <f t="shared" si="42"/>
        <v/>
      </c>
      <c r="M164" s="76" t="str">
        <f t="shared" si="43"/>
        <v/>
      </c>
      <c r="N164" s="206">
        <f t="shared" si="44"/>
        <v>0</v>
      </c>
      <c r="O164" s="206">
        <f t="shared" si="45"/>
        <v>0</v>
      </c>
      <c r="P164" s="206">
        <f t="shared" si="46"/>
        <v>0</v>
      </c>
      <c r="Q164" s="206">
        <f t="shared" si="47"/>
        <v>0</v>
      </c>
      <c r="X164" s="71" t="str">
        <f t="shared" si="33"/>
        <v/>
      </c>
      <c r="Y164">
        <f t="shared" si="34"/>
        <v>0</v>
      </c>
      <c r="Z164">
        <f t="shared" si="35"/>
        <v>0</v>
      </c>
      <c r="AA164">
        <f t="shared" si="36"/>
        <v>0</v>
      </c>
      <c r="AB164">
        <f t="shared" si="37"/>
        <v>0</v>
      </c>
      <c r="AC164" t="str">
        <f t="shared" si="38"/>
        <v/>
      </c>
      <c r="AD164" s="204">
        <f t="shared" si="48"/>
        <v>0</v>
      </c>
      <c r="AE164" s="204">
        <f t="shared" si="49"/>
        <v>0</v>
      </c>
      <c r="AF164" s="204">
        <f t="shared" si="50"/>
        <v>0</v>
      </c>
      <c r="AG164" s="204">
        <f t="shared" si="51"/>
        <v>0</v>
      </c>
    </row>
    <row r="165" spans="1:33" x14ac:dyDescent="0.3">
      <c r="A165" s="204" t="s">
        <v>405</v>
      </c>
      <c r="B165" s="205"/>
      <c r="C165" s="205"/>
      <c r="D165" s="205"/>
      <c r="E165" s="205"/>
      <c r="F165" s="204"/>
      <c r="G165" s="204"/>
      <c r="H165" s="204"/>
      <c r="I165" s="204" t="str">
        <f t="shared" si="39"/>
        <v/>
      </c>
      <c r="J165" s="204" t="str">
        <f t="shared" si="40"/>
        <v/>
      </c>
      <c r="K165" s="204" t="str">
        <f t="shared" si="41"/>
        <v/>
      </c>
      <c r="L165" s="204" t="str">
        <f t="shared" si="42"/>
        <v/>
      </c>
      <c r="M165" s="76" t="str">
        <f t="shared" si="43"/>
        <v/>
      </c>
      <c r="N165" s="206">
        <f t="shared" si="44"/>
        <v>0</v>
      </c>
      <c r="O165" s="206">
        <f t="shared" si="45"/>
        <v>0</v>
      </c>
      <c r="P165" s="206">
        <f t="shared" si="46"/>
        <v>0</v>
      </c>
      <c r="Q165" s="206">
        <f t="shared" si="47"/>
        <v>0</v>
      </c>
      <c r="X165" s="71" t="str">
        <f t="shared" si="33"/>
        <v/>
      </c>
      <c r="Y165">
        <f t="shared" si="34"/>
        <v>0</v>
      </c>
      <c r="Z165">
        <f t="shared" si="35"/>
        <v>0</v>
      </c>
      <c r="AA165">
        <f t="shared" si="36"/>
        <v>0</v>
      </c>
      <c r="AB165">
        <f t="shared" si="37"/>
        <v>0</v>
      </c>
      <c r="AC165" t="str">
        <f t="shared" si="38"/>
        <v/>
      </c>
      <c r="AD165" s="204">
        <f t="shared" si="48"/>
        <v>0</v>
      </c>
      <c r="AE165" s="204">
        <f t="shared" si="49"/>
        <v>0</v>
      </c>
      <c r="AF165" s="204">
        <f t="shared" si="50"/>
        <v>0</v>
      </c>
      <c r="AG165" s="204">
        <f t="shared" si="51"/>
        <v>0</v>
      </c>
    </row>
    <row r="166" spans="1:33" x14ac:dyDescent="0.3">
      <c r="A166" s="204" t="s">
        <v>413</v>
      </c>
      <c r="B166" s="205"/>
      <c r="C166" s="205"/>
      <c r="D166" s="205"/>
      <c r="E166" s="205"/>
      <c r="F166" s="204"/>
      <c r="G166" s="204"/>
      <c r="H166" s="204"/>
      <c r="I166" s="204" t="str">
        <f t="shared" si="39"/>
        <v/>
      </c>
      <c r="J166" s="204" t="str">
        <f t="shared" si="40"/>
        <v/>
      </c>
      <c r="K166" s="204" t="str">
        <f t="shared" si="41"/>
        <v/>
      </c>
      <c r="L166" s="204" t="str">
        <f t="shared" si="42"/>
        <v/>
      </c>
      <c r="M166" s="76" t="str">
        <f t="shared" si="43"/>
        <v/>
      </c>
      <c r="N166" s="206">
        <f t="shared" si="44"/>
        <v>0</v>
      </c>
      <c r="O166" s="206">
        <f t="shared" si="45"/>
        <v>0</v>
      </c>
      <c r="P166" s="206">
        <f t="shared" si="46"/>
        <v>0</v>
      </c>
      <c r="Q166" s="206">
        <f t="shared" si="47"/>
        <v>0</v>
      </c>
      <c r="X166" s="71" t="str">
        <f t="shared" si="33"/>
        <v/>
      </c>
      <c r="Y166">
        <f t="shared" si="34"/>
        <v>0</v>
      </c>
      <c r="Z166">
        <f t="shared" si="35"/>
        <v>0</v>
      </c>
      <c r="AA166">
        <f t="shared" si="36"/>
        <v>0</v>
      </c>
      <c r="AB166">
        <f t="shared" si="37"/>
        <v>0</v>
      </c>
      <c r="AC166" t="str">
        <f t="shared" si="38"/>
        <v/>
      </c>
      <c r="AD166" s="204">
        <f t="shared" si="48"/>
        <v>0</v>
      </c>
      <c r="AE166" s="204">
        <f t="shared" si="49"/>
        <v>0</v>
      </c>
      <c r="AF166" s="204">
        <f t="shared" si="50"/>
        <v>0</v>
      </c>
      <c r="AG166" s="204">
        <f t="shared" si="51"/>
        <v>0</v>
      </c>
    </row>
    <row r="167" spans="1:33" x14ac:dyDescent="0.3">
      <c r="A167" s="204" t="s">
        <v>414</v>
      </c>
      <c r="B167" s="205"/>
      <c r="C167" s="205"/>
      <c r="D167" s="205"/>
      <c r="E167" s="205"/>
      <c r="F167" s="204"/>
      <c r="G167" s="204"/>
      <c r="H167" s="204"/>
      <c r="I167" s="204" t="str">
        <f t="shared" si="39"/>
        <v/>
      </c>
      <c r="J167" s="204" t="str">
        <f t="shared" si="40"/>
        <v/>
      </c>
      <c r="K167" s="204" t="str">
        <f t="shared" si="41"/>
        <v/>
      </c>
      <c r="L167" s="204" t="str">
        <f t="shared" si="42"/>
        <v/>
      </c>
      <c r="M167" s="76" t="str">
        <f t="shared" si="43"/>
        <v/>
      </c>
      <c r="N167" s="206">
        <f t="shared" si="44"/>
        <v>0</v>
      </c>
      <c r="O167" s="206">
        <f t="shared" si="45"/>
        <v>0</v>
      </c>
      <c r="P167" s="206">
        <f t="shared" si="46"/>
        <v>0</v>
      </c>
      <c r="Q167" s="206">
        <f t="shared" si="47"/>
        <v>0</v>
      </c>
      <c r="X167" s="71" t="str">
        <f t="shared" si="33"/>
        <v/>
      </c>
      <c r="Y167">
        <f t="shared" si="34"/>
        <v>0</v>
      </c>
      <c r="Z167">
        <f t="shared" si="35"/>
        <v>0</v>
      </c>
      <c r="AA167">
        <f t="shared" si="36"/>
        <v>0</v>
      </c>
      <c r="AB167">
        <f t="shared" si="37"/>
        <v>0</v>
      </c>
      <c r="AC167" t="str">
        <f t="shared" si="38"/>
        <v/>
      </c>
      <c r="AD167" s="204">
        <f t="shared" si="48"/>
        <v>0</v>
      </c>
      <c r="AE167" s="204">
        <f t="shared" si="49"/>
        <v>0</v>
      </c>
      <c r="AF167" s="204">
        <f t="shared" si="50"/>
        <v>0</v>
      </c>
      <c r="AG167" s="204">
        <f t="shared" si="51"/>
        <v>0</v>
      </c>
    </row>
    <row r="168" spans="1:33" x14ac:dyDescent="0.3">
      <c r="A168" s="204" t="s">
        <v>415</v>
      </c>
      <c r="B168" s="205"/>
      <c r="C168" s="205"/>
      <c r="D168" s="205"/>
      <c r="E168" s="205"/>
      <c r="F168" s="204"/>
      <c r="G168" s="204"/>
      <c r="H168" s="204"/>
      <c r="I168" s="204" t="str">
        <f t="shared" si="39"/>
        <v/>
      </c>
      <c r="J168" s="204" t="str">
        <f t="shared" si="40"/>
        <v/>
      </c>
      <c r="K168" s="204" t="str">
        <f t="shared" si="41"/>
        <v/>
      </c>
      <c r="L168" s="204" t="str">
        <f t="shared" si="42"/>
        <v/>
      </c>
      <c r="M168" s="76" t="str">
        <f t="shared" si="43"/>
        <v/>
      </c>
      <c r="N168" s="206">
        <f t="shared" si="44"/>
        <v>0</v>
      </c>
      <c r="O168" s="206">
        <f t="shared" si="45"/>
        <v>0</v>
      </c>
      <c r="P168" s="206">
        <f t="shared" si="46"/>
        <v>0</v>
      </c>
      <c r="Q168" s="206">
        <f t="shared" si="47"/>
        <v>0</v>
      </c>
      <c r="X168" s="71" t="str">
        <f t="shared" si="33"/>
        <v/>
      </c>
      <c r="Y168">
        <f t="shared" si="34"/>
        <v>0</v>
      </c>
      <c r="Z168">
        <f t="shared" si="35"/>
        <v>0</v>
      </c>
      <c r="AA168">
        <f t="shared" si="36"/>
        <v>0</v>
      </c>
      <c r="AB168">
        <f t="shared" si="37"/>
        <v>0</v>
      </c>
      <c r="AC168" t="str">
        <f t="shared" si="38"/>
        <v/>
      </c>
      <c r="AD168" s="204">
        <f t="shared" si="48"/>
        <v>0</v>
      </c>
      <c r="AE168" s="204">
        <f t="shared" si="49"/>
        <v>0</v>
      </c>
      <c r="AF168" s="204">
        <f t="shared" si="50"/>
        <v>0</v>
      </c>
      <c r="AG168" s="204">
        <f t="shared" si="51"/>
        <v>0</v>
      </c>
    </row>
    <row r="169" spans="1:33" x14ac:dyDescent="0.3">
      <c r="A169" s="204"/>
      <c r="B169" s="205" t="s">
        <v>3</v>
      </c>
      <c r="C169" s="205" t="s">
        <v>416</v>
      </c>
      <c r="D169" s="205" t="s">
        <v>417</v>
      </c>
      <c r="E169" s="205" t="s">
        <v>418</v>
      </c>
      <c r="F169" s="204" t="s">
        <v>419</v>
      </c>
      <c r="G169" s="204" t="s">
        <v>420</v>
      </c>
      <c r="H169" s="204" t="s">
        <v>97</v>
      </c>
      <c r="I169" s="204" t="str">
        <f t="shared" si="39"/>
        <v/>
      </c>
      <c r="J169" s="204" t="str">
        <f t="shared" si="40"/>
        <v/>
      </c>
      <c r="K169" s="204" t="str">
        <f t="shared" si="41"/>
        <v/>
      </c>
      <c r="L169" s="204" t="str">
        <f t="shared" si="42"/>
        <v/>
      </c>
      <c r="M169" s="76" t="str">
        <f t="shared" si="43"/>
        <v/>
      </c>
      <c r="N169" s="206">
        <f t="shared" si="44"/>
        <v>0</v>
      </c>
      <c r="O169" s="206">
        <f t="shared" si="45"/>
        <v>0</v>
      </c>
      <c r="P169" s="206">
        <f t="shared" si="46"/>
        <v>0</v>
      </c>
      <c r="Q169" s="206">
        <f t="shared" si="47"/>
        <v>0</v>
      </c>
      <c r="X169" s="71" t="str">
        <f t="shared" si="33"/>
        <v/>
      </c>
      <c r="Y169">
        <f t="shared" si="34"/>
        <v>0</v>
      </c>
      <c r="Z169">
        <f t="shared" si="35"/>
        <v>0</v>
      </c>
      <c r="AA169">
        <f t="shared" si="36"/>
        <v>0</v>
      </c>
      <c r="AB169">
        <f t="shared" si="37"/>
        <v>0</v>
      </c>
      <c r="AC169" t="str">
        <f t="shared" si="38"/>
        <v/>
      </c>
      <c r="AD169" s="204">
        <f t="shared" si="48"/>
        <v>0</v>
      </c>
      <c r="AE169" s="204">
        <f t="shared" si="49"/>
        <v>0</v>
      </c>
      <c r="AF169" s="204">
        <f t="shared" si="50"/>
        <v>0</v>
      </c>
      <c r="AG169" s="204">
        <f t="shared" si="51"/>
        <v>0</v>
      </c>
    </row>
    <row r="170" spans="1:33" x14ac:dyDescent="0.3">
      <c r="A170" s="204" t="s">
        <v>421</v>
      </c>
      <c r="B170" s="205" t="s">
        <v>422</v>
      </c>
      <c r="C170" s="205" t="s">
        <v>422</v>
      </c>
      <c r="D170" s="205" t="s">
        <v>422</v>
      </c>
      <c r="E170" s="205" t="s">
        <v>422</v>
      </c>
      <c r="F170" s="204" t="s">
        <v>422</v>
      </c>
      <c r="G170" s="204" t="s">
        <v>422</v>
      </c>
      <c r="H170" s="204" t="s">
        <v>422</v>
      </c>
      <c r="I170" s="204" t="str">
        <f t="shared" si="39"/>
        <v/>
      </c>
      <c r="J170" s="204" t="str">
        <f t="shared" si="40"/>
        <v/>
      </c>
      <c r="K170" s="204" t="str">
        <f t="shared" si="41"/>
        <v/>
      </c>
      <c r="L170" s="204" t="str">
        <f t="shared" si="42"/>
        <v/>
      </c>
      <c r="M170" s="76" t="str">
        <f t="shared" si="43"/>
        <v/>
      </c>
      <c r="N170" s="206">
        <f t="shared" si="44"/>
        <v>0</v>
      </c>
      <c r="O170" s="206">
        <f t="shared" si="45"/>
        <v>0</v>
      </c>
      <c r="P170" s="206">
        <f t="shared" si="46"/>
        <v>0</v>
      </c>
      <c r="Q170" s="206">
        <f t="shared" si="47"/>
        <v>0</v>
      </c>
      <c r="X170" s="71" t="str">
        <f t="shared" si="33"/>
        <v/>
      </c>
      <c r="Y170">
        <f t="shared" si="34"/>
        <v>0</v>
      </c>
      <c r="Z170">
        <f t="shared" si="35"/>
        <v>0</v>
      </c>
      <c r="AA170">
        <f t="shared" si="36"/>
        <v>0</v>
      </c>
      <c r="AB170">
        <f t="shared" si="37"/>
        <v>0</v>
      </c>
      <c r="AC170" t="str">
        <f t="shared" si="38"/>
        <v/>
      </c>
      <c r="AD170" s="204">
        <f t="shared" si="48"/>
        <v>0</v>
      </c>
      <c r="AE170" s="204">
        <f t="shared" si="49"/>
        <v>0</v>
      </c>
      <c r="AF170" s="204">
        <f t="shared" si="50"/>
        <v>0</v>
      </c>
      <c r="AG170" s="204">
        <f t="shared" si="51"/>
        <v>0</v>
      </c>
    </row>
    <row r="171" spans="1:33" x14ac:dyDescent="0.3">
      <c r="A171" s="204" t="s">
        <v>394</v>
      </c>
      <c r="B171" s="205" t="s">
        <v>422</v>
      </c>
      <c r="C171" s="205" t="s">
        <v>422</v>
      </c>
      <c r="D171" s="205" t="s">
        <v>422</v>
      </c>
      <c r="E171" s="205" t="s">
        <v>422</v>
      </c>
      <c r="F171" s="204" t="s">
        <v>422</v>
      </c>
      <c r="G171" s="204" t="s">
        <v>422</v>
      </c>
      <c r="H171" s="204" t="s">
        <v>422</v>
      </c>
      <c r="I171" s="204" t="str">
        <f t="shared" si="39"/>
        <v/>
      </c>
      <c r="J171" s="204" t="str">
        <f t="shared" si="40"/>
        <v/>
      </c>
      <c r="K171" s="204" t="str">
        <f t="shared" si="41"/>
        <v/>
      </c>
      <c r="L171" s="204" t="str">
        <f t="shared" si="42"/>
        <v/>
      </c>
      <c r="M171" s="76" t="str">
        <f t="shared" si="43"/>
        <v/>
      </c>
      <c r="N171" s="206">
        <f t="shared" si="44"/>
        <v>0</v>
      </c>
      <c r="O171" s="206">
        <f t="shared" si="45"/>
        <v>0</v>
      </c>
      <c r="P171" s="206">
        <f t="shared" si="46"/>
        <v>0</v>
      </c>
      <c r="Q171" s="206">
        <f t="shared" si="47"/>
        <v>0</v>
      </c>
      <c r="X171" s="71" t="str">
        <f t="shared" si="33"/>
        <v/>
      </c>
      <c r="Y171">
        <f t="shared" si="34"/>
        <v>0</v>
      </c>
      <c r="Z171">
        <f t="shared" si="35"/>
        <v>0</v>
      </c>
      <c r="AA171">
        <f t="shared" si="36"/>
        <v>0</v>
      </c>
      <c r="AB171">
        <f t="shared" si="37"/>
        <v>0</v>
      </c>
      <c r="AC171" t="str">
        <f t="shared" si="38"/>
        <v/>
      </c>
      <c r="AD171" s="204">
        <f t="shared" si="48"/>
        <v>0</v>
      </c>
      <c r="AE171" s="204">
        <f t="shared" si="49"/>
        <v>0</v>
      </c>
      <c r="AF171" s="204">
        <f t="shared" si="50"/>
        <v>0</v>
      </c>
      <c r="AG171" s="204">
        <f t="shared" si="51"/>
        <v>0</v>
      </c>
    </row>
    <row r="172" spans="1:33" x14ac:dyDescent="0.3">
      <c r="A172" s="204" t="s">
        <v>423</v>
      </c>
      <c r="B172" s="205" t="s">
        <v>422</v>
      </c>
      <c r="C172" s="205" t="s">
        <v>422</v>
      </c>
      <c r="D172" s="205" t="s">
        <v>422</v>
      </c>
      <c r="E172" s="205" t="s">
        <v>422</v>
      </c>
      <c r="F172" s="204" t="s">
        <v>422</v>
      </c>
      <c r="G172" s="204" t="s">
        <v>424</v>
      </c>
      <c r="H172" s="204" t="s">
        <v>422</v>
      </c>
      <c r="I172" s="204" t="str">
        <f t="shared" si="39"/>
        <v/>
      </c>
      <c r="J172" s="204" t="str">
        <f t="shared" si="40"/>
        <v/>
      </c>
      <c r="K172" s="204" t="str">
        <f t="shared" si="41"/>
        <v/>
      </c>
      <c r="L172" s="204" t="str">
        <f t="shared" si="42"/>
        <v/>
      </c>
      <c r="M172" s="76" t="str">
        <f t="shared" si="43"/>
        <v/>
      </c>
      <c r="N172" s="206">
        <f t="shared" si="44"/>
        <v>0</v>
      </c>
      <c r="O172" s="206">
        <f t="shared" si="45"/>
        <v>0</v>
      </c>
      <c r="P172" s="206">
        <f t="shared" si="46"/>
        <v>0</v>
      </c>
      <c r="Q172" s="206">
        <f t="shared" si="47"/>
        <v>0</v>
      </c>
      <c r="X172" s="71" t="str">
        <f t="shared" si="33"/>
        <v/>
      </c>
      <c r="Y172">
        <f t="shared" si="34"/>
        <v>0</v>
      </c>
      <c r="Z172">
        <f t="shared" si="35"/>
        <v>0</v>
      </c>
      <c r="AA172">
        <f t="shared" si="36"/>
        <v>0</v>
      </c>
      <c r="AB172">
        <f t="shared" si="37"/>
        <v>0</v>
      </c>
      <c r="AC172" t="str">
        <f t="shared" si="38"/>
        <v/>
      </c>
      <c r="AD172" s="204">
        <f t="shared" si="48"/>
        <v>0</v>
      </c>
      <c r="AE172" s="204">
        <f t="shared" si="49"/>
        <v>0</v>
      </c>
      <c r="AF172" s="204">
        <f t="shared" si="50"/>
        <v>0</v>
      </c>
      <c r="AG172" s="204">
        <f t="shared" si="51"/>
        <v>0</v>
      </c>
    </row>
    <row r="173" spans="1:33" x14ac:dyDescent="0.3">
      <c r="A173" s="204" t="s">
        <v>425</v>
      </c>
      <c r="B173" s="205"/>
      <c r="C173" s="205"/>
      <c r="D173" s="205"/>
      <c r="E173" s="205"/>
      <c r="F173" s="204"/>
      <c r="G173" s="204"/>
      <c r="H173" s="204"/>
      <c r="I173" s="204" t="str">
        <f t="shared" si="39"/>
        <v/>
      </c>
      <c r="J173" s="204" t="str">
        <f t="shared" si="40"/>
        <v/>
      </c>
      <c r="K173" s="204" t="str">
        <f t="shared" si="41"/>
        <v/>
      </c>
      <c r="L173" s="204" t="str">
        <f t="shared" si="42"/>
        <v/>
      </c>
      <c r="M173" s="76" t="str">
        <f t="shared" si="43"/>
        <v/>
      </c>
      <c r="N173" s="206">
        <f t="shared" si="44"/>
        <v>0</v>
      </c>
      <c r="O173" s="206">
        <f t="shared" si="45"/>
        <v>0</v>
      </c>
      <c r="P173" s="206">
        <f t="shared" si="46"/>
        <v>0</v>
      </c>
      <c r="Q173" s="206">
        <f t="shared" si="47"/>
        <v>0</v>
      </c>
      <c r="X173" s="71" t="str">
        <f t="shared" si="33"/>
        <v/>
      </c>
      <c r="Y173">
        <f t="shared" si="34"/>
        <v>0</v>
      </c>
      <c r="Z173">
        <f t="shared" si="35"/>
        <v>0</v>
      </c>
      <c r="AA173">
        <f t="shared" si="36"/>
        <v>0</v>
      </c>
      <c r="AB173">
        <f t="shared" si="37"/>
        <v>0</v>
      </c>
      <c r="AC173" t="str">
        <f t="shared" si="38"/>
        <v/>
      </c>
      <c r="AD173" s="204">
        <f t="shared" si="48"/>
        <v>0</v>
      </c>
      <c r="AE173" s="204">
        <f t="shared" si="49"/>
        <v>0</v>
      </c>
      <c r="AF173" s="204">
        <f t="shared" si="50"/>
        <v>0</v>
      </c>
      <c r="AG173" s="204">
        <f t="shared" si="51"/>
        <v>0</v>
      </c>
    </row>
    <row r="174" spans="1:33" x14ac:dyDescent="0.3">
      <c r="A174" s="204"/>
      <c r="B174" s="205"/>
      <c r="C174" s="205"/>
      <c r="D174" s="205"/>
      <c r="E174" s="205"/>
      <c r="F174" s="204"/>
      <c r="G174" s="204"/>
      <c r="H174" s="204"/>
      <c r="I174" s="204" t="str">
        <f t="shared" si="39"/>
        <v/>
      </c>
      <c r="J174" s="204" t="str">
        <f t="shared" si="40"/>
        <v/>
      </c>
      <c r="K174" s="204" t="str">
        <f t="shared" si="41"/>
        <v/>
      </c>
      <c r="L174" s="204" t="str">
        <f t="shared" si="42"/>
        <v/>
      </c>
      <c r="M174" s="76" t="str">
        <f t="shared" si="43"/>
        <v/>
      </c>
      <c r="N174" s="206">
        <f t="shared" si="44"/>
        <v>0</v>
      </c>
      <c r="O174" s="206">
        <f t="shared" si="45"/>
        <v>0</v>
      </c>
      <c r="P174" s="206">
        <f t="shared" si="46"/>
        <v>0</v>
      </c>
      <c r="Q174" s="206">
        <f t="shared" si="47"/>
        <v>0</v>
      </c>
      <c r="X174" s="71" t="str">
        <f t="shared" si="33"/>
        <v/>
      </c>
      <c r="Y174">
        <f t="shared" si="34"/>
        <v>0</v>
      </c>
      <c r="Z174">
        <f t="shared" si="35"/>
        <v>0</v>
      </c>
      <c r="AA174">
        <f t="shared" si="36"/>
        <v>0</v>
      </c>
      <c r="AB174">
        <f t="shared" si="37"/>
        <v>0</v>
      </c>
      <c r="AC174" t="str">
        <f t="shared" si="38"/>
        <v/>
      </c>
      <c r="AD174" s="204">
        <f t="shared" si="48"/>
        <v>0</v>
      </c>
      <c r="AE174" s="204">
        <f t="shared" si="49"/>
        <v>0</v>
      </c>
      <c r="AF174" s="204">
        <f t="shared" si="50"/>
        <v>0</v>
      </c>
      <c r="AG174" s="204">
        <f t="shared" si="51"/>
        <v>0</v>
      </c>
    </row>
    <row r="175" spans="1:33" x14ac:dyDescent="0.3">
      <c r="A175" s="204"/>
      <c r="B175" s="205"/>
      <c r="C175" s="205"/>
      <c r="D175" s="205"/>
      <c r="E175" s="205"/>
      <c r="F175" s="204"/>
      <c r="G175" s="204"/>
      <c r="H175" s="204"/>
      <c r="I175" s="204" t="str">
        <f t="shared" si="39"/>
        <v/>
      </c>
      <c r="J175" s="204" t="str">
        <f t="shared" si="40"/>
        <v/>
      </c>
      <c r="K175" s="204" t="str">
        <f t="shared" si="41"/>
        <v/>
      </c>
      <c r="L175" s="204" t="str">
        <f t="shared" si="42"/>
        <v/>
      </c>
      <c r="M175" s="76" t="str">
        <f t="shared" si="43"/>
        <v/>
      </c>
      <c r="N175" s="206">
        <f t="shared" si="44"/>
        <v>0</v>
      </c>
      <c r="O175" s="206">
        <f t="shared" si="45"/>
        <v>0</v>
      </c>
      <c r="P175" s="206">
        <f t="shared" si="46"/>
        <v>0</v>
      </c>
      <c r="Q175" s="206">
        <f t="shared" si="47"/>
        <v>0</v>
      </c>
      <c r="X175" s="71" t="str">
        <f t="shared" si="33"/>
        <v/>
      </c>
      <c r="Y175">
        <f t="shared" si="34"/>
        <v>0</v>
      </c>
      <c r="Z175">
        <f t="shared" si="35"/>
        <v>0</v>
      </c>
      <c r="AA175">
        <f t="shared" si="36"/>
        <v>0</v>
      </c>
      <c r="AB175">
        <f t="shared" si="37"/>
        <v>0</v>
      </c>
      <c r="AC175" t="str">
        <f t="shared" si="38"/>
        <v/>
      </c>
      <c r="AD175" s="204">
        <f t="shared" si="48"/>
        <v>0</v>
      </c>
      <c r="AE175" s="204">
        <f t="shared" si="49"/>
        <v>0</v>
      </c>
      <c r="AF175" s="204">
        <f t="shared" si="50"/>
        <v>0</v>
      </c>
      <c r="AG175" s="204">
        <f t="shared" si="51"/>
        <v>0</v>
      </c>
    </row>
    <row r="176" spans="1:33" x14ac:dyDescent="0.3">
      <c r="A176" s="204"/>
      <c r="B176" s="205"/>
      <c r="C176" s="205"/>
      <c r="D176" s="205"/>
      <c r="E176" s="205"/>
      <c r="F176" s="204"/>
      <c r="G176" s="204"/>
      <c r="H176" s="204"/>
      <c r="I176" s="204" t="str">
        <f t="shared" si="39"/>
        <v/>
      </c>
      <c r="J176" s="204" t="str">
        <f t="shared" si="40"/>
        <v/>
      </c>
      <c r="K176" s="204" t="str">
        <f t="shared" si="41"/>
        <v/>
      </c>
      <c r="L176" s="204" t="str">
        <f t="shared" si="42"/>
        <v/>
      </c>
      <c r="M176" s="76" t="str">
        <f t="shared" si="43"/>
        <v/>
      </c>
      <c r="N176" s="206">
        <f t="shared" si="44"/>
        <v>0</v>
      </c>
      <c r="O176" s="206">
        <f t="shared" si="45"/>
        <v>0</v>
      </c>
      <c r="P176" s="206">
        <f t="shared" si="46"/>
        <v>0</v>
      </c>
      <c r="Q176" s="206">
        <f t="shared" si="47"/>
        <v>0</v>
      </c>
      <c r="X176" s="71" t="str">
        <f t="shared" si="33"/>
        <v/>
      </c>
      <c r="Y176">
        <f t="shared" si="34"/>
        <v>0</v>
      </c>
      <c r="Z176">
        <f t="shared" si="35"/>
        <v>0</v>
      </c>
      <c r="AA176">
        <f t="shared" si="36"/>
        <v>0</v>
      </c>
      <c r="AB176">
        <f t="shared" si="37"/>
        <v>0</v>
      </c>
      <c r="AC176" t="str">
        <f t="shared" si="38"/>
        <v/>
      </c>
      <c r="AD176" s="204">
        <f t="shared" si="48"/>
        <v>0</v>
      </c>
      <c r="AE176" s="204">
        <f t="shared" si="49"/>
        <v>0</v>
      </c>
      <c r="AF176" s="204">
        <f t="shared" si="50"/>
        <v>0</v>
      </c>
      <c r="AG176" s="204">
        <f t="shared" si="51"/>
        <v>0</v>
      </c>
    </row>
    <row r="177" spans="1:33" x14ac:dyDescent="0.3">
      <c r="A177" s="204"/>
      <c r="B177" s="205"/>
      <c r="C177" s="205"/>
      <c r="D177" s="205"/>
      <c r="E177" s="205"/>
      <c r="F177" s="204"/>
      <c r="G177" s="204"/>
      <c r="H177" s="204"/>
      <c r="I177" s="204" t="str">
        <f t="shared" si="39"/>
        <v/>
      </c>
      <c r="J177" s="204" t="str">
        <f t="shared" si="40"/>
        <v/>
      </c>
      <c r="K177" s="204" t="str">
        <f t="shared" si="41"/>
        <v/>
      </c>
      <c r="L177" s="204" t="str">
        <f t="shared" si="42"/>
        <v/>
      </c>
      <c r="M177" s="76" t="str">
        <f t="shared" si="43"/>
        <v/>
      </c>
      <c r="N177" s="206">
        <f t="shared" si="44"/>
        <v>0</v>
      </c>
      <c r="O177" s="206">
        <f t="shared" si="45"/>
        <v>0</v>
      </c>
      <c r="P177" s="206">
        <f t="shared" si="46"/>
        <v>0</v>
      </c>
      <c r="Q177" s="206">
        <f t="shared" si="47"/>
        <v>0</v>
      </c>
      <c r="X177" s="71" t="str">
        <f t="shared" si="33"/>
        <v/>
      </c>
      <c r="Y177">
        <f t="shared" si="34"/>
        <v>0</v>
      </c>
      <c r="Z177">
        <f t="shared" si="35"/>
        <v>0</v>
      </c>
      <c r="AA177">
        <f t="shared" si="36"/>
        <v>0</v>
      </c>
      <c r="AB177">
        <f t="shared" si="37"/>
        <v>0</v>
      </c>
      <c r="AC177" t="str">
        <f t="shared" si="38"/>
        <v/>
      </c>
      <c r="AD177" s="204">
        <f t="shared" si="48"/>
        <v>0</v>
      </c>
      <c r="AE177" s="204">
        <f t="shared" si="49"/>
        <v>0</v>
      </c>
      <c r="AF177" s="204">
        <f t="shared" si="50"/>
        <v>0</v>
      </c>
      <c r="AG177" s="204">
        <f t="shared" si="51"/>
        <v>0</v>
      </c>
    </row>
    <row r="178" spans="1:33" x14ac:dyDescent="0.3">
      <c r="A178" s="204"/>
      <c r="B178" s="205"/>
      <c r="C178" s="205"/>
      <c r="D178" s="205"/>
      <c r="E178" s="205"/>
      <c r="F178" s="204"/>
      <c r="G178" s="204"/>
      <c r="H178" s="204"/>
      <c r="I178" s="204" t="str">
        <f t="shared" si="39"/>
        <v/>
      </c>
      <c r="J178" s="204" t="str">
        <f t="shared" si="40"/>
        <v/>
      </c>
      <c r="K178" s="204" t="str">
        <f t="shared" si="41"/>
        <v/>
      </c>
      <c r="L178" s="204" t="str">
        <f t="shared" si="42"/>
        <v/>
      </c>
      <c r="M178" s="76" t="str">
        <f t="shared" si="43"/>
        <v/>
      </c>
      <c r="N178" s="206">
        <f t="shared" si="44"/>
        <v>0</v>
      </c>
      <c r="O178" s="206">
        <f t="shared" si="45"/>
        <v>0</v>
      </c>
      <c r="P178" s="206">
        <f t="shared" si="46"/>
        <v>0</v>
      </c>
      <c r="Q178" s="206">
        <f t="shared" si="47"/>
        <v>0</v>
      </c>
      <c r="X178" s="71" t="str">
        <f t="shared" si="33"/>
        <v/>
      </c>
      <c r="Y178">
        <f t="shared" si="34"/>
        <v>0</v>
      </c>
      <c r="Z178">
        <f t="shared" si="35"/>
        <v>0</v>
      </c>
      <c r="AA178">
        <f t="shared" si="36"/>
        <v>0</v>
      </c>
      <c r="AB178">
        <f t="shared" si="37"/>
        <v>0</v>
      </c>
      <c r="AC178" t="str">
        <f t="shared" si="38"/>
        <v/>
      </c>
      <c r="AD178" s="204">
        <f t="shared" si="48"/>
        <v>0</v>
      </c>
      <c r="AE178" s="204">
        <f t="shared" si="49"/>
        <v>0</v>
      </c>
      <c r="AF178" s="204">
        <f t="shared" si="50"/>
        <v>0</v>
      </c>
      <c r="AG178" s="204">
        <f t="shared" si="51"/>
        <v>0</v>
      </c>
    </row>
    <row r="179" spans="1:33" x14ac:dyDescent="0.3">
      <c r="A179" s="204"/>
      <c r="B179" s="205"/>
      <c r="C179" s="205"/>
      <c r="D179" s="205"/>
      <c r="E179" s="205"/>
      <c r="F179" s="204"/>
      <c r="G179" s="204"/>
      <c r="H179" s="204"/>
      <c r="I179" s="204" t="str">
        <f t="shared" si="39"/>
        <v/>
      </c>
      <c r="J179" s="204" t="str">
        <f t="shared" si="40"/>
        <v/>
      </c>
      <c r="K179" s="204" t="str">
        <f t="shared" si="41"/>
        <v/>
      </c>
      <c r="L179" s="204" t="str">
        <f t="shared" si="42"/>
        <v/>
      </c>
      <c r="M179" s="76" t="str">
        <f t="shared" si="43"/>
        <v/>
      </c>
      <c r="N179" s="206">
        <f t="shared" si="44"/>
        <v>0</v>
      </c>
      <c r="O179" s="206">
        <f t="shared" si="45"/>
        <v>0</v>
      </c>
      <c r="P179" s="206">
        <f t="shared" si="46"/>
        <v>0</v>
      </c>
      <c r="Q179" s="206">
        <f t="shared" si="47"/>
        <v>0</v>
      </c>
      <c r="X179" s="71" t="str">
        <f t="shared" si="33"/>
        <v/>
      </c>
      <c r="Y179">
        <f t="shared" si="34"/>
        <v>0</v>
      </c>
      <c r="Z179">
        <f t="shared" si="35"/>
        <v>0</v>
      </c>
      <c r="AA179">
        <f t="shared" si="36"/>
        <v>0</v>
      </c>
      <c r="AB179">
        <f t="shared" si="37"/>
        <v>0</v>
      </c>
      <c r="AC179" t="str">
        <f t="shared" si="38"/>
        <v/>
      </c>
      <c r="AD179" s="204">
        <f t="shared" si="48"/>
        <v>0</v>
      </c>
      <c r="AE179" s="204">
        <f t="shared" si="49"/>
        <v>0</v>
      </c>
      <c r="AF179" s="204">
        <f t="shared" si="50"/>
        <v>0</v>
      </c>
      <c r="AG179" s="204">
        <f t="shared" si="51"/>
        <v>0</v>
      </c>
    </row>
    <row r="180" spans="1:33" x14ac:dyDescent="0.3">
      <c r="A180" s="204"/>
      <c r="B180" s="205"/>
      <c r="C180" s="205"/>
      <c r="D180" s="205"/>
      <c r="E180" s="205"/>
      <c r="F180" s="204"/>
      <c r="G180" s="204"/>
      <c r="H180" s="204"/>
      <c r="I180" s="204" t="str">
        <f t="shared" si="39"/>
        <v/>
      </c>
      <c r="J180" s="204" t="str">
        <f t="shared" si="40"/>
        <v/>
      </c>
      <c r="K180" s="204" t="str">
        <f t="shared" si="41"/>
        <v/>
      </c>
      <c r="L180" s="204" t="str">
        <f t="shared" si="42"/>
        <v/>
      </c>
      <c r="M180" s="76" t="str">
        <f t="shared" si="43"/>
        <v/>
      </c>
      <c r="N180" s="206">
        <f t="shared" si="44"/>
        <v>0</v>
      </c>
      <c r="O180" s="206">
        <f t="shared" si="45"/>
        <v>0</v>
      </c>
      <c r="P180" s="206">
        <f t="shared" si="46"/>
        <v>0</v>
      </c>
      <c r="Q180" s="206">
        <f t="shared" si="47"/>
        <v>0</v>
      </c>
      <c r="X180" s="71" t="str">
        <f t="shared" si="33"/>
        <v/>
      </c>
      <c r="Y180">
        <f t="shared" si="34"/>
        <v>0</v>
      </c>
      <c r="Z180">
        <f t="shared" si="35"/>
        <v>0</v>
      </c>
      <c r="AA180">
        <f t="shared" si="36"/>
        <v>0</v>
      </c>
      <c r="AB180">
        <f t="shared" si="37"/>
        <v>0</v>
      </c>
      <c r="AC180" t="str">
        <f t="shared" si="38"/>
        <v/>
      </c>
      <c r="AD180" s="204">
        <f t="shared" si="48"/>
        <v>0</v>
      </c>
      <c r="AE180" s="204">
        <f t="shared" si="49"/>
        <v>0</v>
      </c>
      <c r="AF180" s="204">
        <f t="shared" si="50"/>
        <v>0</v>
      </c>
      <c r="AG180" s="204">
        <f t="shared" si="51"/>
        <v>0</v>
      </c>
    </row>
    <row r="181" spans="1:33" x14ac:dyDescent="0.3">
      <c r="A181" s="204"/>
      <c r="B181" s="205"/>
      <c r="C181" s="205"/>
      <c r="D181" s="205"/>
      <c r="E181" s="205"/>
      <c r="F181" s="204"/>
      <c r="G181" s="204"/>
      <c r="H181" s="204"/>
      <c r="I181" s="204" t="str">
        <f t="shared" si="39"/>
        <v/>
      </c>
      <c r="J181" s="204" t="str">
        <f t="shared" si="40"/>
        <v/>
      </c>
      <c r="K181" s="204" t="str">
        <f t="shared" si="41"/>
        <v/>
      </c>
      <c r="L181" s="204" t="str">
        <f t="shared" si="42"/>
        <v/>
      </c>
      <c r="M181" s="76" t="str">
        <f t="shared" si="43"/>
        <v/>
      </c>
      <c r="N181" s="206">
        <f t="shared" si="44"/>
        <v>0</v>
      </c>
      <c r="O181" s="206">
        <f t="shared" si="45"/>
        <v>0</v>
      </c>
      <c r="P181" s="206">
        <f t="shared" si="46"/>
        <v>0</v>
      </c>
      <c r="Q181" s="206">
        <f t="shared" si="47"/>
        <v>0</v>
      </c>
      <c r="X181" s="71" t="str">
        <f t="shared" si="33"/>
        <v/>
      </c>
      <c r="Y181">
        <f t="shared" si="34"/>
        <v>0</v>
      </c>
      <c r="Z181">
        <f t="shared" si="35"/>
        <v>0</v>
      </c>
      <c r="AA181">
        <f t="shared" si="36"/>
        <v>0</v>
      </c>
      <c r="AB181">
        <f t="shared" si="37"/>
        <v>0</v>
      </c>
      <c r="AC181" t="str">
        <f t="shared" si="38"/>
        <v/>
      </c>
      <c r="AD181" s="204">
        <f t="shared" si="48"/>
        <v>0</v>
      </c>
      <c r="AE181" s="204">
        <f t="shared" si="49"/>
        <v>0</v>
      </c>
      <c r="AF181" s="204">
        <f t="shared" si="50"/>
        <v>0</v>
      </c>
      <c r="AG181" s="204">
        <f t="shared" si="51"/>
        <v>0</v>
      </c>
    </row>
    <row r="182" spans="1:33" x14ac:dyDescent="0.3">
      <c r="A182" s="204"/>
      <c r="B182" s="205"/>
      <c r="C182" s="205"/>
      <c r="D182" s="205"/>
      <c r="E182" s="205"/>
      <c r="F182" s="204"/>
      <c r="G182" s="204"/>
      <c r="H182" s="204"/>
      <c r="I182" s="204" t="str">
        <f t="shared" si="39"/>
        <v/>
      </c>
      <c r="J182" s="204" t="str">
        <f t="shared" si="40"/>
        <v/>
      </c>
      <c r="K182" s="204" t="str">
        <f t="shared" si="41"/>
        <v/>
      </c>
      <c r="L182" s="204" t="str">
        <f t="shared" si="42"/>
        <v/>
      </c>
      <c r="M182" s="76" t="str">
        <f t="shared" si="43"/>
        <v/>
      </c>
      <c r="N182" s="206">
        <f t="shared" si="44"/>
        <v>0</v>
      </c>
      <c r="O182" s="206">
        <f t="shared" si="45"/>
        <v>0</v>
      </c>
      <c r="P182" s="206">
        <f t="shared" si="46"/>
        <v>0</v>
      </c>
      <c r="Q182" s="206">
        <f t="shared" si="47"/>
        <v>0</v>
      </c>
      <c r="X182" s="71" t="str">
        <f t="shared" si="33"/>
        <v/>
      </c>
      <c r="Y182">
        <f t="shared" si="34"/>
        <v>0</v>
      </c>
      <c r="Z182">
        <f t="shared" si="35"/>
        <v>0</v>
      </c>
      <c r="AA182">
        <f t="shared" si="36"/>
        <v>0</v>
      </c>
      <c r="AB182">
        <f t="shared" si="37"/>
        <v>0</v>
      </c>
      <c r="AC182" t="str">
        <f t="shared" si="38"/>
        <v/>
      </c>
      <c r="AD182" s="204">
        <f t="shared" si="48"/>
        <v>0</v>
      </c>
      <c r="AE182" s="204">
        <f t="shared" si="49"/>
        <v>0</v>
      </c>
      <c r="AF182" s="204">
        <f t="shared" si="50"/>
        <v>0</v>
      </c>
      <c r="AG182" s="204">
        <f t="shared" si="51"/>
        <v>0</v>
      </c>
    </row>
    <row r="183" spans="1:33" x14ac:dyDescent="0.3">
      <c r="A183" s="204"/>
      <c r="B183" s="205"/>
      <c r="C183" s="205"/>
      <c r="D183" s="205"/>
      <c r="E183" s="205"/>
      <c r="F183" s="204"/>
      <c r="G183" s="204"/>
      <c r="H183" s="204"/>
      <c r="I183" s="204" t="str">
        <f t="shared" si="39"/>
        <v/>
      </c>
      <c r="J183" s="204" t="str">
        <f t="shared" si="40"/>
        <v/>
      </c>
      <c r="K183" s="204" t="str">
        <f t="shared" si="41"/>
        <v/>
      </c>
      <c r="L183" s="204" t="str">
        <f t="shared" si="42"/>
        <v/>
      </c>
      <c r="M183" s="76" t="str">
        <f t="shared" si="43"/>
        <v/>
      </c>
      <c r="N183" s="206">
        <f t="shared" si="44"/>
        <v>0</v>
      </c>
      <c r="O183" s="206">
        <f t="shared" si="45"/>
        <v>0</v>
      </c>
      <c r="P183" s="206">
        <f t="shared" si="46"/>
        <v>0</v>
      </c>
      <c r="Q183" s="206">
        <f t="shared" si="47"/>
        <v>0</v>
      </c>
      <c r="X183" s="71" t="str">
        <f t="shared" si="33"/>
        <v/>
      </c>
      <c r="Y183">
        <f t="shared" si="34"/>
        <v>0</v>
      </c>
      <c r="Z183">
        <f t="shared" si="35"/>
        <v>0</v>
      </c>
      <c r="AA183">
        <f t="shared" si="36"/>
        <v>0</v>
      </c>
      <c r="AB183">
        <f t="shared" si="37"/>
        <v>0</v>
      </c>
      <c r="AC183" t="str">
        <f t="shared" si="38"/>
        <v/>
      </c>
      <c r="AD183" s="204">
        <f t="shared" si="48"/>
        <v>0</v>
      </c>
      <c r="AE183" s="204">
        <f t="shared" si="49"/>
        <v>0</v>
      </c>
      <c r="AF183" s="204">
        <f t="shared" si="50"/>
        <v>0</v>
      </c>
      <c r="AG183" s="204">
        <f t="shared" si="51"/>
        <v>0</v>
      </c>
    </row>
    <row r="184" spans="1:33" x14ac:dyDescent="0.3">
      <c r="A184" s="204"/>
      <c r="B184" s="205"/>
      <c r="C184" s="205"/>
      <c r="D184" s="205"/>
      <c r="E184" s="205"/>
      <c r="F184" s="204"/>
      <c r="G184" s="204"/>
      <c r="H184" s="204"/>
      <c r="I184" s="204" t="str">
        <f t="shared" si="39"/>
        <v/>
      </c>
      <c r="J184" s="204" t="str">
        <f t="shared" si="40"/>
        <v/>
      </c>
      <c r="K184" s="204" t="str">
        <f t="shared" si="41"/>
        <v/>
      </c>
      <c r="L184" s="204" t="str">
        <f t="shared" si="42"/>
        <v/>
      </c>
      <c r="M184" s="76" t="str">
        <f t="shared" si="43"/>
        <v/>
      </c>
      <c r="N184" s="206">
        <f t="shared" si="44"/>
        <v>0</v>
      </c>
      <c r="O184" s="206">
        <f t="shared" si="45"/>
        <v>0</v>
      </c>
      <c r="P184" s="206">
        <f t="shared" si="46"/>
        <v>0</v>
      </c>
      <c r="Q184" s="206">
        <f t="shared" si="47"/>
        <v>0</v>
      </c>
      <c r="X184" s="71" t="str">
        <f t="shared" si="33"/>
        <v/>
      </c>
      <c r="Y184">
        <f t="shared" si="34"/>
        <v>0</v>
      </c>
      <c r="Z184">
        <f t="shared" si="35"/>
        <v>0</v>
      </c>
      <c r="AA184">
        <f t="shared" si="36"/>
        <v>0</v>
      </c>
      <c r="AB184">
        <f t="shared" si="37"/>
        <v>0</v>
      </c>
      <c r="AC184" t="str">
        <f t="shared" si="38"/>
        <v/>
      </c>
      <c r="AD184" s="204">
        <f t="shared" si="48"/>
        <v>0</v>
      </c>
      <c r="AE184" s="204">
        <f t="shared" si="49"/>
        <v>0</v>
      </c>
      <c r="AF184" s="204">
        <f t="shared" si="50"/>
        <v>0</v>
      </c>
      <c r="AG184" s="204">
        <f t="shared" si="51"/>
        <v>0</v>
      </c>
    </row>
    <row r="185" spans="1:33" x14ac:dyDescent="0.3">
      <c r="A185" s="204"/>
      <c r="B185" s="205"/>
      <c r="C185" s="205"/>
      <c r="D185" s="205"/>
      <c r="E185" s="205"/>
      <c r="F185" s="204"/>
      <c r="G185" s="204"/>
      <c r="H185" s="204"/>
      <c r="I185" s="204" t="str">
        <f t="shared" si="39"/>
        <v/>
      </c>
      <c r="J185" s="204" t="str">
        <f t="shared" si="40"/>
        <v/>
      </c>
      <c r="K185" s="204" t="str">
        <f t="shared" si="41"/>
        <v/>
      </c>
      <c r="L185" s="204" t="str">
        <f t="shared" si="42"/>
        <v/>
      </c>
      <c r="M185" s="76" t="str">
        <f t="shared" si="43"/>
        <v/>
      </c>
      <c r="N185" s="206">
        <f t="shared" si="44"/>
        <v>0</v>
      </c>
      <c r="O185" s="206">
        <f t="shared" si="45"/>
        <v>0</v>
      </c>
      <c r="P185" s="206">
        <f t="shared" si="46"/>
        <v>0</v>
      </c>
      <c r="Q185" s="206">
        <f t="shared" si="47"/>
        <v>0</v>
      </c>
      <c r="X185" s="71" t="str">
        <f t="shared" si="33"/>
        <v/>
      </c>
      <c r="Y185">
        <f t="shared" si="34"/>
        <v>0</v>
      </c>
      <c r="Z185">
        <f t="shared" si="35"/>
        <v>0</v>
      </c>
      <c r="AA185">
        <f t="shared" si="36"/>
        <v>0</v>
      </c>
      <c r="AB185">
        <f t="shared" si="37"/>
        <v>0</v>
      </c>
      <c r="AC185" t="str">
        <f t="shared" si="38"/>
        <v/>
      </c>
      <c r="AD185" s="204">
        <f t="shared" si="48"/>
        <v>0</v>
      </c>
      <c r="AE185" s="204">
        <f t="shared" si="49"/>
        <v>0</v>
      </c>
      <c r="AF185" s="204">
        <f t="shared" si="50"/>
        <v>0</v>
      </c>
      <c r="AG185" s="204">
        <f t="shared" si="51"/>
        <v>0</v>
      </c>
    </row>
    <row r="186" spans="1:33" x14ac:dyDescent="0.3">
      <c r="A186" s="204"/>
      <c r="B186" s="205"/>
      <c r="C186" s="205"/>
      <c r="D186" s="205"/>
      <c r="E186" s="205"/>
      <c r="F186" s="204"/>
      <c r="G186" s="204"/>
      <c r="H186" s="204"/>
      <c r="I186" s="204" t="str">
        <f t="shared" si="39"/>
        <v/>
      </c>
      <c r="J186" s="204" t="str">
        <f t="shared" si="40"/>
        <v/>
      </c>
      <c r="K186" s="204" t="str">
        <f t="shared" si="41"/>
        <v/>
      </c>
      <c r="L186" s="204" t="str">
        <f t="shared" si="42"/>
        <v/>
      </c>
      <c r="M186" s="76" t="str">
        <f t="shared" si="43"/>
        <v/>
      </c>
      <c r="N186" s="206">
        <f t="shared" si="44"/>
        <v>0</v>
      </c>
      <c r="O186" s="206">
        <f t="shared" si="45"/>
        <v>0</v>
      </c>
      <c r="P186" s="206">
        <f t="shared" si="46"/>
        <v>0</v>
      </c>
      <c r="Q186" s="206">
        <f t="shared" si="47"/>
        <v>0</v>
      </c>
      <c r="X186" s="71" t="str">
        <f t="shared" si="33"/>
        <v/>
      </c>
      <c r="Y186">
        <f t="shared" si="34"/>
        <v>0</v>
      </c>
      <c r="Z186">
        <f t="shared" si="35"/>
        <v>0</v>
      </c>
      <c r="AA186">
        <f t="shared" si="36"/>
        <v>0</v>
      </c>
      <c r="AB186">
        <f t="shared" si="37"/>
        <v>0</v>
      </c>
      <c r="AC186" t="str">
        <f t="shared" si="38"/>
        <v/>
      </c>
      <c r="AD186" s="204">
        <f t="shared" si="48"/>
        <v>0</v>
      </c>
      <c r="AE186" s="204">
        <f t="shared" si="49"/>
        <v>0</v>
      </c>
      <c r="AF186" s="204">
        <f t="shared" si="50"/>
        <v>0</v>
      </c>
      <c r="AG186" s="204">
        <f t="shared" si="51"/>
        <v>0</v>
      </c>
    </row>
    <row r="187" spans="1:33" x14ac:dyDescent="0.3">
      <c r="A187" s="204"/>
      <c r="B187" s="205"/>
      <c r="C187" s="205"/>
      <c r="D187" s="205"/>
      <c r="E187" s="205"/>
      <c r="F187" s="204"/>
      <c r="G187" s="204"/>
      <c r="H187" s="204"/>
      <c r="I187" s="204" t="str">
        <f t="shared" si="39"/>
        <v/>
      </c>
      <c r="J187" s="204" t="str">
        <f t="shared" si="40"/>
        <v/>
      </c>
      <c r="K187" s="204" t="str">
        <f t="shared" si="41"/>
        <v/>
      </c>
      <c r="L187" s="204" t="str">
        <f t="shared" si="42"/>
        <v/>
      </c>
      <c r="M187" s="76" t="str">
        <f t="shared" si="43"/>
        <v/>
      </c>
      <c r="N187" s="206">
        <f t="shared" si="44"/>
        <v>0</v>
      </c>
      <c r="O187" s="206">
        <f t="shared" si="45"/>
        <v>0</v>
      </c>
      <c r="P187" s="206">
        <f t="shared" si="46"/>
        <v>0</v>
      </c>
      <c r="Q187" s="206">
        <f t="shared" si="47"/>
        <v>0</v>
      </c>
      <c r="X187" s="71" t="str">
        <f t="shared" si="33"/>
        <v/>
      </c>
      <c r="Y187">
        <f t="shared" si="34"/>
        <v>0</v>
      </c>
      <c r="Z187">
        <f t="shared" si="35"/>
        <v>0</v>
      </c>
      <c r="AA187">
        <f t="shared" si="36"/>
        <v>0</v>
      </c>
      <c r="AB187">
        <f t="shared" si="37"/>
        <v>0</v>
      </c>
      <c r="AC187" t="str">
        <f t="shared" si="38"/>
        <v/>
      </c>
      <c r="AD187" s="204">
        <f t="shared" si="48"/>
        <v>0</v>
      </c>
      <c r="AE187" s="204">
        <f t="shared" si="49"/>
        <v>0</v>
      </c>
      <c r="AF187" s="204">
        <f t="shared" si="50"/>
        <v>0</v>
      </c>
      <c r="AG187" s="204">
        <f t="shared" si="51"/>
        <v>0</v>
      </c>
    </row>
    <row r="188" spans="1:33" x14ac:dyDescent="0.3">
      <c r="A188" s="204"/>
      <c r="B188" s="205"/>
      <c r="C188" s="205"/>
      <c r="D188" s="205"/>
      <c r="E188" s="205"/>
      <c r="F188" s="204"/>
      <c r="G188" s="204"/>
      <c r="H188" s="204"/>
      <c r="I188" s="204" t="str">
        <f t="shared" si="39"/>
        <v/>
      </c>
      <c r="J188" s="204" t="str">
        <f t="shared" si="40"/>
        <v/>
      </c>
      <c r="K188" s="204" t="str">
        <f t="shared" si="41"/>
        <v/>
      </c>
      <c r="L188" s="204" t="str">
        <f t="shared" si="42"/>
        <v/>
      </c>
      <c r="M188" s="76" t="str">
        <f t="shared" si="43"/>
        <v/>
      </c>
      <c r="N188" s="206">
        <f t="shared" si="44"/>
        <v>0</v>
      </c>
      <c r="O188" s="206">
        <f t="shared" si="45"/>
        <v>0</v>
      </c>
      <c r="P188" s="206">
        <f t="shared" si="46"/>
        <v>0</v>
      </c>
      <c r="Q188" s="206">
        <f t="shared" si="47"/>
        <v>0</v>
      </c>
      <c r="X188" s="71" t="str">
        <f t="shared" si="33"/>
        <v/>
      </c>
      <c r="Y188">
        <f t="shared" si="34"/>
        <v>0</v>
      </c>
      <c r="Z188">
        <f t="shared" si="35"/>
        <v>0</v>
      </c>
      <c r="AA188">
        <f t="shared" si="36"/>
        <v>0</v>
      </c>
      <c r="AB188">
        <f t="shared" si="37"/>
        <v>0</v>
      </c>
      <c r="AC188" t="str">
        <f t="shared" si="38"/>
        <v/>
      </c>
      <c r="AD188" s="204">
        <f t="shared" si="48"/>
        <v>0</v>
      </c>
      <c r="AE188" s="204">
        <f t="shared" si="49"/>
        <v>0</v>
      </c>
      <c r="AF188" s="204">
        <f t="shared" si="50"/>
        <v>0</v>
      </c>
      <c r="AG188" s="204">
        <f t="shared" si="51"/>
        <v>0</v>
      </c>
    </row>
    <row r="189" spans="1:33" x14ac:dyDescent="0.3">
      <c r="A189" s="204"/>
      <c r="B189" s="205"/>
      <c r="C189" s="205"/>
      <c r="D189" s="205"/>
      <c r="E189" s="205"/>
      <c r="F189" s="204"/>
      <c r="G189" s="204"/>
      <c r="H189" s="204"/>
      <c r="I189" s="204" t="str">
        <f t="shared" si="39"/>
        <v/>
      </c>
      <c r="J189" s="204" t="str">
        <f t="shared" si="40"/>
        <v/>
      </c>
      <c r="K189" s="204" t="str">
        <f t="shared" si="41"/>
        <v/>
      </c>
      <c r="L189" s="204" t="str">
        <f t="shared" si="42"/>
        <v/>
      </c>
      <c r="M189" s="76" t="str">
        <f t="shared" si="43"/>
        <v/>
      </c>
      <c r="N189" s="206">
        <f t="shared" si="44"/>
        <v>0</v>
      </c>
      <c r="O189" s="206">
        <f t="shared" si="45"/>
        <v>0</v>
      </c>
      <c r="P189" s="206">
        <f t="shared" si="46"/>
        <v>0</v>
      </c>
      <c r="Q189" s="206">
        <f t="shared" si="47"/>
        <v>0</v>
      </c>
      <c r="X189" s="71" t="str">
        <f t="shared" si="33"/>
        <v/>
      </c>
      <c r="Y189">
        <f t="shared" si="34"/>
        <v>0</v>
      </c>
      <c r="Z189">
        <f t="shared" si="35"/>
        <v>0</v>
      </c>
      <c r="AA189">
        <f t="shared" si="36"/>
        <v>0</v>
      </c>
      <c r="AB189">
        <f t="shared" si="37"/>
        <v>0</v>
      </c>
      <c r="AC189" t="str">
        <f t="shared" si="38"/>
        <v/>
      </c>
      <c r="AD189" s="204">
        <f t="shared" si="48"/>
        <v>0</v>
      </c>
      <c r="AE189" s="204">
        <f t="shared" si="49"/>
        <v>0</v>
      </c>
      <c r="AF189" s="204">
        <f t="shared" si="50"/>
        <v>0</v>
      </c>
      <c r="AG189" s="204">
        <f t="shared" si="51"/>
        <v>0</v>
      </c>
    </row>
    <row r="190" spans="1:33" x14ac:dyDescent="0.3">
      <c r="A190" s="204"/>
      <c r="B190" s="205"/>
      <c r="C190" s="205"/>
      <c r="D190" s="205"/>
      <c r="E190" s="205"/>
      <c r="F190" s="204"/>
      <c r="G190" s="204"/>
      <c r="H190" s="204"/>
      <c r="I190" s="204" t="str">
        <f t="shared" si="39"/>
        <v/>
      </c>
      <c r="J190" s="204" t="str">
        <f t="shared" si="40"/>
        <v/>
      </c>
      <c r="K190" s="204" t="str">
        <f t="shared" si="41"/>
        <v/>
      </c>
      <c r="L190" s="204" t="str">
        <f t="shared" si="42"/>
        <v/>
      </c>
      <c r="M190" s="76" t="str">
        <f t="shared" si="43"/>
        <v/>
      </c>
      <c r="N190" s="206">
        <f t="shared" si="44"/>
        <v>0</v>
      </c>
      <c r="O190" s="206">
        <f t="shared" si="45"/>
        <v>0</v>
      </c>
      <c r="P190" s="206">
        <f t="shared" si="46"/>
        <v>0</v>
      </c>
      <c r="Q190" s="206">
        <f t="shared" si="47"/>
        <v>0</v>
      </c>
      <c r="X190" s="71" t="str">
        <f t="shared" si="33"/>
        <v/>
      </c>
      <c r="Y190">
        <f t="shared" si="34"/>
        <v>0</v>
      </c>
      <c r="Z190">
        <f t="shared" si="35"/>
        <v>0</v>
      </c>
      <c r="AA190">
        <f t="shared" si="36"/>
        <v>0</v>
      </c>
      <c r="AB190">
        <f t="shared" si="37"/>
        <v>0</v>
      </c>
      <c r="AC190" t="str">
        <f t="shared" si="38"/>
        <v/>
      </c>
      <c r="AD190" s="204">
        <f t="shared" si="48"/>
        <v>0</v>
      </c>
      <c r="AE190" s="204">
        <f t="shared" si="49"/>
        <v>0</v>
      </c>
      <c r="AF190" s="204">
        <f t="shared" si="50"/>
        <v>0</v>
      </c>
      <c r="AG190" s="204">
        <f t="shared" si="51"/>
        <v>0</v>
      </c>
    </row>
    <row r="191" spans="1:33" x14ac:dyDescent="0.3">
      <c r="A191" s="204"/>
      <c r="B191" s="205"/>
      <c r="C191" s="205"/>
      <c r="D191" s="205"/>
      <c r="E191" s="205"/>
      <c r="F191" s="204"/>
      <c r="G191" s="204"/>
      <c r="H191" s="204"/>
      <c r="I191" s="204" t="str">
        <f t="shared" si="39"/>
        <v/>
      </c>
      <c r="J191" s="204" t="str">
        <f t="shared" si="40"/>
        <v/>
      </c>
      <c r="K191" s="204" t="str">
        <f t="shared" si="41"/>
        <v/>
      </c>
      <c r="L191" s="204" t="str">
        <f t="shared" si="42"/>
        <v/>
      </c>
      <c r="M191" s="76" t="str">
        <f t="shared" si="43"/>
        <v/>
      </c>
      <c r="N191" s="206">
        <f t="shared" si="44"/>
        <v>0</v>
      </c>
      <c r="O191" s="206">
        <f t="shared" si="45"/>
        <v>0</v>
      </c>
      <c r="P191" s="206">
        <f t="shared" si="46"/>
        <v>0</v>
      </c>
      <c r="Q191" s="206">
        <f t="shared" si="47"/>
        <v>0</v>
      </c>
      <c r="X191" s="71" t="str">
        <f t="shared" si="33"/>
        <v/>
      </c>
      <c r="Y191">
        <f t="shared" si="34"/>
        <v>0</v>
      </c>
      <c r="Z191">
        <f t="shared" si="35"/>
        <v>0</v>
      </c>
      <c r="AA191">
        <f t="shared" si="36"/>
        <v>0</v>
      </c>
      <c r="AB191">
        <f t="shared" si="37"/>
        <v>0</v>
      </c>
      <c r="AC191" t="str">
        <f t="shared" si="38"/>
        <v/>
      </c>
      <c r="AD191" s="204">
        <f t="shared" si="48"/>
        <v>0</v>
      </c>
      <c r="AE191" s="204">
        <f t="shared" si="49"/>
        <v>0</v>
      </c>
      <c r="AF191" s="204">
        <f t="shared" si="50"/>
        <v>0</v>
      </c>
      <c r="AG191" s="204">
        <f t="shared" si="51"/>
        <v>0</v>
      </c>
    </row>
    <row r="192" spans="1:33" x14ac:dyDescent="0.3">
      <c r="A192" s="204"/>
      <c r="B192" s="205"/>
      <c r="C192" s="205"/>
      <c r="D192" s="205"/>
      <c r="E192" s="205"/>
      <c r="F192" s="204"/>
      <c r="G192" s="204"/>
      <c r="H192" s="204"/>
      <c r="I192" s="204" t="str">
        <f t="shared" si="39"/>
        <v/>
      </c>
      <c r="J192" s="204" t="str">
        <f t="shared" si="40"/>
        <v/>
      </c>
      <c r="K192" s="204" t="str">
        <f t="shared" si="41"/>
        <v/>
      </c>
      <c r="L192" s="204" t="str">
        <f t="shared" si="42"/>
        <v/>
      </c>
      <c r="M192" s="76" t="str">
        <f t="shared" si="43"/>
        <v/>
      </c>
      <c r="N192" s="206">
        <f t="shared" si="44"/>
        <v>0</v>
      </c>
      <c r="O192" s="206">
        <f t="shared" si="45"/>
        <v>0</v>
      </c>
      <c r="P192" s="206">
        <f t="shared" si="46"/>
        <v>0</v>
      </c>
      <c r="Q192" s="206">
        <f t="shared" si="47"/>
        <v>0</v>
      </c>
      <c r="X192" s="71" t="str">
        <f t="shared" si="33"/>
        <v/>
      </c>
      <c r="Y192">
        <f t="shared" si="34"/>
        <v>0</v>
      </c>
      <c r="Z192">
        <f t="shared" si="35"/>
        <v>0</v>
      </c>
      <c r="AA192">
        <f t="shared" si="36"/>
        <v>0</v>
      </c>
      <c r="AB192">
        <f t="shared" si="37"/>
        <v>0</v>
      </c>
      <c r="AC192" t="str">
        <f t="shared" si="38"/>
        <v/>
      </c>
      <c r="AD192" s="204">
        <f t="shared" si="48"/>
        <v>0</v>
      </c>
      <c r="AE192" s="204">
        <f t="shared" si="49"/>
        <v>0</v>
      </c>
      <c r="AF192" s="204">
        <f t="shared" si="50"/>
        <v>0</v>
      </c>
      <c r="AG192" s="204">
        <f t="shared" si="51"/>
        <v>0</v>
      </c>
    </row>
    <row r="193" spans="1:33" x14ac:dyDescent="0.3">
      <c r="A193" s="204"/>
      <c r="B193" s="205"/>
      <c r="C193" s="205"/>
      <c r="D193" s="205"/>
      <c r="E193" s="205"/>
      <c r="F193" s="204"/>
      <c r="G193" s="204"/>
      <c r="H193" s="204"/>
      <c r="I193" s="204" t="str">
        <f t="shared" si="39"/>
        <v/>
      </c>
      <c r="J193" s="204" t="str">
        <f t="shared" si="40"/>
        <v/>
      </c>
      <c r="K193" s="204" t="str">
        <f t="shared" si="41"/>
        <v/>
      </c>
      <c r="L193" s="204" t="str">
        <f t="shared" si="42"/>
        <v/>
      </c>
      <c r="M193" s="76" t="str">
        <f t="shared" si="43"/>
        <v/>
      </c>
      <c r="N193" s="206">
        <f t="shared" si="44"/>
        <v>0</v>
      </c>
      <c r="O193" s="206">
        <f t="shared" si="45"/>
        <v>0</v>
      </c>
      <c r="P193" s="206">
        <f t="shared" si="46"/>
        <v>0</v>
      </c>
      <c r="Q193" s="206">
        <f t="shared" si="47"/>
        <v>0</v>
      </c>
      <c r="X193" s="71" t="str">
        <f t="shared" si="33"/>
        <v/>
      </c>
      <c r="Y193">
        <f t="shared" si="34"/>
        <v>0</v>
      </c>
      <c r="Z193">
        <f t="shared" si="35"/>
        <v>0</v>
      </c>
      <c r="AA193">
        <f t="shared" si="36"/>
        <v>0</v>
      </c>
      <c r="AB193">
        <f t="shared" si="37"/>
        <v>0</v>
      </c>
      <c r="AC193" t="str">
        <f t="shared" si="38"/>
        <v/>
      </c>
      <c r="AD193" s="204">
        <f t="shared" si="48"/>
        <v>0</v>
      </c>
      <c r="AE193" s="204">
        <f t="shared" si="49"/>
        <v>0</v>
      </c>
      <c r="AF193" s="204">
        <f t="shared" si="50"/>
        <v>0</v>
      </c>
      <c r="AG193" s="204">
        <f t="shared" si="51"/>
        <v>0</v>
      </c>
    </row>
    <row r="194" spans="1:33" x14ac:dyDescent="0.3">
      <c r="A194" s="204"/>
      <c r="B194" s="205"/>
      <c r="C194" s="205"/>
      <c r="D194" s="205"/>
      <c r="E194" s="205"/>
      <c r="F194" s="204"/>
      <c r="G194" s="204"/>
      <c r="H194" s="204"/>
      <c r="I194" s="204" t="str">
        <f t="shared" si="39"/>
        <v/>
      </c>
      <c r="J194" s="204" t="str">
        <f t="shared" si="40"/>
        <v/>
      </c>
      <c r="K194" s="204" t="str">
        <f t="shared" si="41"/>
        <v/>
      </c>
      <c r="L194" s="204" t="str">
        <f t="shared" si="42"/>
        <v/>
      </c>
      <c r="M194" s="76" t="str">
        <f t="shared" si="43"/>
        <v/>
      </c>
      <c r="N194" s="206">
        <f t="shared" si="44"/>
        <v>0</v>
      </c>
      <c r="O194" s="206">
        <f t="shared" si="45"/>
        <v>0</v>
      </c>
      <c r="P194" s="206">
        <f t="shared" si="46"/>
        <v>0</v>
      </c>
      <c r="Q194" s="206">
        <f t="shared" si="47"/>
        <v>0</v>
      </c>
      <c r="X194" s="71" t="str">
        <f t="shared" si="33"/>
        <v/>
      </c>
      <c r="Y194">
        <f t="shared" si="34"/>
        <v>0</v>
      </c>
      <c r="Z194">
        <f t="shared" si="35"/>
        <v>0</v>
      </c>
      <c r="AA194">
        <f t="shared" si="36"/>
        <v>0</v>
      </c>
      <c r="AB194">
        <f t="shared" si="37"/>
        <v>0</v>
      </c>
      <c r="AC194" t="str">
        <f t="shared" si="38"/>
        <v/>
      </c>
      <c r="AD194" s="204">
        <f t="shared" si="48"/>
        <v>0</v>
      </c>
      <c r="AE194" s="204">
        <f t="shared" si="49"/>
        <v>0</v>
      </c>
      <c r="AF194" s="204">
        <f t="shared" si="50"/>
        <v>0</v>
      </c>
      <c r="AG194" s="204">
        <f t="shared" si="51"/>
        <v>0</v>
      </c>
    </row>
    <row r="195" spans="1:33" x14ac:dyDescent="0.3">
      <c r="A195" s="204"/>
      <c r="B195" s="205"/>
      <c r="C195" s="205"/>
      <c r="D195" s="205"/>
      <c r="E195" s="205"/>
      <c r="F195" s="204"/>
      <c r="G195" s="204"/>
      <c r="H195" s="204"/>
      <c r="I195" s="204" t="str">
        <f t="shared" si="39"/>
        <v/>
      </c>
      <c r="J195" s="204" t="str">
        <f t="shared" si="40"/>
        <v/>
      </c>
      <c r="K195" s="204" t="str">
        <f t="shared" si="41"/>
        <v/>
      </c>
      <c r="L195" s="204" t="str">
        <f t="shared" si="42"/>
        <v/>
      </c>
      <c r="M195" s="76" t="str">
        <f t="shared" si="43"/>
        <v/>
      </c>
      <c r="N195" s="206">
        <f t="shared" si="44"/>
        <v>0</v>
      </c>
      <c r="O195" s="206">
        <f t="shared" si="45"/>
        <v>0</v>
      </c>
      <c r="P195" s="206">
        <f t="shared" si="46"/>
        <v>0</v>
      </c>
      <c r="Q195" s="206">
        <f t="shared" si="47"/>
        <v>0</v>
      </c>
      <c r="X195" s="71" t="str">
        <f t="shared" ref="X195:X258" si="52">M195</f>
        <v/>
      </c>
      <c r="Y195">
        <f t="shared" ref="Y195:Y258" si="53">IFERROR(IF(A195&lt;&gt;"",IF(A196&lt;&gt;"",IF(FIND("Mode AM +Tarif actuel",A196),VALUE(LEFT(B195,LEN(B195)-2)),),0),0),0)-IFERROR(IF(A195&lt;&gt;"",IF(A196&lt;&gt;"",IF(FIND("Mode AM +Tarif actuel",A196),VALUE(LEFT(B196,LEN(B196)-2)),),0),0),0)</f>
        <v>0</v>
      </c>
      <c r="Z195">
        <f t="shared" ref="Z195:Z258" si="54">IFERROR(IF(A195&lt;&gt;"",IF(A196&lt;&gt;"",IF(FIND("Mode AM +Tarif actuel",A196),VALUE(LEFT(C195,LEN(C195)-2)),),0),0),0)-IFERROR(IF(A195&lt;&gt;"",IF(A196&lt;&gt;"",IF(FIND("Mode AM +Tarif actuel",A196),VALUE(LEFT(C196,LEN(C196)-2)),),0),0),0)</f>
        <v>0</v>
      </c>
      <c r="AA195">
        <f t="shared" ref="AA195:AA258" si="55">IFERROR(IF(A195&lt;&gt;"",IF(A196&lt;&gt;"",IF(FIND("Mode AM +Tarif actuel",A196),VALUE(LEFT(D195,LEN(D195)-2)),),0),0),0)-IFERROR(IF(A195&lt;&gt;"",IF(A196&lt;&gt;"",IF(FIND("Mode AM +Tarif actuel",A196),VALUE(LEFT(D196,LEN(D196)-2)),),0),0),0)</f>
        <v>0</v>
      </c>
      <c r="AB195">
        <f t="shared" ref="AB195:AB258" si="56">IFERROR(IF(A195&lt;&gt;"",IF(A196&lt;&gt;"",IF(FIND("Mode AM +Tarif actuel",A196),VALUE(LEFT(E195,LEN(E195)-2)),),0),0),0)-IFERROR(IF(A195&lt;&gt;"",IF(A196&lt;&gt;"",IF(FIND("Mode AM +Tarif actuel",A196),VALUE(LEFT(E196,LEN(E196)-2)),),0),0),0)</f>
        <v>0</v>
      </c>
      <c r="AC195" t="str">
        <f t="shared" ref="AC195:AC258" si="57">IF(SUM(Y195:AB195)&gt;0,"A revoir","")</f>
        <v/>
      </c>
      <c r="AD195" s="204">
        <f t="shared" si="48"/>
        <v>0</v>
      </c>
      <c r="AE195" s="204">
        <f t="shared" si="49"/>
        <v>0</v>
      </c>
      <c r="AF195" s="204">
        <f t="shared" si="50"/>
        <v>0</v>
      </c>
      <c r="AG195" s="204">
        <f t="shared" si="51"/>
        <v>0</v>
      </c>
    </row>
    <row r="196" spans="1:33" x14ac:dyDescent="0.3">
      <c r="A196" s="204"/>
      <c r="B196" s="205"/>
      <c r="C196" s="205"/>
      <c r="D196" s="205"/>
      <c r="E196" s="205"/>
      <c r="F196" s="204"/>
      <c r="G196" s="204"/>
      <c r="H196" s="204"/>
      <c r="I196" s="204" t="str">
        <f t="shared" si="39"/>
        <v/>
      </c>
      <c r="J196" s="204" t="str">
        <f t="shared" si="40"/>
        <v/>
      </c>
      <c r="K196" s="204" t="str">
        <f t="shared" si="41"/>
        <v/>
      </c>
      <c r="L196" s="204" t="str">
        <f t="shared" si="42"/>
        <v/>
      </c>
      <c r="M196" s="76" t="str">
        <f t="shared" si="43"/>
        <v/>
      </c>
      <c r="N196" s="206">
        <f t="shared" si="44"/>
        <v>0</v>
      </c>
      <c r="O196" s="206">
        <f t="shared" si="45"/>
        <v>0</v>
      </c>
      <c r="P196" s="206">
        <f t="shared" si="46"/>
        <v>0</v>
      </c>
      <c r="Q196" s="206">
        <f t="shared" si="47"/>
        <v>0</v>
      </c>
      <c r="X196" s="71" t="str">
        <f t="shared" si="52"/>
        <v/>
      </c>
      <c r="Y196">
        <f t="shared" si="53"/>
        <v>0</v>
      </c>
      <c r="Z196">
        <f t="shared" si="54"/>
        <v>0</v>
      </c>
      <c r="AA196">
        <f t="shared" si="55"/>
        <v>0</v>
      </c>
      <c r="AB196">
        <f t="shared" si="56"/>
        <v>0</v>
      </c>
      <c r="AC196" t="str">
        <f t="shared" si="57"/>
        <v/>
      </c>
      <c r="AD196" s="204">
        <f t="shared" si="48"/>
        <v>0</v>
      </c>
      <c r="AE196" s="204">
        <f t="shared" si="49"/>
        <v>0</v>
      </c>
      <c r="AF196" s="204">
        <f t="shared" si="50"/>
        <v>0</v>
      </c>
      <c r="AG196" s="204">
        <f t="shared" si="51"/>
        <v>0</v>
      </c>
    </row>
    <row r="197" spans="1:33" x14ac:dyDescent="0.3">
      <c r="A197" s="204"/>
      <c r="B197" s="205"/>
      <c r="C197" s="205"/>
      <c r="D197" s="205"/>
      <c r="E197" s="205"/>
      <c r="F197" s="204"/>
      <c r="G197" s="204"/>
      <c r="H197" s="204"/>
      <c r="I197" s="204" t="str">
        <f t="shared" ref="I197:I260" si="58">IF(G197="Détail",LEN(A197),"")</f>
        <v/>
      </c>
      <c r="J197" s="204" t="str">
        <f t="shared" ref="J197:J260" si="59">IF(I197="","",LEFT(A197,3))</f>
        <v/>
      </c>
      <c r="K197" s="204" t="str">
        <f t="shared" ref="K197:K260" si="60">IF(J197&lt;&gt;"",MID(A197,5,3),"")</f>
        <v/>
      </c>
      <c r="L197" s="204" t="str">
        <f t="shared" ref="L197:L260" si="61">IF(J197&lt;&gt;"",RIGHT(A197,2),"")</f>
        <v/>
      </c>
      <c r="M197" s="76" t="str">
        <f t="shared" ref="M197:M260" si="62">IF(J197&lt;&gt;"",CONCATENATE(J197,"/",K197),"")</f>
        <v/>
      </c>
      <c r="N197" s="206">
        <f t="shared" ref="N197:N260" si="63">IFERROR(IF(A197&lt;&gt;"",IF(A198&lt;&gt;"",IF(FIND("Mode AM +Tarif actuel",A198),VALUE(LEFT(B198,LEN(B198)-2)),),0),0),0)</f>
        <v>0</v>
      </c>
      <c r="O197" s="206">
        <f t="shared" ref="O197:O260" si="64">IFERROR(IF(A197&lt;&gt;"",IF(A198&lt;&gt;"",IF(FIND("Mode AM +Tarif actuel",A198),VALUE(LEFT(C198,LEN(C198)-2)),),0),0),0)</f>
        <v>0</v>
      </c>
      <c r="P197" s="206">
        <f t="shared" ref="P197:P260" si="65">IFERROR(IF(A197&lt;&gt;"",IF(A198&lt;&gt;"",IF(FIND("Mode AM +Tarif actuel",A198),VALUE(LEFT(D198,LEN(D198)-2)),),0),0),0)</f>
        <v>0</v>
      </c>
      <c r="Q197" s="206">
        <f t="shared" ref="Q197:Q260" si="66">IFERROR(IF(A197&lt;&gt;"",IF(A198&lt;&gt;"",IF(FIND("Mode AM +Tarif actuel",A198),VALUE(LEFT(E198,LEN(E198)-2)),),0),0),0)</f>
        <v>0</v>
      </c>
      <c r="X197" s="71" t="str">
        <f t="shared" si="52"/>
        <v/>
      </c>
      <c r="Y197">
        <f t="shared" si="53"/>
        <v>0</v>
      </c>
      <c r="Z197">
        <f t="shared" si="54"/>
        <v>0</v>
      </c>
      <c r="AA197">
        <f t="shared" si="55"/>
        <v>0</v>
      </c>
      <c r="AB197">
        <f t="shared" si="56"/>
        <v>0</v>
      </c>
      <c r="AC197" t="str">
        <f t="shared" si="57"/>
        <v/>
      </c>
      <c r="AD197" s="204">
        <f t="shared" si="48"/>
        <v>0</v>
      </c>
      <c r="AE197" s="204">
        <f t="shared" si="49"/>
        <v>0</v>
      </c>
      <c r="AF197" s="204">
        <f t="shared" si="50"/>
        <v>0</v>
      </c>
      <c r="AG197" s="204">
        <f t="shared" si="51"/>
        <v>0</v>
      </c>
    </row>
    <row r="198" spans="1:33" x14ac:dyDescent="0.3">
      <c r="A198" s="204"/>
      <c r="B198" s="205"/>
      <c r="C198" s="205"/>
      <c r="D198" s="205"/>
      <c r="E198" s="205"/>
      <c r="F198" s="204"/>
      <c r="G198" s="204"/>
      <c r="H198" s="204"/>
      <c r="I198" s="204" t="str">
        <f t="shared" si="58"/>
        <v/>
      </c>
      <c r="J198" s="204" t="str">
        <f t="shared" si="59"/>
        <v/>
      </c>
      <c r="K198" s="204" t="str">
        <f t="shared" si="60"/>
        <v/>
      </c>
      <c r="L198" s="204" t="str">
        <f t="shared" si="61"/>
        <v/>
      </c>
      <c r="M198" s="76" t="str">
        <f t="shared" si="62"/>
        <v/>
      </c>
      <c r="N198" s="206">
        <f t="shared" si="63"/>
        <v>0</v>
      </c>
      <c r="O198" s="206">
        <f t="shared" si="64"/>
        <v>0</v>
      </c>
      <c r="P198" s="206">
        <f t="shared" si="65"/>
        <v>0</v>
      </c>
      <c r="Q198" s="206">
        <f t="shared" si="66"/>
        <v>0</v>
      </c>
      <c r="X198" s="71" t="str">
        <f t="shared" si="52"/>
        <v/>
      </c>
      <c r="Y198">
        <f t="shared" si="53"/>
        <v>0</v>
      </c>
      <c r="Z198">
        <f t="shared" si="54"/>
        <v>0</v>
      </c>
      <c r="AA198">
        <f t="shared" si="55"/>
        <v>0</v>
      </c>
      <c r="AB198">
        <f t="shared" si="56"/>
        <v>0</v>
      </c>
      <c r="AC198" t="str">
        <f t="shared" si="57"/>
        <v/>
      </c>
      <c r="AD198" s="204">
        <f t="shared" si="48"/>
        <v>0</v>
      </c>
      <c r="AE198" s="204">
        <f t="shared" si="49"/>
        <v>0</v>
      </c>
      <c r="AF198" s="204">
        <f t="shared" si="50"/>
        <v>0</v>
      </c>
      <c r="AG198" s="204">
        <f t="shared" si="51"/>
        <v>0</v>
      </c>
    </row>
    <row r="199" spans="1:33" x14ac:dyDescent="0.3">
      <c r="A199" s="204"/>
      <c r="B199" s="205"/>
      <c r="C199" s="205"/>
      <c r="D199" s="205"/>
      <c r="E199" s="205"/>
      <c r="F199" s="204"/>
      <c r="G199" s="204"/>
      <c r="H199" s="204"/>
      <c r="I199" s="204" t="str">
        <f t="shared" si="58"/>
        <v/>
      </c>
      <c r="J199" s="204" t="str">
        <f t="shared" si="59"/>
        <v/>
      </c>
      <c r="K199" s="204" t="str">
        <f t="shared" si="60"/>
        <v/>
      </c>
      <c r="L199" s="204" t="str">
        <f t="shared" si="61"/>
        <v/>
      </c>
      <c r="M199" s="76" t="str">
        <f t="shared" si="62"/>
        <v/>
      </c>
      <c r="N199" s="206">
        <f t="shared" si="63"/>
        <v>0</v>
      </c>
      <c r="O199" s="206">
        <f t="shared" si="64"/>
        <v>0</v>
      </c>
      <c r="P199" s="206">
        <f t="shared" si="65"/>
        <v>0</v>
      </c>
      <c r="Q199" s="206">
        <f t="shared" si="66"/>
        <v>0</v>
      </c>
      <c r="X199" s="71" t="str">
        <f t="shared" si="52"/>
        <v/>
      </c>
      <c r="Y199">
        <f t="shared" si="53"/>
        <v>0</v>
      </c>
      <c r="Z199">
        <f t="shared" si="54"/>
        <v>0</v>
      </c>
      <c r="AA199">
        <f t="shared" si="55"/>
        <v>0</v>
      </c>
      <c r="AB199">
        <f t="shared" si="56"/>
        <v>0</v>
      </c>
      <c r="AC199" t="str">
        <f t="shared" si="57"/>
        <v/>
      </c>
      <c r="AD199" s="204">
        <f t="shared" si="48"/>
        <v>0</v>
      </c>
      <c r="AE199" s="204">
        <f t="shared" si="49"/>
        <v>0</v>
      </c>
      <c r="AF199" s="204">
        <f t="shared" si="50"/>
        <v>0</v>
      </c>
      <c r="AG199" s="204">
        <f t="shared" si="51"/>
        <v>0</v>
      </c>
    </row>
    <row r="200" spans="1:33" x14ac:dyDescent="0.3">
      <c r="A200" s="204"/>
      <c r="B200" s="205"/>
      <c r="C200" s="205"/>
      <c r="D200" s="205"/>
      <c r="E200" s="205"/>
      <c r="F200" s="204"/>
      <c r="G200" s="204"/>
      <c r="H200" s="204"/>
      <c r="I200" s="204" t="str">
        <f t="shared" si="58"/>
        <v/>
      </c>
      <c r="J200" s="204" t="str">
        <f t="shared" si="59"/>
        <v/>
      </c>
      <c r="K200" s="204" t="str">
        <f t="shared" si="60"/>
        <v/>
      </c>
      <c r="L200" s="204" t="str">
        <f t="shared" si="61"/>
        <v/>
      </c>
      <c r="M200" s="76" t="str">
        <f t="shared" si="62"/>
        <v/>
      </c>
      <c r="N200" s="206">
        <f t="shared" si="63"/>
        <v>0</v>
      </c>
      <c r="O200" s="206">
        <f t="shared" si="64"/>
        <v>0</v>
      </c>
      <c r="P200" s="206">
        <f t="shared" si="65"/>
        <v>0</v>
      </c>
      <c r="Q200" s="206">
        <f t="shared" si="66"/>
        <v>0</v>
      </c>
      <c r="X200" s="71" t="str">
        <f t="shared" si="52"/>
        <v/>
      </c>
      <c r="Y200">
        <f t="shared" si="53"/>
        <v>0</v>
      </c>
      <c r="Z200">
        <f t="shared" si="54"/>
        <v>0</v>
      </c>
      <c r="AA200">
        <f t="shared" si="55"/>
        <v>0</v>
      </c>
      <c r="AB200">
        <f t="shared" si="56"/>
        <v>0</v>
      </c>
      <c r="AC200" t="str">
        <f t="shared" si="57"/>
        <v/>
      </c>
      <c r="AD200" s="204">
        <f t="shared" si="48"/>
        <v>0</v>
      </c>
      <c r="AE200" s="204">
        <f t="shared" si="49"/>
        <v>0</v>
      </c>
      <c r="AF200" s="204">
        <f t="shared" si="50"/>
        <v>0</v>
      </c>
      <c r="AG200" s="204">
        <f t="shared" si="51"/>
        <v>0</v>
      </c>
    </row>
    <row r="201" spans="1:33" x14ac:dyDescent="0.3">
      <c r="A201" s="204"/>
      <c r="B201" s="205"/>
      <c r="C201" s="205"/>
      <c r="D201" s="205"/>
      <c r="E201" s="205"/>
      <c r="F201" s="204"/>
      <c r="G201" s="204"/>
      <c r="H201" s="204"/>
      <c r="I201" s="204" t="str">
        <f t="shared" si="58"/>
        <v/>
      </c>
      <c r="J201" s="204" t="str">
        <f t="shared" si="59"/>
        <v/>
      </c>
      <c r="K201" s="204" t="str">
        <f t="shared" si="60"/>
        <v/>
      </c>
      <c r="L201" s="204" t="str">
        <f t="shared" si="61"/>
        <v/>
      </c>
      <c r="M201" s="76" t="str">
        <f t="shared" si="62"/>
        <v/>
      </c>
      <c r="N201" s="206">
        <f t="shared" si="63"/>
        <v>0</v>
      </c>
      <c r="O201" s="206">
        <f t="shared" si="64"/>
        <v>0</v>
      </c>
      <c r="P201" s="206">
        <f t="shared" si="65"/>
        <v>0</v>
      </c>
      <c r="Q201" s="206">
        <f t="shared" si="66"/>
        <v>0</v>
      </c>
      <c r="X201" s="71" t="str">
        <f t="shared" si="52"/>
        <v/>
      </c>
      <c r="Y201">
        <f t="shared" si="53"/>
        <v>0</v>
      </c>
      <c r="Z201">
        <f t="shared" si="54"/>
        <v>0</v>
      </c>
      <c r="AA201">
        <f t="shared" si="55"/>
        <v>0</v>
      </c>
      <c r="AB201">
        <f t="shared" si="56"/>
        <v>0</v>
      </c>
      <c r="AC201" t="str">
        <f t="shared" si="57"/>
        <v/>
      </c>
      <c r="AD201" s="204">
        <f t="shared" si="48"/>
        <v>0</v>
      </c>
      <c r="AE201" s="204">
        <f t="shared" si="49"/>
        <v>0</v>
      </c>
      <c r="AF201" s="204">
        <f t="shared" si="50"/>
        <v>0</v>
      </c>
      <c r="AG201" s="204">
        <f t="shared" si="51"/>
        <v>0</v>
      </c>
    </row>
    <row r="202" spans="1:33" x14ac:dyDescent="0.3">
      <c r="A202" s="204"/>
      <c r="B202" s="205"/>
      <c r="C202" s="205"/>
      <c r="D202" s="205"/>
      <c r="E202" s="205"/>
      <c r="F202" s="204"/>
      <c r="G202" s="204"/>
      <c r="H202" s="204"/>
      <c r="I202" s="204" t="str">
        <f t="shared" si="58"/>
        <v/>
      </c>
      <c r="J202" s="204" t="str">
        <f t="shared" si="59"/>
        <v/>
      </c>
      <c r="K202" s="204" t="str">
        <f t="shared" si="60"/>
        <v/>
      </c>
      <c r="L202" s="204" t="str">
        <f t="shared" si="61"/>
        <v/>
      </c>
      <c r="M202" s="76" t="str">
        <f t="shared" si="62"/>
        <v/>
      </c>
      <c r="N202" s="206">
        <f t="shared" si="63"/>
        <v>0</v>
      </c>
      <c r="O202" s="206">
        <f t="shared" si="64"/>
        <v>0</v>
      </c>
      <c r="P202" s="206">
        <f t="shared" si="65"/>
        <v>0</v>
      </c>
      <c r="Q202" s="206">
        <f t="shared" si="66"/>
        <v>0</v>
      </c>
      <c r="X202" s="71" t="str">
        <f t="shared" si="52"/>
        <v/>
      </c>
      <c r="Y202">
        <f t="shared" si="53"/>
        <v>0</v>
      </c>
      <c r="Z202">
        <f t="shared" si="54"/>
        <v>0</v>
      </c>
      <c r="AA202">
        <f t="shared" si="55"/>
        <v>0</v>
      </c>
      <c r="AB202">
        <f t="shared" si="56"/>
        <v>0</v>
      </c>
      <c r="AC202" t="str">
        <f t="shared" si="57"/>
        <v/>
      </c>
      <c r="AD202" s="204">
        <f t="shared" si="48"/>
        <v>0</v>
      </c>
      <c r="AE202" s="204">
        <f t="shared" si="49"/>
        <v>0</v>
      </c>
      <c r="AF202" s="204">
        <f t="shared" si="50"/>
        <v>0</v>
      </c>
      <c r="AG202" s="204">
        <f t="shared" si="51"/>
        <v>0</v>
      </c>
    </row>
    <row r="203" spans="1:33" x14ac:dyDescent="0.3">
      <c r="A203" s="204"/>
      <c r="B203" s="205"/>
      <c r="C203" s="205"/>
      <c r="D203" s="205"/>
      <c r="E203" s="205"/>
      <c r="F203" s="204"/>
      <c r="G203" s="204"/>
      <c r="H203" s="204"/>
      <c r="I203" s="204" t="str">
        <f t="shared" si="58"/>
        <v/>
      </c>
      <c r="J203" s="204" t="str">
        <f t="shared" si="59"/>
        <v/>
      </c>
      <c r="K203" s="204" t="str">
        <f t="shared" si="60"/>
        <v/>
      </c>
      <c r="L203" s="204" t="str">
        <f t="shared" si="61"/>
        <v/>
      </c>
      <c r="M203" s="76" t="str">
        <f t="shared" si="62"/>
        <v/>
      </c>
      <c r="N203" s="206">
        <f t="shared" si="63"/>
        <v>0</v>
      </c>
      <c r="O203" s="206">
        <f t="shared" si="64"/>
        <v>0</v>
      </c>
      <c r="P203" s="206">
        <f t="shared" si="65"/>
        <v>0</v>
      </c>
      <c r="Q203" s="206">
        <f t="shared" si="66"/>
        <v>0</v>
      </c>
      <c r="X203" s="71" t="str">
        <f t="shared" si="52"/>
        <v/>
      </c>
      <c r="Y203">
        <f t="shared" si="53"/>
        <v>0</v>
      </c>
      <c r="Z203">
        <f t="shared" si="54"/>
        <v>0</v>
      </c>
      <c r="AA203">
        <f t="shared" si="55"/>
        <v>0</v>
      </c>
      <c r="AB203">
        <f t="shared" si="56"/>
        <v>0</v>
      </c>
      <c r="AC203" t="str">
        <f t="shared" si="57"/>
        <v/>
      </c>
      <c r="AD203" s="204">
        <f t="shared" ref="AD203:AD266" si="67">IFERROR(IF(A203&lt;&gt;"",IF(A204&lt;&gt;"",IF(FIND("Mode AM +Tarif actuel",A204),VALUE(LEFT(B203,LEN(B203)-2)),),0),0),0)</f>
        <v>0</v>
      </c>
      <c r="AE203" s="204">
        <f t="shared" ref="AE203:AE266" si="68">IFERROR(IF(A203&lt;&gt;"",IF(A204&lt;&gt;"",IF(FIND("Mode AM +Tarif actuel",A204),VALUE(LEFT(C203,LEN(C203)-2)),),0),0),0)</f>
        <v>0</v>
      </c>
      <c r="AF203" s="204">
        <f t="shared" ref="AF203:AF266" si="69">IFERROR(IF(A203&lt;&gt;"",IF(A204&lt;&gt;"",IF(FIND("Mode AM +Tarif actuel",A204),VALUE(LEFT(D203,LEN(D203)-2)),),0),0),0)</f>
        <v>0</v>
      </c>
      <c r="AG203" s="204">
        <f t="shared" ref="AG203:AG266" si="70">IFERROR(IF(A203&lt;&gt;"",IF(A204&lt;&gt;"",IF(FIND("Mode AM +Tarif actuel",A204),VALUE(LEFT(E203,LEN(E203)-2)),),0),0),0)</f>
        <v>0</v>
      </c>
    </row>
    <row r="204" spans="1:33" x14ac:dyDescent="0.3">
      <c r="A204" s="204"/>
      <c r="B204" s="205"/>
      <c r="C204" s="205"/>
      <c r="D204" s="205"/>
      <c r="E204" s="205"/>
      <c r="F204" s="204"/>
      <c r="G204" s="204"/>
      <c r="H204" s="204"/>
      <c r="I204" s="204" t="str">
        <f t="shared" si="58"/>
        <v/>
      </c>
      <c r="J204" s="204" t="str">
        <f t="shared" si="59"/>
        <v/>
      </c>
      <c r="K204" s="204" t="str">
        <f t="shared" si="60"/>
        <v/>
      </c>
      <c r="L204" s="204" t="str">
        <f t="shared" si="61"/>
        <v/>
      </c>
      <c r="M204" s="76" t="str">
        <f t="shared" si="62"/>
        <v/>
      </c>
      <c r="N204" s="206">
        <f t="shared" si="63"/>
        <v>0</v>
      </c>
      <c r="O204" s="206">
        <f t="shared" si="64"/>
        <v>0</v>
      </c>
      <c r="P204" s="206">
        <f t="shared" si="65"/>
        <v>0</v>
      </c>
      <c r="Q204" s="206">
        <f t="shared" si="66"/>
        <v>0</v>
      </c>
      <c r="X204" s="71" t="str">
        <f t="shared" si="52"/>
        <v/>
      </c>
      <c r="Y204">
        <f t="shared" si="53"/>
        <v>0</v>
      </c>
      <c r="Z204">
        <f t="shared" si="54"/>
        <v>0</v>
      </c>
      <c r="AA204">
        <f t="shared" si="55"/>
        <v>0</v>
      </c>
      <c r="AB204">
        <f t="shared" si="56"/>
        <v>0</v>
      </c>
      <c r="AC204" t="str">
        <f t="shared" si="57"/>
        <v/>
      </c>
      <c r="AD204" s="204">
        <f t="shared" si="67"/>
        <v>0</v>
      </c>
      <c r="AE204" s="204">
        <f t="shared" si="68"/>
        <v>0</v>
      </c>
      <c r="AF204" s="204">
        <f t="shared" si="69"/>
        <v>0</v>
      </c>
      <c r="AG204" s="204">
        <f t="shared" si="70"/>
        <v>0</v>
      </c>
    </row>
    <row r="205" spans="1:33" x14ac:dyDescent="0.3">
      <c r="A205" s="204"/>
      <c r="B205" s="205"/>
      <c r="C205" s="205"/>
      <c r="D205" s="205"/>
      <c r="E205" s="205"/>
      <c r="F205" s="204"/>
      <c r="G205" s="204"/>
      <c r="H205" s="204"/>
      <c r="I205" s="204" t="str">
        <f t="shared" si="58"/>
        <v/>
      </c>
      <c r="J205" s="204" t="str">
        <f t="shared" si="59"/>
        <v/>
      </c>
      <c r="K205" s="204" t="str">
        <f t="shared" si="60"/>
        <v/>
      </c>
      <c r="L205" s="204" t="str">
        <f t="shared" si="61"/>
        <v/>
      </c>
      <c r="M205" s="76" t="str">
        <f t="shared" si="62"/>
        <v/>
      </c>
      <c r="N205" s="206">
        <f t="shared" si="63"/>
        <v>0</v>
      </c>
      <c r="O205" s="206">
        <f t="shared" si="64"/>
        <v>0</v>
      </c>
      <c r="P205" s="206">
        <f t="shared" si="65"/>
        <v>0</v>
      </c>
      <c r="Q205" s="206">
        <f t="shared" si="66"/>
        <v>0</v>
      </c>
      <c r="X205" s="71" t="str">
        <f t="shared" si="52"/>
        <v/>
      </c>
      <c r="Y205">
        <f t="shared" si="53"/>
        <v>0</v>
      </c>
      <c r="Z205">
        <f t="shared" si="54"/>
        <v>0</v>
      </c>
      <c r="AA205">
        <f t="shared" si="55"/>
        <v>0</v>
      </c>
      <c r="AB205">
        <f t="shared" si="56"/>
        <v>0</v>
      </c>
      <c r="AC205" t="str">
        <f t="shared" si="57"/>
        <v/>
      </c>
      <c r="AD205" s="204">
        <f t="shared" si="67"/>
        <v>0</v>
      </c>
      <c r="AE205" s="204">
        <f t="shared" si="68"/>
        <v>0</v>
      </c>
      <c r="AF205" s="204">
        <f t="shared" si="69"/>
        <v>0</v>
      </c>
      <c r="AG205" s="204">
        <f t="shared" si="70"/>
        <v>0</v>
      </c>
    </row>
    <row r="206" spans="1:33" x14ac:dyDescent="0.3">
      <c r="A206" s="204"/>
      <c r="B206" s="205"/>
      <c r="C206" s="205"/>
      <c r="D206" s="205"/>
      <c r="E206" s="205"/>
      <c r="F206" s="204"/>
      <c r="G206" s="204"/>
      <c r="H206" s="204"/>
      <c r="I206" s="204" t="str">
        <f t="shared" si="58"/>
        <v/>
      </c>
      <c r="J206" s="204" t="str">
        <f t="shared" si="59"/>
        <v/>
      </c>
      <c r="K206" s="204" t="str">
        <f t="shared" si="60"/>
        <v/>
      </c>
      <c r="L206" s="204" t="str">
        <f t="shared" si="61"/>
        <v/>
      </c>
      <c r="M206" s="76" t="str">
        <f t="shared" si="62"/>
        <v/>
      </c>
      <c r="N206" s="206">
        <f t="shared" si="63"/>
        <v>0</v>
      </c>
      <c r="O206" s="206">
        <f t="shared" si="64"/>
        <v>0</v>
      </c>
      <c r="P206" s="206">
        <f t="shared" si="65"/>
        <v>0</v>
      </c>
      <c r="Q206" s="206">
        <f t="shared" si="66"/>
        <v>0</v>
      </c>
      <c r="X206" s="71" t="str">
        <f t="shared" si="52"/>
        <v/>
      </c>
      <c r="Y206">
        <f t="shared" si="53"/>
        <v>0</v>
      </c>
      <c r="Z206">
        <f t="shared" si="54"/>
        <v>0</v>
      </c>
      <c r="AA206">
        <f t="shared" si="55"/>
        <v>0</v>
      </c>
      <c r="AB206">
        <f t="shared" si="56"/>
        <v>0</v>
      </c>
      <c r="AC206" t="str">
        <f t="shared" si="57"/>
        <v/>
      </c>
      <c r="AD206" s="204">
        <f t="shared" si="67"/>
        <v>0</v>
      </c>
      <c r="AE206" s="204">
        <f t="shared" si="68"/>
        <v>0</v>
      </c>
      <c r="AF206" s="204">
        <f t="shared" si="69"/>
        <v>0</v>
      </c>
      <c r="AG206" s="204">
        <f t="shared" si="70"/>
        <v>0</v>
      </c>
    </row>
    <row r="207" spans="1:33" x14ac:dyDescent="0.3">
      <c r="A207" s="204"/>
      <c r="B207" s="205"/>
      <c r="C207" s="205"/>
      <c r="D207" s="205"/>
      <c r="E207" s="205"/>
      <c r="F207" s="204"/>
      <c r="G207" s="204"/>
      <c r="H207" s="204"/>
      <c r="I207" s="204" t="str">
        <f t="shared" si="58"/>
        <v/>
      </c>
      <c r="J207" s="204" t="str">
        <f t="shared" si="59"/>
        <v/>
      </c>
      <c r="K207" s="204" t="str">
        <f t="shared" si="60"/>
        <v/>
      </c>
      <c r="L207" s="204" t="str">
        <f t="shared" si="61"/>
        <v/>
      </c>
      <c r="M207" s="76" t="str">
        <f t="shared" si="62"/>
        <v/>
      </c>
      <c r="N207" s="206">
        <f t="shared" si="63"/>
        <v>0</v>
      </c>
      <c r="O207" s="206">
        <f t="shared" si="64"/>
        <v>0</v>
      </c>
      <c r="P207" s="206">
        <f t="shared" si="65"/>
        <v>0</v>
      </c>
      <c r="Q207" s="206">
        <f t="shared" si="66"/>
        <v>0</v>
      </c>
      <c r="X207" s="71" t="str">
        <f t="shared" si="52"/>
        <v/>
      </c>
      <c r="Y207">
        <f t="shared" si="53"/>
        <v>0</v>
      </c>
      <c r="Z207">
        <f t="shared" si="54"/>
        <v>0</v>
      </c>
      <c r="AA207">
        <f t="shared" si="55"/>
        <v>0</v>
      </c>
      <c r="AB207">
        <f t="shared" si="56"/>
        <v>0</v>
      </c>
      <c r="AC207" t="str">
        <f t="shared" si="57"/>
        <v/>
      </c>
      <c r="AD207" s="204">
        <f t="shared" si="67"/>
        <v>0</v>
      </c>
      <c r="AE207" s="204">
        <f t="shared" si="68"/>
        <v>0</v>
      </c>
      <c r="AF207" s="204">
        <f t="shared" si="69"/>
        <v>0</v>
      </c>
      <c r="AG207" s="204">
        <f t="shared" si="70"/>
        <v>0</v>
      </c>
    </row>
    <row r="208" spans="1:33" x14ac:dyDescent="0.3">
      <c r="A208" s="204"/>
      <c r="B208" s="205"/>
      <c r="C208" s="205"/>
      <c r="D208" s="205"/>
      <c r="E208" s="205"/>
      <c r="F208" s="204"/>
      <c r="G208" s="204"/>
      <c r="H208" s="204"/>
      <c r="I208" s="204" t="str">
        <f t="shared" si="58"/>
        <v/>
      </c>
      <c r="J208" s="204" t="str">
        <f t="shared" si="59"/>
        <v/>
      </c>
      <c r="K208" s="204" t="str">
        <f t="shared" si="60"/>
        <v/>
      </c>
      <c r="L208" s="204" t="str">
        <f t="shared" si="61"/>
        <v/>
      </c>
      <c r="M208" s="76" t="str">
        <f t="shared" si="62"/>
        <v/>
      </c>
      <c r="N208" s="206">
        <f t="shared" si="63"/>
        <v>0</v>
      </c>
      <c r="O208" s="206">
        <f t="shared" si="64"/>
        <v>0</v>
      </c>
      <c r="P208" s="206">
        <f t="shared" si="65"/>
        <v>0</v>
      </c>
      <c r="Q208" s="206">
        <f t="shared" si="66"/>
        <v>0</v>
      </c>
      <c r="X208" s="71" t="str">
        <f t="shared" si="52"/>
        <v/>
      </c>
      <c r="Y208">
        <f t="shared" si="53"/>
        <v>0</v>
      </c>
      <c r="Z208">
        <f t="shared" si="54"/>
        <v>0</v>
      </c>
      <c r="AA208">
        <f t="shared" si="55"/>
        <v>0</v>
      </c>
      <c r="AB208">
        <f t="shared" si="56"/>
        <v>0</v>
      </c>
      <c r="AC208" t="str">
        <f t="shared" si="57"/>
        <v/>
      </c>
      <c r="AD208" s="204">
        <f t="shared" si="67"/>
        <v>0</v>
      </c>
      <c r="AE208" s="204">
        <f t="shared" si="68"/>
        <v>0</v>
      </c>
      <c r="AF208" s="204">
        <f t="shared" si="69"/>
        <v>0</v>
      </c>
      <c r="AG208" s="204">
        <f t="shared" si="70"/>
        <v>0</v>
      </c>
    </row>
    <row r="209" spans="1:33" x14ac:dyDescent="0.3">
      <c r="A209" s="204"/>
      <c r="B209" s="205"/>
      <c r="C209" s="205"/>
      <c r="D209" s="205"/>
      <c r="E209" s="205"/>
      <c r="F209" s="204"/>
      <c r="G209" s="204"/>
      <c r="H209" s="204"/>
      <c r="I209" s="204" t="str">
        <f t="shared" si="58"/>
        <v/>
      </c>
      <c r="J209" s="204" t="str">
        <f t="shared" si="59"/>
        <v/>
      </c>
      <c r="K209" s="204" t="str">
        <f t="shared" si="60"/>
        <v/>
      </c>
      <c r="L209" s="204" t="str">
        <f t="shared" si="61"/>
        <v/>
      </c>
      <c r="M209" s="76" t="str">
        <f t="shared" si="62"/>
        <v/>
      </c>
      <c r="N209" s="206">
        <f t="shared" si="63"/>
        <v>0</v>
      </c>
      <c r="O209" s="206">
        <f t="shared" si="64"/>
        <v>0</v>
      </c>
      <c r="P209" s="206">
        <f t="shared" si="65"/>
        <v>0</v>
      </c>
      <c r="Q209" s="206">
        <f t="shared" si="66"/>
        <v>0</v>
      </c>
      <c r="X209" s="71" t="str">
        <f t="shared" si="52"/>
        <v/>
      </c>
      <c r="Y209">
        <f t="shared" si="53"/>
        <v>0</v>
      </c>
      <c r="Z209">
        <f t="shared" si="54"/>
        <v>0</v>
      </c>
      <c r="AA209">
        <f t="shared" si="55"/>
        <v>0</v>
      </c>
      <c r="AB209">
        <f t="shared" si="56"/>
        <v>0</v>
      </c>
      <c r="AC209" t="str">
        <f t="shared" si="57"/>
        <v/>
      </c>
      <c r="AD209" s="204">
        <f t="shared" si="67"/>
        <v>0</v>
      </c>
      <c r="AE209" s="204">
        <f t="shared" si="68"/>
        <v>0</v>
      </c>
      <c r="AF209" s="204">
        <f t="shared" si="69"/>
        <v>0</v>
      </c>
      <c r="AG209" s="204">
        <f t="shared" si="70"/>
        <v>0</v>
      </c>
    </row>
    <row r="210" spans="1:33" x14ac:dyDescent="0.3">
      <c r="A210" s="204"/>
      <c r="B210" s="205"/>
      <c r="C210" s="205"/>
      <c r="D210" s="205"/>
      <c r="E210" s="205"/>
      <c r="F210" s="204"/>
      <c r="G210" s="204"/>
      <c r="H210" s="204"/>
      <c r="I210" s="204" t="str">
        <f t="shared" si="58"/>
        <v/>
      </c>
      <c r="J210" s="204" t="str">
        <f t="shared" si="59"/>
        <v/>
      </c>
      <c r="K210" s="204" t="str">
        <f t="shared" si="60"/>
        <v/>
      </c>
      <c r="L210" s="204" t="str">
        <f t="shared" si="61"/>
        <v/>
      </c>
      <c r="M210" s="76" t="str">
        <f t="shared" si="62"/>
        <v/>
      </c>
      <c r="N210" s="206">
        <f t="shared" si="63"/>
        <v>0</v>
      </c>
      <c r="O210" s="206">
        <f t="shared" si="64"/>
        <v>0</v>
      </c>
      <c r="P210" s="206">
        <f t="shared" si="65"/>
        <v>0</v>
      </c>
      <c r="Q210" s="206">
        <f t="shared" si="66"/>
        <v>0</v>
      </c>
      <c r="X210" s="71" t="str">
        <f t="shared" si="52"/>
        <v/>
      </c>
      <c r="Y210">
        <f t="shared" si="53"/>
        <v>0</v>
      </c>
      <c r="Z210">
        <f t="shared" si="54"/>
        <v>0</v>
      </c>
      <c r="AA210">
        <f t="shared" si="55"/>
        <v>0</v>
      </c>
      <c r="AB210">
        <f t="shared" si="56"/>
        <v>0</v>
      </c>
      <c r="AC210" t="str">
        <f t="shared" si="57"/>
        <v/>
      </c>
      <c r="AD210" s="204">
        <f t="shared" si="67"/>
        <v>0</v>
      </c>
      <c r="AE210" s="204">
        <f t="shared" si="68"/>
        <v>0</v>
      </c>
      <c r="AF210" s="204">
        <f t="shared" si="69"/>
        <v>0</v>
      </c>
      <c r="AG210" s="204">
        <f t="shared" si="70"/>
        <v>0</v>
      </c>
    </row>
    <row r="211" spans="1:33" x14ac:dyDescent="0.3">
      <c r="A211" s="204"/>
      <c r="B211" s="205"/>
      <c r="C211" s="205"/>
      <c r="D211" s="205"/>
      <c r="E211" s="205"/>
      <c r="F211" s="204"/>
      <c r="G211" s="204"/>
      <c r="H211" s="204"/>
      <c r="I211" s="204" t="str">
        <f t="shared" si="58"/>
        <v/>
      </c>
      <c r="J211" s="204" t="str">
        <f t="shared" si="59"/>
        <v/>
      </c>
      <c r="K211" s="204" t="str">
        <f t="shared" si="60"/>
        <v/>
      </c>
      <c r="L211" s="204" t="str">
        <f t="shared" si="61"/>
        <v/>
      </c>
      <c r="M211" s="76" t="str">
        <f t="shared" si="62"/>
        <v/>
      </c>
      <c r="N211" s="206">
        <f t="shared" si="63"/>
        <v>0</v>
      </c>
      <c r="O211" s="206">
        <f t="shared" si="64"/>
        <v>0</v>
      </c>
      <c r="P211" s="206">
        <f t="shared" si="65"/>
        <v>0</v>
      </c>
      <c r="Q211" s="206">
        <f t="shared" si="66"/>
        <v>0</v>
      </c>
      <c r="X211" s="71" t="str">
        <f t="shared" si="52"/>
        <v/>
      </c>
      <c r="Y211">
        <f t="shared" si="53"/>
        <v>0</v>
      </c>
      <c r="Z211">
        <f t="shared" si="54"/>
        <v>0</v>
      </c>
      <c r="AA211">
        <f t="shared" si="55"/>
        <v>0</v>
      </c>
      <c r="AB211">
        <f t="shared" si="56"/>
        <v>0</v>
      </c>
      <c r="AC211" t="str">
        <f t="shared" si="57"/>
        <v/>
      </c>
      <c r="AD211" s="204">
        <f t="shared" si="67"/>
        <v>0</v>
      </c>
      <c r="AE211" s="204">
        <f t="shared" si="68"/>
        <v>0</v>
      </c>
      <c r="AF211" s="204">
        <f t="shared" si="69"/>
        <v>0</v>
      </c>
      <c r="AG211" s="204">
        <f t="shared" si="70"/>
        <v>0</v>
      </c>
    </row>
    <row r="212" spans="1:33" x14ac:dyDescent="0.3">
      <c r="A212" s="204"/>
      <c r="B212" s="205"/>
      <c r="C212" s="205"/>
      <c r="D212" s="205"/>
      <c r="E212" s="205"/>
      <c r="F212" s="204"/>
      <c r="G212" s="204"/>
      <c r="H212" s="204"/>
      <c r="I212" s="204" t="str">
        <f t="shared" si="58"/>
        <v/>
      </c>
      <c r="J212" s="204" t="str">
        <f t="shared" si="59"/>
        <v/>
      </c>
      <c r="K212" s="204" t="str">
        <f t="shared" si="60"/>
        <v/>
      </c>
      <c r="L212" s="204" t="str">
        <f t="shared" si="61"/>
        <v/>
      </c>
      <c r="M212" s="76" t="str">
        <f t="shared" si="62"/>
        <v/>
      </c>
      <c r="N212" s="206">
        <f t="shared" si="63"/>
        <v>0</v>
      </c>
      <c r="O212" s="206">
        <f t="shared" si="64"/>
        <v>0</v>
      </c>
      <c r="P212" s="206">
        <f t="shared" si="65"/>
        <v>0</v>
      </c>
      <c r="Q212" s="206">
        <f t="shared" si="66"/>
        <v>0</v>
      </c>
      <c r="X212" s="71" t="str">
        <f t="shared" si="52"/>
        <v/>
      </c>
      <c r="Y212">
        <f t="shared" si="53"/>
        <v>0</v>
      </c>
      <c r="Z212">
        <f t="shared" si="54"/>
        <v>0</v>
      </c>
      <c r="AA212">
        <f t="shared" si="55"/>
        <v>0</v>
      </c>
      <c r="AB212">
        <f t="shared" si="56"/>
        <v>0</v>
      </c>
      <c r="AC212" t="str">
        <f t="shared" si="57"/>
        <v/>
      </c>
      <c r="AD212" s="204">
        <f t="shared" si="67"/>
        <v>0</v>
      </c>
      <c r="AE212" s="204">
        <f t="shared" si="68"/>
        <v>0</v>
      </c>
      <c r="AF212" s="204">
        <f t="shared" si="69"/>
        <v>0</v>
      </c>
      <c r="AG212" s="204">
        <f t="shared" si="70"/>
        <v>0</v>
      </c>
    </row>
    <row r="213" spans="1:33" x14ac:dyDescent="0.3">
      <c r="A213" s="204"/>
      <c r="B213" s="205"/>
      <c r="C213" s="205"/>
      <c r="D213" s="205"/>
      <c r="E213" s="205"/>
      <c r="F213" s="204"/>
      <c r="G213" s="204"/>
      <c r="H213" s="204"/>
      <c r="I213" s="204" t="str">
        <f t="shared" si="58"/>
        <v/>
      </c>
      <c r="J213" s="204" t="str">
        <f t="shared" si="59"/>
        <v/>
      </c>
      <c r="K213" s="204" t="str">
        <f t="shared" si="60"/>
        <v/>
      </c>
      <c r="L213" s="204" t="str">
        <f t="shared" si="61"/>
        <v/>
      </c>
      <c r="M213" s="76" t="str">
        <f t="shared" si="62"/>
        <v/>
      </c>
      <c r="N213" s="206">
        <f t="shared" si="63"/>
        <v>0</v>
      </c>
      <c r="O213" s="206">
        <f t="shared" si="64"/>
        <v>0</v>
      </c>
      <c r="P213" s="206">
        <f t="shared" si="65"/>
        <v>0</v>
      </c>
      <c r="Q213" s="206">
        <f t="shared" si="66"/>
        <v>0</v>
      </c>
      <c r="X213" s="71" t="str">
        <f t="shared" si="52"/>
        <v/>
      </c>
      <c r="Y213">
        <f t="shared" si="53"/>
        <v>0</v>
      </c>
      <c r="Z213">
        <f t="shared" si="54"/>
        <v>0</v>
      </c>
      <c r="AA213">
        <f t="shared" si="55"/>
        <v>0</v>
      </c>
      <c r="AB213">
        <f t="shared" si="56"/>
        <v>0</v>
      </c>
      <c r="AC213" t="str">
        <f t="shared" si="57"/>
        <v/>
      </c>
      <c r="AD213" s="204">
        <f t="shared" si="67"/>
        <v>0</v>
      </c>
      <c r="AE213" s="204">
        <f t="shared" si="68"/>
        <v>0</v>
      </c>
      <c r="AF213" s="204">
        <f t="shared" si="69"/>
        <v>0</v>
      </c>
      <c r="AG213" s="204">
        <f t="shared" si="70"/>
        <v>0</v>
      </c>
    </row>
    <row r="214" spans="1:33" x14ac:dyDescent="0.3">
      <c r="A214" s="204"/>
      <c r="B214" s="205"/>
      <c r="C214" s="205"/>
      <c r="D214" s="205"/>
      <c r="E214" s="205"/>
      <c r="F214" s="204"/>
      <c r="G214" s="204"/>
      <c r="H214" s="204"/>
      <c r="I214" s="204" t="str">
        <f t="shared" si="58"/>
        <v/>
      </c>
      <c r="J214" s="204" t="str">
        <f t="shared" si="59"/>
        <v/>
      </c>
      <c r="K214" s="204" t="str">
        <f t="shared" si="60"/>
        <v/>
      </c>
      <c r="L214" s="204" t="str">
        <f t="shared" si="61"/>
        <v/>
      </c>
      <c r="M214" s="76" t="str">
        <f t="shared" si="62"/>
        <v/>
      </c>
      <c r="N214" s="206">
        <f t="shared" si="63"/>
        <v>0</v>
      </c>
      <c r="O214" s="206">
        <f t="shared" si="64"/>
        <v>0</v>
      </c>
      <c r="P214" s="206">
        <f t="shared" si="65"/>
        <v>0</v>
      </c>
      <c r="Q214" s="206">
        <f t="shared" si="66"/>
        <v>0</v>
      </c>
      <c r="X214" s="71" t="str">
        <f t="shared" si="52"/>
        <v/>
      </c>
      <c r="Y214">
        <f t="shared" si="53"/>
        <v>0</v>
      </c>
      <c r="Z214">
        <f t="shared" si="54"/>
        <v>0</v>
      </c>
      <c r="AA214">
        <f t="shared" si="55"/>
        <v>0</v>
      </c>
      <c r="AB214">
        <f t="shared" si="56"/>
        <v>0</v>
      </c>
      <c r="AC214" t="str">
        <f t="shared" si="57"/>
        <v/>
      </c>
      <c r="AD214" s="204">
        <f t="shared" si="67"/>
        <v>0</v>
      </c>
      <c r="AE214" s="204">
        <f t="shared" si="68"/>
        <v>0</v>
      </c>
      <c r="AF214" s="204">
        <f t="shared" si="69"/>
        <v>0</v>
      </c>
      <c r="AG214" s="204">
        <f t="shared" si="70"/>
        <v>0</v>
      </c>
    </row>
    <row r="215" spans="1:33" x14ac:dyDescent="0.3">
      <c r="A215" s="204"/>
      <c r="B215" s="205"/>
      <c r="C215" s="205"/>
      <c r="D215" s="205"/>
      <c r="E215" s="205"/>
      <c r="F215" s="204"/>
      <c r="G215" s="204"/>
      <c r="H215" s="204"/>
      <c r="I215" s="204" t="str">
        <f t="shared" si="58"/>
        <v/>
      </c>
      <c r="J215" s="204" t="str">
        <f t="shared" si="59"/>
        <v/>
      </c>
      <c r="K215" s="204" t="str">
        <f t="shared" si="60"/>
        <v/>
      </c>
      <c r="L215" s="204" t="str">
        <f t="shared" si="61"/>
        <v/>
      </c>
      <c r="M215" s="76" t="str">
        <f t="shared" si="62"/>
        <v/>
      </c>
      <c r="N215" s="206">
        <f t="shared" si="63"/>
        <v>0</v>
      </c>
      <c r="O215" s="206">
        <f t="shared" si="64"/>
        <v>0</v>
      </c>
      <c r="P215" s="206">
        <f t="shared" si="65"/>
        <v>0</v>
      </c>
      <c r="Q215" s="206">
        <f t="shared" si="66"/>
        <v>0</v>
      </c>
      <c r="X215" s="71" t="str">
        <f t="shared" si="52"/>
        <v/>
      </c>
      <c r="Y215">
        <f t="shared" si="53"/>
        <v>0</v>
      </c>
      <c r="Z215">
        <f t="shared" si="54"/>
        <v>0</v>
      </c>
      <c r="AA215">
        <f t="shared" si="55"/>
        <v>0</v>
      </c>
      <c r="AB215">
        <f t="shared" si="56"/>
        <v>0</v>
      </c>
      <c r="AC215" t="str">
        <f t="shared" si="57"/>
        <v/>
      </c>
      <c r="AD215" s="204">
        <f t="shared" si="67"/>
        <v>0</v>
      </c>
      <c r="AE215" s="204">
        <f t="shared" si="68"/>
        <v>0</v>
      </c>
      <c r="AF215" s="204">
        <f t="shared" si="69"/>
        <v>0</v>
      </c>
      <c r="AG215" s="204">
        <f t="shared" si="70"/>
        <v>0</v>
      </c>
    </row>
    <row r="216" spans="1:33" x14ac:dyDescent="0.3">
      <c r="A216" s="204"/>
      <c r="B216" s="205"/>
      <c r="C216" s="205"/>
      <c r="D216" s="205"/>
      <c r="E216" s="205"/>
      <c r="F216" s="204"/>
      <c r="G216" s="204"/>
      <c r="H216" s="204"/>
      <c r="I216" s="204" t="str">
        <f t="shared" si="58"/>
        <v/>
      </c>
      <c r="J216" s="204" t="str">
        <f t="shared" si="59"/>
        <v/>
      </c>
      <c r="K216" s="204" t="str">
        <f t="shared" si="60"/>
        <v/>
      </c>
      <c r="L216" s="204" t="str">
        <f t="shared" si="61"/>
        <v/>
      </c>
      <c r="M216" s="76" t="str">
        <f t="shared" si="62"/>
        <v/>
      </c>
      <c r="N216" s="206">
        <f t="shared" si="63"/>
        <v>0</v>
      </c>
      <c r="O216" s="206">
        <f t="shared" si="64"/>
        <v>0</v>
      </c>
      <c r="P216" s="206">
        <f t="shared" si="65"/>
        <v>0</v>
      </c>
      <c r="Q216" s="206">
        <f t="shared" si="66"/>
        <v>0</v>
      </c>
      <c r="X216" s="71" t="str">
        <f t="shared" si="52"/>
        <v/>
      </c>
      <c r="Y216">
        <f t="shared" si="53"/>
        <v>0</v>
      </c>
      <c r="Z216">
        <f t="shared" si="54"/>
        <v>0</v>
      </c>
      <c r="AA216">
        <f t="shared" si="55"/>
        <v>0</v>
      </c>
      <c r="AB216">
        <f t="shared" si="56"/>
        <v>0</v>
      </c>
      <c r="AC216" t="str">
        <f t="shared" si="57"/>
        <v/>
      </c>
      <c r="AD216" s="204">
        <f t="shared" si="67"/>
        <v>0</v>
      </c>
      <c r="AE216" s="204">
        <f t="shared" si="68"/>
        <v>0</v>
      </c>
      <c r="AF216" s="204">
        <f t="shared" si="69"/>
        <v>0</v>
      </c>
      <c r="AG216" s="204">
        <f t="shared" si="70"/>
        <v>0</v>
      </c>
    </row>
    <row r="217" spans="1:33" x14ac:dyDescent="0.3">
      <c r="A217" s="204"/>
      <c r="B217" s="205"/>
      <c r="C217" s="205"/>
      <c r="D217" s="205"/>
      <c r="E217" s="205"/>
      <c r="F217" s="204"/>
      <c r="G217" s="204"/>
      <c r="H217" s="204"/>
      <c r="I217" s="204" t="str">
        <f t="shared" si="58"/>
        <v/>
      </c>
      <c r="J217" s="204" t="str">
        <f t="shared" si="59"/>
        <v/>
      </c>
      <c r="K217" s="204" t="str">
        <f t="shared" si="60"/>
        <v/>
      </c>
      <c r="L217" s="204" t="str">
        <f t="shared" si="61"/>
        <v/>
      </c>
      <c r="M217" s="76" t="str">
        <f t="shared" si="62"/>
        <v/>
      </c>
      <c r="N217" s="206">
        <f t="shared" si="63"/>
        <v>0</v>
      </c>
      <c r="O217" s="206">
        <f t="shared" si="64"/>
        <v>0</v>
      </c>
      <c r="P217" s="206">
        <f t="shared" si="65"/>
        <v>0</v>
      </c>
      <c r="Q217" s="206">
        <f t="shared" si="66"/>
        <v>0</v>
      </c>
      <c r="X217" s="71" t="str">
        <f t="shared" si="52"/>
        <v/>
      </c>
      <c r="Y217">
        <f t="shared" si="53"/>
        <v>0</v>
      </c>
      <c r="Z217">
        <f t="shared" si="54"/>
        <v>0</v>
      </c>
      <c r="AA217">
        <f t="shared" si="55"/>
        <v>0</v>
      </c>
      <c r="AB217">
        <f t="shared" si="56"/>
        <v>0</v>
      </c>
      <c r="AC217" t="str">
        <f t="shared" si="57"/>
        <v/>
      </c>
      <c r="AD217" s="204">
        <f t="shared" si="67"/>
        <v>0</v>
      </c>
      <c r="AE217" s="204">
        <f t="shared" si="68"/>
        <v>0</v>
      </c>
      <c r="AF217" s="204">
        <f t="shared" si="69"/>
        <v>0</v>
      </c>
      <c r="AG217" s="204">
        <f t="shared" si="70"/>
        <v>0</v>
      </c>
    </row>
    <row r="218" spans="1:33" x14ac:dyDescent="0.3">
      <c r="A218" s="204"/>
      <c r="B218" s="205"/>
      <c r="C218" s="205"/>
      <c r="D218" s="205"/>
      <c r="E218" s="205"/>
      <c r="F218" s="204"/>
      <c r="G218" s="204"/>
      <c r="H218" s="204"/>
      <c r="I218" s="204" t="str">
        <f t="shared" si="58"/>
        <v/>
      </c>
      <c r="J218" s="204" t="str">
        <f t="shared" si="59"/>
        <v/>
      </c>
      <c r="K218" s="204" t="str">
        <f t="shared" si="60"/>
        <v/>
      </c>
      <c r="L218" s="204" t="str">
        <f t="shared" si="61"/>
        <v/>
      </c>
      <c r="M218" s="76" t="str">
        <f t="shared" si="62"/>
        <v/>
      </c>
      <c r="N218" s="206">
        <f t="shared" si="63"/>
        <v>0</v>
      </c>
      <c r="O218" s="206">
        <f t="shared" si="64"/>
        <v>0</v>
      </c>
      <c r="P218" s="206">
        <f t="shared" si="65"/>
        <v>0</v>
      </c>
      <c r="Q218" s="206">
        <f t="shared" si="66"/>
        <v>0</v>
      </c>
      <c r="X218" s="71" t="str">
        <f t="shared" si="52"/>
        <v/>
      </c>
      <c r="Y218">
        <f t="shared" si="53"/>
        <v>0</v>
      </c>
      <c r="Z218">
        <f t="shared" si="54"/>
        <v>0</v>
      </c>
      <c r="AA218">
        <f t="shared" si="55"/>
        <v>0</v>
      </c>
      <c r="AB218">
        <f t="shared" si="56"/>
        <v>0</v>
      </c>
      <c r="AC218" t="str">
        <f t="shared" si="57"/>
        <v/>
      </c>
      <c r="AD218" s="204">
        <f t="shared" si="67"/>
        <v>0</v>
      </c>
      <c r="AE218" s="204">
        <f t="shared" si="68"/>
        <v>0</v>
      </c>
      <c r="AF218" s="204">
        <f t="shared" si="69"/>
        <v>0</v>
      </c>
      <c r="AG218" s="204">
        <f t="shared" si="70"/>
        <v>0</v>
      </c>
    </row>
    <row r="219" spans="1:33" x14ac:dyDescent="0.3">
      <c r="A219" s="204"/>
      <c r="B219" s="205"/>
      <c r="C219" s="205"/>
      <c r="D219" s="205"/>
      <c r="E219" s="205"/>
      <c r="F219" s="204"/>
      <c r="G219" s="204"/>
      <c r="H219" s="204"/>
      <c r="I219" s="204" t="str">
        <f t="shared" si="58"/>
        <v/>
      </c>
      <c r="J219" s="204" t="str">
        <f t="shared" si="59"/>
        <v/>
      </c>
      <c r="K219" s="204" t="str">
        <f t="shared" si="60"/>
        <v/>
      </c>
      <c r="L219" s="204" t="str">
        <f t="shared" si="61"/>
        <v/>
      </c>
      <c r="M219" s="76" t="str">
        <f t="shared" si="62"/>
        <v/>
      </c>
      <c r="N219" s="206">
        <f t="shared" si="63"/>
        <v>0</v>
      </c>
      <c r="O219" s="206">
        <f t="shared" si="64"/>
        <v>0</v>
      </c>
      <c r="P219" s="206">
        <f t="shared" si="65"/>
        <v>0</v>
      </c>
      <c r="Q219" s="206">
        <f t="shared" si="66"/>
        <v>0</v>
      </c>
      <c r="X219" s="71" t="str">
        <f t="shared" si="52"/>
        <v/>
      </c>
      <c r="Y219">
        <f t="shared" si="53"/>
        <v>0</v>
      </c>
      <c r="Z219">
        <f t="shared" si="54"/>
        <v>0</v>
      </c>
      <c r="AA219">
        <f t="shared" si="55"/>
        <v>0</v>
      </c>
      <c r="AB219">
        <f t="shared" si="56"/>
        <v>0</v>
      </c>
      <c r="AC219" t="str">
        <f t="shared" si="57"/>
        <v/>
      </c>
      <c r="AD219" s="204">
        <f t="shared" si="67"/>
        <v>0</v>
      </c>
      <c r="AE219" s="204">
        <f t="shared" si="68"/>
        <v>0</v>
      </c>
      <c r="AF219" s="204">
        <f t="shared" si="69"/>
        <v>0</v>
      </c>
      <c r="AG219" s="204">
        <f t="shared" si="70"/>
        <v>0</v>
      </c>
    </row>
    <row r="220" spans="1:33" x14ac:dyDescent="0.3">
      <c r="A220" s="204"/>
      <c r="B220" s="205"/>
      <c r="C220" s="205"/>
      <c r="D220" s="205"/>
      <c r="E220" s="205"/>
      <c r="F220" s="204"/>
      <c r="G220" s="204"/>
      <c r="H220" s="204"/>
      <c r="I220" s="204" t="str">
        <f t="shared" si="58"/>
        <v/>
      </c>
      <c r="J220" s="204" t="str">
        <f t="shared" si="59"/>
        <v/>
      </c>
      <c r="K220" s="204" t="str">
        <f t="shared" si="60"/>
        <v/>
      </c>
      <c r="L220" s="204" t="str">
        <f t="shared" si="61"/>
        <v/>
      </c>
      <c r="M220" s="76" t="str">
        <f t="shared" si="62"/>
        <v/>
      </c>
      <c r="N220" s="206">
        <f t="shared" si="63"/>
        <v>0</v>
      </c>
      <c r="O220" s="206">
        <f t="shared" si="64"/>
        <v>0</v>
      </c>
      <c r="P220" s="206">
        <f t="shared" si="65"/>
        <v>0</v>
      </c>
      <c r="Q220" s="206">
        <f t="shared" si="66"/>
        <v>0</v>
      </c>
      <c r="X220" s="71" t="str">
        <f t="shared" si="52"/>
        <v/>
      </c>
      <c r="Y220">
        <f t="shared" si="53"/>
        <v>0</v>
      </c>
      <c r="Z220">
        <f t="shared" si="54"/>
        <v>0</v>
      </c>
      <c r="AA220">
        <f t="shared" si="55"/>
        <v>0</v>
      </c>
      <c r="AB220">
        <f t="shared" si="56"/>
        <v>0</v>
      </c>
      <c r="AC220" t="str">
        <f t="shared" si="57"/>
        <v/>
      </c>
      <c r="AD220" s="204">
        <f t="shared" si="67"/>
        <v>0</v>
      </c>
      <c r="AE220" s="204">
        <f t="shared" si="68"/>
        <v>0</v>
      </c>
      <c r="AF220" s="204">
        <f t="shared" si="69"/>
        <v>0</v>
      </c>
      <c r="AG220" s="204">
        <f t="shared" si="70"/>
        <v>0</v>
      </c>
    </row>
    <row r="221" spans="1:33" x14ac:dyDescent="0.3">
      <c r="A221" s="204"/>
      <c r="B221" s="205"/>
      <c r="C221" s="205"/>
      <c r="D221" s="205"/>
      <c r="E221" s="205"/>
      <c r="F221" s="204"/>
      <c r="G221" s="204"/>
      <c r="H221" s="204"/>
      <c r="I221" s="204" t="str">
        <f t="shared" si="58"/>
        <v/>
      </c>
      <c r="J221" s="204" t="str">
        <f t="shared" si="59"/>
        <v/>
      </c>
      <c r="K221" s="204" t="str">
        <f t="shared" si="60"/>
        <v/>
      </c>
      <c r="L221" s="204" t="str">
        <f t="shared" si="61"/>
        <v/>
      </c>
      <c r="M221" s="76" t="str">
        <f t="shared" si="62"/>
        <v/>
      </c>
      <c r="N221" s="206">
        <f t="shared" si="63"/>
        <v>0</v>
      </c>
      <c r="O221" s="206">
        <f t="shared" si="64"/>
        <v>0</v>
      </c>
      <c r="P221" s="206">
        <f t="shared" si="65"/>
        <v>0</v>
      </c>
      <c r="Q221" s="206">
        <f t="shared" si="66"/>
        <v>0</v>
      </c>
      <c r="X221" s="71" t="str">
        <f t="shared" si="52"/>
        <v/>
      </c>
      <c r="Y221">
        <f t="shared" si="53"/>
        <v>0</v>
      </c>
      <c r="Z221">
        <f t="shared" si="54"/>
        <v>0</v>
      </c>
      <c r="AA221">
        <f t="shared" si="55"/>
        <v>0</v>
      </c>
      <c r="AB221">
        <f t="shared" si="56"/>
        <v>0</v>
      </c>
      <c r="AC221" t="str">
        <f t="shared" si="57"/>
        <v/>
      </c>
      <c r="AD221" s="204">
        <f t="shared" si="67"/>
        <v>0</v>
      </c>
      <c r="AE221" s="204">
        <f t="shared" si="68"/>
        <v>0</v>
      </c>
      <c r="AF221" s="204">
        <f t="shared" si="69"/>
        <v>0</v>
      </c>
      <c r="AG221" s="204">
        <f t="shared" si="70"/>
        <v>0</v>
      </c>
    </row>
    <row r="222" spans="1:33" x14ac:dyDescent="0.3">
      <c r="A222" s="204"/>
      <c r="B222" s="205"/>
      <c r="C222" s="205"/>
      <c r="D222" s="205"/>
      <c r="E222" s="205"/>
      <c r="F222" s="204"/>
      <c r="G222" s="204"/>
      <c r="H222" s="204"/>
      <c r="I222" s="204" t="str">
        <f t="shared" si="58"/>
        <v/>
      </c>
      <c r="J222" s="204" t="str">
        <f t="shared" si="59"/>
        <v/>
      </c>
      <c r="K222" s="204" t="str">
        <f t="shared" si="60"/>
        <v/>
      </c>
      <c r="L222" s="204" t="str">
        <f t="shared" si="61"/>
        <v/>
      </c>
      <c r="M222" s="76" t="str">
        <f t="shared" si="62"/>
        <v/>
      </c>
      <c r="N222" s="206">
        <f t="shared" si="63"/>
        <v>0</v>
      </c>
      <c r="O222" s="206">
        <f t="shared" si="64"/>
        <v>0</v>
      </c>
      <c r="P222" s="206">
        <f t="shared" si="65"/>
        <v>0</v>
      </c>
      <c r="Q222" s="206">
        <f t="shared" si="66"/>
        <v>0</v>
      </c>
      <c r="X222" s="71" t="str">
        <f t="shared" si="52"/>
        <v/>
      </c>
      <c r="Y222">
        <f t="shared" si="53"/>
        <v>0</v>
      </c>
      <c r="Z222">
        <f t="shared" si="54"/>
        <v>0</v>
      </c>
      <c r="AA222">
        <f t="shared" si="55"/>
        <v>0</v>
      </c>
      <c r="AB222">
        <f t="shared" si="56"/>
        <v>0</v>
      </c>
      <c r="AC222" t="str">
        <f t="shared" si="57"/>
        <v/>
      </c>
      <c r="AD222" s="204">
        <f t="shared" si="67"/>
        <v>0</v>
      </c>
      <c r="AE222" s="204">
        <f t="shared" si="68"/>
        <v>0</v>
      </c>
      <c r="AF222" s="204">
        <f t="shared" si="69"/>
        <v>0</v>
      </c>
      <c r="AG222" s="204">
        <f t="shared" si="70"/>
        <v>0</v>
      </c>
    </row>
    <row r="223" spans="1:33" x14ac:dyDescent="0.3">
      <c r="A223" s="204"/>
      <c r="B223" s="205"/>
      <c r="C223" s="205"/>
      <c r="D223" s="205"/>
      <c r="E223" s="205"/>
      <c r="F223" s="204"/>
      <c r="G223" s="204"/>
      <c r="H223" s="204"/>
      <c r="I223" s="204" t="str">
        <f t="shared" si="58"/>
        <v/>
      </c>
      <c r="J223" s="204" t="str">
        <f t="shared" si="59"/>
        <v/>
      </c>
      <c r="K223" s="204" t="str">
        <f t="shared" si="60"/>
        <v/>
      </c>
      <c r="L223" s="204" t="str">
        <f t="shared" si="61"/>
        <v/>
      </c>
      <c r="M223" s="76" t="str">
        <f t="shared" si="62"/>
        <v/>
      </c>
      <c r="N223" s="206">
        <f t="shared" si="63"/>
        <v>0</v>
      </c>
      <c r="O223" s="206">
        <f t="shared" si="64"/>
        <v>0</v>
      </c>
      <c r="P223" s="206">
        <f t="shared" si="65"/>
        <v>0</v>
      </c>
      <c r="Q223" s="206">
        <f t="shared" si="66"/>
        <v>0</v>
      </c>
      <c r="X223" s="71" t="str">
        <f t="shared" si="52"/>
        <v/>
      </c>
      <c r="Y223">
        <f t="shared" si="53"/>
        <v>0</v>
      </c>
      <c r="Z223">
        <f t="shared" si="54"/>
        <v>0</v>
      </c>
      <c r="AA223">
        <f t="shared" si="55"/>
        <v>0</v>
      </c>
      <c r="AB223">
        <f t="shared" si="56"/>
        <v>0</v>
      </c>
      <c r="AC223" t="str">
        <f t="shared" si="57"/>
        <v/>
      </c>
      <c r="AD223" s="204">
        <f t="shared" si="67"/>
        <v>0</v>
      </c>
      <c r="AE223" s="204">
        <f t="shared" si="68"/>
        <v>0</v>
      </c>
      <c r="AF223" s="204">
        <f t="shared" si="69"/>
        <v>0</v>
      </c>
      <c r="AG223" s="204">
        <f t="shared" si="70"/>
        <v>0</v>
      </c>
    </row>
    <row r="224" spans="1:33" x14ac:dyDescent="0.3">
      <c r="A224" s="204"/>
      <c r="B224" s="205"/>
      <c r="C224" s="205"/>
      <c r="D224" s="205"/>
      <c r="E224" s="205"/>
      <c r="F224" s="204"/>
      <c r="G224" s="204"/>
      <c r="H224" s="204"/>
      <c r="I224" s="204" t="str">
        <f t="shared" si="58"/>
        <v/>
      </c>
      <c r="J224" s="204" t="str">
        <f t="shared" si="59"/>
        <v/>
      </c>
      <c r="K224" s="204" t="str">
        <f t="shared" si="60"/>
        <v/>
      </c>
      <c r="L224" s="204" t="str">
        <f t="shared" si="61"/>
        <v/>
      </c>
      <c r="M224" s="76" t="str">
        <f t="shared" si="62"/>
        <v/>
      </c>
      <c r="N224" s="206">
        <f t="shared" si="63"/>
        <v>0</v>
      </c>
      <c r="O224" s="206">
        <f t="shared" si="64"/>
        <v>0</v>
      </c>
      <c r="P224" s="206">
        <f t="shared" si="65"/>
        <v>0</v>
      </c>
      <c r="Q224" s="206">
        <f t="shared" si="66"/>
        <v>0</v>
      </c>
      <c r="X224" s="71" t="str">
        <f t="shared" si="52"/>
        <v/>
      </c>
      <c r="Y224">
        <f t="shared" si="53"/>
        <v>0</v>
      </c>
      <c r="Z224">
        <f t="shared" si="54"/>
        <v>0</v>
      </c>
      <c r="AA224">
        <f t="shared" si="55"/>
        <v>0</v>
      </c>
      <c r="AB224">
        <f t="shared" si="56"/>
        <v>0</v>
      </c>
      <c r="AC224" t="str">
        <f t="shared" si="57"/>
        <v/>
      </c>
      <c r="AD224" s="204">
        <f t="shared" si="67"/>
        <v>0</v>
      </c>
      <c r="AE224" s="204">
        <f t="shared" si="68"/>
        <v>0</v>
      </c>
      <c r="AF224" s="204">
        <f t="shared" si="69"/>
        <v>0</v>
      </c>
      <c r="AG224" s="204">
        <f t="shared" si="70"/>
        <v>0</v>
      </c>
    </row>
    <row r="225" spans="1:33" x14ac:dyDescent="0.3">
      <c r="A225" s="204"/>
      <c r="B225" s="205"/>
      <c r="C225" s="205"/>
      <c r="D225" s="205"/>
      <c r="E225" s="205"/>
      <c r="F225" s="204"/>
      <c r="G225" s="204"/>
      <c r="H225" s="204"/>
      <c r="I225" s="204" t="str">
        <f t="shared" si="58"/>
        <v/>
      </c>
      <c r="J225" s="204" t="str">
        <f t="shared" si="59"/>
        <v/>
      </c>
      <c r="K225" s="204" t="str">
        <f t="shared" si="60"/>
        <v/>
      </c>
      <c r="L225" s="204" t="str">
        <f t="shared" si="61"/>
        <v/>
      </c>
      <c r="M225" s="76" t="str">
        <f t="shared" si="62"/>
        <v/>
      </c>
      <c r="N225" s="206">
        <f t="shared" si="63"/>
        <v>0</v>
      </c>
      <c r="O225" s="206">
        <f t="shared" si="64"/>
        <v>0</v>
      </c>
      <c r="P225" s="206">
        <f t="shared" si="65"/>
        <v>0</v>
      </c>
      <c r="Q225" s="206">
        <f t="shared" si="66"/>
        <v>0</v>
      </c>
      <c r="X225" s="71" t="str">
        <f t="shared" si="52"/>
        <v/>
      </c>
      <c r="Y225">
        <f t="shared" si="53"/>
        <v>0</v>
      </c>
      <c r="Z225">
        <f t="shared" si="54"/>
        <v>0</v>
      </c>
      <c r="AA225">
        <f t="shared" si="55"/>
        <v>0</v>
      </c>
      <c r="AB225">
        <f t="shared" si="56"/>
        <v>0</v>
      </c>
      <c r="AC225" t="str">
        <f t="shared" si="57"/>
        <v/>
      </c>
      <c r="AD225" s="204">
        <f t="shared" si="67"/>
        <v>0</v>
      </c>
      <c r="AE225" s="204">
        <f t="shared" si="68"/>
        <v>0</v>
      </c>
      <c r="AF225" s="204">
        <f t="shared" si="69"/>
        <v>0</v>
      </c>
      <c r="AG225" s="204">
        <f t="shared" si="70"/>
        <v>0</v>
      </c>
    </row>
    <row r="226" spans="1:33" x14ac:dyDescent="0.3">
      <c r="A226" s="204"/>
      <c r="B226" s="205"/>
      <c r="C226" s="205"/>
      <c r="D226" s="205"/>
      <c r="E226" s="205"/>
      <c r="F226" s="204"/>
      <c r="G226" s="204"/>
      <c r="H226" s="204"/>
      <c r="I226" s="204" t="str">
        <f t="shared" si="58"/>
        <v/>
      </c>
      <c r="J226" s="204" t="str">
        <f t="shared" si="59"/>
        <v/>
      </c>
      <c r="K226" s="204" t="str">
        <f t="shared" si="60"/>
        <v/>
      </c>
      <c r="L226" s="204" t="str">
        <f t="shared" si="61"/>
        <v/>
      </c>
      <c r="M226" s="76" t="str">
        <f t="shared" si="62"/>
        <v/>
      </c>
      <c r="N226" s="206">
        <f t="shared" si="63"/>
        <v>0</v>
      </c>
      <c r="O226" s="206">
        <f t="shared" si="64"/>
        <v>0</v>
      </c>
      <c r="P226" s="206">
        <f t="shared" si="65"/>
        <v>0</v>
      </c>
      <c r="Q226" s="206">
        <f t="shared" si="66"/>
        <v>0</v>
      </c>
      <c r="X226" s="71" t="str">
        <f t="shared" si="52"/>
        <v/>
      </c>
      <c r="Y226">
        <f t="shared" si="53"/>
        <v>0</v>
      </c>
      <c r="Z226">
        <f t="shared" si="54"/>
        <v>0</v>
      </c>
      <c r="AA226">
        <f t="shared" si="55"/>
        <v>0</v>
      </c>
      <c r="AB226">
        <f t="shared" si="56"/>
        <v>0</v>
      </c>
      <c r="AC226" t="str">
        <f t="shared" si="57"/>
        <v/>
      </c>
      <c r="AD226" s="204">
        <f t="shared" si="67"/>
        <v>0</v>
      </c>
      <c r="AE226" s="204">
        <f t="shared" si="68"/>
        <v>0</v>
      </c>
      <c r="AF226" s="204">
        <f t="shared" si="69"/>
        <v>0</v>
      </c>
      <c r="AG226" s="204">
        <f t="shared" si="70"/>
        <v>0</v>
      </c>
    </row>
    <row r="227" spans="1:33" x14ac:dyDescent="0.3">
      <c r="A227" s="204"/>
      <c r="B227" s="205"/>
      <c r="C227" s="205"/>
      <c r="D227" s="205"/>
      <c r="E227" s="205"/>
      <c r="F227" s="204"/>
      <c r="G227" s="204"/>
      <c r="H227" s="204"/>
      <c r="I227" s="204" t="str">
        <f t="shared" si="58"/>
        <v/>
      </c>
      <c r="J227" s="204" t="str">
        <f t="shared" si="59"/>
        <v/>
      </c>
      <c r="K227" s="204" t="str">
        <f t="shared" si="60"/>
        <v/>
      </c>
      <c r="L227" s="204" t="str">
        <f t="shared" si="61"/>
        <v/>
      </c>
      <c r="M227" s="76" t="str">
        <f t="shared" si="62"/>
        <v/>
      </c>
      <c r="N227" s="206">
        <f t="shared" si="63"/>
        <v>0</v>
      </c>
      <c r="O227" s="206">
        <f t="shared" si="64"/>
        <v>0</v>
      </c>
      <c r="P227" s="206">
        <f t="shared" si="65"/>
        <v>0</v>
      </c>
      <c r="Q227" s="206">
        <f t="shared" si="66"/>
        <v>0</v>
      </c>
      <c r="X227" s="71" t="str">
        <f t="shared" si="52"/>
        <v/>
      </c>
      <c r="Y227">
        <f t="shared" si="53"/>
        <v>0</v>
      </c>
      <c r="Z227">
        <f t="shared" si="54"/>
        <v>0</v>
      </c>
      <c r="AA227">
        <f t="shared" si="55"/>
        <v>0</v>
      </c>
      <c r="AB227">
        <f t="shared" si="56"/>
        <v>0</v>
      </c>
      <c r="AC227" t="str">
        <f t="shared" si="57"/>
        <v/>
      </c>
      <c r="AD227" s="204">
        <f t="shared" si="67"/>
        <v>0</v>
      </c>
      <c r="AE227" s="204">
        <f t="shared" si="68"/>
        <v>0</v>
      </c>
      <c r="AF227" s="204">
        <f t="shared" si="69"/>
        <v>0</v>
      </c>
      <c r="AG227" s="204">
        <f t="shared" si="70"/>
        <v>0</v>
      </c>
    </row>
    <row r="228" spans="1:33" x14ac:dyDescent="0.3">
      <c r="A228" s="204"/>
      <c r="B228" s="205"/>
      <c r="C228" s="205"/>
      <c r="D228" s="205"/>
      <c r="E228" s="205"/>
      <c r="F228" s="204"/>
      <c r="G228" s="204"/>
      <c r="H228" s="204"/>
      <c r="I228" s="204" t="str">
        <f t="shared" si="58"/>
        <v/>
      </c>
      <c r="J228" s="204" t="str">
        <f t="shared" si="59"/>
        <v/>
      </c>
      <c r="K228" s="204" t="str">
        <f t="shared" si="60"/>
        <v/>
      </c>
      <c r="L228" s="204" t="str">
        <f t="shared" si="61"/>
        <v/>
      </c>
      <c r="M228" s="76" t="str">
        <f t="shared" si="62"/>
        <v/>
      </c>
      <c r="N228" s="206">
        <f t="shared" si="63"/>
        <v>0</v>
      </c>
      <c r="O228" s="206">
        <f t="shared" si="64"/>
        <v>0</v>
      </c>
      <c r="P228" s="206">
        <f t="shared" si="65"/>
        <v>0</v>
      </c>
      <c r="Q228" s="206">
        <f t="shared" si="66"/>
        <v>0</v>
      </c>
      <c r="X228" s="71" t="str">
        <f t="shared" si="52"/>
        <v/>
      </c>
      <c r="Y228">
        <f t="shared" si="53"/>
        <v>0</v>
      </c>
      <c r="Z228">
        <f t="shared" si="54"/>
        <v>0</v>
      </c>
      <c r="AA228">
        <f t="shared" si="55"/>
        <v>0</v>
      </c>
      <c r="AB228">
        <f t="shared" si="56"/>
        <v>0</v>
      </c>
      <c r="AC228" t="str">
        <f t="shared" si="57"/>
        <v/>
      </c>
      <c r="AD228" s="204">
        <f t="shared" si="67"/>
        <v>0</v>
      </c>
      <c r="AE228" s="204">
        <f t="shared" si="68"/>
        <v>0</v>
      </c>
      <c r="AF228" s="204">
        <f t="shared" si="69"/>
        <v>0</v>
      </c>
      <c r="AG228" s="204">
        <f t="shared" si="70"/>
        <v>0</v>
      </c>
    </row>
    <row r="229" spans="1:33" x14ac:dyDescent="0.3">
      <c r="A229" s="204"/>
      <c r="B229" s="205"/>
      <c r="C229" s="205"/>
      <c r="D229" s="205"/>
      <c r="E229" s="205"/>
      <c r="F229" s="204"/>
      <c r="G229" s="204"/>
      <c r="H229" s="204"/>
      <c r="I229" s="204" t="str">
        <f t="shared" si="58"/>
        <v/>
      </c>
      <c r="J229" s="204" t="str">
        <f t="shared" si="59"/>
        <v/>
      </c>
      <c r="K229" s="204" t="str">
        <f t="shared" si="60"/>
        <v/>
      </c>
      <c r="L229" s="204" t="str">
        <f t="shared" si="61"/>
        <v/>
      </c>
      <c r="M229" s="76" t="str">
        <f t="shared" si="62"/>
        <v/>
      </c>
      <c r="N229" s="206">
        <f t="shared" si="63"/>
        <v>0</v>
      </c>
      <c r="O229" s="206">
        <f t="shared" si="64"/>
        <v>0</v>
      </c>
      <c r="P229" s="206">
        <f t="shared" si="65"/>
        <v>0</v>
      </c>
      <c r="Q229" s="206">
        <f t="shared" si="66"/>
        <v>0</v>
      </c>
      <c r="X229" s="71" t="str">
        <f t="shared" si="52"/>
        <v/>
      </c>
      <c r="Y229">
        <f t="shared" si="53"/>
        <v>0</v>
      </c>
      <c r="Z229">
        <f t="shared" si="54"/>
        <v>0</v>
      </c>
      <c r="AA229">
        <f t="shared" si="55"/>
        <v>0</v>
      </c>
      <c r="AB229">
        <f t="shared" si="56"/>
        <v>0</v>
      </c>
      <c r="AC229" t="str">
        <f t="shared" si="57"/>
        <v/>
      </c>
      <c r="AD229" s="204">
        <f t="shared" si="67"/>
        <v>0</v>
      </c>
      <c r="AE229" s="204">
        <f t="shared" si="68"/>
        <v>0</v>
      </c>
      <c r="AF229" s="204">
        <f t="shared" si="69"/>
        <v>0</v>
      </c>
      <c r="AG229" s="204">
        <f t="shared" si="70"/>
        <v>0</v>
      </c>
    </row>
    <row r="230" spans="1:33" x14ac:dyDescent="0.3">
      <c r="A230" s="204"/>
      <c r="B230" s="205"/>
      <c r="C230" s="205"/>
      <c r="D230" s="205"/>
      <c r="E230" s="205"/>
      <c r="F230" s="204"/>
      <c r="G230" s="204"/>
      <c r="H230" s="204"/>
      <c r="I230" s="204" t="str">
        <f t="shared" si="58"/>
        <v/>
      </c>
      <c r="J230" s="204" t="str">
        <f t="shared" si="59"/>
        <v/>
      </c>
      <c r="K230" s="204" t="str">
        <f t="shared" si="60"/>
        <v/>
      </c>
      <c r="L230" s="204" t="str">
        <f t="shared" si="61"/>
        <v/>
      </c>
      <c r="M230" s="76" t="str">
        <f t="shared" si="62"/>
        <v/>
      </c>
      <c r="N230" s="206">
        <f t="shared" si="63"/>
        <v>0</v>
      </c>
      <c r="O230" s="206">
        <f t="shared" si="64"/>
        <v>0</v>
      </c>
      <c r="P230" s="206">
        <f t="shared" si="65"/>
        <v>0</v>
      </c>
      <c r="Q230" s="206">
        <f t="shared" si="66"/>
        <v>0</v>
      </c>
      <c r="X230" s="71" t="str">
        <f t="shared" si="52"/>
        <v/>
      </c>
      <c r="Y230">
        <f t="shared" si="53"/>
        <v>0</v>
      </c>
      <c r="Z230">
        <f t="shared" si="54"/>
        <v>0</v>
      </c>
      <c r="AA230">
        <f t="shared" si="55"/>
        <v>0</v>
      </c>
      <c r="AB230">
        <f t="shared" si="56"/>
        <v>0</v>
      </c>
      <c r="AC230" t="str">
        <f t="shared" si="57"/>
        <v/>
      </c>
      <c r="AD230" s="204">
        <f t="shared" si="67"/>
        <v>0</v>
      </c>
      <c r="AE230" s="204">
        <f t="shared" si="68"/>
        <v>0</v>
      </c>
      <c r="AF230" s="204">
        <f t="shared" si="69"/>
        <v>0</v>
      </c>
      <c r="AG230" s="204">
        <f t="shared" si="70"/>
        <v>0</v>
      </c>
    </row>
    <row r="231" spans="1:33" x14ac:dyDescent="0.3">
      <c r="A231" s="204"/>
      <c r="B231" s="205"/>
      <c r="C231" s="205"/>
      <c r="D231" s="205"/>
      <c r="E231" s="205"/>
      <c r="F231" s="204"/>
      <c r="G231" s="204"/>
      <c r="H231" s="204"/>
      <c r="I231" s="204" t="str">
        <f t="shared" si="58"/>
        <v/>
      </c>
      <c r="J231" s="204" t="str">
        <f t="shared" si="59"/>
        <v/>
      </c>
      <c r="K231" s="204" t="str">
        <f t="shared" si="60"/>
        <v/>
      </c>
      <c r="L231" s="204" t="str">
        <f t="shared" si="61"/>
        <v/>
      </c>
      <c r="M231" s="76" t="str">
        <f t="shared" si="62"/>
        <v/>
      </c>
      <c r="N231" s="206">
        <f t="shared" si="63"/>
        <v>0</v>
      </c>
      <c r="O231" s="206">
        <f t="shared" si="64"/>
        <v>0</v>
      </c>
      <c r="P231" s="206">
        <f t="shared" si="65"/>
        <v>0</v>
      </c>
      <c r="Q231" s="206">
        <f t="shared" si="66"/>
        <v>0</v>
      </c>
      <c r="X231" s="71" t="str">
        <f t="shared" si="52"/>
        <v/>
      </c>
      <c r="Y231">
        <f t="shared" si="53"/>
        <v>0</v>
      </c>
      <c r="Z231">
        <f t="shared" si="54"/>
        <v>0</v>
      </c>
      <c r="AA231">
        <f t="shared" si="55"/>
        <v>0</v>
      </c>
      <c r="AB231">
        <f t="shared" si="56"/>
        <v>0</v>
      </c>
      <c r="AC231" t="str">
        <f t="shared" si="57"/>
        <v/>
      </c>
      <c r="AD231" s="204">
        <f t="shared" si="67"/>
        <v>0</v>
      </c>
      <c r="AE231" s="204">
        <f t="shared" si="68"/>
        <v>0</v>
      </c>
      <c r="AF231" s="204">
        <f t="shared" si="69"/>
        <v>0</v>
      </c>
      <c r="AG231" s="204">
        <f t="shared" si="70"/>
        <v>0</v>
      </c>
    </row>
    <row r="232" spans="1:33" x14ac:dyDescent="0.3">
      <c r="A232" s="204"/>
      <c r="B232" s="205"/>
      <c r="C232" s="205"/>
      <c r="D232" s="205"/>
      <c r="E232" s="205"/>
      <c r="F232" s="204"/>
      <c r="G232" s="204"/>
      <c r="H232" s="204"/>
      <c r="I232" s="204" t="str">
        <f t="shared" si="58"/>
        <v/>
      </c>
      <c r="J232" s="204" t="str">
        <f t="shared" si="59"/>
        <v/>
      </c>
      <c r="K232" s="204" t="str">
        <f t="shared" si="60"/>
        <v/>
      </c>
      <c r="L232" s="204" t="str">
        <f t="shared" si="61"/>
        <v/>
      </c>
      <c r="M232" s="76" t="str">
        <f t="shared" si="62"/>
        <v/>
      </c>
      <c r="N232" s="206">
        <f t="shared" si="63"/>
        <v>0</v>
      </c>
      <c r="O232" s="206">
        <f t="shared" si="64"/>
        <v>0</v>
      </c>
      <c r="P232" s="206">
        <f t="shared" si="65"/>
        <v>0</v>
      </c>
      <c r="Q232" s="206">
        <f t="shared" si="66"/>
        <v>0</v>
      </c>
      <c r="X232" s="71" t="str">
        <f t="shared" si="52"/>
        <v/>
      </c>
      <c r="Y232">
        <f t="shared" si="53"/>
        <v>0</v>
      </c>
      <c r="Z232">
        <f t="shared" si="54"/>
        <v>0</v>
      </c>
      <c r="AA232">
        <f t="shared" si="55"/>
        <v>0</v>
      </c>
      <c r="AB232">
        <f t="shared" si="56"/>
        <v>0</v>
      </c>
      <c r="AC232" t="str">
        <f t="shared" si="57"/>
        <v/>
      </c>
      <c r="AD232" s="204">
        <f t="shared" si="67"/>
        <v>0</v>
      </c>
      <c r="AE232" s="204">
        <f t="shared" si="68"/>
        <v>0</v>
      </c>
      <c r="AF232" s="204">
        <f t="shared" si="69"/>
        <v>0</v>
      </c>
      <c r="AG232" s="204">
        <f t="shared" si="70"/>
        <v>0</v>
      </c>
    </row>
    <row r="233" spans="1:33" x14ac:dyDescent="0.3">
      <c r="A233" s="204"/>
      <c r="B233" s="205"/>
      <c r="C233" s="205"/>
      <c r="D233" s="205"/>
      <c r="E233" s="205"/>
      <c r="F233" s="204"/>
      <c r="G233" s="204"/>
      <c r="H233" s="204"/>
      <c r="I233" s="204" t="str">
        <f t="shared" si="58"/>
        <v/>
      </c>
      <c r="J233" s="204" t="str">
        <f t="shared" si="59"/>
        <v/>
      </c>
      <c r="K233" s="204" t="str">
        <f t="shared" si="60"/>
        <v/>
      </c>
      <c r="L233" s="204" t="str">
        <f t="shared" si="61"/>
        <v/>
      </c>
      <c r="M233" s="76" t="str">
        <f t="shared" si="62"/>
        <v/>
      </c>
      <c r="N233" s="206">
        <f t="shared" si="63"/>
        <v>0</v>
      </c>
      <c r="O233" s="206">
        <f t="shared" si="64"/>
        <v>0</v>
      </c>
      <c r="P233" s="206">
        <f t="shared" si="65"/>
        <v>0</v>
      </c>
      <c r="Q233" s="206">
        <f t="shared" si="66"/>
        <v>0</v>
      </c>
      <c r="X233" s="71" t="str">
        <f t="shared" si="52"/>
        <v/>
      </c>
      <c r="Y233">
        <f t="shared" si="53"/>
        <v>0</v>
      </c>
      <c r="Z233">
        <f t="shared" si="54"/>
        <v>0</v>
      </c>
      <c r="AA233">
        <f t="shared" si="55"/>
        <v>0</v>
      </c>
      <c r="AB233">
        <f t="shared" si="56"/>
        <v>0</v>
      </c>
      <c r="AC233" t="str">
        <f t="shared" si="57"/>
        <v/>
      </c>
      <c r="AD233" s="204">
        <f t="shared" si="67"/>
        <v>0</v>
      </c>
      <c r="AE233" s="204">
        <f t="shared" si="68"/>
        <v>0</v>
      </c>
      <c r="AF233" s="204">
        <f t="shared" si="69"/>
        <v>0</v>
      </c>
      <c r="AG233" s="204">
        <f t="shared" si="70"/>
        <v>0</v>
      </c>
    </row>
    <row r="234" spans="1:33" x14ac:dyDescent="0.3">
      <c r="A234" s="204"/>
      <c r="B234" s="205"/>
      <c r="C234" s="205"/>
      <c r="D234" s="205"/>
      <c r="E234" s="205"/>
      <c r="F234" s="204"/>
      <c r="G234" s="204"/>
      <c r="H234" s="204"/>
      <c r="I234" s="204" t="str">
        <f t="shared" si="58"/>
        <v/>
      </c>
      <c r="J234" s="204" t="str">
        <f t="shared" si="59"/>
        <v/>
      </c>
      <c r="K234" s="204" t="str">
        <f t="shared" si="60"/>
        <v/>
      </c>
      <c r="L234" s="204" t="str">
        <f t="shared" si="61"/>
        <v/>
      </c>
      <c r="M234" s="76" t="str">
        <f t="shared" si="62"/>
        <v/>
      </c>
      <c r="N234" s="206">
        <f t="shared" si="63"/>
        <v>0</v>
      </c>
      <c r="O234" s="206">
        <f t="shared" si="64"/>
        <v>0</v>
      </c>
      <c r="P234" s="206">
        <f t="shared" si="65"/>
        <v>0</v>
      </c>
      <c r="Q234" s="206">
        <f t="shared" si="66"/>
        <v>0</v>
      </c>
      <c r="X234" s="71" t="str">
        <f t="shared" si="52"/>
        <v/>
      </c>
      <c r="Y234">
        <f t="shared" si="53"/>
        <v>0</v>
      </c>
      <c r="Z234">
        <f t="shared" si="54"/>
        <v>0</v>
      </c>
      <c r="AA234">
        <f t="shared" si="55"/>
        <v>0</v>
      </c>
      <c r="AB234">
        <f t="shared" si="56"/>
        <v>0</v>
      </c>
      <c r="AC234" t="str">
        <f t="shared" si="57"/>
        <v/>
      </c>
      <c r="AD234" s="204">
        <f t="shared" si="67"/>
        <v>0</v>
      </c>
      <c r="AE234" s="204">
        <f t="shared" si="68"/>
        <v>0</v>
      </c>
      <c r="AF234" s="204">
        <f t="shared" si="69"/>
        <v>0</v>
      </c>
      <c r="AG234" s="204">
        <f t="shared" si="70"/>
        <v>0</v>
      </c>
    </row>
    <row r="235" spans="1:33" x14ac:dyDescent="0.3">
      <c r="A235" s="204"/>
      <c r="B235" s="205"/>
      <c r="C235" s="205"/>
      <c r="D235" s="205"/>
      <c r="E235" s="205"/>
      <c r="F235" s="204"/>
      <c r="G235" s="204"/>
      <c r="H235" s="204"/>
      <c r="I235" s="204" t="str">
        <f t="shared" si="58"/>
        <v/>
      </c>
      <c r="J235" s="204" t="str">
        <f t="shared" si="59"/>
        <v/>
      </c>
      <c r="K235" s="204" t="str">
        <f t="shared" si="60"/>
        <v/>
      </c>
      <c r="L235" s="204" t="str">
        <f t="shared" si="61"/>
        <v/>
      </c>
      <c r="M235" s="76" t="str">
        <f t="shared" si="62"/>
        <v/>
      </c>
      <c r="N235" s="206">
        <f t="shared" si="63"/>
        <v>0</v>
      </c>
      <c r="O235" s="206">
        <f t="shared" si="64"/>
        <v>0</v>
      </c>
      <c r="P235" s="206">
        <f t="shared" si="65"/>
        <v>0</v>
      </c>
      <c r="Q235" s="206">
        <f t="shared" si="66"/>
        <v>0</v>
      </c>
      <c r="X235" s="71" t="str">
        <f t="shared" si="52"/>
        <v/>
      </c>
      <c r="Y235">
        <f t="shared" si="53"/>
        <v>0</v>
      </c>
      <c r="Z235">
        <f t="shared" si="54"/>
        <v>0</v>
      </c>
      <c r="AA235">
        <f t="shared" si="55"/>
        <v>0</v>
      </c>
      <c r="AB235">
        <f t="shared" si="56"/>
        <v>0</v>
      </c>
      <c r="AC235" t="str">
        <f t="shared" si="57"/>
        <v/>
      </c>
      <c r="AD235" s="204">
        <f t="shared" si="67"/>
        <v>0</v>
      </c>
      <c r="AE235" s="204">
        <f t="shared" si="68"/>
        <v>0</v>
      </c>
      <c r="AF235" s="204">
        <f t="shared" si="69"/>
        <v>0</v>
      </c>
      <c r="AG235" s="204">
        <f t="shared" si="70"/>
        <v>0</v>
      </c>
    </row>
    <row r="236" spans="1:33" x14ac:dyDescent="0.3">
      <c r="A236" s="204"/>
      <c r="B236" s="205"/>
      <c r="C236" s="205"/>
      <c r="D236" s="205"/>
      <c r="E236" s="205"/>
      <c r="F236" s="204"/>
      <c r="G236" s="204"/>
      <c r="H236" s="204"/>
      <c r="I236" s="204" t="str">
        <f t="shared" si="58"/>
        <v/>
      </c>
      <c r="J236" s="204" t="str">
        <f t="shared" si="59"/>
        <v/>
      </c>
      <c r="K236" s="204" t="str">
        <f t="shared" si="60"/>
        <v/>
      </c>
      <c r="L236" s="204" t="str">
        <f t="shared" si="61"/>
        <v/>
      </c>
      <c r="M236" s="76" t="str">
        <f t="shared" si="62"/>
        <v/>
      </c>
      <c r="N236" s="206">
        <f t="shared" si="63"/>
        <v>0</v>
      </c>
      <c r="O236" s="206">
        <f t="shared" si="64"/>
        <v>0</v>
      </c>
      <c r="P236" s="206">
        <f t="shared" si="65"/>
        <v>0</v>
      </c>
      <c r="Q236" s="206">
        <f t="shared" si="66"/>
        <v>0</v>
      </c>
      <c r="X236" s="71" t="str">
        <f t="shared" si="52"/>
        <v/>
      </c>
      <c r="Y236">
        <f t="shared" si="53"/>
        <v>0</v>
      </c>
      <c r="Z236">
        <f t="shared" si="54"/>
        <v>0</v>
      </c>
      <c r="AA236">
        <f t="shared" si="55"/>
        <v>0</v>
      </c>
      <c r="AB236">
        <f t="shared" si="56"/>
        <v>0</v>
      </c>
      <c r="AC236" t="str">
        <f t="shared" si="57"/>
        <v/>
      </c>
      <c r="AD236" s="204">
        <f t="shared" si="67"/>
        <v>0</v>
      </c>
      <c r="AE236" s="204">
        <f t="shared" si="68"/>
        <v>0</v>
      </c>
      <c r="AF236" s="204">
        <f t="shared" si="69"/>
        <v>0</v>
      </c>
      <c r="AG236" s="204">
        <f t="shared" si="70"/>
        <v>0</v>
      </c>
    </row>
    <row r="237" spans="1:33" x14ac:dyDescent="0.3">
      <c r="A237" s="204"/>
      <c r="B237" s="205"/>
      <c r="C237" s="205"/>
      <c r="D237" s="205"/>
      <c r="E237" s="205"/>
      <c r="F237" s="204"/>
      <c r="G237" s="204"/>
      <c r="H237" s="204"/>
      <c r="I237" s="204" t="str">
        <f t="shared" si="58"/>
        <v/>
      </c>
      <c r="J237" s="204" t="str">
        <f t="shared" si="59"/>
        <v/>
      </c>
      <c r="K237" s="204" t="str">
        <f t="shared" si="60"/>
        <v/>
      </c>
      <c r="L237" s="204" t="str">
        <f t="shared" si="61"/>
        <v/>
      </c>
      <c r="M237" s="76" t="str">
        <f t="shared" si="62"/>
        <v/>
      </c>
      <c r="N237" s="206">
        <f t="shared" si="63"/>
        <v>0</v>
      </c>
      <c r="O237" s="206">
        <f t="shared" si="64"/>
        <v>0</v>
      </c>
      <c r="P237" s="206">
        <f t="shared" si="65"/>
        <v>0</v>
      </c>
      <c r="Q237" s="206">
        <f t="shared" si="66"/>
        <v>0</v>
      </c>
      <c r="X237" s="71" t="str">
        <f t="shared" si="52"/>
        <v/>
      </c>
      <c r="Y237">
        <f t="shared" si="53"/>
        <v>0</v>
      </c>
      <c r="Z237">
        <f t="shared" si="54"/>
        <v>0</v>
      </c>
      <c r="AA237">
        <f t="shared" si="55"/>
        <v>0</v>
      </c>
      <c r="AB237">
        <f t="shared" si="56"/>
        <v>0</v>
      </c>
      <c r="AC237" t="str">
        <f t="shared" si="57"/>
        <v/>
      </c>
      <c r="AD237" s="204">
        <f t="shared" si="67"/>
        <v>0</v>
      </c>
      <c r="AE237" s="204">
        <f t="shared" si="68"/>
        <v>0</v>
      </c>
      <c r="AF237" s="204">
        <f t="shared" si="69"/>
        <v>0</v>
      </c>
      <c r="AG237" s="204">
        <f t="shared" si="70"/>
        <v>0</v>
      </c>
    </row>
    <row r="238" spans="1:33" x14ac:dyDescent="0.3">
      <c r="A238" s="204"/>
      <c r="B238" s="205"/>
      <c r="C238" s="205"/>
      <c r="D238" s="205"/>
      <c r="E238" s="205"/>
      <c r="F238" s="204"/>
      <c r="G238" s="204"/>
      <c r="H238" s="204"/>
      <c r="I238" s="204" t="str">
        <f t="shared" si="58"/>
        <v/>
      </c>
      <c r="J238" s="204" t="str">
        <f t="shared" si="59"/>
        <v/>
      </c>
      <c r="K238" s="204" t="str">
        <f t="shared" si="60"/>
        <v/>
      </c>
      <c r="L238" s="204" t="str">
        <f t="shared" si="61"/>
        <v/>
      </c>
      <c r="M238" s="76" t="str">
        <f t="shared" si="62"/>
        <v/>
      </c>
      <c r="N238" s="206">
        <f t="shared" si="63"/>
        <v>0</v>
      </c>
      <c r="O238" s="206">
        <f t="shared" si="64"/>
        <v>0</v>
      </c>
      <c r="P238" s="206">
        <f t="shared" si="65"/>
        <v>0</v>
      </c>
      <c r="Q238" s="206">
        <f t="shared" si="66"/>
        <v>0</v>
      </c>
      <c r="X238" s="71" t="str">
        <f t="shared" si="52"/>
        <v/>
      </c>
      <c r="Y238">
        <f t="shared" si="53"/>
        <v>0</v>
      </c>
      <c r="Z238">
        <f t="shared" si="54"/>
        <v>0</v>
      </c>
      <c r="AA238">
        <f t="shared" si="55"/>
        <v>0</v>
      </c>
      <c r="AB238">
        <f t="shared" si="56"/>
        <v>0</v>
      </c>
      <c r="AC238" t="str">
        <f t="shared" si="57"/>
        <v/>
      </c>
      <c r="AD238" s="204">
        <f t="shared" si="67"/>
        <v>0</v>
      </c>
      <c r="AE238" s="204">
        <f t="shared" si="68"/>
        <v>0</v>
      </c>
      <c r="AF238" s="204">
        <f t="shared" si="69"/>
        <v>0</v>
      </c>
      <c r="AG238" s="204">
        <f t="shared" si="70"/>
        <v>0</v>
      </c>
    </row>
    <row r="239" spans="1:33" x14ac:dyDescent="0.3">
      <c r="A239" s="204"/>
      <c r="B239" s="205"/>
      <c r="C239" s="205"/>
      <c r="D239" s="205"/>
      <c r="E239" s="205"/>
      <c r="F239" s="204"/>
      <c r="G239" s="204"/>
      <c r="H239" s="204"/>
      <c r="I239" s="204" t="str">
        <f t="shared" si="58"/>
        <v/>
      </c>
      <c r="J239" s="204" t="str">
        <f t="shared" si="59"/>
        <v/>
      </c>
      <c r="K239" s="204" t="str">
        <f t="shared" si="60"/>
        <v/>
      </c>
      <c r="L239" s="204" t="str">
        <f t="shared" si="61"/>
        <v/>
      </c>
      <c r="M239" s="76" t="str">
        <f t="shared" si="62"/>
        <v/>
      </c>
      <c r="N239" s="206">
        <f t="shared" si="63"/>
        <v>0</v>
      </c>
      <c r="O239" s="206">
        <f t="shared" si="64"/>
        <v>0</v>
      </c>
      <c r="P239" s="206">
        <f t="shared" si="65"/>
        <v>0</v>
      </c>
      <c r="Q239" s="206">
        <f t="shared" si="66"/>
        <v>0</v>
      </c>
      <c r="X239" s="71" t="str">
        <f t="shared" si="52"/>
        <v/>
      </c>
      <c r="Y239">
        <f t="shared" si="53"/>
        <v>0</v>
      </c>
      <c r="Z239">
        <f t="shared" si="54"/>
        <v>0</v>
      </c>
      <c r="AA239">
        <f t="shared" si="55"/>
        <v>0</v>
      </c>
      <c r="AB239">
        <f t="shared" si="56"/>
        <v>0</v>
      </c>
      <c r="AC239" t="str">
        <f t="shared" si="57"/>
        <v/>
      </c>
      <c r="AD239" s="204">
        <f t="shared" si="67"/>
        <v>0</v>
      </c>
      <c r="AE239" s="204">
        <f t="shared" si="68"/>
        <v>0</v>
      </c>
      <c r="AF239" s="204">
        <f t="shared" si="69"/>
        <v>0</v>
      </c>
      <c r="AG239" s="204">
        <f t="shared" si="70"/>
        <v>0</v>
      </c>
    </row>
    <row r="240" spans="1:33" x14ac:dyDescent="0.3">
      <c r="A240" s="204"/>
      <c r="B240" s="205"/>
      <c r="C240" s="205"/>
      <c r="D240" s="205"/>
      <c r="E240" s="205"/>
      <c r="F240" s="204"/>
      <c r="G240" s="204"/>
      <c r="H240" s="204"/>
      <c r="I240" s="204" t="str">
        <f t="shared" si="58"/>
        <v/>
      </c>
      <c r="J240" s="204" t="str">
        <f t="shared" si="59"/>
        <v/>
      </c>
      <c r="K240" s="204" t="str">
        <f t="shared" si="60"/>
        <v/>
      </c>
      <c r="L240" s="204" t="str">
        <f t="shared" si="61"/>
        <v/>
      </c>
      <c r="M240" s="76" t="str">
        <f t="shared" si="62"/>
        <v/>
      </c>
      <c r="N240" s="206">
        <f t="shared" si="63"/>
        <v>0</v>
      </c>
      <c r="O240" s="206">
        <f t="shared" si="64"/>
        <v>0</v>
      </c>
      <c r="P240" s="206">
        <f t="shared" si="65"/>
        <v>0</v>
      </c>
      <c r="Q240" s="206">
        <f t="shared" si="66"/>
        <v>0</v>
      </c>
      <c r="X240" s="71" t="str">
        <f t="shared" si="52"/>
        <v/>
      </c>
      <c r="Y240">
        <f t="shared" si="53"/>
        <v>0</v>
      </c>
      <c r="Z240">
        <f t="shared" si="54"/>
        <v>0</v>
      </c>
      <c r="AA240">
        <f t="shared" si="55"/>
        <v>0</v>
      </c>
      <c r="AB240">
        <f t="shared" si="56"/>
        <v>0</v>
      </c>
      <c r="AC240" t="str">
        <f t="shared" si="57"/>
        <v/>
      </c>
      <c r="AD240" s="204">
        <f t="shared" si="67"/>
        <v>0</v>
      </c>
      <c r="AE240" s="204">
        <f t="shared" si="68"/>
        <v>0</v>
      </c>
      <c r="AF240" s="204">
        <f t="shared" si="69"/>
        <v>0</v>
      </c>
      <c r="AG240" s="204">
        <f t="shared" si="70"/>
        <v>0</v>
      </c>
    </row>
    <row r="241" spans="1:33" x14ac:dyDescent="0.3">
      <c r="A241" s="204"/>
      <c r="B241" s="205"/>
      <c r="C241" s="205"/>
      <c r="D241" s="205"/>
      <c r="E241" s="205"/>
      <c r="F241" s="204"/>
      <c r="G241" s="204"/>
      <c r="H241" s="204"/>
      <c r="I241" s="204" t="str">
        <f t="shared" si="58"/>
        <v/>
      </c>
      <c r="J241" s="204" t="str">
        <f t="shared" si="59"/>
        <v/>
      </c>
      <c r="K241" s="204" t="str">
        <f t="shared" si="60"/>
        <v/>
      </c>
      <c r="L241" s="204" t="str">
        <f t="shared" si="61"/>
        <v/>
      </c>
      <c r="M241" s="76" t="str">
        <f t="shared" si="62"/>
        <v/>
      </c>
      <c r="N241" s="206">
        <f t="shared" si="63"/>
        <v>0</v>
      </c>
      <c r="O241" s="206">
        <f t="shared" si="64"/>
        <v>0</v>
      </c>
      <c r="P241" s="206">
        <f t="shared" si="65"/>
        <v>0</v>
      </c>
      <c r="Q241" s="206">
        <f t="shared" si="66"/>
        <v>0</v>
      </c>
      <c r="X241" s="71" t="str">
        <f t="shared" si="52"/>
        <v/>
      </c>
      <c r="Y241">
        <f t="shared" si="53"/>
        <v>0</v>
      </c>
      <c r="Z241">
        <f t="shared" si="54"/>
        <v>0</v>
      </c>
      <c r="AA241">
        <f t="shared" si="55"/>
        <v>0</v>
      </c>
      <c r="AB241">
        <f t="shared" si="56"/>
        <v>0</v>
      </c>
      <c r="AC241" t="str">
        <f t="shared" si="57"/>
        <v/>
      </c>
      <c r="AD241" s="204">
        <f t="shared" si="67"/>
        <v>0</v>
      </c>
      <c r="AE241" s="204">
        <f t="shared" si="68"/>
        <v>0</v>
      </c>
      <c r="AF241" s="204">
        <f t="shared" si="69"/>
        <v>0</v>
      </c>
      <c r="AG241" s="204">
        <f t="shared" si="70"/>
        <v>0</v>
      </c>
    </row>
    <row r="242" spans="1:33" x14ac:dyDescent="0.3">
      <c r="A242" s="204"/>
      <c r="B242" s="205"/>
      <c r="C242" s="205"/>
      <c r="D242" s="205"/>
      <c r="E242" s="205"/>
      <c r="F242" s="204"/>
      <c r="G242" s="204"/>
      <c r="H242" s="204"/>
      <c r="I242" s="204" t="str">
        <f t="shared" si="58"/>
        <v/>
      </c>
      <c r="J242" s="204" t="str">
        <f t="shared" si="59"/>
        <v/>
      </c>
      <c r="K242" s="204" t="str">
        <f t="shared" si="60"/>
        <v/>
      </c>
      <c r="L242" s="204" t="str">
        <f t="shared" si="61"/>
        <v/>
      </c>
      <c r="M242" s="76" t="str">
        <f t="shared" si="62"/>
        <v/>
      </c>
      <c r="N242" s="206">
        <f t="shared" si="63"/>
        <v>0</v>
      </c>
      <c r="O242" s="206">
        <f t="shared" si="64"/>
        <v>0</v>
      </c>
      <c r="P242" s="206">
        <f t="shared" si="65"/>
        <v>0</v>
      </c>
      <c r="Q242" s="206">
        <f t="shared" si="66"/>
        <v>0</v>
      </c>
      <c r="X242" s="71" t="str">
        <f t="shared" si="52"/>
        <v/>
      </c>
      <c r="Y242">
        <f t="shared" si="53"/>
        <v>0</v>
      </c>
      <c r="Z242">
        <f t="shared" si="54"/>
        <v>0</v>
      </c>
      <c r="AA242">
        <f t="shared" si="55"/>
        <v>0</v>
      </c>
      <c r="AB242">
        <f t="shared" si="56"/>
        <v>0</v>
      </c>
      <c r="AC242" t="str">
        <f t="shared" si="57"/>
        <v/>
      </c>
      <c r="AD242" s="204">
        <f t="shared" si="67"/>
        <v>0</v>
      </c>
      <c r="AE242" s="204">
        <f t="shared" si="68"/>
        <v>0</v>
      </c>
      <c r="AF242" s="204">
        <f t="shared" si="69"/>
        <v>0</v>
      </c>
      <c r="AG242" s="204">
        <f t="shared" si="70"/>
        <v>0</v>
      </c>
    </row>
    <row r="243" spans="1:33" x14ac:dyDescent="0.3">
      <c r="A243" s="204"/>
      <c r="B243" s="205"/>
      <c r="C243" s="205"/>
      <c r="D243" s="205"/>
      <c r="E243" s="205"/>
      <c r="F243" s="204"/>
      <c r="G243" s="204"/>
      <c r="H243" s="204"/>
      <c r="I243" s="204" t="str">
        <f t="shared" si="58"/>
        <v/>
      </c>
      <c r="J243" s="204" t="str">
        <f t="shared" si="59"/>
        <v/>
      </c>
      <c r="K243" s="204" t="str">
        <f t="shared" si="60"/>
        <v/>
      </c>
      <c r="L243" s="204" t="str">
        <f t="shared" si="61"/>
        <v/>
      </c>
      <c r="M243" s="76" t="str">
        <f t="shared" si="62"/>
        <v/>
      </c>
      <c r="N243" s="206">
        <f t="shared" si="63"/>
        <v>0</v>
      </c>
      <c r="O243" s="206">
        <f t="shared" si="64"/>
        <v>0</v>
      </c>
      <c r="P243" s="206">
        <f t="shared" si="65"/>
        <v>0</v>
      </c>
      <c r="Q243" s="206">
        <f t="shared" si="66"/>
        <v>0</v>
      </c>
      <c r="X243" s="71" t="str">
        <f t="shared" si="52"/>
        <v/>
      </c>
      <c r="Y243">
        <f t="shared" si="53"/>
        <v>0</v>
      </c>
      <c r="Z243">
        <f t="shared" si="54"/>
        <v>0</v>
      </c>
      <c r="AA243">
        <f t="shared" si="55"/>
        <v>0</v>
      </c>
      <c r="AB243">
        <f t="shared" si="56"/>
        <v>0</v>
      </c>
      <c r="AC243" t="str">
        <f t="shared" si="57"/>
        <v/>
      </c>
      <c r="AD243" s="204">
        <f t="shared" si="67"/>
        <v>0</v>
      </c>
      <c r="AE243" s="204">
        <f t="shared" si="68"/>
        <v>0</v>
      </c>
      <c r="AF243" s="204">
        <f t="shared" si="69"/>
        <v>0</v>
      </c>
      <c r="AG243" s="204">
        <f t="shared" si="70"/>
        <v>0</v>
      </c>
    </row>
    <row r="244" spans="1:33" x14ac:dyDescent="0.3">
      <c r="A244" s="204"/>
      <c r="B244" s="205"/>
      <c r="C244" s="205"/>
      <c r="D244" s="205"/>
      <c r="E244" s="205"/>
      <c r="F244" s="204"/>
      <c r="G244" s="204"/>
      <c r="H244" s="204"/>
      <c r="I244" s="204" t="str">
        <f t="shared" si="58"/>
        <v/>
      </c>
      <c r="J244" s="204" t="str">
        <f t="shared" si="59"/>
        <v/>
      </c>
      <c r="K244" s="204" t="str">
        <f t="shared" si="60"/>
        <v/>
      </c>
      <c r="L244" s="204" t="str">
        <f t="shared" si="61"/>
        <v/>
      </c>
      <c r="M244" s="76" t="str">
        <f t="shared" si="62"/>
        <v/>
      </c>
      <c r="N244" s="206">
        <f t="shared" si="63"/>
        <v>0</v>
      </c>
      <c r="O244" s="206">
        <f t="shared" si="64"/>
        <v>0</v>
      </c>
      <c r="P244" s="206">
        <f t="shared" si="65"/>
        <v>0</v>
      </c>
      <c r="Q244" s="206">
        <f t="shared" si="66"/>
        <v>0</v>
      </c>
      <c r="X244" s="71" t="str">
        <f t="shared" si="52"/>
        <v/>
      </c>
      <c r="Y244">
        <f t="shared" si="53"/>
        <v>0</v>
      </c>
      <c r="Z244">
        <f t="shared" si="54"/>
        <v>0</v>
      </c>
      <c r="AA244">
        <f t="shared" si="55"/>
        <v>0</v>
      </c>
      <c r="AB244">
        <f t="shared" si="56"/>
        <v>0</v>
      </c>
      <c r="AC244" t="str">
        <f t="shared" si="57"/>
        <v/>
      </c>
      <c r="AD244" s="204">
        <f t="shared" si="67"/>
        <v>0</v>
      </c>
      <c r="AE244" s="204">
        <f t="shared" si="68"/>
        <v>0</v>
      </c>
      <c r="AF244" s="204">
        <f t="shared" si="69"/>
        <v>0</v>
      </c>
      <c r="AG244" s="204">
        <f t="shared" si="70"/>
        <v>0</v>
      </c>
    </row>
    <row r="245" spans="1:33" x14ac:dyDescent="0.3">
      <c r="A245" s="204"/>
      <c r="B245" s="205"/>
      <c r="C245" s="205"/>
      <c r="D245" s="205"/>
      <c r="E245" s="205"/>
      <c r="F245" s="204"/>
      <c r="G245" s="204"/>
      <c r="H245" s="204"/>
      <c r="I245" s="204" t="str">
        <f t="shared" si="58"/>
        <v/>
      </c>
      <c r="J245" s="204" t="str">
        <f t="shared" si="59"/>
        <v/>
      </c>
      <c r="K245" s="204" t="str">
        <f t="shared" si="60"/>
        <v/>
      </c>
      <c r="L245" s="204" t="str">
        <f t="shared" si="61"/>
        <v/>
      </c>
      <c r="M245" s="76" t="str">
        <f t="shared" si="62"/>
        <v/>
      </c>
      <c r="N245" s="206">
        <f t="shared" si="63"/>
        <v>0</v>
      </c>
      <c r="O245" s="206">
        <f t="shared" si="64"/>
        <v>0</v>
      </c>
      <c r="P245" s="206">
        <f t="shared" si="65"/>
        <v>0</v>
      </c>
      <c r="Q245" s="206">
        <f t="shared" si="66"/>
        <v>0</v>
      </c>
      <c r="X245" s="71" t="str">
        <f t="shared" si="52"/>
        <v/>
      </c>
      <c r="Y245">
        <f t="shared" si="53"/>
        <v>0</v>
      </c>
      <c r="Z245">
        <f t="shared" si="54"/>
        <v>0</v>
      </c>
      <c r="AA245">
        <f t="shared" si="55"/>
        <v>0</v>
      </c>
      <c r="AB245">
        <f t="shared" si="56"/>
        <v>0</v>
      </c>
      <c r="AC245" t="str">
        <f t="shared" si="57"/>
        <v/>
      </c>
      <c r="AD245" s="204">
        <f t="shared" si="67"/>
        <v>0</v>
      </c>
      <c r="AE245" s="204">
        <f t="shared" si="68"/>
        <v>0</v>
      </c>
      <c r="AF245" s="204">
        <f t="shared" si="69"/>
        <v>0</v>
      </c>
      <c r="AG245" s="204">
        <f t="shared" si="70"/>
        <v>0</v>
      </c>
    </row>
    <row r="246" spans="1:33" x14ac:dyDescent="0.3">
      <c r="A246" s="204"/>
      <c r="B246" s="205"/>
      <c r="C246" s="205"/>
      <c r="D246" s="205"/>
      <c r="E246" s="205"/>
      <c r="F246" s="204"/>
      <c r="G246" s="204"/>
      <c r="H246" s="204"/>
      <c r="I246" s="204" t="str">
        <f t="shared" si="58"/>
        <v/>
      </c>
      <c r="J246" s="204" t="str">
        <f t="shared" si="59"/>
        <v/>
      </c>
      <c r="K246" s="204" t="str">
        <f t="shared" si="60"/>
        <v/>
      </c>
      <c r="L246" s="204" t="str">
        <f t="shared" si="61"/>
        <v/>
      </c>
      <c r="M246" s="76" t="str">
        <f t="shared" si="62"/>
        <v/>
      </c>
      <c r="N246" s="206">
        <f t="shared" si="63"/>
        <v>0</v>
      </c>
      <c r="O246" s="206">
        <f t="shared" si="64"/>
        <v>0</v>
      </c>
      <c r="P246" s="206">
        <f t="shared" si="65"/>
        <v>0</v>
      </c>
      <c r="Q246" s="206">
        <f t="shared" si="66"/>
        <v>0</v>
      </c>
      <c r="X246" s="71" t="str">
        <f t="shared" si="52"/>
        <v/>
      </c>
      <c r="Y246">
        <f t="shared" si="53"/>
        <v>0</v>
      </c>
      <c r="Z246">
        <f t="shared" si="54"/>
        <v>0</v>
      </c>
      <c r="AA246">
        <f t="shared" si="55"/>
        <v>0</v>
      </c>
      <c r="AB246">
        <f t="shared" si="56"/>
        <v>0</v>
      </c>
      <c r="AC246" t="str">
        <f t="shared" si="57"/>
        <v/>
      </c>
      <c r="AD246" s="204">
        <f t="shared" si="67"/>
        <v>0</v>
      </c>
      <c r="AE246" s="204">
        <f t="shared" si="68"/>
        <v>0</v>
      </c>
      <c r="AF246" s="204">
        <f t="shared" si="69"/>
        <v>0</v>
      </c>
      <c r="AG246" s="204">
        <f t="shared" si="70"/>
        <v>0</v>
      </c>
    </row>
    <row r="247" spans="1:33" x14ac:dyDescent="0.3">
      <c r="A247" s="204"/>
      <c r="B247" s="205"/>
      <c r="C247" s="205"/>
      <c r="D247" s="205"/>
      <c r="E247" s="205"/>
      <c r="F247" s="204"/>
      <c r="G247" s="204"/>
      <c r="H247" s="204"/>
      <c r="I247" s="204" t="str">
        <f t="shared" si="58"/>
        <v/>
      </c>
      <c r="J247" s="204" t="str">
        <f t="shared" si="59"/>
        <v/>
      </c>
      <c r="K247" s="204" t="str">
        <f t="shared" si="60"/>
        <v/>
      </c>
      <c r="L247" s="204" t="str">
        <f t="shared" si="61"/>
        <v/>
      </c>
      <c r="M247" s="76" t="str">
        <f t="shared" si="62"/>
        <v/>
      </c>
      <c r="N247" s="206">
        <f t="shared" si="63"/>
        <v>0</v>
      </c>
      <c r="O247" s="206">
        <f t="shared" si="64"/>
        <v>0</v>
      </c>
      <c r="P247" s="206">
        <f t="shared" si="65"/>
        <v>0</v>
      </c>
      <c r="Q247" s="206">
        <f t="shared" si="66"/>
        <v>0</v>
      </c>
      <c r="X247" s="71" t="str">
        <f t="shared" si="52"/>
        <v/>
      </c>
      <c r="Y247">
        <f t="shared" si="53"/>
        <v>0</v>
      </c>
      <c r="Z247">
        <f t="shared" si="54"/>
        <v>0</v>
      </c>
      <c r="AA247">
        <f t="shared" si="55"/>
        <v>0</v>
      </c>
      <c r="AB247">
        <f t="shared" si="56"/>
        <v>0</v>
      </c>
      <c r="AC247" t="str">
        <f t="shared" si="57"/>
        <v/>
      </c>
      <c r="AD247" s="204">
        <f t="shared" si="67"/>
        <v>0</v>
      </c>
      <c r="AE247" s="204">
        <f t="shared" si="68"/>
        <v>0</v>
      </c>
      <c r="AF247" s="204">
        <f t="shared" si="69"/>
        <v>0</v>
      </c>
      <c r="AG247" s="204">
        <f t="shared" si="70"/>
        <v>0</v>
      </c>
    </row>
    <row r="248" spans="1:33" x14ac:dyDescent="0.3">
      <c r="A248" s="204"/>
      <c r="B248" s="205"/>
      <c r="C248" s="205"/>
      <c r="D248" s="205"/>
      <c r="E248" s="205"/>
      <c r="F248" s="204"/>
      <c r="G248" s="204"/>
      <c r="H248" s="204"/>
      <c r="I248" s="204" t="str">
        <f t="shared" si="58"/>
        <v/>
      </c>
      <c r="J248" s="204" t="str">
        <f t="shared" si="59"/>
        <v/>
      </c>
      <c r="K248" s="204" t="str">
        <f t="shared" si="60"/>
        <v/>
      </c>
      <c r="L248" s="204" t="str">
        <f t="shared" si="61"/>
        <v/>
      </c>
      <c r="M248" s="76" t="str">
        <f t="shared" si="62"/>
        <v/>
      </c>
      <c r="N248" s="206">
        <f t="shared" si="63"/>
        <v>0</v>
      </c>
      <c r="O248" s="206">
        <f t="shared" si="64"/>
        <v>0</v>
      </c>
      <c r="P248" s="206">
        <f t="shared" si="65"/>
        <v>0</v>
      </c>
      <c r="Q248" s="206">
        <f t="shared" si="66"/>
        <v>0</v>
      </c>
      <c r="X248" s="71" t="str">
        <f t="shared" si="52"/>
        <v/>
      </c>
      <c r="Y248">
        <f t="shared" si="53"/>
        <v>0</v>
      </c>
      <c r="Z248">
        <f t="shared" si="54"/>
        <v>0</v>
      </c>
      <c r="AA248">
        <f t="shared" si="55"/>
        <v>0</v>
      </c>
      <c r="AB248">
        <f t="shared" si="56"/>
        <v>0</v>
      </c>
      <c r="AC248" t="str">
        <f t="shared" si="57"/>
        <v/>
      </c>
      <c r="AD248" s="204">
        <f t="shared" si="67"/>
        <v>0</v>
      </c>
      <c r="AE248" s="204">
        <f t="shared" si="68"/>
        <v>0</v>
      </c>
      <c r="AF248" s="204">
        <f t="shared" si="69"/>
        <v>0</v>
      </c>
      <c r="AG248" s="204">
        <f t="shared" si="70"/>
        <v>0</v>
      </c>
    </row>
    <row r="249" spans="1:33" x14ac:dyDescent="0.3">
      <c r="A249" s="204"/>
      <c r="B249" s="205"/>
      <c r="C249" s="205"/>
      <c r="D249" s="205"/>
      <c r="E249" s="205"/>
      <c r="F249" s="204"/>
      <c r="G249" s="204"/>
      <c r="H249" s="204"/>
      <c r="I249" s="204" t="str">
        <f t="shared" si="58"/>
        <v/>
      </c>
      <c r="J249" s="204" t="str">
        <f t="shared" si="59"/>
        <v/>
      </c>
      <c r="K249" s="204" t="str">
        <f t="shared" si="60"/>
        <v/>
      </c>
      <c r="L249" s="204" t="str">
        <f t="shared" si="61"/>
        <v/>
      </c>
      <c r="M249" s="76" t="str">
        <f t="shared" si="62"/>
        <v/>
      </c>
      <c r="N249" s="206">
        <f t="shared" si="63"/>
        <v>0</v>
      </c>
      <c r="O249" s="206">
        <f t="shared" si="64"/>
        <v>0</v>
      </c>
      <c r="P249" s="206">
        <f t="shared" si="65"/>
        <v>0</v>
      </c>
      <c r="Q249" s="206">
        <f t="shared" si="66"/>
        <v>0</v>
      </c>
      <c r="X249" s="71" t="str">
        <f t="shared" si="52"/>
        <v/>
      </c>
      <c r="Y249">
        <f t="shared" si="53"/>
        <v>0</v>
      </c>
      <c r="Z249">
        <f t="shared" si="54"/>
        <v>0</v>
      </c>
      <c r="AA249">
        <f t="shared" si="55"/>
        <v>0</v>
      </c>
      <c r="AB249">
        <f t="shared" si="56"/>
        <v>0</v>
      </c>
      <c r="AC249" t="str">
        <f t="shared" si="57"/>
        <v/>
      </c>
      <c r="AD249" s="204">
        <f t="shared" si="67"/>
        <v>0</v>
      </c>
      <c r="AE249" s="204">
        <f t="shared" si="68"/>
        <v>0</v>
      </c>
      <c r="AF249" s="204">
        <f t="shared" si="69"/>
        <v>0</v>
      </c>
      <c r="AG249" s="204">
        <f t="shared" si="70"/>
        <v>0</v>
      </c>
    </row>
    <row r="250" spans="1:33" x14ac:dyDescent="0.3">
      <c r="A250" s="204"/>
      <c r="B250" s="205"/>
      <c r="C250" s="205"/>
      <c r="D250" s="205"/>
      <c r="E250" s="205"/>
      <c r="F250" s="204"/>
      <c r="G250" s="204"/>
      <c r="H250" s="204"/>
      <c r="I250" s="204" t="str">
        <f t="shared" si="58"/>
        <v/>
      </c>
      <c r="J250" s="204" t="str">
        <f t="shared" si="59"/>
        <v/>
      </c>
      <c r="K250" s="204" t="str">
        <f t="shared" si="60"/>
        <v/>
      </c>
      <c r="L250" s="204" t="str">
        <f t="shared" si="61"/>
        <v/>
      </c>
      <c r="M250" s="76" t="str">
        <f t="shared" si="62"/>
        <v/>
      </c>
      <c r="N250" s="206">
        <f t="shared" si="63"/>
        <v>0</v>
      </c>
      <c r="O250" s="206">
        <f t="shared" si="64"/>
        <v>0</v>
      </c>
      <c r="P250" s="206">
        <f t="shared" si="65"/>
        <v>0</v>
      </c>
      <c r="Q250" s="206">
        <f t="shared" si="66"/>
        <v>0</v>
      </c>
      <c r="X250" s="71" t="str">
        <f t="shared" si="52"/>
        <v/>
      </c>
      <c r="Y250">
        <f t="shared" si="53"/>
        <v>0</v>
      </c>
      <c r="Z250">
        <f t="shared" si="54"/>
        <v>0</v>
      </c>
      <c r="AA250">
        <f t="shared" si="55"/>
        <v>0</v>
      </c>
      <c r="AB250">
        <f t="shared" si="56"/>
        <v>0</v>
      </c>
      <c r="AC250" t="str">
        <f t="shared" si="57"/>
        <v/>
      </c>
      <c r="AD250" s="204">
        <f t="shared" si="67"/>
        <v>0</v>
      </c>
      <c r="AE250" s="204">
        <f t="shared" si="68"/>
        <v>0</v>
      </c>
      <c r="AF250" s="204">
        <f t="shared" si="69"/>
        <v>0</v>
      </c>
      <c r="AG250" s="204">
        <f t="shared" si="70"/>
        <v>0</v>
      </c>
    </row>
    <row r="251" spans="1:33" x14ac:dyDescent="0.3">
      <c r="A251" s="204"/>
      <c r="B251" s="205"/>
      <c r="C251" s="205"/>
      <c r="D251" s="205"/>
      <c r="E251" s="205"/>
      <c r="F251" s="204"/>
      <c r="G251" s="204"/>
      <c r="H251" s="204"/>
      <c r="I251" s="204" t="str">
        <f t="shared" si="58"/>
        <v/>
      </c>
      <c r="J251" s="204" t="str">
        <f t="shared" si="59"/>
        <v/>
      </c>
      <c r="K251" s="204" t="str">
        <f t="shared" si="60"/>
        <v/>
      </c>
      <c r="L251" s="204" t="str">
        <f t="shared" si="61"/>
        <v/>
      </c>
      <c r="M251" s="76" t="str">
        <f t="shared" si="62"/>
        <v/>
      </c>
      <c r="N251" s="206">
        <f t="shared" si="63"/>
        <v>0</v>
      </c>
      <c r="O251" s="206">
        <f t="shared" si="64"/>
        <v>0</v>
      </c>
      <c r="P251" s="206">
        <f t="shared" si="65"/>
        <v>0</v>
      </c>
      <c r="Q251" s="206">
        <f t="shared" si="66"/>
        <v>0</v>
      </c>
      <c r="X251" s="71" t="str">
        <f t="shared" si="52"/>
        <v/>
      </c>
      <c r="Y251">
        <f t="shared" si="53"/>
        <v>0</v>
      </c>
      <c r="Z251">
        <f t="shared" si="54"/>
        <v>0</v>
      </c>
      <c r="AA251">
        <f t="shared" si="55"/>
        <v>0</v>
      </c>
      <c r="AB251">
        <f t="shared" si="56"/>
        <v>0</v>
      </c>
      <c r="AC251" t="str">
        <f t="shared" si="57"/>
        <v/>
      </c>
      <c r="AD251" s="204">
        <f t="shared" si="67"/>
        <v>0</v>
      </c>
      <c r="AE251" s="204">
        <f t="shared" si="68"/>
        <v>0</v>
      </c>
      <c r="AF251" s="204">
        <f t="shared" si="69"/>
        <v>0</v>
      </c>
      <c r="AG251" s="204">
        <f t="shared" si="70"/>
        <v>0</v>
      </c>
    </row>
    <row r="252" spans="1:33" x14ac:dyDescent="0.3">
      <c r="A252" s="204"/>
      <c r="B252" s="205"/>
      <c r="C252" s="205"/>
      <c r="D252" s="205"/>
      <c r="E252" s="205"/>
      <c r="F252" s="204"/>
      <c r="G252" s="204"/>
      <c r="H252" s="204"/>
      <c r="I252" s="204" t="str">
        <f t="shared" si="58"/>
        <v/>
      </c>
      <c r="J252" s="204" t="str">
        <f t="shared" si="59"/>
        <v/>
      </c>
      <c r="K252" s="204" t="str">
        <f t="shared" si="60"/>
        <v/>
      </c>
      <c r="L252" s="204" t="str">
        <f t="shared" si="61"/>
        <v/>
      </c>
      <c r="M252" s="76" t="str">
        <f t="shared" si="62"/>
        <v/>
      </c>
      <c r="N252" s="206">
        <f t="shared" si="63"/>
        <v>0</v>
      </c>
      <c r="O252" s="206">
        <f t="shared" si="64"/>
        <v>0</v>
      </c>
      <c r="P252" s="206">
        <f t="shared" si="65"/>
        <v>0</v>
      </c>
      <c r="Q252" s="206">
        <f t="shared" si="66"/>
        <v>0</v>
      </c>
      <c r="X252" s="71" t="str">
        <f t="shared" si="52"/>
        <v/>
      </c>
      <c r="Y252">
        <f t="shared" si="53"/>
        <v>0</v>
      </c>
      <c r="Z252">
        <f t="shared" si="54"/>
        <v>0</v>
      </c>
      <c r="AA252">
        <f t="shared" si="55"/>
        <v>0</v>
      </c>
      <c r="AB252">
        <f t="shared" si="56"/>
        <v>0</v>
      </c>
      <c r="AC252" t="str">
        <f t="shared" si="57"/>
        <v/>
      </c>
      <c r="AD252" s="204">
        <f t="shared" si="67"/>
        <v>0</v>
      </c>
      <c r="AE252" s="204">
        <f t="shared" si="68"/>
        <v>0</v>
      </c>
      <c r="AF252" s="204">
        <f t="shared" si="69"/>
        <v>0</v>
      </c>
      <c r="AG252" s="204">
        <f t="shared" si="70"/>
        <v>0</v>
      </c>
    </row>
    <row r="253" spans="1:33" x14ac:dyDescent="0.3">
      <c r="A253" s="204"/>
      <c r="B253" s="205"/>
      <c r="C253" s="205"/>
      <c r="D253" s="205"/>
      <c r="E253" s="205"/>
      <c r="F253" s="204"/>
      <c r="G253" s="204"/>
      <c r="H253" s="204"/>
      <c r="I253" s="204" t="str">
        <f t="shared" si="58"/>
        <v/>
      </c>
      <c r="J253" s="204" t="str">
        <f t="shared" si="59"/>
        <v/>
      </c>
      <c r="K253" s="204" t="str">
        <f t="shared" si="60"/>
        <v/>
      </c>
      <c r="L253" s="204" t="str">
        <f t="shared" si="61"/>
        <v/>
      </c>
      <c r="M253" s="76" t="str">
        <f t="shared" si="62"/>
        <v/>
      </c>
      <c r="N253" s="206">
        <f t="shared" si="63"/>
        <v>0</v>
      </c>
      <c r="O253" s="206">
        <f t="shared" si="64"/>
        <v>0</v>
      </c>
      <c r="P253" s="206">
        <f t="shared" si="65"/>
        <v>0</v>
      </c>
      <c r="Q253" s="206">
        <f t="shared" si="66"/>
        <v>0</v>
      </c>
      <c r="X253" s="71" t="str">
        <f t="shared" si="52"/>
        <v/>
      </c>
      <c r="Y253">
        <f t="shared" si="53"/>
        <v>0</v>
      </c>
      <c r="Z253">
        <f t="shared" si="54"/>
        <v>0</v>
      </c>
      <c r="AA253">
        <f t="shared" si="55"/>
        <v>0</v>
      </c>
      <c r="AB253">
        <f t="shared" si="56"/>
        <v>0</v>
      </c>
      <c r="AC253" t="str">
        <f t="shared" si="57"/>
        <v/>
      </c>
      <c r="AD253" s="204">
        <f t="shared" si="67"/>
        <v>0</v>
      </c>
      <c r="AE253" s="204">
        <f t="shared" si="68"/>
        <v>0</v>
      </c>
      <c r="AF253" s="204">
        <f t="shared" si="69"/>
        <v>0</v>
      </c>
      <c r="AG253" s="204">
        <f t="shared" si="70"/>
        <v>0</v>
      </c>
    </row>
    <row r="254" spans="1:33" x14ac:dyDescent="0.3">
      <c r="A254" s="204"/>
      <c r="B254" s="205"/>
      <c r="C254" s="205"/>
      <c r="D254" s="205"/>
      <c r="E254" s="205"/>
      <c r="F254" s="204"/>
      <c r="G254" s="204"/>
      <c r="H254" s="204"/>
      <c r="I254" s="204" t="str">
        <f t="shared" si="58"/>
        <v/>
      </c>
      <c r="J254" s="204" t="str">
        <f t="shared" si="59"/>
        <v/>
      </c>
      <c r="K254" s="204" t="str">
        <f t="shared" si="60"/>
        <v/>
      </c>
      <c r="L254" s="204" t="str">
        <f t="shared" si="61"/>
        <v/>
      </c>
      <c r="M254" s="76" t="str">
        <f t="shared" si="62"/>
        <v/>
      </c>
      <c r="N254" s="206">
        <f t="shared" si="63"/>
        <v>0</v>
      </c>
      <c r="O254" s="206">
        <f t="shared" si="64"/>
        <v>0</v>
      </c>
      <c r="P254" s="206">
        <f t="shared" si="65"/>
        <v>0</v>
      </c>
      <c r="Q254" s="206">
        <f t="shared" si="66"/>
        <v>0</v>
      </c>
      <c r="X254" s="71" t="str">
        <f t="shared" si="52"/>
        <v/>
      </c>
      <c r="Y254">
        <f t="shared" si="53"/>
        <v>0</v>
      </c>
      <c r="Z254">
        <f t="shared" si="54"/>
        <v>0</v>
      </c>
      <c r="AA254">
        <f t="shared" si="55"/>
        <v>0</v>
      </c>
      <c r="AB254">
        <f t="shared" si="56"/>
        <v>0</v>
      </c>
      <c r="AC254" t="str">
        <f t="shared" si="57"/>
        <v/>
      </c>
      <c r="AD254" s="204">
        <f t="shared" si="67"/>
        <v>0</v>
      </c>
      <c r="AE254" s="204">
        <f t="shared" si="68"/>
        <v>0</v>
      </c>
      <c r="AF254" s="204">
        <f t="shared" si="69"/>
        <v>0</v>
      </c>
      <c r="AG254" s="204">
        <f t="shared" si="70"/>
        <v>0</v>
      </c>
    </row>
    <row r="255" spans="1:33" x14ac:dyDescent="0.3">
      <c r="A255" s="204"/>
      <c r="B255" s="205"/>
      <c r="C255" s="205"/>
      <c r="D255" s="205"/>
      <c r="E255" s="205"/>
      <c r="F255" s="204"/>
      <c r="G255" s="204"/>
      <c r="H255" s="204"/>
      <c r="I255" s="204" t="str">
        <f t="shared" si="58"/>
        <v/>
      </c>
      <c r="J255" s="204" t="str">
        <f t="shared" si="59"/>
        <v/>
      </c>
      <c r="K255" s="204" t="str">
        <f t="shared" si="60"/>
        <v/>
      </c>
      <c r="L255" s="204" t="str">
        <f t="shared" si="61"/>
        <v/>
      </c>
      <c r="M255" s="76" t="str">
        <f t="shared" si="62"/>
        <v/>
      </c>
      <c r="N255" s="206">
        <f t="shared" si="63"/>
        <v>0</v>
      </c>
      <c r="O255" s="206">
        <f t="shared" si="64"/>
        <v>0</v>
      </c>
      <c r="P255" s="206">
        <f t="shared" si="65"/>
        <v>0</v>
      </c>
      <c r="Q255" s="206">
        <f t="shared" si="66"/>
        <v>0</v>
      </c>
      <c r="X255" s="71" t="str">
        <f t="shared" si="52"/>
        <v/>
      </c>
      <c r="Y255">
        <f t="shared" si="53"/>
        <v>0</v>
      </c>
      <c r="Z255">
        <f t="shared" si="54"/>
        <v>0</v>
      </c>
      <c r="AA255">
        <f t="shared" si="55"/>
        <v>0</v>
      </c>
      <c r="AB255">
        <f t="shared" si="56"/>
        <v>0</v>
      </c>
      <c r="AC255" t="str">
        <f t="shared" si="57"/>
        <v/>
      </c>
      <c r="AD255" s="204">
        <f t="shared" si="67"/>
        <v>0</v>
      </c>
      <c r="AE255" s="204">
        <f t="shared" si="68"/>
        <v>0</v>
      </c>
      <c r="AF255" s="204">
        <f t="shared" si="69"/>
        <v>0</v>
      </c>
      <c r="AG255" s="204">
        <f t="shared" si="70"/>
        <v>0</v>
      </c>
    </row>
    <row r="256" spans="1:33" x14ac:dyDescent="0.3">
      <c r="A256" s="204"/>
      <c r="B256" s="205"/>
      <c r="C256" s="205"/>
      <c r="D256" s="205"/>
      <c r="E256" s="205"/>
      <c r="F256" s="204"/>
      <c r="G256" s="204"/>
      <c r="H256" s="204"/>
      <c r="I256" s="204" t="str">
        <f t="shared" si="58"/>
        <v/>
      </c>
      <c r="J256" s="204" t="str">
        <f t="shared" si="59"/>
        <v/>
      </c>
      <c r="K256" s="204" t="str">
        <f t="shared" si="60"/>
        <v/>
      </c>
      <c r="L256" s="204" t="str">
        <f t="shared" si="61"/>
        <v/>
      </c>
      <c r="M256" s="76" t="str">
        <f t="shared" si="62"/>
        <v/>
      </c>
      <c r="N256" s="206">
        <f t="shared" si="63"/>
        <v>0</v>
      </c>
      <c r="O256" s="206">
        <f t="shared" si="64"/>
        <v>0</v>
      </c>
      <c r="P256" s="206">
        <f t="shared" si="65"/>
        <v>0</v>
      </c>
      <c r="Q256" s="206">
        <f t="shared" si="66"/>
        <v>0</v>
      </c>
      <c r="X256" s="71" t="str">
        <f t="shared" si="52"/>
        <v/>
      </c>
      <c r="Y256">
        <f t="shared" si="53"/>
        <v>0</v>
      </c>
      <c r="Z256">
        <f t="shared" si="54"/>
        <v>0</v>
      </c>
      <c r="AA256">
        <f t="shared" si="55"/>
        <v>0</v>
      </c>
      <c r="AB256">
        <f t="shared" si="56"/>
        <v>0</v>
      </c>
      <c r="AC256" t="str">
        <f t="shared" si="57"/>
        <v/>
      </c>
      <c r="AD256" s="204">
        <f t="shared" si="67"/>
        <v>0</v>
      </c>
      <c r="AE256" s="204">
        <f t="shared" si="68"/>
        <v>0</v>
      </c>
      <c r="AF256" s="204">
        <f t="shared" si="69"/>
        <v>0</v>
      </c>
      <c r="AG256" s="204">
        <f t="shared" si="70"/>
        <v>0</v>
      </c>
    </row>
    <row r="257" spans="1:33" x14ac:dyDescent="0.3">
      <c r="A257" s="204"/>
      <c r="B257" s="205"/>
      <c r="C257" s="205"/>
      <c r="D257" s="205"/>
      <c r="E257" s="205"/>
      <c r="F257" s="204"/>
      <c r="G257" s="204"/>
      <c r="H257" s="204"/>
      <c r="I257" s="204" t="str">
        <f t="shared" si="58"/>
        <v/>
      </c>
      <c r="J257" s="204" t="str">
        <f t="shared" si="59"/>
        <v/>
      </c>
      <c r="K257" s="204" t="str">
        <f t="shared" si="60"/>
        <v/>
      </c>
      <c r="L257" s="204" t="str">
        <f t="shared" si="61"/>
        <v/>
      </c>
      <c r="M257" s="76" t="str">
        <f t="shared" si="62"/>
        <v/>
      </c>
      <c r="N257" s="206">
        <f t="shared" si="63"/>
        <v>0</v>
      </c>
      <c r="O257" s="206">
        <f t="shared" si="64"/>
        <v>0</v>
      </c>
      <c r="P257" s="206">
        <f t="shared" si="65"/>
        <v>0</v>
      </c>
      <c r="Q257" s="206">
        <f t="shared" si="66"/>
        <v>0</v>
      </c>
      <c r="X257" s="71" t="str">
        <f t="shared" si="52"/>
        <v/>
      </c>
      <c r="Y257">
        <f t="shared" si="53"/>
        <v>0</v>
      </c>
      <c r="Z257">
        <f t="shared" si="54"/>
        <v>0</v>
      </c>
      <c r="AA257">
        <f t="shared" si="55"/>
        <v>0</v>
      </c>
      <c r="AB257">
        <f t="shared" si="56"/>
        <v>0</v>
      </c>
      <c r="AC257" t="str">
        <f t="shared" si="57"/>
        <v/>
      </c>
      <c r="AD257" s="204">
        <f t="shared" si="67"/>
        <v>0</v>
      </c>
      <c r="AE257" s="204">
        <f t="shared" si="68"/>
        <v>0</v>
      </c>
      <c r="AF257" s="204">
        <f t="shared" si="69"/>
        <v>0</v>
      </c>
      <c r="AG257" s="204">
        <f t="shared" si="70"/>
        <v>0</v>
      </c>
    </row>
    <row r="258" spans="1:33" x14ac:dyDescent="0.3">
      <c r="A258" s="204"/>
      <c r="B258" s="205"/>
      <c r="C258" s="205"/>
      <c r="D258" s="205"/>
      <c r="E258" s="205"/>
      <c r="F258" s="204"/>
      <c r="G258" s="204"/>
      <c r="H258" s="204"/>
      <c r="I258" s="204" t="str">
        <f t="shared" si="58"/>
        <v/>
      </c>
      <c r="J258" s="204" t="str">
        <f t="shared" si="59"/>
        <v/>
      </c>
      <c r="K258" s="204" t="str">
        <f t="shared" si="60"/>
        <v/>
      </c>
      <c r="L258" s="204" t="str">
        <f t="shared" si="61"/>
        <v/>
      </c>
      <c r="M258" s="76" t="str">
        <f t="shared" si="62"/>
        <v/>
      </c>
      <c r="N258" s="206">
        <f t="shared" si="63"/>
        <v>0</v>
      </c>
      <c r="O258" s="206">
        <f t="shared" si="64"/>
        <v>0</v>
      </c>
      <c r="P258" s="206">
        <f t="shared" si="65"/>
        <v>0</v>
      </c>
      <c r="Q258" s="206">
        <f t="shared" si="66"/>
        <v>0</v>
      </c>
      <c r="X258" s="71" t="str">
        <f t="shared" si="52"/>
        <v/>
      </c>
      <c r="Y258">
        <f t="shared" si="53"/>
        <v>0</v>
      </c>
      <c r="Z258">
        <f t="shared" si="54"/>
        <v>0</v>
      </c>
      <c r="AA258">
        <f t="shared" si="55"/>
        <v>0</v>
      </c>
      <c r="AB258">
        <f t="shared" si="56"/>
        <v>0</v>
      </c>
      <c r="AC258" t="str">
        <f t="shared" si="57"/>
        <v/>
      </c>
      <c r="AD258" s="204">
        <f t="shared" si="67"/>
        <v>0</v>
      </c>
      <c r="AE258" s="204">
        <f t="shared" si="68"/>
        <v>0</v>
      </c>
      <c r="AF258" s="204">
        <f t="shared" si="69"/>
        <v>0</v>
      </c>
      <c r="AG258" s="204">
        <f t="shared" si="70"/>
        <v>0</v>
      </c>
    </row>
    <row r="259" spans="1:33" x14ac:dyDescent="0.3">
      <c r="A259" s="204"/>
      <c r="B259" s="205"/>
      <c r="C259" s="205"/>
      <c r="D259" s="205"/>
      <c r="E259" s="205"/>
      <c r="F259" s="204"/>
      <c r="G259" s="204"/>
      <c r="H259" s="204"/>
      <c r="I259" s="204" t="str">
        <f t="shared" si="58"/>
        <v/>
      </c>
      <c r="J259" s="204" t="str">
        <f t="shared" si="59"/>
        <v/>
      </c>
      <c r="K259" s="204" t="str">
        <f t="shared" si="60"/>
        <v/>
      </c>
      <c r="L259" s="204" t="str">
        <f t="shared" si="61"/>
        <v/>
      </c>
      <c r="M259" s="76" t="str">
        <f t="shared" si="62"/>
        <v/>
      </c>
      <c r="N259" s="206">
        <f t="shared" si="63"/>
        <v>0</v>
      </c>
      <c r="O259" s="206">
        <f t="shared" si="64"/>
        <v>0</v>
      </c>
      <c r="P259" s="206">
        <f t="shared" si="65"/>
        <v>0</v>
      </c>
      <c r="Q259" s="206">
        <f t="shared" si="66"/>
        <v>0</v>
      </c>
      <c r="X259" s="71" t="str">
        <f t="shared" ref="X259:X322" si="71">M259</f>
        <v/>
      </c>
      <c r="Y259">
        <f t="shared" ref="Y259:Y322" si="72">IFERROR(IF(A259&lt;&gt;"",IF(A260&lt;&gt;"",IF(FIND("Mode AM +Tarif actuel",A260),VALUE(LEFT(B259,LEN(B259)-2)),),0),0),0)-IFERROR(IF(A259&lt;&gt;"",IF(A260&lt;&gt;"",IF(FIND("Mode AM +Tarif actuel",A260),VALUE(LEFT(B260,LEN(B260)-2)),),0),0),0)</f>
        <v>0</v>
      </c>
      <c r="Z259">
        <f t="shared" ref="Z259:Z322" si="73">IFERROR(IF(A259&lt;&gt;"",IF(A260&lt;&gt;"",IF(FIND("Mode AM +Tarif actuel",A260),VALUE(LEFT(C259,LEN(C259)-2)),),0),0),0)-IFERROR(IF(A259&lt;&gt;"",IF(A260&lt;&gt;"",IF(FIND("Mode AM +Tarif actuel",A260),VALUE(LEFT(C260,LEN(C260)-2)),),0),0),0)</f>
        <v>0</v>
      </c>
      <c r="AA259">
        <f t="shared" ref="AA259:AA322" si="74">IFERROR(IF(A259&lt;&gt;"",IF(A260&lt;&gt;"",IF(FIND("Mode AM +Tarif actuel",A260),VALUE(LEFT(D259,LEN(D259)-2)),),0),0),0)-IFERROR(IF(A259&lt;&gt;"",IF(A260&lt;&gt;"",IF(FIND("Mode AM +Tarif actuel",A260),VALUE(LEFT(D260,LEN(D260)-2)),),0),0),0)</f>
        <v>0</v>
      </c>
      <c r="AB259">
        <f t="shared" ref="AB259:AB322" si="75">IFERROR(IF(A259&lt;&gt;"",IF(A260&lt;&gt;"",IF(FIND("Mode AM +Tarif actuel",A260),VALUE(LEFT(E259,LEN(E259)-2)),),0),0),0)-IFERROR(IF(A259&lt;&gt;"",IF(A260&lt;&gt;"",IF(FIND("Mode AM +Tarif actuel",A260),VALUE(LEFT(E260,LEN(E260)-2)),),0),0),0)</f>
        <v>0</v>
      </c>
      <c r="AC259" t="str">
        <f t="shared" ref="AC259:AC322" si="76">IF(SUM(Y259:AB259)&gt;0,"A revoir","")</f>
        <v/>
      </c>
      <c r="AD259" s="204">
        <f t="shared" si="67"/>
        <v>0</v>
      </c>
      <c r="AE259" s="204">
        <f t="shared" si="68"/>
        <v>0</v>
      </c>
      <c r="AF259" s="204">
        <f t="shared" si="69"/>
        <v>0</v>
      </c>
      <c r="AG259" s="204">
        <f t="shared" si="70"/>
        <v>0</v>
      </c>
    </row>
    <row r="260" spans="1:33" x14ac:dyDescent="0.3">
      <c r="A260" s="204"/>
      <c r="B260" s="205"/>
      <c r="C260" s="205"/>
      <c r="D260" s="205"/>
      <c r="E260" s="205"/>
      <c r="F260" s="204"/>
      <c r="G260" s="204"/>
      <c r="H260" s="204"/>
      <c r="I260" s="204" t="str">
        <f t="shared" si="58"/>
        <v/>
      </c>
      <c r="J260" s="204" t="str">
        <f t="shared" si="59"/>
        <v/>
      </c>
      <c r="K260" s="204" t="str">
        <f t="shared" si="60"/>
        <v/>
      </c>
      <c r="L260" s="204" t="str">
        <f t="shared" si="61"/>
        <v/>
      </c>
      <c r="M260" s="76" t="str">
        <f t="shared" si="62"/>
        <v/>
      </c>
      <c r="N260" s="206">
        <f t="shared" si="63"/>
        <v>0</v>
      </c>
      <c r="O260" s="206">
        <f t="shared" si="64"/>
        <v>0</v>
      </c>
      <c r="P260" s="206">
        <f t="shared" si="65"/>
        <v>0</v>
      </c>
      <c r="Q260" s="206">
        <f t="shared" si="66"/>
        <v>0</v>
      </c>
      <c r="X260" s="71" t="str">
        <f t="shared" si="71"/>
        <v/>
      </c>
      <c r="Y260">
        <f t="shared" si="72"/>
        <v>0</v>
      </c>
      <c r="Z260">
        <f t="shared" si="73"/>
        <v>0</v>
      </c>
      <c r="AA260">
        <f t="shared" si="74"/>
        <v>0</v>
      </c>
      <c r="AB260">
        <f t="shared" si="75"/>
        <v>0</v>
      </c>
      <c r="AC260" t="str">
        <f t="shared" si="76"/>
        <v/>
      </c>
      <c r="AD260" s="204">
        <f t="shared" si="67"/>
        <v>0</v>
      </c>
      <c r="AE260" s="204">
        <f t="shared" si="68"/>
        <v>0</v>
      </c>
      <c r="AF260" s="204">
        <f t="shared" si="69"/>
        <v>0</v>
      </c>
      <c r="AG260" s="204">
        <f t="shared" si="70"/>
        <v>0</v>
      </c>
    </row>
    <row r="261" spans="1:33" x14ac:dyDescent="0.3">
      <c r="A261" s="204"/>
      <c r="B261" s="205"/>
      <c r="C261" s="205"/>
      <c r="D261" s="205"/>
      <c r="E261" s="205"/>
      <c r="F261" s="204"/>
      <c r="G261" s="204"/>
      <c r="H261" s="204"/>
      <c r="I261" s="204" t="str">
        <f t="shared" ref="I261:I324" si="77">IF(G261="Détail",LEN(A261),"")</f>
        <v/>
      </c>
      <c r="J261" s="204" t="str">
        <f t="shared" ref="J261:J324" si="78">IF(I261="","",LEFT(A261,3))</f>
        <v/>
      </c>
      <c r="K261" s="204" t="str">
        <f t="shared" ref="K261:K324" si="79">IF(J261&lt;&gt;"",MID(A261,5,3),"")</f>
        <v/>
      </c>
      <c r="L261" s="204" t="str">
        <f t="shared" ref="L261:L324" si="80">IF(J261&lt;&gt;"",RIGHT(A261,2),"")</f>
        <v/>
      </c>
      <c r="M261" s="76" t="str">
        <f t="shared" ref="M261:M324" si="81">IF(J261&lt;&gt;"",CONCATENATE(J261,"/",K261),"")</f>
        <v/>
      </c>
      <c r="N261" s="206">
        <f t="shared" ref="N261:N324" si="82">IFERROR(IF(A261&lt;&gt;"",IF(A262&lt;&gt;"",IF(FIND("Mode AM +Tarif actuel",A262),VALUE(LEFT(B262,LEN(B262)-2)),),0),0),0)</f>
        <v>0</v>
      </c>
      <c r="O261" s="206">
        <f t="shared" ref="O261:O324" si="83">IFERROR(IF(A261&lt;&gt;"",IF(A262&lt;&gt;"",IF(FIND("Mode AM +Tarif actuel",A262),VALUE(LEFT(C262,LEN(C262)-2)),),0),0),0)</f>
        <v>0</v>
      </c>
      <c r="P261" s="206">
        <f t="shared" ref="P261:P324" si="84">IFERROR(IF(A261&lt;&gt;"",IF(A262&lt;&gt;"",IF(FIND("Mode AM +Tarif actuel",A262),VALUE(LEFT(D262,LEN(D262)-2)),),0),0),0)</f>
        <v>0</v>
      </c>
      <c r="Q261" s="206">
        <f t="shared" ref="Q261:Q324" si="85">IFERROR(IF(A261&lt;&gt;"",IF(A262&lt;&gt;"",IF(FIND("Mode AM +Tarif actuel",A262),VALUE(LEFT(E262,LEN(E262)-2)),),0),0),0)</f>
        <v>0</v>
      </c>
      <c r="X261" s="71" t="str">
        <f t="shared" si="71"/>
        <v/>
      </c>
      <c r="Y261">
        <f t="shared" si="72"/>
        <v>0</v>
      </c>
      <c r="Z261">
        <f t="shared" si="73"/>
        <v>0</v>
      </c>
      <c r="AA261">
        <f t="shared" si="74"/>
        <v>0</v>
      </c>
      <c r="AB261">
        <f t="shared" si="75"/>
        <v>0</v>
      </c>
      <c r="AC261" t="str">
        <f t="shared" si="76"/>
        <v/>
      </c>
      <c r="AD261" s="204">
        <f t="shared" si="67"/>
        <v>0</v>
      </c>
      <c r="AE261" s="204">
        <f t="shared" si="68"/>
        <v>0</v>
      </c>
      <c r="AF261" s="204">
        <f t="shared" si="69"/>
        <v>0</v>
      </c>
      <c r="AG261" s="204">
        <f t="shared" si="70"/>
        <v>0</v>
      </c>
    </row>
    <row r="262" spans="1:33" x14ac:dyDescent="0.3">
      <c r="A262" s="204"/>
      <c r="B262" s="205"/>
      <c r="C262" s="205"/>
      <c r="D262" s="205"/>
      <c r="E262" s="205"/>
      <c r="F262" s="204"/>
      <c r="G262" s="204"/>
      <c r="H262" s="204"/>
      <c r="I262" s="204" t="str">
        <f t="shared" si="77"/>
        <v/>
      </c>
      <c r="J262" s="204" t="str">
        <f t="shared" si="78"/>
        <v/>
      </c>
      <c r="K262" s="204" t="str">
        <f t="shared" si="79"/>
        <v/>
      </c>
      <c r="L262" s="204" t="str">
        <f t="shared" si="80"/>
        <v/>
      </c>
      <c r="M262" s="76" t="str">
        <f t="shared" si="81"/>
        <v/>
      </c>
      <c r="N262" s="206">
        <f t="shared" si="82"/>
        <v>0</v>
      </c>
      <c r="O262" s="206">
        <f t="shared" si="83"/>
        <v>0</v>
      </c>
      <c r="P262" s="206">
        <f t="shared" si="84"/>
        <v>0</v>
      </c>
      <c r="Q262" s="206">
        <f t="shared" si="85"/>
        <v>0</v>
      </c>
      <c r="X262" s="71" t="str">
        <f t="shared" si="71"/>
        <v/>
      </c>
      <c r="Y262">
        <f t="shared" si="72"/>
        <v>0</v>
      </c>
      <c r="Z262">
        <f t="shared" si="73"/>
        <v>0</v>
      </c>
      <c r="AA262">
        <f t="shared" si="74"/>
        <v>0</v>
      </c>
      <c r="AB262">
        <f t="shared" si="75"/>
        <v>0</v>
      </c>
      <c r="AC262" t="str">
        <f t="shared" si="76"/>
        <v/>
      </c>
      <c r="AD262" s="204">
        <f t="shared" si="67"/>
        <v>0</v>
      </c>
      <c r="AE262" s="204">
        <f t="shared" si="68"/>
        <v>0</v>
      </c>
      <c r="AF262" s="204">
        <f t="shared" si="69"/>
        <v>0</v>
      </c>
      <c r="AG262" s="204">
        <f t="shared" si="70"/>
        <v>0</v>
      </c>
    </row>
    <row r="263" spans="1:33" x14ac:dyDescent="0.3">
      <c r="A263" s="204"/>
      <c r="B263" s="205"/>
      <c r="C263" s="205"/>
      <c r="D263" s="205"/>
      <c r="E263" s="205"/>
      <c r="F263" s="204"/>
      <c r="G263" s="204"/>
      <c r="H263" s="204"/>
      <c r="I263" s="204" t="str">
        <f t="shared" si="77"/>
        <v/>
      </c>
      <c r="J263" s="204" t="str">
        <f t="shared" si="78"/>
        <v/>
      </c>
      <c r="K263" s="204" t="str">
        <f t="shared" si="79"/>
        <v/>
      </c>
      <c r="L263" s="204" t="str">
        <f t="shared" si="80"/>
        <v/>
      </c>
      <c r="M263" s="76" t="str">
        <f t="shared" si="81"/>
        <v/>
      </c>
      <c r="N263" s="206">
        <f t="shared" si="82"/>
        <v>0</v>
      </c>
      <c r="O263" s="206">
        <f t="shared" si="83"/>
        <v>0</v>
      </c>
      <c r="P263" s="206">
        <f t="shared" si="84"/>
        <v>0</v>
      </c>
      <c r="Q263" s="206">
        <f t="shared" si="85"/>
        <v>0</v>
      </c>
      <c r="X263" s="71" t="str">
        <f t="shared" si="71"/>
        <v/>
      </c>
      <c r="Y263">
        <f t="shared" si="72"/>
        <v>0</v>
      </c>
      <c r="Z263">
        <f t="shared" si="73"/>
        <v>0</v>
      </c>
      <c r="AA263">
        <f t="shared" si="74"/>
        <v>0</v>
      </c>
      <c r="AB263">
        <f t="shared" si="75"/>
        <v>0</v>
      </c>
      <c r="AC263" t="str">
        <f t="shared" si="76"/>
        <v/>
      </c>
      <c r="AD263" s="204">
        <f t="shared" si="67"/>
        <v>0</v>
      </c>
      <c r="AE263" s="204">
        <f t="shared" si="68"/>
        <v>0</v>
      </c>
      <c r="AF263" s="204">
        <f t="shared" si="69"/>
        <v>0</v>
      </c>
      <c r="AG263" s="204">
        <f t="shared" si="70"/>
        <v>0</v>
      </c>
    </row>
    <row r="264" spans="1:33" x14ac:dyDescent="0.3">
      <c r="A264" s="204"/>
      <c r="B264" s="205"/>
      <c r="C264" s="205"/>
      <c r="D264" s="205"/>
      <c r="E264" s="205"/>
      <c r="F264" s="204"/>
      <c r="G264" s="204"/>
      <c r="H264" s="204"/>
      <c r="I264" s="204" t="str">
        <f t="shared" si="77"/>
        <v/>
      </c>
      <c r="J264" s="204" t="str">
        <f t="shared" si="78"/>
        <v/>
      </c>
      <c r="K264" s="204" t="str">
        <f t="shared" si="79"/>
        <v/>
      </c>
      <c r="L264" s="204" t="str">
        <f t="shared" si="80"/>
        <v/>
      </c>
      <c r="M264" s="76" t="str">
        <f t="shared" si="81"/>
        <v/>
      </c>
      <c r="N264" s="206">
        <f t="shared" si="82"/>
        <v>0</v>
      </c>
      <c r="O264" s="206">
        <f t="shared" si="83"/>
        <v>0</v>
      </c>
      <c r="P264" s="206">
        <f t="shared" si="84"/>
        <v>0</v>
      </c>
      <c r="Q264" s="206">
        <f t="shared" si="85"/>
        <v>0</v>
      </c>
      <c r="X264" s="71" t="str">
        <f t="shared" si="71"/>
        <v/>
      </c>
      <c r="Y264">
        <f t="shared" si="72"/>
        <v>0</v>
      </c>
      <c r="Z264">
        <f t="shared" si="73"/>
        <v>0</v>
      </c>
      <c r="AA264">
        <f t="shared" si="74"/>
        <v>0</v>
      </c>
      <c r="AB264">
        <f t="shared" si="75"/>
        <v>0</v>
      </c>
      <c r="AC264" t="str">
        <f t="shared" si="76"/>
        <v/>
      </c>
      <c r="AD264" s="204">
        <f t="shared" si="67"/>
        <v>0</v>
      </c>
      <c r="AE264" s="204">
        <f t="shared" si="68"/>
        <v>0</v>
      </c>
      <c r="AF264" s="204">
        <f t="shared" si="69"/>
        <v>0</v>
      </c>
      <c r="AG264" s="204">
        <f t="shared" si="70"/>
        <v>0</v>
      </c>
    </row>
    <row r="265" spans="1:33" x14ac:dyDescent="0.3">
      <c r="A265" s="204"/>
      <c r="B265" s="205"/>
      <c r="C265" s="205"/>
      <c r="D265" s="205"/>
      <c r="E265" s="205"/>
      <c r="F265" s="204"/>
      <c r="G265" s="204"/>
      <c r="H265" s="204"/>
      <c r="I265" s="204" t="str">
        <f t="shared" si="77"/>
        <v/>
      </c>
      <c r="J265" s="204" t="str">
        <f t="shared" si="78"/>
        <v/>
      </c>
      <c r="K265" s="204" t="str">
        <f t="shared" si="79"/>
        <v/>
      </c>
      <c r="L265" s="204" t="str">
        <f t="shared" si="80"/>
        <v/>
      </c>
      <c r="M265" s="76" t="str">
        <f t="shared" si="81"/>
        <v/>
      </c>
      <c r="N265" s="206">
        <f t="shared" si="82"/>
        <v>0</v>
      </c>
      <c r="O265" s="206">
        <f t="shared" si="83"/>
        <v>0</v>
      </c>
      <c r="P265" s="206">
        <f t="shared" si="84"/>
        <v>0</v>
      </c>
      <c r="Q265" s="206">
        <f t="shared" si="85"/>
        <v>0</v>
      </c>
      <c r="X265" s="71" t="str">
        <f t="shared" si="71"/>
        <v/>
      </c>
      <c r="Y265">
        <f t="shared" si="72"/>
        <v>0</v>
      </c>
      <c r="Z265">
        <f t="shared" si="73"/>
        <v>0</v>
      </c>
      <c r="AA265">
        <f t="shared" si="74"/>
        <v>0</v>
      </c>
      <c r="AB265">
        <f t="shared" si="75"/>
        <v>0</v>
      </c>
      <c r="AC265" t="str">
        <f t="shared" si="76"/>
        <v/>
      </c>
      <c r="AD265" s="204">
        <f t="shared" si="67"/>
        <v>0</v>
      </c>
      <c r="AE265" s="204">
        <f t="shared" si="68"/>
        <v>0</v>
      </c>
      <c r="AF265" s="204">
        <f t="shared" si="69"/>
        <v>0</v>
      </c>
      <c r="AG265" s="204">
        <f t="shared" si="70"/>
        <v>0</v>
      </c>
    </row>
    <row r="266" spans="1:33" x14ac:dyDescent="0.3">
      <c r="A266" s="204"/>
      <c r="B266" s="205"/>
      <c r="C266" s="205"/>
      <c r="D266" s="205"/>
      <c r="E266" s="205"/>
      <c r="F266" s="204"/>
      <c r="G266" s="204"/>
      <c r="H266" s="204"/>
      <c r="I266" s="204" t="str">
        <f t="shared" si="77"/>
        <v/>
      </c>
      <c r="J266" s="204" t="str">
        <f t="shared" si="78"/>
        <v/>
      </c>
      <c r="K266" s="204" t="str">
        <f t="shared" si="79"/>
        <v/>
      </c>
      <c r="L266" s="204" t="str">
        <f t="shared" si="80"/>
        <v/>
      </c>
      <c r="M266" s="76" t="str">
        <f t="shared" si="81"/>
        <v/>
      </c>
      <c r="N266" s="206">
        <f t="shared" si="82"/>
        <v>0</v>
      </c>
      <c r="O266" s="206">
        <f t="shared" si="83"/>
        <v>0</v>
      </c>
      <c r="P266" s="206">
        <f t="shared" si="84"/>
        <v>0</v>
      </c>
      <c r="Q266" s="206">
        <f t="shared" si="85"/>
        <v>0</v>
      </c>
      <c r="X266" s="71" t="str">
        <f t="shared" si="71"/>
        <v/>
      </c>
      <c r="Y266">
        <f t="shared" si="72"/>
        <v>0</v>
      </c>
      <c r="Z266">
        <f t="shared" si="73"/>
        <v>0</v>
      </c>
      <c r="AA266">
        <f t="shared" si="74"/>
        <v>0</v>
      </c>
      <c r="AB266">
        <f t="shared" si="75"/>
        <v>0</v>
      </c>
      <c r="AC266" t="str">
        <f t="shared" si="76"/>
        <v/>
      </c>
      <c r="AD266" s="204">
        <f t="shared" si="67"/>
        <v>0</v>
      </c>
      <c r="AE266" s="204">
        <f t="shared" si="68"/>
        <v>0</v>
      </c>
      <c r="AF266" s="204">
        <f t="shared" si="69"/>
        <v>0</v>
      </c>
      <c r="AG266" s="204">
        <f t="shared" si="70"/>
        <v>0</v>
      </c>
    </row>
    <row r="267" spans="1:33" x14ac:dyDescent="0.3">
      <c r="A267" s="204"/>
      <c r="B267" s="205"/>
      <c r="C267" s="205"/>
      <c r="D267" s="205"/>
      <c r="E267" s="205"/>
      <c r="F267" s="204"/>
      <c r="G267" s="204"/>
      <c r="H267" s="204"/>
      <c r="I267" s="204" t="str">
        <f t="shared" si="77"/>
        <v/>
      </c>
      <c r="J267" s="204" t="str">
        <f t="shared" si="78"/>
        <v/>
      </c>
      <c r="K267" s="204" t="str">
        <f t="shared" si="79"/>
        <v/>
      </c>
      <c r="L267" s="204" t="str">
        <f t="shared" si="80"/>
        <v/>
      </c>
      <c r="M267" s="76" t="str">
        <f t="shared" si="81"/>
        <v/>
      </c>
      <c r="N267" s="206">
        <f t="shared" si="82"/>
        <v>0</v>
      </c>
      <c r="O267" s="206">
        <f t="shared" si="83"/>
        <v>0</v>
      </c>
      <c r="P267" s="206">
        <f t="shared" si="84"/>
        <v>0</v>
      </c>
      <c r="Q267" s="206">
        <f t="shared" si="85"/>
        <v>0</v>
      </c>
      <c r="X267" s="71" t="str">
        <f t="shared" si="71"/>
        <v/>
      </c>
      <c r="Y267">
        <f t="shared" si="72"/>
        <v>0</v>
      </c>
      <c r="Z267">
        <f t="shared" si="73"/>
        <v>0</v>
      </c>
      <c r="AA267">
        <f t="shared" si="74"/>
        <v>0</v>
      </c>
      <c r="AB267">
        <f t="shared" si="75"/>
        <v>0</v>
      </c>
      <c r="AC267" t="str">
        <f t="shared" si="76"/>
        <v/>
      </c>
      <c r="AD267" s="204">
        <f t="shared" ref="AD267:AD330" si="86">IFERROR(IF(A267&lt;&gt;"",IF(A268&lt;&gt;"",IF(FIND("Mode AM +Tarif actuel",A268),VALUE(LEFT(B267,LEN(B267)-2)),),0),0),0)</f>
        <v>0</v>
      </c>
      <c r="AE267" s="204">
        <f t="shared" ref="AE267:AE330" si="87">IFERROR(IF(A267&lt;&gt;"",IF(A268&lt;&gt;"",IF(FIND("Mode AM +Tarif actuel",A268),VALUE(LEFT(C267,LEN(C267)-2)),),0),0),0)</f>
        <v>0</v>
      </c>
      <c r="AF267" s="204">
        <f t="shared" ref="AF267:AF330" si="88">IFERROR(IF(A267&lt;&gt;"",IF(A268&lt;&gt;"",IF(FIND("Mode AM +Tarif actuel",A268),VALUE(LEFT(D267,LEN(D267)-2)),),0),0),0)</f>
        <v>0</v>
      </c>
      <c r="AG267" s="204">
        <f t="shared" ref="AG267:AG330" si="89">IFERROR(IF(A267&lt;&gt;"",IF(A268&lt;&gt;"",IF(FIND("Mode AM +Tarif actuel",A268),VALUE(LEFT(E267,LEN(E267)-2)),),0),0),0)</f>
        <v>0</v>
      </c>
    </row>
    <row r="268" spans="1:33" x14ac:dyDescent="0.3">
      <c r="A268" s="204"/>
      <c r="B268" s="205"/>
      <c r="C268" s="205"/>
      <c r="D268" s="205"/>
      <c r="E268" s="205"/>
      <c r="F268" s="204"/>
      <c r="G268" s="204"/>
      <c r="H268" s="204"/>
      <c r="I268" s="204" t="str">
        <f t="shared" si="77"/>
        <v/>
      </c>
      <c r="J268" s="204" t="str">
        <f t="shared" si="78"/>
        <v/>
      </c>
      <c r="K268" s="204" t="str">
        <f t="shared" si="79"/>
        <v/>
      </c>
      <c r="L268" s="204" t="str">
        <f t="shared" si="80"/>
        <v/>
      </c>
      <c r="M268" s="76" t="str">
        <f t="shared" si="81"/>
        <v/>
      </c>
      <c r="N268" s="206">
        <f t="shared" si="82"/>
        <v>0</v>
      </c>
      <c r="O268" s="206">
        <f t="shared" si="83"/>
        <v>0</v>
      </c>
      <c r="P268" s="206">
        <f t="shared" si="84"/>
        <v>0</v>
      </c>
      <c r="Q268" s="206">
        <f t="shared" si="85"/>
        <v>0</v>
      </c>
      <c r="X268" s="71" t="str">
        <f t="shared" si="71"/>
        <v/>
      </c>
      <c r="Y268">
        <f t="shared" si="72"/>
        <v>0</v>
      </c>
      <c r="Z268">
        <f t="shared" si="73"/>
        <v>0</v>
      </c>
      <c r="AA268">
        <f t="shared" si="74"/>
        <v>0</v>
      </c>
      <c r="AB268">
        <f t="shared" si="75"/>
        <v>0</v>
      </c>
      <c r="AC268" t="str">
        <f t="shared" si="76"/>
        <v/>
      </c>
      <c r="AD268" s="204">
        <f t="shared" si="86"/>
        <v>0</v>
      </c>
      <c r="AE268" s="204">
        <f t="shared" si="87"/>
        <v>0</v>
      </c>
      <c r="AF268" s="204">
        <f t="shared" si="88"/>
        <v>0</v>
      </c>
      <c r="AG268" s="204">
        <f t="shared" si="89"/>
        <v>0</v>
      </c>
    </row>
    <row r="269" spans="1:33" x14ac:dyDescent="0.3">
      <c r="A269" s="204"/>
      <c r="B269" s="205"/>
      <c r="C269" s="205"/>
      <c r="D269" s="205"/>
      <c r="E269" s="205"/>
      <c r="F269" s="204"/>
      <c r="G269" s="204"/>
      <c r="H269" s="204"/>
      <c r="I269" s="204" t="str">
        <f t="shared" si="77"/>
        <v/>
      </c>
      <c r="J269" s="204" t="str">
        <f t="shared" si="78"/>
        <v/>
      </c>
      <c r="K269" s="204" t="str">
        <f t="shared" si="79"/>
        <v/>
      </c>
      <c r="L269" s="204" t="str">
        <f t="shared" si="80"/>
        <v/>
      </c>
      <c r="M269" s="76" t="str">
        <f t="shared" si="81"/>
        <v/>
      </c>
      <c r="N269" s="206">
        <f t="shared" si="82"/>
        <v>0</v>
      </c>
      <c r="O269" s="206">
        <f t="shared" si="83"/>
        <v>0</v>
      </c>
      <c r="P269" s="206">
        <f t="shared" si="84"/>
        <v>0</v>
      </c>
      <c r="Q269" s="206">
        <f t="shared" si="85"/>
        <v>0</v>
      </c>
      <c r="X269" s="71" t="str">
        <f t="shared" si="71"/>
        <v/>
      </c>
      <c r="Y269">
        <f t="shared" si="72"/>
        <v>0</v>
      </c>
      <c r="Z269">
        <f t="shared" si="73"/>
        <v>0</v>
      </c>
      <c r="AA269">
        <f t="shared" si="74"/>
        <v>0</v>
      </c>
      <c r="AB269">
        <f t="shared" si="75"/>
        <v>0</v>
      </c>
      <c r="AC269" t="str">
        <f t="shared" si="76"/>
        <v/>
      </c>
      <c r="AD269" s="204">
        <f t="shared" si="86"/>
        <v>0</v>
      </c>
      <c r="AE269" s="204">
        <f t="shared" si="87"/>
        <v>0</v>
      </c>
      <c r="AF269" s="204">
        <f t="shared" si="88"/>
        <v>0</v>
      </c>
      <c r="AG269" s="204">
        <f t="shared" si="89"/>
        <v>0</v>
      </c>
    </row>
    <row r="270" spans="1:33" x14ac:dyDescent="0.3">
      <c r="A270" s="204"/>
      <c r="B270" s="205"/>
      <c r="C270" s="205"/>
      <c r="D270" s="205"/>
      <c r="E270" s="205"/>
      <c r="F270" s="204"/>
      <c r="G270" s="204"/>
      <c r="H270" s="204"/>
      <c r="I270" s="204" t="str">
        <f t="shared" si="77"/>
        <v/>
      </c>
      <c r="J270" s="204" t="str">
        <f t="shared" si="78"/>
        <v/>
      </c>
      <c r="K270" s="204" t="str">
        <f t="shared" si="79"/>
        <v/>
      </c>
      <c r="L270" s="204" t="str">
        <f t="shared" si="80"/>
        <v/>
      </c>
      <c r="M270" s="76" t="str">
        <f t="shared" si="81"/>
        <v/>
      </c>
      <c r="N270" s="206">
        <f t="shared" si="82"/>
        <v>0</v>
      </c>
      <c r="O270" s="206">
        <f t="shared" si="83"/>
        <v>0</v>
      </c>
      <c r="P270" s="206">
        <f t="shared" si="84"/>
        <v>0</v>
      </c>
      <c r="Q270" s="206">
        <f t="shared" si="85"/>
        <v>0</v>
      </c>
      <c r="X270" s="71" t="str">
        <f t="shared" si="71"/>
        <v/>
      </c>
      <c r="Y270">
        <f t="shared" si="72"/>
        <v>0</v>
      </c>
      <c r="Z270">
        <f t="shared" si="73"/>
        <v>0</v>
      </c>
      <c r="AA270">
        <f t="shared" si="74"/>
        <v>0</v>
      </c>
      <c r="AB270">
        <f t="shared" si="75"/>
        <v>0</v>
      </c>
      <c r="AC270" t="str">
        <f t="shared" si="76"/>
        <v/>
      </c>
      <c r="AD270" s="204">
        <f t="shared" si="86"/>
        <v>0</v>
      </c>
      <c r="AE270" s="204">
        <f t="shared" si="87"/>
        <v>0</v>
      </c>
      <c r="AF270" s="204">
        <f t="shared" si="88"/>
        <v>0</v>
      </c>
      <c r="AG270" s="204">
        <f t="shared" si="89"/>
        <v>0</v>
      </c>
    </row>
    <row r="271" spans="1:33" x14ac:dyDescent="0.3">
      <c r="A271" s="204"/>
      <c r="B271" s="205"/>
      <c r="C271" s="205"/>
      <c r="D271" s="205"/>
      <c r="E271" s="205"/>
      <c r="F271" s="204"/>
      <c r="G271" s="204"/>
      <c r="H271" s="204"/>
      <c r="I271" s="204" t="str">
        <f t="shared" si="77"/>
        <v/>
      </c>
      <c r="J271" s="204" t="str">
        <f t="shared" si="78"/>
        <v/>
      </c>
      <c r="K271" s="204" t="str">
        <f t="shared" si="79"/>
        <v/>
      </c>
      <c r="L271" s="204" t="str">
        <f t="shared" si="80"/>
        <v/>
      </c>
      <c r="M271" s="76" t="str">
        <f t="shared" si="81"/>
        <v/>
      </c>
      <c r="N271" s="206">
        <f t="shared" si="82"/>
        <v>0</v>
      </c>
      <c r="O271" s="206">
        <f t="shared" si="83"/>
        <v>0</v>
      </c>
      <c r="P271" s="206">
        <f t="shared" si="84"/>
        <v>0</v>
      </c>
      <c r="Q271" s="206">
        <f t="shared" si="85"/>
        <v>0</v>
      </c>
      <c r="X271" s="71" t="str">
        <f t="shared" si="71"/>
        <v/>
      </c>
      <c r="Y271">
        <f t="shared" si="72"/>
        <v>0</v>
      </c>
      <c r="Z271">
        <f t="shared" si="73"/>
        <v>0</v>
      </c>
      <c r="AA271">
        <f t="shared" si="74"/>
        <v>0</v>
      </c>
      <c r="AB271">
        <f t="shared" si="75"/>
        <v>0</v>
      </c>
      <c r="AC271" t="str">
        <f t="shared" si="76"/>
        <v/>
      </c>
      <c r="AD271" s="204">
        <f t="shared" si="86"/>
        <v>0</v>
      </c>
      <c r="AE271" s="204">
        <f t="shared" si="87"/>
        <v>0</v>
      </c>
      <c r="AF271" s="204">
        <f t="shared" si="88"/>
        <v>0</v>
      </c>
      <c r="AG271" s="204">
        <f t="shared" si="89"/>
        <v>0</v>
      </c>
    </row>
    <row r="272" spans="1:33" x14ac:dyDescent="0.3">
      <c r="A272" s="204"/>
      <c r="B272" s="205"/>
      <c r="C272" s="205"/>
      <c r="D272" s="205"/>
      <c r="E272" s="205"/>
      <c r="F272" s="204"/>
      <c r="G272" s="204"/>
      <c r="H272" s="204"/>
      <c r="I272" s="204" t="str">
        <f t="shared" si="77"/>
        <v/>
      </c>
      <c r="J272" s="204" t="str">
        <f t="shared" si="78"/>
        <v/>
      </c>
      <c r="K272" s="204" t="str">
        <f t="shared" si="79"/>
        <v/>
      </c>
      <c r="L272" s="204" t="str">
        <f t="shared" si="80"/>
        <v/>
      </c>
      <c r="M272" s="76" t="str">
        <f t="shared" si="81"/>
        <v/>
      </c>
      <c r="N272" s="206">
        <f t="shared" si="82"/>
        <v>0</v>
      </c>
      <c r="O272" s="206">
        <f t="shared" si="83"/>
        <v>0</v>
      </c>
      <c r="P272" s="206">
        <f t="shared" si="84"/>
        <v>0</v>
      </c>
      <c r="Q272" s="206">
        <f t="shared" si="85"/>
        <v>0</v>
      </c>
      <c r="X272" s="71" t="str">
        <f t="shared" si="71"/>
        <v/>
      </c>
      <c r="Y272">
        <f t="shared" si="72"/>
        <v>0</v>
      </c>
      <c r="Z272">
        <f t="shared" si="73"/>
        <v>0</v>
      </c>
      <c r="AA272">
        <f t="shared" si="74"/>
        <v>0</v>
      </c>
      <c r="AB272">
        <f t="shared" si="75"/>
        <v>0</v>
      </c>
      <c r="AC272" t="str">
        <f t="shared" si="76"/>
        <v/>
      </c>
      <c r="AD272" s="204">
        <f t="shared" si="86"/>
        <v>0</v>
      </c>
      <c r="AE272" s="204">
        <f t="shared" si="87"/>
        <v>0</v>
      </c>
      <c r="AF272" s="204">
        <f t="shared" si="88"/>
        <v>0</v>
      </c>
      <c r="AG272" s="204">
        <f t="shared" si="89"/>
        <v>0</v>
      </c>
    </row>
    <row r="273" spans="1:33" x14ac:dyDescent="0.3">
      <c r="A273" s="204"/>
      <c r="B273" s="205"/>
      <c r="C273" s="205"/>
      <c r="D273" s="205"/>
      <c r="E273" s="205"/>
      <c r="F273" s="204"/>
      <c r="G273" s="204"/>
      <c r="H273" s="204"/>
      <c r="I273" s="204" t="str">
        <f t="shared" si="77"/>
        <v/>
      </c>
      <c r="J273" s="204" t="str">
        <f t="shared" si="78"/>
        <v/>
      </c>
      <c r="K273" s="204" t="str">
        <f t="shared" si="79"/>
        <v/>
      </c>
      <c r="L273" s="204" t="str">
        <f t="shared" si="80"/>
        <v/>
      </c>
      <c r="M273" s="76" t="str">
        <f t="shared" si="81"/>
        <v/>
      </c>
      <c r="N273" s="206">
        <f t="shared" si="82"/>
        <v>0</v>
      </c>
      <c r="O273" s="206">
        <f t="shared" si="83"/>
        <v>0</v>
      </c>
      <c r="P273" s="206">
        <f t="shared" si="84"/>
        <v>0</v>
      </c>
      <c r="Q273" s="206">
        <f t="shared" si="85"/>
        <v>0</v>
      </c>
      <c r="X273" s="71" t="str">
        <f t="shared" si="71"/>
        <v/>
      </c>
      <c r="Y273">
        <f t="shared" si="72"/>
        <v>0</v>
      </c>
      <c r="Z273">
        <f t="shared" si="73"/>
        <v>0</v>
      </c>
      <c r="AA273">
        <f t="shared" si="74"/>
        <v>0</v>
      </c>
      <c r="AB273">
        <f t="shared" si="75"/>
        <v>0</v>
      </c>
      <c r="AC273" t="str">
        <f t="shared" si="76"/>
        <v/>
      </c>
      <c r="AD273" s="204">
        <f t="shared" si="86"/>
        <v>0</v>
      </c>
      <c r="AE273" s="204">
        <f t="shared" si="87"/>
        <v>0</v>
      </c>
      <c r="AF273" s="204">
        <f t="shared" si="88"/>
        <v>0</v>
      </c>
      <c r="AG273" s="204">
        <f t="shared" si="89"/>
        <v>0</v>
      </c>
    </row>
    <row r="274" spans="1:33" x14ac:dyDescent="0.3">
      <c r="A274" s="204"/>
      <c r="B274" s="205"/>
      <c r="C274" s="205"/>
      <c r="D274" s="205"/>
      <c r="E274" s="205"/>
      <c r="F274" s="204"/>
      <c r="G274" s="204"/>
      <c r="H274" s="204"/>
      <c r="I274" s="204" t="str">
        <f t="shared" si="77"/>
        <v/>
      </c>
      <c r="J274" s="204" t="str">
        <f t="shared" si="78"/>
        <v/>
      </c>
      <c r="K274" s="204" t="str">
        <f t="shared" si="79"/>
        <v/>
      </c>
      <c r="L274" s="204" t="str">
        <f t="shared" si="80"/>
        <v/>
      </c>
      <c r="M274" s="76" t="str">
        <f t="shared" si="81"/>
        <v/>
      </c>
      <c r="N274" s="206">
        <f t="shared" si="82"/>
        <v>0</v>
      </c>
      <c r="O274" s="206">
        <f t="shared" si="83"/>
        <v>0</v>
      </c>
      <c r="P274" s="206">
        <f t="shared" si="84"/>
        <v>0</v>
      </c>
      <c r="Q274" s="206">
        <f t="shared" si="85"/>
        <v>0</v>
      </c>
      <c r="X274" s="71" t="str">
        <f t="shared" si="71"/>
        <v/>
      </c>
      <c r="Y274">
        <f t="shared" si="72"/>
        <v>0</v>
      </c>
      <c r="Z274">
        <f t="shared" si="73"/>
        <v>0</v>
      </c>
      <c r="AA274">
        <f t="shared" si="74"/>
        <v>0</v>
      </c>
      <c r="AB274">
        <f t="shared" si="75"/>
        <v>0</v>
      </c>
      <c r="AC274" t="str">
        <f t="shared" si="76"/>
        <v/>
      </c>
      <c r="AD274" s="204">
        <f t="shared" si="86"/>
        <v>0</v>
      </c>
      <c r="AE274" s="204">
        <f t="shared" si="87"/>
        <v>0</v>
      </c>
      <c r="AF274" s="204">
        <f t="shared" si="88"/>
        <v>0</v>
      </c>
      <c r="AG274" s="204">
        <f t="shared" si="89"/>
        <v>0</v>
      </c>
    </row>
    <row r="275" spans="1:33" x14ac:dyDescent="0.3">
      <c r="A275" s="204"/>
      <c r="B275" s="205"/>
      <c r="C275" s="205"/>
      <c r="D275" s="205"/>
      <c r="E275" s="205"/>
      <c r="F275" s="204"/>
      <c r="G275" s="204"/>
      <c r="H275" s="204"/>
      <c r="I275" s="204" t="str">
        <f t="shared" si="77"/>
        <v/>
      </c>
      <c r="J275" s="204" t="str">
        <f t="shared" si="78"/>
        <v/>
      </c>
      <c r="K275" s="204" t="str">
        <f t="shared" si="79"/>
        <v/>
      </c>
      <c r="L275" s="204" t="str">
        <f t="shared" si="80"/>
        <v/>
      </c>
      <c r="M275" s="76" t="str">
        <f t="shared" si="81"/>
        <v/>
      </c>
      <c r="N275" s="206">
        <f t="shared" si="82"/>
        <v>0</v>
      </c>
      <c r="O275" s="206">
        <f t="shared" si="83"/>
        <v>0</v>
      </c>
      <c r="P275" s="206">
        <f t="shared" si="84"/>
        <v>0</v>
      </c>
      <c r="Q275" s="206">
        <f t="shared" si="85"/>
        <v>0</v>
      </c>
      <c r="X275" s="71" t="str">
        <f t="shared" si="71"/>
        <v/>
      </c>
      <c r="Y275">
        <f t="shared" si="72"/>
        <v>0</v>
      </c>
      <c r="Z275">
        <f t="shared" si="73"/>
        <v>0</v>
      </c>
      <c r="AA275">
        <f t="shared" si="74"/>
        <v>0</v>
      </c>
      <c r="AB275">
        <f t="shared" si="75"/>
        <v>0</v>
      </c>
      <c r="AC275" t="str">
        <f t="shared" si="76"/>
        <v/>
      </c>
      <c r="AD275" s="204">
        <f t="shared" si="86"/>
        <v>0</v>
      </c>
      <c r="AE275" s="204">
        <f t="shared" si="87"/>
        <v>0</v>
      </c>
      <c r="AF275" s="204">
        <f t="shared" si="88"/>
        <v>0</v>
      </c>
      <c r="AG275" s="204">
        <f t="shared" si="89"/>
        <v>0</v>
      </c>
    </row>
    <row r="276" spans="1:33" x14ac:dyDescent="0.3">
      <c r="A276" s="204"/>
      <c r="B276" s="205"/>
      <c r="C276" s="205"/>
      <c r="D276" s="205"/>
      <c r="E276" s="205"/>
      <c r="F276" s="204"/>
      <c r="G276" s="204"/>
      <c r="H276" s="204"/>
      <c r="I276" s="204" t="str">
        <f t="shared" si="77"/>
        <v/>
      </c>
      <c r="J276" s="204" t="str">
        <f t="shared" si="78"/>
        <v/>
      </c>
      <c r="K276" s="204" t="str">
        <f t="shared" si="79"/>
        <v/>
      </c>
      <c r="L276" s="204" t="str">
        <f t="shared" si="80"/>
        <v/>
      </c>
      <c r="M276" s="76" t="str">
        <f t="shared" si="81"/>
        <v/>
      </c>
      <c r="N276" s="206">
        <f t="shared" si="82"/>
        <v>0</v>
      </c>
      <c r="O276" s="206">
        <f t="shared" si="83"/>
        <v>0</v>
      </c>
      <c r="P276" s="206">
        <f t="shared" si="84"/>
        <v>0</v>
      </c>
      <c r="Q276" s="206">
        <f t="shared" si="85"/>
        <v>0</v>
      </c>
      <c r="X276" s="71" t="str">
        <f t="shared" si="71"/>
        <v/>
      </c>
      <c r="Y276">
        <f t="shared" si="72"/>
        <v>0</v>
      </c>
      <c r="Z276">
        <f t="shared" si="73"/>
        <v>0</v>
      </c>
      <c r="AA276">
        <f t="shared" si="74"/>
        <v>0</v>
      </c>
      <c r="AB276">
        <f t="shared" si="75"/>
        <v>0</v>
      </c>
      <c r="AC276" t="str">
        <f t="shared" si="76"/>
        <v/>
      </c>
      <c r="AD276" s="204">
        <f t="shared" si="86"/>
        <v>0</v>
      </c>
      <c r="AE276" s="204">
        <f t="shared" si="87"/>
        <v>0</v>
      </c>
      <c r="AF276" s="204">
        <f t="shared" si="88"/>
        <v>0</v>
      </c>
      <c r="AG276" s="204">
        <f t="shared" si="89"/>
        <v>0</v>
      </c>
    </row>
    <row r="277" spans="1:33" x14ac:dyDescent="0.3">
      <c r="A277" s="204"/>
      <c r="B277" s="205"/>
      <c r="C277" s="205"/>
      <c r="D277" s="205"/>
      <c r="E277" s="205"/>
      <c r="F277" s="204"/>
      <c r="G277" s="204"/>
      <c r="H277" s="204"/>
      <c r="I277" s="204" t="str">
        <f t="shared" si="77"/>
        <v/>
      </c>
      <c r="J277" s="204" t="str">
        <f t="shared" si="78"/>
        <v/>
      </c>
      <c r="K277" s="204" t="str">
        <f t="shared" si="79"/>
        <v/>
      </c>
      <c r="L277" s="204" t="str">
        <f t="shared" si="80"/>
        <v/>
      </c>
      <c r="M277" s="76" t="str">
        <f t="shared" si="81"/>
        <v/>
      </c>
      <c r="N277" s="206">
        <f t="shared" si="82"/>
        <v>0</v>
      </c>
      <c r="O277" s="206">
        <f t="shared" si="83"/>
        <v>0</v>
      </c>
      <c r="P277" s="206">
        <f t="shared" si="84"/>
        <v>0</v>
      </c>
      <c r="Q277" s="206">
        <f t="shared" si="85"/>
        <v>0</v>
      </c>
      <c r="X277" s="71" t="str">
        <f t="shared" si="71"/>
        <v/>
      </c>
      <c r="Y277">
        <f t="shared" si="72"/>
        <v>0</v>
      </c>
      <c r="Z277">
        <f t="shared" si="73"/>
        <v>0</v>
      </c>
      <c r="AA277">
        <f t="shared" si="74"/>
        <v>0</v>
      </c>
      <c r="AB277">
        <f t="shared" si="75"/>
        <v>0</v>
      </c>
      <c r="AC277" t="str">
        <f t="shared" si="76"/>
        <v/>
      </c>
      <c r="AD277" s="204">
        <f t="shared" si="86"/>
        <v>0</v>
      </c>
      <c r="AE277" s="204">
        <f t="shared" si="87"/>
        <v>0</v>
      </c>
      <c r="AF277" s="204">
        <f t="shared" si="88"/>
        <v>0</v>
      </c>
      <c r="AG277" s="204">
        <f t="shared" si="89"/>
        <v>0</v>
      </c>
    </row>
    <row r="278" spans="1:33" x14ac:dyDescent="0.3">
      <c r="A278" s="204"/>
      <c r="B278" s="205"/>
      <c r="C278" s="205"/>
      <c r="D278" s="205"/>
      <c r="E278" s="205"/>
      <c r="F278" s="204"/>
      <c r="G278" s="204"/>
      <c r="H278" s="204"/>
      <c r="I278" s="204" t="str">
        <f t="shared" si="77"/>
        <v/>
      </c>
      <c r="J278" s="204" t="str">
        <f t="shared" si="78"/>
        <v/>
      </c>
      <c r="K278" s="204" t="str">
        <f t="shared" si="79"/>
        <v/>
      </c>
      <c r="L278" s="204" t="str">
        <f t="shared" si="80"/>
        <v/>
      </c>
      <c r="M278" s="76" t="str">
        <f t="shared" si="81"/>
        <v/>
      </c>
      <c r="N278" s="206">
        <f t="shared" si="82"/>
        <v>0</v>
      </c>
      <c r="O278" s="206">
        <f t="shared" si="83"/>
        <v>0</v>
      </c>
      <c r="P278" s="206">
        <f t="shared" si="84"/>
        <v>0</v>
      </c>
      <c r="Q278" s="206">
        <f t="shared" si="85"/>
        <v>0</v>
      </c>
      <c r="X278" s="71" t="str">
        <f t="shared" si="71"/>
        <v/>
      </c>
      <c r="Y278">
        <f t="shared" si="72"/>
        <v>0</v>
      </c>
      <c r="Z278">
        <f t="shared" si="73"/>
        <v>0</v>
      </c>
      <c r="AA278">
        <f t="shared" si="74"/>
        <v>0</v>
      </c>
      <c r="AB278">
        <f t="shared" si="75"/>
        <v>0</v>
      </c>
      <c r="AC278" t="str">
        <f t="shared" si="76"/>
        <v/>
      </c>
      <c r="AD278" s="204">
        <f t="shared" si="86"/>
        <v>0</v>
      </c>
      <c r="AE278" s="204">
        <f t="shared" si="87"/>
        <v>0</v>
      </c>
      <c r="AF278" s="204">
        <f t="shared" si="88"/>
        <v>0</v>
      </c>
      <c r="AG278" s="204">
        <f t="shared" si="89"/>
        <v>0</v>
      </c>
    </row>
    <row r="279" spans="1:33" x14ac:dyDescent="0.3">
      <c r="A279" s="204"/>
      <c r="B279" s="205"/>
      <c r="C279" s="205"/>
      <c r="D279" s="205"/>
      <c r="E279" s="205"/>
      <c r="F279" s="204"/>
      <c r="G279" s="204"/>
      <c r="H279" s="204"/>
      <c r="I279" s="204" t="str">
        <f t="shared" si="77"/>
        <v/>
      </c>
      <c r="J279" s="204" t="str">
        <f t="shared" si="78"/>
        <v/>
      </c>
      <c r="K279" s="204" t="str">
        <f t="shared" si="79"/>
        <v/>
      </c>
      <c r="L279" s="204" t="str">
        <f t="shared" si="80"/>
        <v/>
      </c>
      <c r="M279" s="76" t="str">
        <f t="shared" si="81"/>
        <v/>
      </c>
      <c r="N279" s="206">
        <f t="shared" si="82"/>
        <v>0</v>
      </c>
      <c r="O279" s="206">
        <f t="shared" si="83"/>
        <v>0</v>
      </c>
      <c r="P279" s="206">
        <f t="shared" si="84"/>
        <v>0</v>
      </c>
      <c r="Q279" s="206">
        <f t="shared" si="85"/>
        <v>0</v>
      </c>
      <c r="X279" s="71" t="str">
        <f t="shared" si="71"/>
        <v/>
      </c>
      <c r="Y279">
        <f t="shared" si="72"/>
        <v>0</v>
      </c>
      <c r="Z279">
        <f t="shared" si="73"/>
        <v>0</v>
      </c>
      <c r="AA279">
        <f t="shared" si="74"/>
        <v>0</v>
      </c>
      <c r="AB279">
        <f t="shared" si="75"/>
        <v>0</v>
      </c>
      <c r="AC279" t="str">
        <f t="shared" si="76"/>
        <v/>
      </c>
      <c r="AD279" s="204">
        <f t="shared" si="86"/>
        <v>0</v>
      </c>
      <c r="AE279" s="204">
        <f t="shared" si="87"/>
        <v>0</v>
      </c>
      <c r="AF279" s="204">
        <f t="shared" si="88"/>
        <v>0</v>
      </c>
      <c r="AG279" s="204">
        <f t="shared" si="89"/>
        <v>0</v>
      </c>
    </row>
    <row r="280" spans="1:33" x14ac:dyDescent="0.3">
      <c r="A280" s="204"/>
      <c r="B280" s="205"/>
      <c r="C280" s="205"/>
      <c r="D280" s="205"/>
      <c r="E280" s="205"/>
      <c r="F280" s="204"/>
      <c r="G280" s="204"/>
      <c r="H280" s="204"/>
      <c r="I280" s="204" t="str">
        <f t="shared" si="77"/>
        <v/>
      </c>
      <c r="J280" s="204" t="str">
        <f t="shared" si="78"/>
        <v/>
      </c>
      <c r="K280" s="204" t="str">
        <f t="shared" si="79"/>
        <v/>
      </c>
      <c r="L280" s="204" t="str">
        <f t="shared" si="80"/>
        <v/>
      </c>
      <c r="M280" s="76" t="str">
        <f t="shared" si="81"/>
        <v/>
      </c>
      <c r="N280" s="206">
        <f t="shared" si="82"/>
        <v>0</v>
      </c>
      <c r="O280" s="206">
        <f t="shared" si="83"/>
        <v>0</v>
      </c>
      <c r="P280" s="206">
        <f t="shared" si="84"/>
        <v>0</v>
      </c>
      <c r="Q280" s="206">
        <f t="shared" si="85"/>
        <v>0</v>
      </c>
      <c r="X280" s="71" t="str">
        <f t="shared" si="71"/>
        <v/>
      </c>
      <c r="Y280">
        <f t="shared" si="72"/>
        <v>0</v>
      </c>
      <c r="Z280">
        <f t="shared" si="73"/>
        <v>0</v>
      </c>
      <c r="AA280">
        <f t="shared" si="74"/>
        <v>0</v>
      </c>
      <c r="AB280">
        <f t="shared" si="75"/>
        <v>0</v>
      </c>
      <c r="AC280" t="str">
        <f t="shared" si="76"/>
        <v/>
      </c>
      <c r="AD280" s="204">
        <f t="shared" si="86"/>
        <v>0</v>
      </c>
      <c r="AE280" s="204">
        <f t="shared" si="87"/>
        <v>0</v>
      </c>
      <c r="AF280" s="204">
        <f t="shared" si="88"/>
        <v>0</v>
      </c>
      <c r="AG280" s="204">
        <f t="shared" si="89"/>
        <v>0</v>
      </c>
    </row>
    <row r="281" spans="1:33" x14ac:dyDescent="0.3">
      <c r="A281" s="204"/>
      <c r="B281" s="205"/>
      <c r="C281" s="205"/>
      <c r="D281" s="205"/>
      <c r="E281" s="205"/>
      <c r="F281" s="204"/>
      <c r="G281" s="204"/>
      <c r="H281" s="204"/>
      <c r="I281" s="204" t="str">
        <f t="shared" si="77"/>
        <v/>
      </c>
      <c r="J281" s="204" t="str">
        <f t="shared" si="78"/>
        <v/>
      </c>
      <c r="K281" s="204" t="str">
        <f t="shared" si="79"/>
        <v/>
      </c>
      <c r="L281" s="204" t="str">
        <f t="shared" si="80"/>
        <v/>
      </c>
      <c r="M281" s="76" t="str">
        <f t="shared" si="81"/>
        <v/>
      </c>
      <c r="N281" s="206">
        <f t="shared" si="82"/>
        <v>0</v>
      </c>
      <c r="O281" s="206">
        <f t="shared" si="83"/>
        <v>0</v>
      </c>
      <c r="P281" s="206">
        <f t="shared" si="84"/>
        <v>0</v>
      </c>
      <c r="Q281" s="206">
        <f t="shared" si="85"/>
        <v>0</v>
      </c>
      <c r="X281" s="71" t="str">
        <f t="shared" si="71"/>
        <v/>
      </c>
      <c r="Y281">
        <f t="shared" si="72"/>
        <v>0</v>
      </c>
      <c r="Z281">
        <f t="shared" si="73"/>
        <v>0</v>
      </c>
      <c r="AA281">
        <f t="shared" si="74"/>
        <v>0</v>
      </c>
      <c r="AB281">
        <f t="shared" si="75"/>
        <v>0</v>
      </c>
      <c r="AC281" t="str">
        <f t="shared" si="76"/>
        <v/>
      </c>
      <c r="AD281" s="204">
        <f t="shared" si="86"/>
        <v>0</v>
      </c>
      <c r="AE281" s="204">
        <f t="shared" si="87"/>
        <v>0</v>
      </c>
      <c r="AF281" s="204">
        <f t="shared" si="88"/>
        <v>0</v>
      </c>
      <c r="AG281" s="204">
        <f t="shared" si="89"/>
        <v>0</v>
      </c>
    </row>
    <row r="282" spans="1:33" x14ac:dyDescent="0.3">
      <c r="A282" s="204"/>
      <c r="B282" s="205"/>
      <c r="C282" s="205"/>
      <c r="D282" s="205"/>
      <c r="E282" s="205"/>
      <c r="F282" s="204"/>
      <c r="G282" s="204"/>
      <c r="H282" s="204"/>
      <c r="I282" s="204" t="str">
        <f t="shared" si="77"/>
        <v/>
      </c>
      <c r="J282" s="204" t="str">
        <f t="shared" si="78"/>
        <v/>
      </c>
      <c r="K282" s="204" t="str">
        <f t="shared" si="79"/>
        <v/>
      </c>
      <c r="L282" s="204" t="str">
        <f t="shared" si="80"/>
        <v/>
      </c>
      <c r="M282" s="76" t="str">
        <f t="shared" si="81"/>
        <v/>
      </c>
      <c r="N282" s="206">
        <f t="shared" si="82"/>
        <v>0</v>
      </c>
      <c r="O282" s="206">
        <f t="shared" si="83"/>
        <v>0</v>
      </c>
      <c r="P282" s="206">
        <f t="shared" si="84"/>
        <v>0</v>
      </c>
      <c r="Q282" s="206">
        <f t="shared" si="85"/>
        <v>0</v>
      </c>
      <c r="X282" s="71" t="str">
        <f t="shared" si="71"/>
        <v/>
      </c>
      <c r="Y282">
        <f t="shared" si="72"/>
        <v>0</v>
      </c>
      <c r="Z282">
        <f t="shared" si="73"/>
        <v>0</v>
      </c>
      <c r="AA282">
        <f t="shared" si="74"/>
        <v>0</v>
      </c>
      <c r="AB282">
        <f t="shared" si="75"/>
        <v>0</v>
      </c>
      <c r="AC282" t="str">
        <f t="shared" si="76"/>
        <v/>
      </c>
      <c r="AD282" s="204">
        <f t="shared" si="86"/>
        <v>0</v>
      </c>
      <c r="AE282" s="204">
        <f t="shared" si="87"/>
        <v>0</v>
      </c>
      <c r="AF282" s="204">
        <f t="shared" si="88"/>
        <v>0</v>
      </c>
      <c r="AG282" s="204">
        <f t="shared" si="89"/>
        <v>0</v>
      </c>
    </row>
    <row r="283" spans="1:33" x14ac:dyDescent="0.3">
      <c r="A283" s="204"/>
      <c r="B283" s="205"/>
      <c r="C283" s="205"/>
      <c r="D283" s="205"/>
      <c r="E283" s="205"/>
      <c r="F283" s="204"/>
      <c r="G283" s="204"/>
      <c r="H283" s="204"/>
      <c r="I283" s="204" t="str">
        <f t="shared" si="77"/>
        <v/>
      </c>
      <c r="J283" s="204" t="str">
        <f t="shared" si="78"/>
        <v/>
      </c>
      <c r="K283" s="204" t="str">
        <f t="shared" si="79"/>
        <v/>
      </c>
      <c r="L283" s="204" t="str">
        <f t="shared" si="80"/>
        <v/>
      </c>
      <c r="M283" s="76" t="str">
        <f t="shared" si="81"/>
        <v/>
      </c>
      <c r="N283" s="206">
        <f t="shared" si="82"/>
        <v>0</v>
      </c>
      <c r="O283" s="206">
        <f t="shared" si="83"/>
        <v>0</v>
      </c>
      <c r="P283" s="206">
        <f t="shared" si="84"/>
        <v>0</v>
      </c>
      <c r="Q283" s="206">
        <f t="shared" si="85"/>
        <v>0</v>
      </c>
      <c r="X283" s="71" t="str">
        <f t="shared" si="71"/>
        <v/>
      </c>
      <c r="Y283">
        <f t="shared" si="72"/>
        <v>0</v>
      </c>
      <c r="Z283">
        <f t="shared" si="73"/>
        <v>0</v>
      </c>
      <c r="AA283">
        <f t="shared" si="74"/>
        <v>0</v>
      </c>
      <c r="AB283">
        <f t="shared" si="75"/>
        <v>0</v>
      </c>
      <c r="AC283" t="str">
        <f t="shared" si="76"/>
        <v/>
      </c>
      <c r="AD283" s="204">
        <f t="shared" si="86"/>
        <v>0</v>
      </c>
      <c r="AE283" s="204">
        <f t="shared" si="87"/>
        <v>0</v>
      </c>
      <c r="AF283" s="204">
        <f t="shared" si="88"/>
        <v>0</v>
      </c>
      <c r="AG283" s="204">
        <f t="shared" si="89"/>
        <v>0</v>
      </c>
    </row>
    <row r="284" spans="1:33" x14ac:dyDescent="0.3">
      <c r="A284" s="204"/>
      <c r="B284" s="205"/>
      <c r="C284" s="205"/>
      <c r="D284" s="205"/>
      <c r="E284" s="205"/>
      <c r="F284" s="204"/>
      <c r="G284" s="204"/>
      <c r="H284" s="204"/>
      <c r="I284" s="204" t="str">
        <f t="shared" si="77"/>
        <v/>
      </c>
      <c r="J284" s="204" t="str">
        <f t="shared" si="78"/>
        <v/>
      </c>
      <c r="K284" s="204" t="str">
        <f t="shared" si="79"/>
        <v/>
      </c>
      <c r="L284" s="204" t="str">
        <f t="shared" si="80"/>
        <v/>
      </c>
      <c r="M284" s="76" t="str">
        <f t="shared" si="81"/>
        <v/>
      </c>
      <c r="N284" s="206">
        <f t="shared" si="82"/>
        <v>0</v>
      </c>
      <c r="O284" s="206">
        <f t="shared" si="83"/>
        <v>0</v>
      </c>
      <c r="P284" s="206">
        <f t="shared" si="84"/>
        <v>0</v>
      </c>
      <c r="Q284" s="206">
        <f t="shared" si="85"/>
        <v>0</v>
      </c>
      <c r="X284" s="71" t="str">
        <f t="shared" si="71"/>
        <v/>
      </c>
      <c r="Y284">
        <f t="shared" si="72"/>
        <v>0</v>
      </c>
      <c r="Z284">
        <f t="shared" si="73"/>
        <v>0</v>
      </c>
      <c r="AA284">
        <f t="shared" si="74"/>
        <v>0</v>
      </c>
      <c r="AB284">
        <f t="shared" si="75"/>
        <v>0</v>
      </c>
      <c r="AC284" t="str">
        <f t="shared" si="76"/>
        <v/>
      </c>
      <c r="AD284" s="204">
        <f t="shared" si="86"/>
        <v>0</v>
      </c>
      <c r="AE284" s="204">
        <f t="shared" si="87"/>
        <v>0</v>
      </c>
      <c r="AF284" s="204">
        <f t="shared" si="88"/>
        <v>0</v>
      </c>
      <c r="AG284" s="204">
        <f t="shared" si="89"/>
        <v>0</v>
      </c>
    </row>
    <row r="285" spans="1:33" x14ac:dyDescent="0.3">
      <c r="A285" s="204"/>
      <c r="B285" s="205"/>
      <c r="C285" s="205"/>
      <c r="D285" s="205"/>
      <c r="E285" s="205"/>
      <c r="F285" s="204"/>
      <c r="G285" s="204"/>
      <c r="H285" s="204"/>
      <c r="I285" s="204" t="str">
        <f t="shared" si="77"/>
        <v/>
      </c>
      <c r="J285" s="204" t="str">
        <f t="shared" si="78"/>
        <v/>
      </c>
      <c r="K285" s="204" t="str">
        <f t="shared" si="79"/>
        <v/>
      </c>
      <c r="L285" s="204" t="str">
        <f t="shared" si="80"/>
        <v/>
      </c>
      <c r="M285" s="76" t="str">
        <f t="shared" si="81"/>
        <v/>
      </c>
      <c r="N285" s="206">
        <f t="shared" si="82"/>
        <v>0</v>
      </c>
      <c r="O285" s="206">
        <f t="shared" si="83"/>
        <v>0</v>
      </c>
      <c r="P285" s="206">
        <f t="shared" si="84"/>
        <v>0</v>
      </c>
      <c r="Q285" s="206">
        <f t="shared" si="85"/>
        <v>0</v>
      </c>
      <c r="X285" s="71" t="str">
        <f t="shared" si="71"/>
        <v/>
      </c>
      <c r="Y285">
        <f t="shared" si="72"/>
        <v>0</v>
      </c>
      <c r="Z285">
        <f t="shared" si="73"/>
        <v>0</v>
      </c>
      <c r="AA285">
        <f t="shared" si="74"/>
        <v>0</v>
      </c>
      <c r="AB285">
        <f t="shared" si="75"/>
        <v>0</v>
      </c>
      <c r="AC285" t="str">
        <f t="shared" si="76"/>
        <v/>
      </c>
      <c r="AD285" s="204">
        <f t="shared" si="86"/>
        <v>0</v>
      </c>
      <c r="AE285" s="204">
        <f t="shared" si="87"/>
        <v>0</v>
      </c>
      <c r="AF285" s="204">
        <f t="shared" si="88"/>
        <v>0</v>
      </c>
      <c r="AG285" s="204">
        <f t="shared" si="89"/>
        <v>0</v>
      </c>
    </row>
    <row r="286" spans="1:33" x14ac:dyDescent="0.3">
      <c r="A286" s="204"/>
      <c r="B286" s="205"/>
      <c r="C286" s="205"/>
      <c r="D286" s="205"/>
      <c r="E286" s="205"/>
      <c r="F286" s="204"/>
      <c r="G286" s="204"/>
      <c r="H286" s="204"/>
      <c r="I286" s="204" t="str">
        <f t="shared" si="77"/>
        <v/>
      </c>
      <c r="J286" s="204" t="str">
        <f t="shared" si="78"/>
        <v/>
      </c>
      <c r="K286" s="204" t="str">
        <f t="shared" si="79"/>
        <v/>
      </c>
      <c r="L286" s="204" t="str">
        <f t="shared" si="80"/>
        <v/>
      </c>
      <c r="M286" s="76" t="str">
        <f t="shared" si="81"/>
        <v/>
      </c>
      <c r="N286" s="206">
        <f t="shared" si="82"/>
        <v>0</v>
      </c>
      <c r="O286" s="206">
        <f t="shared" si="83"/>
        <v>0</v>
      </c>
      <c r="P286" s="206">
        <f t="shared" si="84"/>
        <v>0</v>
      </c>
      <c r="Q286" s="206">
        <f t="shared" si="85"/>
        <v>0</v>
      </c>
      <c r="X286" s="71" t="str">
        <f t="shared" si="71"/>
        <v/>
      </c>
      <c r="Y286">
        <f t="shared" si="72"/>
        <v>0</v>
      </c>
      <c r="Z286">
        <f t="shared" si="73"/>
        <v>0</v>
      </c>
      <c r="AA286">
        <f t="shared" si="74"/>
        <v>0</v>
      </c>
      <c r="AB286">
        <f t="shared" si="75"/>
        <v>0</v>
      </c>
      <c r="AC286" t="str">
        <f t="shared" si="76"/>
        <v/>
      </c>
      <c r="AD286" s="204">
        <f t="shared" si="86"/>
        <v>0</v>
      </c>
      <c r="AE286" s="204">
        <f t="shared" si="87"/>
        <v>0</v>
      </c>
      <c r="AF286" s="204">
        <f t="shared" si="88"/>
        <v>0</v>
      </c>
      <c r="AG286" s="204">
        <f t="shared" si="89"/>
        <v>0</v>
      </c>
    </row>
    <row r="287" spans="1:33" x14ac:dyDescent="0.3">
      <c r="A287" s="204"/>
      <c r="B287" s="205"/>
      <c r="C287" s="205"/>
      <c r="D287" s="205"/>
      <c r="E287" s="205"/>
      <c r="F287" s="204"/>
      <c r="G287" s="204"/>
      <c r="H287" s="204"/>
      <c r="I287" s="204" t="str">
        <f t="shared" si="77"/>
        <v/>
      </c>
      <c r="J287" s="204" t="str">
        <f t="shared" si="78"/>
        <v/>
      </c>
      <c r="K287" s="204" t="str">
        <f t="shared" si="79"/>
        <v/>
      </c>
      <c r="L287" s="204" t="str">
        <f t="shared" si="80"/>
        <v/>
      </c>
      <c r="M287" s="76" t="str">
        <f t="shared" si="81"/>
        <v/>
      </c>
      <c r="N287" s="206">
        <f t="shared" si="82"/>
        <v>0</v>
      </c>
      <c r="O287" s="206">
        <f t="shared" si="83"/>
        <v>0</v>
      </c>
      <c r="P287" s="206">
        <f t="shared" si="84"/>
        <v>0</v>
      </c>
      <c r="Q287" s="206">
        <f t="shared" si="85"/>
        <v>0</v>
      </c>
      <c r="X287" s="71" t="str">
        <f t="shared" si="71"/>
        <v/>
      </c>
      <c r="Y287">
        <f t="shared" si="72"/>
        <v>0</v>
      </c>
      <c r="Z287">
        <f t="shared" si="73"/>
        <v>0</v>
      </c>
      <c r="AA287">
        <f t="shared" si="74"/>
        <v>0</v>
      </c>
      <c r="AB287">
        <f t="shared" si="75"/>
        <v>0</v>
      </c>
      <c r="AC287" t="str">
        <f t="shared" si="76"/>
        <v/>
      </c>
      <c r="AD287" s="204">
        <f t="shared" si="86"/>
        <v>0</v>
      </c>
      <c r="AE287" s="204">
        <f t="shared" si="87"/>
        <v>0</v>
      </c>
      <c r="AF287" s="204">
        <f t="shared" si="88"/>
        <v>0</v>
      </c>
      <c r="AG287" s="204">
        <f t="shared" si="89"/>
        <v>0</v>
      </c>
    </row>
    <row r="288" spans="1:33" x14ac:dyDescent="0.3">
      <c r="A288" s="204"/>
      <c r="B288" s="205"/>
      <c r="C288" s="205"/>
      <c r="D288" s="205"/>
      <c r="E288" s="205"/>
      <c r="F288" s="204"/>
      <c r="G288" s="204"/>
      <c r="H288" s="204"/>
      <c r="I288" s="204" t="str">
        <f t="shared" si="77"/>
        <v/>
      </c>
      <c r="J288" s="204" t="str">
        <f t="shared" si="78"/>
        <v/>
      </c>
      <c r="K288" s="204" t="str">
        <f t="shared" si="79"/>
        <v/>
      </c>
      <c r="L288" s="204" t="str">
        <f t="shared" si="80"/>
        <v/>
      </c>
      <c r="M288" s="76" t="str">
        <f t="shared" si="81"/>
        <v/>
      </c>
      <c r="N288" s="206">
        <f t="shared" si="82"/>
        <v>0</v>
      </c>
      <c r="O288" s="206">
        <f t="shared" si="83"/>
        <v>0</v>
      </c>
      <c r="P288" s="206">
        <f t="shared" si="84"/>
        <v>0</v>
      </c>
      <c r="Q288" s="206">
        <f t="shared" si="85"/>
        <v>0</v>
      </c>
      <c r="X288" s="71" t="str">
        <f t="shared" si="71"/>
        <v/>
      </c>
      <c r="Y288">
        <f t="shared" si="72"/>
        <v>0</v>
      </c>
      <c r="Z288">
        <f t="shared" si="73"/>
        <v>0</v>
      </c>
      <c r="AA288">
        <f t="shared" si="74"/>
        <v>0</v>
      </c>
      <c r="AB288">
        <f t="shared" si="75"/>
        <v>0</v>
      </c>
      <c r="AC288" t="str">
        <f t="shared" si="76"/>
        <v/>
      </c>
      <c r="AD288" s="204">
        <f t="shared" si="86"/>
        <v>0</v>
      </c>
      <c r="AE288" s="204">
        <f t="shared" si="87"/>
        <v>0</v>
      </c>
      <c r="AF288" s="204">
        <f t="shared" si="88"/>
        <v>0</v>
      </c>
      <c r="AG288" s="204">
        <f t="shared" si="89"/>
        <v>0</v>
      </c>
    </row>
    <row r="289" spans="1:33" x14ac:dyDescent="0.3">
      <c r="A289" s="204"/>
      <c r="B289" s="205"/>
      <c r="C289" s="205"/>
      <c r="D289" s="205"/>
      <c r="E289" s="205"/>
      <c r="F289" s="204"/>
      <c r="G289" s="204"/>
      <c r="H289" s="204"/>
      <c r="I289" s="204" t="str">
        <f t="shared" si="77"/>
        <v/>
      </c>
      <c r="J289" s="204" t="str">
        <f t="shared" si="78"/>
        <v/>
      </c>
      <c r="K289" s="204" t="str">
        <f t="shared" si="79"/>
        <v/>
      </c>
      <c r="L289" s="204" t="str">
        <f t="shared" si="80"/>
        <v/>
      </c>
      <c r="M289" s="76" t="str">
        <f t="shared" si="81"/>
        <v/>
      </c>
      <c r="N289" s="206">
        <f t="shared" si="82"/>
        <v>0</v>
      </c>
      <c r="O289" s="206">
        <f t="shared" si="83"/>
        <v>0</v>
      </c>
      <c r="P289" s="206">
        <f t="shared" si="84"/>
        <v>0</v>
      </c>
      <c r="Q289" s="206">
        <f t="shared" si="85"/>
        <v>0</v>
      </c>
      <c r="X289" s="71" t="str">
        <f t="shared" si="71"/>
        <v/>
      </c>
      <c r="Y289">
        <f t="shared" si="72"/>
        <v>0</v>
      </c>
      <c r="Z289">
        <f t="shared" si="73"/>
        <v>0</v>
      </c>
      <c r="AA289">
        <f t="shared" si="74"/>
        <v>0</v>
      </c>
      <c r="AB289">
        <f t="shared" si="75"/>
        <v>0</v>
      </c>
      <c r="AC289" t="str">
        <f t="shared" si="76"/>
        <v/>
      </c>
      <c r="AD289" s="204">
        <f t="shared" si="86"/>
        <v>0</v>
      </c>
      <c r="AE289" s="204">
        <f t="shared" si="87"/>
        <v>0</v>
      </c>
      <c r="AF289" s="204">
        <f t="shared" si="88"/>
        <v>0</v>
      </c>
      <c r="AG289" s="204">
        <f t="shared" si="89"/>
        <v>0</v>
      </c>
    </row>
    <row r="290" spans="1:33" x14ac:dyDescent="0.3">
      <c r="A290" s="204"/>
      <c r="B290" s="205"/>
      <c r="C290" s="205"/>
      <c r="D290" s="205"/>
      <c r="E290" s="205"/>
      <c r="F290" s="204"/>
      <c r="G290" s="204"/>
      <c r="H290" s="204"/>
      <c r="I290" s="204" t="str">
        <f t="shared" si="77"/>
        <v/>
      </c>
      <c r="J290" s="204" t="str">
        <f t="shared" si="78"/>
        <v/>
      </c>
      <c r="K290" s="204" t="str">
        <f t="shared" si="79"/>
        <v/>
      </c>
      <c r="L290" s="204" t="str">
        <f t="shared" si="80"/>
        <v/>
      </c>
      <c r="M290" s="76" t="str">
        <f t="shared" si="81"/>
        <v/>
      </c>
      <c r="N290" s="206">
        <f t="shared" si="82"/>
        <v>0</v>
      </c>
      <c r="O290" s="206">
        <f t="shared" si="83"/>
        <v>0</v>
      </c>
      <c r="P290" s="206">
        <f t="shared" si="84"/>
        <v>0</v>
      </c>
      <c r="Q290" s="206">
        <f t="shared" si="85"/>
        <v>0</v>
      </c>
      <c r="X290" s="71" t="str">
        <f t="shared" si="71"/>
        <v/>
      </c>
      <c r="Y290">
        <f t="shared" si="72"/>
        <v>0</v>
      </c>
      <c r="Z290">
        <f t="shared" si="73"/>
        <v>0</v>
      </c>
      <c r="AA290">
        <f t="shared" si="74"/>
        <v>0</v>
      </c>
      <c r="AB290">
        <f t="shared" si="75"/>
        <v>0</v>
      </c>
      <c r="AC290" t="str">
        <f t="shared" si="76"/>
        <v/>
      </c>
      <c r="AD290" s="204">
        <f t="shared" si="86"/>
        <v>0</v>
      </c>
      <c r="AE290" s="204">
        <f t="shared" si="87"/>
        <v>0</v>
      </c>
      <c r="AF290" s="204">
        <f t="shared" si="88"/>
        <v>0</v>
      </c>
      <c r="AG290" s="204">
        <f t="shared" si="89"/>
        <v>0</v>
      </c>
    </row>
    <row r="291" spans="1:33" x14ac:dyDescent="0.3">
      <c r="A291" s="204"/>
      <c r="B291" s="205"/>
      <c r="C291" s="205"/>
      <c r="D291" s="205"/>
      <c r="E291" s="205"/>
      <c r="F291" s="204"/>
      <c r="G291" s="204"/>
      <c r="H291" s="204"/>
      <c r="I291" s="204" t="str">
        <f t="shared" si="77"/>
        <v/>
      </c>
      <c r="J291" s="204" t="str">
        <f t="shared" si="78"/>
        <v/>
      </c>
      <c r="K291" s="204" t="str">
        <f t="shared" si="79"/>
        <v/>
      </c>
      <c r="L291" s="204" t="str">
        <f t="shared" si="80"/>
        <v/>
      </c>
      <c r="M291" s="76" t="str">
        <f t="shared" si="81"/>
        <v/>
      </c>
      <c r="N291" s="206">
        <f t="shared" si="82"/>
        <v>0</v>
      </c>
      <c r="O291" s="206">
        <f t="shared" si="83"/>
        <v>0</v>
      </c>
      <c r="P291" s="206">
        <f t="shared" si="84"/>
        <v>0</v>
      </c>
      <c r="Q291" s="206">
        <f t="shared" si="85"/>
        <v>0</v>
      </c>
      <c r="X291" s="71" t="str">
        <f t="shared" si="71"/>
        <v/>
      </c>
      <c r="Y291">
        <f t="shared" si="72"/>
        <v>0</v>
      </c>
      <c r="Z291">
        <f t="shared" si="73"/>
        <v>0</v>
      </c>
      <c r="AA291">
        <f t="shared" si="74"/>
        <v>0</v>
      </c>
      <c r="AB291">
        <f t="shared" si="75"/>
        <v>0</v>
      </c>
      <c r="AC291" t="str">
        <f t="shared" si="76"/>
        <v/>
      </c>
      <c r="AD291" s="204">
        <f t="shared" si="86"/>
        <v>0</v>
      </c>
      <c r="AE291" s="204">
        <f t="shared" si="87"/>
        <v>0</v>
      </c>
      <c r="AF291" s="204">
        <f t="shared" si="88"/>
        <v>0</v>
      </c>
      <c r="AG291" s="204">
        <f t="shared" si="89"/>
        <v>0</v>
      </c>
    </row>
    <row r="292" spans="1:33" x14ac:dyDescent="0.3">
      <c r="A292" s="204"/>
      <c r="B292" s="205"/>
      <c r="C292" s="205"/>
      <c r="D292" s="205"/>
      <c r="E292" s="205"/>
      <c r="F292" s="204"/>
      <c r="G292" s="204"/>
      <c r="H292" s="204"/>
      <c r="I292" s="204" t="str">
        <f t="shared" si="77"/>
        <v/>
      </c>
      <c r="J292" s="204" t="str">
        <f t="shared" si="78"/>
        <v/>
      </c>
      <c r="K292" s="204" t="str">
        <f t="shared" si="79"/>
        <v/>
      </c>
      <c r="L292" s="204" t="str">
        <f t="shared" si="80"/>
        <v/>
      </c>
      <c r="M292" s="76" t="str">
        <f t="shared" si="81"/>
        <v/>
      </c>
      <c r="N292" s="206">
        <f t="shared" si="82"/>
        <v>0</v>
      </c>
      <c r="O292" s="206">
        <f t="shared" si="83"/>
        <v>0</v>
      </c>
      <c r="P292" s="206">
        <f t="shared" si="84"/>
        <v>0</v>
      </c>
      <c r="Q292" s="206">
        <f t="shared" si="85"/>
        <v>0</v>
      </c>
      <c r="X292" s="71" t="str">
        <f t="shared" si="71"/>
        <v/>
      </c>
      <c r="Y292">
        <f t="shared" si="72"/>
        <v>0</v>
      </c>
      <c r="Z292">
        <f t="shared" si="73"/>
        <v>0</v>
      </c>
      <c r="AA292">
        <f t="shared" si="74"/>
        <v>0</v>
      </c>
      <c r="AB292">
        <f t="shared" si="75"/>
        <v>0</v>
      </c>
      <c r="AC292" t="str">
        <f t="shared" si="76"/>
        <v/>
      </c>
      <c r="AD292" s="204">
        <f t="shared" si="86"/>
        <v>0</v>
      </c>
      <c r="AE292" s="204">
        <f t="shared" si="87"/>
        <v>0</v>
      </c>
      <c r="AF292" s="204">
        <f t="shared" si="88"/>
        <v>0</v>
      </c>
      <c r="AG292" s="204">
        <f t="shared" si="89"/>
        <v>0</v>
      </c>
    </row>
    <row r="293" spans="1:33" x14ac:dyDescent="0.3">
      <c r="A293" s="204"/>
      <c r="B293" s="205"/>
      <c r="C293" s="205"/>
      <c r="D293" s="205"/>
      <c r="E293" s="205"/>
      <c r="F293" s="204"/>
      <c r="G293" s="204"/>
      <c r="H293" s="204"/>
      <c r="I293" s="204" t="str">
        <f t="shared" si="77"/>
        <v/>
      </c>
      <c r="J293" s="204" t="str">
        <f t="shared" si="78"/>
        <v/>
      </c>
      <c r="K293" s="204" t="str">
        <f t="shared" si="79"/>
        <v/>
      </c>
      <c r="L293" s="204" t="str">
        <f t="shared" si="80"/>
        <v/>
      </c>
      <c r="M293" s="76" t="str">
        <f t="shared" si="81"/>
        <v/>
      </c>
      <c r="N293" s="206">
        <f t="shared" si="82"/>
        <v>0</v>
      </c>
      <c r="O293" s="206">
        <f t="shared" si="83"/>
        <v>0</v>
      </c>
      <c r="P293" s="206">
        <f t="shared" si="84"/>
        <v>0</v>
      </c>
      <c r="Q293" s="206">
        <f t="shared" si="85"/>
        <v>0</v>
      </c>
      <c r="X293" s="71" t="str">
        <f t="shared" si="71"/>
        <v/>
      </c>
      <c r="Y293">
        <f t="shared" si="72"/>
        <v>0</v>
      </c>
      <c r="Z293">
        <f t="shared" si="73"/>
        <v>0</v>
      </c>
      <c r="AA293">
        <f t="shared" si="74"/>
        <v>0</v>
      </c>
      <c r="AB293">
        <f t="shared" si="75"/>
        <v>0</v>
      </c>
      <c r="AC293" t="str">
        <f t="shared" si="76"/>
        <v/>
      </c>
      <c r="AD293" s="204">
        <f t="shared" si="86"/>
        <v>0</v>
      </c>
      <c r="AE293" s="204">
        <f t="shared" si="87"/>
        <v>0</v>
      </c>
      <c r="AF293" s="204">
        <f t="shared" si="88"/>
        <v>0</v>
      </c>
      <c r="AG293" s="204">
        <f t="shared" si="89"/>
        <v>0</v>
      </c>
    </row>
    <row r="294" spans="1:33" x14ac:dyDescent="0.3">
      <c r="A294" s="204"/>
      <c r="B294" s="205"/>
      <c r="C294" s="205"/>
      <c r="D294" s="205"/>
      <c r="E294" s="205"/>
      <c r="F294" s="204"/>
      <c r="G294" s="204"/>
      <c r="H294" s="204"/>
      <c r="I294" s="204" t="str">
        <f t="shared" si="77"/>
        <v/>
      </c>
      <c r="J294" s="204" t="str">
        <f t="shared" si="78"/>
        <v/>
      </c>
      <c r="K294" s="204" t="str">
        <f t="shared" si="79"/>
        <v/>
      </c>
      <c r="L294" s="204" t="str">
        <f t="shared" si="80"/>
        <v/>
      </c>
      <c r="M294" s="76" t="str">
        <f t="shared" si="81"/>
        <v/>
      </c>
      <c r="N294" s="206">
        <f t="shared" si="82"/>
        <v>0</v>
      </c>
      <c r="O294" s="206">
        <f t="shared" si="83"/>
        <v>0</v>
      </c>
      <c r="P294" s="206">
        <f t="shared" si="84"/>
        <v>0</v>
      </c>
      <c r="Q294" s="206">
        <f t="shared" si="85"/>
        <v>0</v>
      </c>
      <c r="X294" s="71" t="str">
        <f t="shared" si="71"/>
        <v/>
      </c>
      <c r="Y294">
        <f t="shared" si="72"/>
        <v>0</v>
      </c>
      <c r="Z294">
        <f t="shared" si="73"/>
        <v>0</v>
      </c>
      <c r="AA294">
        <f t="shared" si="74"/>
        <v>0</v>
      </c>
      <c r="AB294">
        <f t="shared" si="75"/>
        <v>0</v>
      </c>
      <c r="AC294" t="str">
        <f t="shared" si="76"/>
        <v/>
      </c>
      <c r="AD294" s="204">
        <f t="shared" si="86"/>
        <v>0</v>
      </c>
      <c r="AE294" s="204">
        <f t="shared" si="87"/>
        <v>0</v>
      </c>
      <c r="AF294" s="204">
        <f t="shared" si="88"/>
        <v>0</v>
      </c>
      <c r="AG294" s="204">
        <f t="shared" si="89"/>
        <v>0</v>
      </c>
    </row>
    <row r="295" spans="1:33" x14ac:dyDescent="0.3">
      <c r="A295" s="204"/>
      <c r="B295" s="205"/>
      <c r="C295" s="205"/>
      <c r="D295" s="205"/>
      <c r="E295" s="205"/>
      <c r="F295" s="204"/>
      <c r="G295" s="204"/>
      <c r="H295" s="204"/>
      <c r="I295" s="204" t="str">
        <f t="shared" si="77"/>
        <v/>
      </c>
      <c r="J295" s="204" t="str">
        <f t="shared" si="78"/>
        <v/>
      </c>
      <c r="K295" s="204" t="str">
        <f t="shared" si="79"/>
        <v/>
      </c>
      <c r="L295" s="204" t="str">
        <f t="shared" si="80"/>
        <v/>
      </c>
      <c r="M295" s="76" t="str">
        <f t="shared" si="81"/>
        <v/>
      </c>
      <c r="N295" s="206">
        <f t="shared" si="82"/>
        <v>0</v>
      </c>
      <c r="O295" s="206">
        <f t="shared" si="83"/>
        <v>0</v>
      </c>
      <c r="P295" s="206">
        <f t="shared" si="84"/>
        <v>0</v>
      </c>
      <c r="Q295" s="206">
        <f t="shared" si="85"/>
        <v>0</v>
      </c>
      <c r="X295" s="71" t="str">
        <f t="shared" si="71"/>
        <v/>
      </c>
      <c r="Y295">
        <f t="shared" si="72"/>
        <v>0</v>
      </c>
      <c r="Z295">
        <f t="shared" si="73"/>
        <v>0</v>
      </c>
      <c r="AA295">
        <f t="shared" si="74"/>
        <v>0</v>
      </c>
      <c r="AB295">
        <f t="shared" si="75"/>
        <v>0</v>
      </c>
      <c r="AC295" t="str">
        <f t="shared" si="76"/>
        <v/>
      </c>
      <c r="AD295" s="204">
        <f t="shared" si="86"/>
        <v>0</v>
      </c>
      <c r="AE295" s="204">
        <f t="shared" si="87"/>
        <v>0</v>
      </c>
      <c r="AF295" s="204">
        <f t="shared" si="88"/>
        <v>0</v>
      </c>
      <c r="AG295" s="204">
        <f t="shared" si="89"/>
        <v>0</v>
      </c>
    </row>
    <row r="296" spans="1:33" x14ac:dyDescent="0.3">
      <c r="A296" s="204"/>
      <c r="B296" s="205"/>
      <c r="C296" s="205"/>
      <c r="D296" s="205"/>
      <c r="E296" s="205"/>
      <c r="F296" s="204"/>
      <c r="G296" s="204"/>
      <c r="H296" s="204"/>
      <c r="I296" s="204" t="str">
        <f t="shared" si="77"/>
        <v/>
      </c>
      <c r="J296" s="204" t="str">
        <f t="shared" si="78"/>
        <v/>
      </c>
      <c r="K296" s="204" t="str">
        <f t="shared" si="79"/>
        <v/>
      </c>
      <c r="L296" s="204" t="str">
        <f t="shared" si="80"/>
        <v/>
      </c>
      <c r="M296" s="76" t="str">
        <f t="shared" si="81"/>
        <v/>
      </c>
      <c r="N296" s="206">
        <f t="shared" si="82"/>
        <v>0</v>
      </c>
      <c r="O296" s="206">
        <f t="shared" si="83"/>
        <v>0</v>
      </c>
      <c r="P296" s="206">
        <f t="shared" si="84"/>
        <v>0</v>
      </c>
      <c r="Q296" s="206">
        <f t="shared" si="85"/>
        <v>0</v>
      </c>
      <c r="X296" s="71" t="str">
        <f t="shared" si="71"/>
        <v/>
      </c>
      <c r="Y296">
        <f t="shared" si="72"/>
        <v>0</v>
      </c>
      <c r="Z296">
        <f t="shared" si="73"/>
        <v>0</v>
      </c>
      <c r="AA296">
        <f t="shared" si="74"/>
        <v>0</v>
      </c>
      <c r="AB296">
        <f t="shared" si="75"/>
        <v>0</v>
      </c>
      <c r="AC296" t="str">
        <f t="shared" si="76"/>
        <v/>
      </c>
      <c r="AD296" s="204">
        <f t="shared" si="86"/>
        <v>0</v>
      </c>
      <c r="AE296" s="204">
        <f t="shared" si="87"/>
        <v>0</v>
      </c>
      <c r="AF296" s="204">
        <f t="shared" si="88"/>
        <v>0</v>
      </c>
      <c r="AG296" s="204">
        <f t="shared" si="89"/>
        <v>0</v>
      </c>
    </row>
    <row r="297" spans="1:33" x14ac:dyDescent="0.3">
      <c r="A297" s="204"/>
      <c r="B297" s="205"/>
      <c r="C297" s="205"/>
      <c r="D297" s="205"/>
      <c r="E297" s="205"/>
      <c r="F297" s="204"/>
      <c r="G297" s="204"/>
      <c r="H297" s="204"/>
      <c r="I297" s="204" t="str">
        <f t="shared" si="77"/>
        <v/>
      </c>
      <c r="J297" s="204" t="str">
        <f t="shared" si="78"/>
        <v/>
      </c>
      <c r="K297" s="204" t="str">
        <f t="shared" si="79"/>
        <v/>
      </c>
      <c r="L297" s="204" t="str">
        <f t="shared" si="80"/>
        <v/>
      </c>
      <c r="M297" s="76" t="str">
        <f t="shared" si="81"/>
        <v/>
      </c>
      <c r="N297" s="206">
        <f t="shared" si="82"/>
        <v>0</v>
      </c>
      <c r="O297" s="206">
        <f t="shared" si="83"/>
        <v>0</v>
      </c>
      <c r="P297" s="206">
        <f t="shared" si="84"/>
        <v>0</v>
      </c>
      <c r="Q297" s="206">
        <f t="shared" si="85"/>
        <v>0</v>
      </c>
      <c r="X297" s="71" t="str">
        <f t="shared" si="71"/>
        <v/>
      </c>
      <c r="Y297">
        <f t="shared" si="72"/>
        <v>0</v>
      </c>
      <c r="Z297">
        <f t="shared" si="73"/>
        <v>0</v>
      </c>
      <c r="AA297">
        <f t="shared" si="74"/>
        <v>0</v>
      </c>
      <c r="AB297">
        <f t="shared" si="75"/>
        <v>0</v>
      </c>
      <c r="AC297" t="str">
        <f t="shared" si="76"/>
        <v/>
      </c>
      <c r="AD297" s="204">
        <f t="shared" si="86"/>
        <v>0</v>
      </c>
      <c r="AE297" s="204">
        <f t="shared" si="87"/>
        <v>0</v>
      </c>
      <c r="AF297" s="204">
        <f t="shared" si="88"/>
        <v>0</v>
      </c>
      <c r="AG297" s="204">
        <f t="shared" si="89"/>
        <v>0</v>
      </c>
    </row>
    <row r="298" spans="1:33" x14ac:dyDescent="0.3">
      <c r="A298" s="204"/>
      <c r="B298" s="205"/>
      <c r="C298" s="205"/>
      <c r="D298" s="205"/>
      <c r="E298" s="205"/>
      <c r="F298" s="204"/>
      <c r="G298" s="204"/>
      <c r="H298" s="204"/>
      <c r="I298" s="204" t="str">
        <f t="shared" si="77"/>
        <v/>
      </c>
      <c r="J298" s="204" t="str">
        <f t="shared" si="78"/>
        <v/>
      </c>
      <c r="K298" s="204" t="str">
        <f t="shared" si="79"/>
        <v/>
      </c>
      <c r="L298" s="204" t="str">
        <f t="shared" si="80"/>
        <v/>
      </c>
      <c r="M298" s="76" t="str">
        <f t="shared" si="81"/>
        <v/>
      </c>
      <c r="N298" s="206">
        <f t="shared" si="82"/>
        <v>0</v>
      </c>
      <c r="O298" s="206">
        <f t="shared" si="83"/>
        <v>0</v>
      </c>
      <c r="P298" s="206">
        <f t="shared" si="84"/>
        <v>0</v>
      </c>
      <c r="Q298" s="206">
        <f t="shared" si="85"/>
        <v>0</v>
      </c>
      <c r="X298" s="71" t="str">
        <f t="shared" si="71"/>
        <v/>
      </c>
      <c r="Y298">
        <f t="shared" si="72"/>
        <v>0</v>
      </c>
      <c r="Z298">
        <f t="shared" si="73"/>
        <v>0</v>
      </c>
      <c r="AA298">
        <f t="shared" si="74"/>
        <v>0</v>
      </c>
      <c r="AB298">
        <f t="shared" si="75"/>
        <v>0</v>
      </c>
      <c r="AC298" t="str">
        <f t="shared" si="76"/>
        <v/>
      </c>
      <c r="AD298" s="204">
        <f t="shared" si="86"/>
        <v>0</v>
      </c>
      <c r="AE298" s="204">
        <f t="shared" si="87"/>
        <v>0</v>
      </c>
      <c r="AF298" s="204">
        <f t="shared" si="88"/>
        <v>0</v>
      </c>
      <c r="AG298" s="204">
        <f t="shared" si="89"/>
        <v>0</v>
      </c>
    </row>
    <row r="299" spans="1:33" x14ac:dyDescent="0.3">
      <c r="A299" s="204"/>
      <c r="B299" s="205"/>
      <c r="C299" s="205"/>
      <c r="D299" s="205"/>
      <c r="E299" s="205"/>
      <c r="F299" s="204"/>
      <c r="G299" s="204"/>
      <c r="H299" s="204"/>
      <c r="I299" s="204" t="str">
        <f t="shared" si="77"/>
        <v/>
      </c>
      <c r="J299" s="204" t="str">
        <f t="shared" si="78"/>
        <v/>
      </c>
      <c r="K299" s="204" t="str">
        <f t="shared" si="79"/>
        <v/>
      </c>
      <c r="L299" s="204" t="str">
        <f t="shared" si="80"/>
        <v/>
      </c>
      <c r="M299" s="76" t="str">
        <f t="shared" si="81"/>
        <v/>
      </c>
      <c r="N299" s="206">
        <f t="shared" si="82"/>
        <v>0</v>
      </c>
      <c r="O299" s="206">
        <f t="shared" si="83"/>
        <v>0</v>
      </c>
      <c r="P299" s="206">
        <f t="shared" si="84"/>
        <v>0</v>
      </c>
      <c r="Q299" s="206">
        <f t="shared" si="85"/>
        <v>0</v>
      </c>
      <c r="X299" s="71" t="str">
        <f t="shared" si="71"/>
        <v/>
      </c>
      <c r="Y299">
        <f t="shared" si="72"/>
        <v>0</v>
      </c>
      <c r="Z299">
        <f t="shared" si="73"/>
        <v>0</v>
      </c>
      <c r="AA299">
        <f t="shared" si="74"/>
        <v>0</v>
      </c>
      <c r="AB299">
        <f t="shared" si="75"/>
        <v>0</v>
      </c>
      <c r="AC299" t="str">
        <f t="shared" si="76"/>
        <v/>
      </c>
      <c r="AD299" s="204">
        <f t="shared" si="86"/>
        <v>0</v>
      </c>
      <c r="AE299" s="204">
        <f t="shared" si="87"/>
        <v>0</v>
      </c>
      <c r="AF299" s="204">
        <f t="shared" si="88"/>
        <v>0</v>
      </c>
      <c r="AG299" s="204">
        <f t="shared" si="89"/>
        <v>0</v>
      </c>
    </row>
    <row r="300" spans="1:33" x14ac:dyDescent="0.3">
      <c r="A300" s="204"/>
      <c r="B300" s="205"/>
      <c r="C300" s="205"/>
      <c r="D300" s="205"/>
      <c r="E300" s="205"/>
      <c r="F300" s="204"/>
      <c r="G300" s="204"/>
      <c r="H300" s="204"/>
      <c r="I300" s="204" t="str">
        <f t="shared" si="77"/>
        <v/>
      </c>
      <c r="J300" s="204" t="str">
        <f t="shared" si="78"/>
        <v/>
      </c>
      <c r="K300" s="204" t="str">
        <f t="shared" si="79"/>
        <v/>
      </c>
      <c r="L300" s="204" t="str">
        <f t="shared" si="80"/>
        <v/>
      </c>
      <c r="M300" s="76" t="str">
        <f t="shared" si="81"/>
        <v/>
      </c>
      <c r="N300" s="206">
        <f t="shared" si="82"/>
        <v>0</v>
      </c>
      <c r="O300" s="206">
        <f t="shared" si="83"/>
        <v>0</v>
      </c>
      <c r="P300" s="206">
        <f t="shared" si="84"/>
        <v>0</v>
      </c>
      <c r="Q300" s="206">
        <f t="shared" si="85"/>
        <v>0</v>
      </c>
      <c r="X300" s="71" t="str">
        <f t="shared" si="71"/>
        <v/>
      </c>
      <c r="Y300">
        <f t="shared" si="72"/>
        <v>0</v>
      </c>
      <c r="Z300">
        <f t="shared" si="73"/>
        <v>0</v>
      </c>
      <c r="AA300">
        <f t="shared" si="74"/>
        <v>0</v>
      </c>
      <c r="AB300">
        <f t="shared" si="75"/>
        <v>0</v>
      </c>
      <c r="AC300" t="str">
        <f t="shared" si="76"/>
        <v/>
      </c>
      <c r="AD300" s="204">
        <f t="shared" si="86"/>
        <v>0</v>
      </c>
      <c r="AE300" s="204">
        <f t="shared" si="87"/>
        <v>0</v>
      </c>
      <c r="AF300" s="204">
        <f t="shared" si="88"/>
        <v>0</v>
      </c>
      <c r="AG300" s="204">
        <f t="shared" si="89"/>
        <v>0</v>
      </c>
    </row>
    <row r="301" spans="1:33" x14ac:dyDescent="0.3">
      <c r="A301" s="204"/>
      <c r="B301" s="205"/>
      <c r="C301" s="205"/>
      <c r="D301" s="205"/>
      <c r="E301" s="205"/>
      <c r="F301" s="204"/>
      <c r="G301" s="204"/>
      <c r="H301" s="204"/>
      <c r="I301" s="204" t="str">
        <f t="shared" si="77"/>
        <v/>
      </c>
      <c r="J301" s="204" t="str">
        <f t="shared" si="78"/>
        <v/>
      </c>
      <c r="K301" s="204" t="str">
        <f t="shared" si="79"/>
        <v/>
      </c>
      <c r="L301" s="204" t="str">
        <f t="shared" si="80"/>
        <v/>
      </c>
      <c r="M301" s="76" t="str">
        <f t="shared" si="81"/>
        <v/>
      </c>
      <c r="N301" s="206">
        <f t="shared" si="82"/>
        <v>0</v>
      </c>
      <c r="O301" s="206">
        <f t="shared" si="83"/>
        <v>0</v>
      </c>
      <c r="P301" s="206">
        <f t="shared" si="84"/>
        <v>0</v>
      </c>
      <c r="Q301" s="206">
        <f t="shared" si="85"/>
        <v>0</v>
      </c>
      <c r="X301" s="71" t="str">
        <f t="shared" si="71"/>
        <v/>
      </c>
      <c r="Y301">
        <f t="shared" si="72"/>
        <v>0</v>
      </c>
      <c r="Z301">
        <f t="shared" si="73"/>
        <v>0</v>
      </c>
      <c r="AA301">
        <f t="shared" si="74"/>
        <v>0</v>
      </c>
      <c r="AB301">
        <f t="shared" si="75"/>
        <v>0</v>
      </c>
      <c r="AC301" t="str">
        <f t="shared" si="76"/>
        <v/>
      </c>
      <c r="AD301" s="204">
        <f t="shared" si="86"/>
        <v>0</v>
      </c>
      <c r="AE301" s="204">
        <f t="shared" si="87"/>
        <v>0</v>
      </c>
      <c r="AF301" s="204">
        <f t="shared" si="88"/>
        <v>0</v>
      </c>
      <c r="AG301" s="204">
        <f t="shared" si="89"/>
        <v>0</v>
      </c>
    </row>
    <row r="302" spans="1:33" x14ac:dyDescent="0.3">
      <c r="A302" s="204"/>
      <c r="B302" s="205"/>
      <c r="C302" s="205"/>
      <c r="D302" s="205"/>
      <c r="E302" s="205"/>
      <c r="F302" s="204"/>
      <c r="G302" s="204"/>
      <c r="H302" s="204"/>
      <c r="I302" s="204" t="str">
        <f t="shared" si="77"/>
        <v/>
      </c>
      <c r="J302" s="204" t="str">
        <f t="shared" si="78"/>
        <v/>
      </c>
      <c r="K302" s="204" t="str">
        <f t="shared" si="79"/>
        <v/>
      </c>
      <c r="L302" s="204" t="str">
        <f t="shared" si="80"/>
        <v/>
      </c>
      <c r="M302" s="76" t="str">
        <f t="shared" si="81"/>
        <v/>
      </c>
      <c r="N302" s="206">
        <f t="shared" si="82"/>
        <v>0</v>
      </c>
      <c r="O302" s="206">
        <f t="shared" si="83"/>
        <v>0</v>
      </c>
      <c r="P302" s="206">
        <f t="shared" si="84"/>
        <v>0</v>
      </c>
      <c r="Q302" s="206">
        <f t="shared" si="85"/>
        <v>0</v>
      </c>
      <c r="X302" s="71" t="str">
        <f t="shared" si="71"/>
        <v/>
      </c>
      <c r="Y302">
        <f t="shared" si="72"/>
        <v>0</v>
      </c>
      <c r="Z302">
        <f t="shared" si="73"/>
        <v>0</v>
      </c>
      <c r="AA302">
        <f t="shared" si="74"/>
        <v>0</v>
      </c>
      <c r="AB302">
        <f t="shared" si="75"/>
        <v>0</v>
      </c>
      <c r="AC302" t="str">
        <f t="shared" si="76"/>
        <v/>
      </c>
      <c r="AD302" s="204">
        <f t="shared" si="86"/>
        <v>0</v>
      </c>
      <c r="AE302" s="204">
        <f t="shared" si="87"/>
        <v>0</v>
      </c>
      <c r="AF302" s="204">
        <f t="shared" si="88"/>
        <v>0</v>
      </c>
      <c r="AG302" s="204">
        <f t="shared" si="89"/>
        <v>0</v>
      </c>
    </row>
    <row r="303" spans="1:33" x14ac:dyDescent="0.3">
      <c r="A303" s="204"/>
      <c r="B303" s="205"/>
      <c r="C303" s="205"/>
      <c r="D303" s="205"/>
      <c r="E303" s="205"/>
      <c r="F303" s="204"/>
      <c r="G303" s="204"/>
      <c r="H303" s="204"/>
      <c r="I303" s="204" t="str">
        <f t="shared" si="77"/>
        <v/>
      </c>
      <c r="J303" s="204" t="str">
        <f t="shared" si="78"/>
        <v/>
      </c>
      <c r="K303" s="204" t="str">
        <f t="shared" si="79"/>
        <v/>
      </c>
      <c r="L303" s="204" t="str">
        <f t="shared" si="80"/>
        <v/>
      </c>
      <c r="M303" s="76" t="str">
        <f t="shared" si="81"/>
        <v/>
      </c>
      <c r="N303" s="206">
        <f t="shared" si="82"/>
        <v>0</v>
      </c>
      <c r="O303" s="206">
        <f t="shared" si="83"/>
        <v>0</v>
      </c>
      <c r="P303" s="206">
        <f t="shared" si="84"/>
        <v>0</v>
      </c>
      <c r="Q303" s="206">
        <f t="shared" si="85"/>
        <v>0</v>
      </c>
      <c r="X303" s="71" t="str">
        <f t="shared" si="71"/>
        <v/>
      </c>
      <c r="Y303">
        <f t="shared" si="72"/>
        <v>0</v>
      </c>
      <c r="Z303">
        <f t="shared" si="73"/>
        <v>0</v>
      </c>
      <c r="AA303">
        <f t="shared" si="74"/>
        <v>0</v>
      </c>
      <c r="AB303">
        <f t="shared" si="75"/>
        <v>0</v>
      </c>
      <c r="AC303" t="str">
        <f t="shared" si="76"/>
        <v/>
      </c>
      <c r="AD303" s="204">
        <f t="shared" si="86"/>
        <v>0</v>
      </c>
      <c r="AE303" s="204">
        <f t="shared" si="87"/>
        <v>0</v>
      </c>
      <c r="AF303" s="204">
        <f t="shared" si="88"/>
        <v>0</v>
      </c>
      <c r="AG303" s="204">
        <f t="shared" si="89"/>
        <v>0</v>
      </c>
    </row>
    <row r="304" spans="1:33" x14ac:dyDescent="0.3">
      <c r="A304" s="204"/>
      <c r="B304" s="205"/>
      <c r="C304" s="205"/>
      <c r="D304" s="205"/>
      <c r="E304" s="205"/>
      <c r="F304" s="204"/>
      <c r="G304" s="204"/>
      <c r="H304" s="204"/>
      <c r="I304" s="204" t="str">
        <f t="shared" si="77"/>
        <v/>
      </c>
      <c r="J304" s="204" t="str">
        <f t="shared" si="78"/>
        <v/>
      </c>
      <c r="K304" s="204" t="str">
        <f t="shared" si="79"/>
        <v/>
      </c>
      <c r="L304" s="204" t="str">
        <f t="shared" si="80"/>
        <v/>
      </c>
      <c r="M304" s="76" t="str">
        <f t="shared" si="81"/>
        <v/>
      </c>
      <c r="N304" s="206">
        <f t="shared" si="82"/>
        <v>0</v>
      </c>
      <c r="O304" s="206">
        <f t="shared" si="83"/>
        <v>0</v>
      </c>
      <c r="P304" s="206">
        <f t="shared" si="84"/>
        <v>0</v>
      </c>
      <c r="Q304" s="206">
        <f t="shared" si="85"/>
        <v>0</v>
      </c>
      <c r="X304" s="71" t="str">
        <f t="shared" si="71"/>
        <v/>
      </c>
      <c r="Y304">
        <f t="shared" si="72"/>
        <v>0</v>
      </c>
      <c r="Z304">
        <f t="shared" si="73"/>
        <v>0</v>
      </c>
      <c r="AA304">
        <f t="shared" si="74"/>
        <v>0</v>
      </c>
      <c r="AB304">
        <f t="shared" si="75"/>
        <v>0</v>
      </c>
      <c r="AC304" t="str">
        <f t="shared" si="76"/>
        <v/>
      </c>
      <c r="AD304" s="204">
        <f t="shared" si="86"/>
        <v>0</v>
      </c>
      <c r="AE304" s="204">
        <f t="shared" si="87"/>
        <v>0</v>
      </c>
      <c r="AF304" s="204">
        <f t="shared" si="88"/>
        <v>0</v>
      </c>
      <c r="AG304" s="204">
        <f t="shared" si="89"/>
        <v>0</v>
      </c>
    </row>
    <row r="305" spans="1:33" x14ac:dyDescent="0.3">
      <c r="A305" s="204"/>
      <c r="B305" s="205"/>
      <c r="C305" s="205"/>
      <c r="D305" s="205"/>
      <c r="E305" s="205"/>
      <c r="F305" s="204"/>
      <c r="G305" s="204"/>
      <c r="H305" s="204"/>
      <c r="I305" s="204" t="str">
        <f t="shared" si="77"/>
        <v/>
      </c>
      <c r="J305" s="204" t="str">
        <f t="shared" si="78"/>
        <v/>
      </c>
      <c r="K305" s="204" t="str">
        <f t="shared" si="79"/>
        <v/>
      </c>
      <c r="L305" s="204" t="str">
        <f t="shared" si="80"/>
        <v/>
      </c>
      <c r="M305" s="76" t="str">
        <f t="shared" si="81"/>
        <v/>
      </c>
      <c r="N305" s="206">
        <f t="shared" si="82"/>
        <v>0</v>
      </c>
      <c r="O305" s="206">
        <f t="shared" si="83"/>
        <v>0</v>
      </c>
      <c r="P305" s="206">
        <f t="shared" si="84"/>
        <v>0</v>
      </c>
      <c r="Q305" s="206">
        <f t="shared" si="85"/>
        <v>0</v>
      </c>
      <c r="X305" s="71" t="str">
        <f t="shared" si="71"/>
        <v/>
      </c>
      <c r="Y305">
        <f t="shared" si="72"/>
        <v>0</v>
      </c>
      <c r="Z305">
        <f t="shared" si="73"/>
        <v>0</v>
      </c>
      <c r="AA305">
        <f t="shared" si="74"/>
        <v>0</v>
      </c>
      <c r="AB305">
        <f t="shared" si="75"/>
        <v>0</v>
      </c>
      <c r="AC305" t="str">
        <f t="shared" si="76"/>
        <v/>
      </c>
      <c r="AD305" s="204">
        <f t="shared" si="86"/>
        <v>0</v>
      </c>
      <c r="AE305" s="204">
        <f t="shared" si="87"/>
        <v>0</v>
      </c>
      <c r="AF305" s="204">
        <f t="shared" si="88"/>
        <v>0</v>
      </c>
      <c r="AG305" s="204">
        <f t="shared" si="89"/>
        <v>0</v>
      </c>
    </row>
    <row r="306" spans="1:33" x14ac:dyDescent="0.3">
      <c r="A306" s="204"/>
      <c r="B306" s="205"/>
      <c r="C306" s="205"/>
      <c r="D306" s="205"/>
      <c r="E306" s="205"/>
      <c r="F306" s="204"/>
      <c r="G306" s="204"/>
      <c r="H306" s="204"/>
      <c r="I306" s="204" t="str">
        <f t="shared" si="77"/>
        <v/>
      </c>
      <c r="J306" s="204" t="str">
        <f t="shared" si="78"/>
        <v/>
      </c>
      <c r="K306" s="204" t="str">
        <f t="shared" si="79"/>
        <v/>
      </c>
      <c r="L306" s="204" t="str">
        <f t="shared" si="80"/>
        <v/>
      </c>
      <c r="M306" s="76" t="str">
        <f t="shared" si="81"/>
        <v/>
      </c>
      <c r="N306" s="206">
        <f t="shared" si="82"/>
        <v>0</v>
      </c>
      <c r="O306" s="206">
        <f t="shared" si="83"/>
        <v>0</v>
      </c>
      <c r="P306" s="206">
        <f t="shared" si="84"/>
        <v>0</v>
      </c>
      <c r="Q306" s="206">
        <f t="shared" si="85"/>
        <v>0</v>
      </c>
      <c r="X306" s="71" t="str">
        <f t="shared" si="71"/>
        <v/>
      </c>
      <c r="Y306">
        <f t="shared" si="72"/>
        <v>0</v>
      </c>
      <c r="Z306">
        <f t="shared" si="73"/>
        <v>0</v>
      </c>
      <c r="AA306">
        <f t="shared" si="74"/>
        <v>0</v>
      </c>
      <c r="AB306">
        <f t="shared" si="75"/>
        <v>0</v>
      </c>
      <c r="AC306" t="str">
        <f t="shared" si="76"/>
        <v/>
      </c>
      <c r="AD306" s="204">
        <f t="shared" si="86"/>
        <v>0</v>
      </c>
      <c r="AE306" s="204">
        <f t="shared" si="87"/>
        <v>0</v>
      </c>
      <c r="AF306" s="204">
        <f t="shared" si="88"/>
        <v>0</v>
      </c>
      <c r="AG306" s="204">
        <f t="shared" si="89"/>
        <v>0</v>
      </c>
    </row>
    <row r="307" spans="1:33" x14ac:dyDescent="0.3">
      <c r="A307" s="204"/>
      <c r="B307" s="205"/>
      <c r="C307" s="205"/>
      <c r="D307" s="205"/>
      <c r="E307" s="205"/>
      <c r="F307" s="204"/>
      <c r="G307" s="204"/>
      <c r="H307" s="204"/>
      <c r="I307" s="204" t="str">
        <f t="shared" si="77"/>
        <v/>
      </c>
      <c r="J307" s="204" t="str">
        <f t="shared" si="78"/>
        <v/>
      </c>
      <c r="K307" s="204" t="str">
        <f t="shared" si="79"/>
        <v/>
      </c>
      <c r="L307" s="204" t="str">
        <f t="shared" si="80"/>
        <v/>
      </c>
      <c r="M307" s="76" t="str">
        <f t="shared" si="81"/>
        <v/>
      </c>
      <c r="N307" s="206">
        <f t="shared" si="82"/>
        <v>0</v>
      </c>
      <c r="O307" s="206">
        <f t="shared" si="83"/>
        <v>0</v>
      </c>
      <c r="P307" s="206">
        <f t="shared" si="84"/>
        <v>0</v>
      </c>
      <c r="Q307" s="206">
        <f t="shared" si="85"/>
        <v>0</v>
      </c>
      <c r="X307" s="71" t="str">
        <f t="shared" si="71"/>
        <v/>
      </c>
      <c r="Y307">
        <f t="shared" si="72"/>
        <v>0</v>
      </c>
      <c r="Z307">
        <f t="shared" si="73"/>
        <v>0</v>
      </c>
      <c r="AA307">
        <f t="shared" si="74"/>
        <v>0</v>
      </c>
      <c r="AB307">
        <f t="shared" si="75"/>
        <v>0</v>
      </c>
      <c r="AC307" t="str">
        <f t="shared" si="76"/>
        <v/>
      </c>
      <c r="AD307" s="204">
        <f t="shared" si="86"/>
        <v>0</v>
      </c>
      <c r="AE307" s="204">
        <f t="shared" si="87"/>
        <v>0</v>
      </c>
      <c r="AF307" s="204">
        <f t="shared" si="88"/>
        <v>0</v>
      </c>
      <c r="AG307" s="204">
        <f t="shared" si="89"/>
        <v>0</v>
      </c>
    </row>
    <row r="308" spans="1:33" x14ac:dyDescent="0.3">
      <c r="A308" s="204"/>
      <c r="B308" s="205"/>
      <c r="C308" s="205"/>
      <c r="D308" s="205"/>
      <c r="E308" s="205"/>
      <c r="F308" s="204"/>
      <c r="G308" s="204"/>
      <c r="H308" s="204"/>
      <c r="I308" s="204" t="str">
        <f t="shared" si="77"/>
        <v/>
      </c>
      <c r="J308" s="204" t="str">
        <f t="shared" si="78"/>
        <v/>
      </c>
      <c r="K308" s="204" t="str">
        <f t="shared" si="79"/>
        <v/>
      </c>
      <c r="L308" s="204" t="str">
        <f t="shared" si="80"/>
        <v/>
      </c>
      <c r="M308" s="76" t="str">
        <f t="shared" si="81"/>
        <v/>
      </c>
      <c r="N308" s="206">
        <f t="shared" si="82"/>
        <v>0</v>
      </c>
      <c r="O308" s="206">
        <f t="shared" si="83"/>
        <v>0</v>
      </c>
      <c r="P308" s="206">
        <f t="shared" si="84"/>
        <v>0</v>
      </c>
      <c r="Q308" s="206">
        <f t="shared" si="85"/>
        <v>0</v>
      </c>
      <c r="X308" s="71" t="str">
        <f t="shared" si="71"/>
        <v/>
      </c>
      <c r="Y308">
        <f t="shared" si="72"/>
        <v>0</v>
      </c>
      <c r="Z308">
        <f t="shared" si="73"/>
        <v>0</v>
      </c>
      <c r="AA308">
        <f t="shared" si="74"/>
        <v>0</v>
      </c>
      <c r="AB308">
        <f t="shared" si="75"/>
        <v>0</v>
      </c>
      <c r="AC308" t="str">
        <f t="shared" si="76"/>
        <v/>
      </c>
      <c r="AD308" s="204">
        <f t="shared" si="86"/>
        <v>0</v>
      </c>
      <c r="AE308" s="204">
        <f t="shared" si="87"/>
        <v>0</v>
      </c>
      <c r="AF308" s="204">
        <f t="shared" si="88"/>
        <v>0</v>
      </c>
      <c r="AG308" s="204">
        <f t="shared" si="89"/>
        <v>0</v>
      </c>
    </row>
    <row r="309" spans="1:33" x14ac:dyDescent="0.3">
      <c r="A309" s="204"/>
      <c r="B309" s="205"/>
      <c r="C309" s="205"/>
      <c r="D309" s="205"/>
      <c r="E309" s="205"/>
      <c r="F309" s="204"/>
      <c r="G309" s="204"/>
      <c r="H309" s="204"/>
      <c r="I309" s="204" t="str">
        <f t="shared" si="77"/>
        <v/>
      </c>
      <c r="J309" s="204" t="str">
        <f t="shared" si="78"/>
        <v/>
      </c>
      <c r="K309" s="204" t="str">
        <f t="shared" si="79"/>
        <v/>
      </c>
      <c r="L309" s="204" t="str">
        <f t="shared" si="80"/>
        <v/>
      </c>
      <c r="M309" s="76" t="str">
        <f t="shared" si="81"/>
        <v/>
      </c>
      <c r="N309" s="206">
        <f t="shared" si="82"/>
        <v>0</v>
      </c>
      <c r="O309" s="206">
        <f t="shared" si="83"/>
        <v>0</v>
      </c>
      <c r="P309" s="206">
        <f t="shared" si="84"/>
        <v>0</v>
      </c>
      <c r="Q309" s="206">
        <f t="shared" si="85"/>
        <v>0</v>
      </c>
      <c r="X309" s="71" t="str">
        <f t="shared" si="71"/>
        <v/>
      </c>
      <c r="Y309">
        <f t="shared" si="72"/>
        <v>0</v>
      </c>
      <c r="Z309">
        <f t="shared" si="73"/>
        <v>0</v>
      </c>
      <c r="AA309">
        <f t="shared" si="74"/>
        <v>0</v>
      </c>
      <c r="AB309">
        <f t="shared" si="75"/>
        <v>0</v>
      </c>
      <c r="AC309" t="str">
        <f t="shared" si="76"/>
        <v/>
      </c>
      <c r="AD309" s="204">
        <f t="shared" si="86"/>
        <v>0</v>
      </c>
      <c r="AE309" s="204">
        <f t="shared" si="87"/>
        <v>0</v>
      </c>
      <c r="AF309" s="204">
        <f t="shared" si="88"/>
        <v>0</v>
      </c>
      <c r="AG309" s="204">
        <f t="shared" si="89"/>
        <v>0</v>
      </c>
    </row>
    <row r="310" spans="1:33" x14ac:dyDescent="0.3">
      <c r="A310" s="204"/>
      <c r="B310" s="205"/>
      <c r="C310" s="205"/>
      <c r="D310" s="205"/>
      <c r="E310" s="205"/>
      <c r="F310" s="204"/>
      <c r="G310" s="204"/>
      <c r="H310" s="204"/>
      <c r="I310" s="204" t="str">
        <f t="shared" si="77"/>
        <v/>
      </c>
      <c r="J310" s="204" t="str">
        <f t="shared" si="78"/>
        <v/>
      </c>
      <c r="K310" s="204" t="str">
        <f t="shared" si="79"/>
        <v/>
      </c>
      <c r="L310" s="204" t="str">
        <f t="shared" si="80"/>
        <v/>
      </c>
      <c r="M310" s="76" t="str">
        <f t="shared" si="81"/>
        <v/>
      </c>
      <c r="N310" s="206">
        <f t="shared" si="82"/>
        <v>0</v>
      </c>
      <c r="O310" s="206">
        <f t="shared" si="83"/>
        <v>0</v>
      </c>
      <c r="P310" s="206">
        <f t="shared" si="84"/>
        <v>0</v>
      </c>
      <c r="Q310" s="206">
        <f t="shared" si="85"/>
        <v>0</v>
      </c>
      <c r="X310" s="71" t="str">
        <f t="shared" si="71"/>
        <v/>
      </c>
      <c r="Y310">
        <f t="shared" si="72"/>
        <v>0</v>
      </c>
      <c r="Z310">
        <f t="shared" si="73"/>
        <v>0</v>
      </c>
      <c r="AA310">
        <f t="shared" si="74"/>
        <v>0</v>
      </c>
      <c r="AB310">
        <f t="shared" si="75"/>
        <v>0</v>
      </c>
      <c r="AC310" t="str">
        <f t="shared" si="76"/>
        <v/>
      </c>
      <c r="AD310" s="204">
        <f t="shared" si="86"/>
        <v>0</v>
      </c>
      <c r="AE310" s="204">
        <f t="shared" si="87"/>
        <v>0</v>
      </c>
      <c r="AF310" s="204">
        <f t="shared" si="88"/>
        <v>0</v>
      </c>
      <c r="AG310" s="204">
        <f t="shared" si="89"/>
        <v>0</v>
      </c>
    </row>
    <row r="311" spans="1:33" x14ac:dyDescent="0.3">
      <c r="A311" s="204"/>
      <c r="B311" s="205"/>
      <c r="C311" s="205"/>
      <c r="D311" s="205"/>
      <c r="E311" s="205"/>
      <c r="F311" s="204"/>
      <c r="G311" s="204"/>
      <c r="H311" s="204"/>
      <c r="I311" s="204" t="str">
        <f t="shared" si="77"/>
        <v/>
      </c>
      <c r="J311" s="204" t="str">
        <f t="shared" si="78"/>
        <v/>
      </c>
      <c r="K311" s="204" t="str">
        <f t="shared" si="79"/>
        <v/>
      </c>
      <c r="L311" s="204" t="str">
        <f t="shared" si="80"/>
        <v/>
      </c>
      <c r="M311" s="76" t="str">
        <f t="shared" si="81"/>
        <v/>
      </c>
      <c r="N311" s="206">
        <f t="shared" si="82"/>
        <v>0</v>
      </c>
      <c r="O311" s="206">
        <f t="shared" si="83"/>
        <v>0</v>
      </c>
      <c r="P311" s="206">
        <f t="shared" si="84"/>
        <v>0</v>
      </c>
      <c r="Q311" s="206">
        <f t="shared" si="85"/>
        <v>0</v>
      </c>
      <c r="X311" s="71" t="str">
        <f t="shared" si="71"/>
        <v/>
      </c>
      <c r="Y311">
        <f t="shared" si="72"/>
        <v>0</v>
      </c>
      <c r="Z311">
        <f t="shared" si="73"/>
        <v>0</v>
      </c>
      <c r="AA311">
        <f t="shared" si="74"/>
        <v>0</v>
      </c>
      <c r="AB311">
        <f t="shared" si="75"/>
        <v>0</v>
      </c>
      <c r="AC311" t="str">
        <f t="shared" si="76"/>
        <v/>
      </c>
      <c r="AD311" s="204">
        <f t="shared" si="86"/>
        <v>0</v>
      </c>
      <c r="AE311" s="204">
        <f t="shared" si="87"/>
        <v>0</v>
      </c>
      <c r="AF311" s="204">
        <f t="shared" si="88"/>
        <v>0</v>
      </c>
      <c r="AG311" s="204">
        <f t="shared" si="89"/>
        <v>0</v>
      </c>
    </row>
    <row r="312" spans="1:33" x14ac:dyDescent="0.3">
      <c r="A312" s="204"/>
      <c r="B312" s="205"/>
      <c r="C312" s="205"/>
      <c r="D312" s="205"/>
      <c r="E312" s="205"/>
      <c r="F312" s="204"/>
      <c r="G312" s="204"/>
      <c r="H312" s="204"/>
      <c r="I312" s="204" t="str">
        <f t="shared" si="77"/>
        <v/>
      </c>
      <c r="J312" s="204" t="str">
        <f t="shared" si="78"/>
        <v/>
      </c>
      <c r="K312" s="204" t="str">
        <f t="shared" si="79"/>
        <v/>
      </c>
      <c r="L312" s="204" t="str">
        <f t="shared" si="80"/>
        <v/>
      </c>
      <c r="M312" s="76" t="str">
        <f t="shared" si="81"/>
        <v/>
      </c>
      <c r="N312" s="206">
        <f t="shared" si="82"/>
        <v>0</v>
      </c>
      <c r="O312" s="206">
        <f t="shared" si="83"/>
        <v>0</v>
      </c>
      <c r="P312" s="206">
        <f t="shared" si="84"/>
        <v>0</v>
      </c>
      <c r="Q312" s="206">
        <f t="shared" si="85"/>
        <v>0</v>
      </c>
      <c r="X312" s="71" t="str">
        <f t="shared" si="71"/>
        <v/>
      </c>
      <c r="Y312">
        <f t="shared" si="72"/>
        <v>0</v>
      </c>
      <c r="Z312">
        <f t="shared" si="73"/>
        <v>0</v>
      </c>
      <c r="AA312">
        <f t="shared" si="74"/>
        <v>0</v>
      </c>
      <c r="AB312">
        <f t="shared" si="75"/>
        <v>0</v>
      </c>
      <c r="AC312" t="str">
        <f t="shared" si="76"/>
        <v/>
      </c>
      <c r="AD312" s="204">
        <f t="shared" si="86"/>
        <v>0</v>
      </c>
      <c r="AE312" s="204">
        <f t="shared" si="87"/>
        <v>0</v>
      </c>
      <c r="AF312" s="204">
        <f t="shared" si="88"/>
        <v>0</v>
      </c>
      <c r="AG312" s="204">
        <f t="shared" si="89"/>
        <v>0</v>
      </c>
    </row>
    <row r="313" spans="1:33" x14ac:dyDescent="0.3">
      <c r="A313" s="204"/>
      <c r="B313" s="205"/>
      <c r="C313" s="205"/>
      <c r="D313" s="205"/>
      <c r="E313" s="205"/>
      <c r="F313" s="204"/>
      <c r="G313" s="204"/>
      <c r="H313" s="204"/>
      <c r="I313" s="204" t="str">
        <f t="shared" si="77"/>
        <v/>
      </c>
      <c r="J313" s="204" t="str">
        <f t="shared" si="78"/>
        <v/>
      </c>
      <c r="K313" s="204" t="str">
        <f t="shared" si="79"/>
        <v/>
      </c>
      <c r="L313" s="204" t="str">
        <f t="shared" si="80"/>
        <v/>
      </c>
      <c r="M313" s="76" t="str">
        <f t="shared" si="81"/>
        <v/>
      </c>
      <c r="N313" s="206">
        <f t="shared" si="82"/>
        <v>0</v>
      </c>
      <c r="O313" s="206">
        <f t="shared" si="83"/>
        <v>0</v>
      </c>
      <c r="P313" s="206">
        <f t="shared" si="84"/>
        <v>0</v>
      </c>
      <c r="Q313" s="206">
        <f t="shared" si="85"/>
        <v>0</v>
      </c>
      <c r="X313" s="71" t="str">
        <f t="shared" si="71"/>
        <v/>
      </c>
      <c r="Y313">
        <f t="shared" si="72"/>
        <v>0</v>
      </c>
      <c r="Z313">
        <f t="shared" si="73"/>
        <v>0</v>
      </c>
      <c r="AA313">
        <f t="shared" si="74"/>
        <v>0</v>
      </c>
      <c r="AB313">
        <f t="shared" si="75"/>
        <v>0</v>
      </c>
      <c r="AC313" t="str">
        <f t="shared" si="76"/>
        <v/>
      </c>
      <c r="AD313" s="204">
        <f t="shared" si="86"/>
        <v>0</v>
      </c>
      <c r="AE313" s="204">
        <f t="shared" si="87"/>
        <v>0</v>
      </c>
      <c r="AF313" s="204">
        <f t="shared" si="88"/>
        <v>0</v>
      </c>
      <c r="AG313" s="204">
        <f t="shared" si="89"/>
        <v>0</v>
      </c>
    </row>
    <row r="314" spans="1:33" x14ac:dyDescent="0.3">
      <c r="A314" s="204"/>
      <c r="B314" s="205"/>
      <c r="C314" s="205"/>
      <c r="D314" s="205"/>
      <c r="E314" s="205"/>
      <c r="F314" s="204"/>
      <c r="G314" s="204"/>
      <c r="H314" s="204"/>
      <c r="I314" s="204" t="str">
        <f t="shared" si="77"/>
        <v/>
      </c>
      <c r="J314" s="204" t="str">
        <f t="shared" si="78"/>
        <v/>
      </c>
      <c r="K314" s="204" t="str">
        <f t="shared" si="79"/>
        <v/>
      </c>
      <c r="L314" s="204" t="str">
        <f t="shared" si="80"/>
        <v/>
      </c>
      <c r="M314" s="76" t="str">
        <f t="shared" si="81"/>
        <v/>
      </c>
      <c r="N314" s="206">
        <f t="shared" si="82"/>
        <v>0</v>
      </c>
      <c r="O314" s="206">
        <f t="shared" si="83"/>
        <v>0</v>
      </c>
      <c r="P314" s="206">
        <f t="shared" si="84"/>
        <v>0</v>
      </c>
      <c r="Q314" s="206">
        <f t="shared" si="85"/>
        <v>0</v>
      </c>
      <c r="X314" s="71" t="str">
        <f t="shared" si="71"/>
        <v/>
      </c>
      <c r="Y314">
        <f t="shared" si="72"/>
        <v>0</v>
      </c>
      <c r="Z314">
        <f t="shared" si="73"/>
        <v>0</v>
      </c>
      <c r="AA314">
        <f t="shared" si="74"/>
        <v>0</v>
      </c>
      <c r="AB314">
        <f t="shared" si="75"/>
        <v>0</v>
      </c>
      <c r="AC314" t="str">
        <f t="shared" si="76"/>
        <v/>
      </c>
      <c r="AD314" s="204">
        <f t="shared" si="86"/>
        <v>0</v>
      </c>
      <c r="AE314" s="204">
        <f t="shared" si="87"/>
        <v>0</v>
      </c>
      <c r="AF314" s="204">
        <f t="shared" si="88"/>
        <v>0</v>
      </c>
      <c r="AG314" s="204">
        <f t="shared" si="89"/>
        <v>0</v>
      </c>
    </row>
    <row r="315" spans="1:33" x14ac:dyDescent="0.3">
      <c r="A315" s="204"/>
      <c r="B315" s="205"/>
      <c r="C315" s="205"/>
      <c r="D315" s="205"/>
      <c r="E315" s="205"/>
      <c r="F315" s="204"/>
      <c r="G315" s="204"/>
      <c r="H315" s="204"/>
      <c r="I315" s="204" t="str">
        <f t="shared" si="77"/>
        <v/>
      </c>
      <c r="J315" s="204" t="str">
        <f t="shared" si="78"/>
        <v/>
      </c>
      <c r="K315" s="204" t="str">
        <f t="shared" si="79"/>
        <v/>
      </c>
      <c r="L315" s="204" t="str">
        <f t="shared" si="80"/>
        <v/>
      </c>
      <c r="M315" s="76" t="str">
        <f t="shared" si="81"/>
        <v/>
      </c>
      <c r="N315" s="206">
        <f t="shared" si="82"/>
        <v>0</v>
      </c>
      <c r="O315" s="206">
        <f t="shared" si="83"/>
        <v>0</v>
      </c>
      <c r="P315" s="206">
        <f t="shared" si="84"/>
        <v>0</v>
      </c>
      <c r="Q315" s="206">
        <f t="shared" si="85"/>
        <v>0</v>
      </c>
      <c r="X315" s="71" t="str">
        <f t="shared" si="71"/>
        <v/>
      </c>
      <c r="Y315">
        <f t="shared" si="72"/>
        <v>0</v>
      </c>
      <c r="Z315">
        <f t="shared" si="73"/>
        <v>0</v>
      </c>
      <c r="AA315">
        <f t="shared" si="74"/>
        <v>0</v>
      </c>
      <c r="AB315">
        <f t="shared" si="75"/>
        <v>0</v>
      </c>
      <c r="AC315" t="str">
        <f t="shared" si="76"/>
        <v/>
      </c>
      <c r="AD315" s="204">
        <f t="shared" si="86"/>
        <v>0</v>
      </c>
      <c r="AE315" s="204">
        <f t="shared" si="87"/>
        <v>0</v>
      </c>
      <c r="AF315" s="204">
        <f t="shared" si="88"/>
        <v>0</v>
      </c>
      <c r="AG315" s="204">
        <f t="shared" si="89"/>
        <v>0</v>
      </c>
    </row>
    <row r="316" spans="1:33" x14ac:dyDescent="0.3">
      <c r="A316" s="204"/>
      <c r="B316" s="205"/>
      <c r="C316" s="205"/>
      <c r="D316" s="205"/>
      <c r="E316" s="205"/>
      <c r="F316" s="204"/>
      <c r="G316" s="204"/>
      <c r="H316" s="204"/>
      <c r="I316" s="204" t="str">
        <f t="shared" si="77"/>
        <v/>
      </c>
      <c r="J316" s="204" t="str">
        <f t="shared" si="78"/>
        <v/>
      </c>
      <c r="K316" s="204" t="str">
        <f t="shared" si="79"/>
        <v/>
      </c>
      <c r="L316" s="204" t="str">
        <f t="shared" si="80"/>
        <v/>
      </c>
      <c r="M316" s="76" t="str">
        <f t="shared" si="81"/>
        <v/>
      </c>
      <c r="N316" s="206">
        <f t="shared" si="82"/>
        <v>0</v>
      </c>
      <c r="O316" s="206">
        <f t="shared" si="83"/>
        <v>0</v>
      </c>
      <c r="P316" s="206">
        <f t="shared" si="84"/>
        <v>0</v>
      </c>
      <c r="Q316" s="206">
        <f t="shared" si="85"/>
        <v>0</v>
      </c>
      <c r="X316" s="71" t="str">
        <f t="shared" si="71"/>
        <v/>
      </c>
      <c r="Y316">
        <f t="shared" si="72"/>
        <v>0</v>
      </c>
      <c r="Z316">
        <f t="shared" si="73"/>
        <v>0</v>
      </c>
      <c r="AA316">
        <f t="shared" si="74"/>
        <v>0</v>
      </c>
      <c r="AB316">
        <f t="shared" si="75"/>
        <v>0</v>
      </c>
      <c r="AC316" t="str">
        <f t="shared" si="76"/>
        <v/>
      </c>
      <c r="AD316" s="204">
        <f t="shared" si="86"/>
        <v>0</v>
      </c>
      <c r="AE316" s="204">
        <f t="shared" si="87"/>
        <v>0</v>
      </c>
      <c r="AF316" s="204">
        <f t="shared" si="88"/>
        <v>0</v>
      </c>
      <c r="AG316" s="204">
        <f t="shared" si="89"/>
        <v>0</v>
      </c>
    </row>
    <row r="317" spans="1:33" x14ac:dyDescent="0.3">
      <c r="A317" s="204"/>
      <c r="B317" s="205"/>
      <c r="C317" s="205"/>
      <c r="D317" s="205"/>
      <c r="E317" s="205"/>
      <c r="F317" s="204"/>
      <c r="G317" s="204"/>
      <c r="H317" s="204"/>
      <c r="I317" s="204" t="str">
        <f t="shared" si="77"/>
        <v/>
      </c>
      <c r="J317" s="204" t="str">
        <f t="shared" si="78"/>
        <v/>
      </c>
      <c r="K317" s="204" t="str">
        <f t="shared" si="79"/>
        <v/>
      </c>
      <c r="L317" s="204" t="str">
        <f t="shared" si="80"/>
        <v/>
      </c>
      <c r="M317" s="76" t="str">
        <f t="shared" si="81"/>
        <v/>
      </c>
      <c r="N317" s="206">
        <f t="shared" si="82"/>
        <v>0</v>
      </c>
      <c r="O317" s="206">
        <f t="shared" si="83"/>
        <v>0</v>
      </c>
      <c r="P317" s="206">
        <f t="shared" si="84"/>
        <v>0</v>
      </c>
      <c r="Q317" s="206">
        <f t="shared" si="85"/>
        <v>0</v>
      </c>
      <c r="X317" s="71" t="str">
        <f t="shared" si="71"/>
        <v/>
      </c>
      <c r="Y317">
        <f t="shared" si="72"/>
        <v>0</v>
      </c>
      <c r="Z317">
        <f t="shared" si="73"/>
        <v>0</v>
      </c>
      <c r="AA317">
        <f t="shared" si="74"/>
        <v>0</v>
      </c>
      <c r="AB317">
        <f t="shared" si="75"/>
        <v>0</v>
      </c>
      <c r="AC317" t="str">
        <f t="shared" si="76"/>
        <v/>
      </c>
      <c r="AD317" s="204">
        <f t="shared" si="86"/>
        <v>0</v>
      </c>
      <c r="AE317" s="204">
        <f t="shared" si="87"/>
        <v>0</v>
      </c>
      <c r="AF317" s="204">
        <f t="shared" si="88"/>
        <v>0</v>
      </c>
      <c r="AG317" s="204">
        <f t="shared" si="89"/>
        <v>0</v>
      </c>
    </row>
    <row r="318" spans="1:33" x14ac:dyDescent="0.3">
      <c r="A318" s="204"/>
      <c r="B318" s="205"/>
      <c r="C318" s="205"/>
      <c r="D318" s="205"/>
      <c r="E318" s="205"/>
      <c r="F318" s="204"/>
      <c r="G318" s="204"/>
      <c r="H318" s="204"/>
      <c r="I318" s="204" t="str">
        <f t="shared" si="77"/>
        <v/>
      </c>
      <c r="J318" s="204" t="str">
        <f t="shared" si="78"/>
        <v/>
      </c>
      <c r="K318" s="204" t="str">
        <f t="shared" si="79"/>
        <v/>
      </c>
      <c r="L318" s="204" t="str">
        <f t="shared" si="80"/>
        <v/>
      </c>
      <c r="M318" s="76" t="str">
        <f t="shared" si="81"/>
        <v/>
      </c>
      <c r="N318" s="206">
        <f t="shared" si="82"/>
        <v>0</v>
      </c>
      <c r="O318" s="206">
        <f t="shared" si="83"/>
        <v>0</v>
      </c>
      <c r="P318" s="206">
        <f t="shared" si="84"/>
        <v>0</v>
      </c>
      <c r="Q318" s="206">
        <f t="shared" si="85"/>
        <v>0</v>
      </c>
      <c r="X318" s="71" t="str">
        <f t="shared" si="71"/>
        <v/>
      </c>
      <c r="Y318">
        <f t="shared" si="72"/>
        <v>0</v>
      </c>
      <c r="Z318">
        <f t="shared" si="73"/>
        <v>0</v>
      </c>
      <c r="AA318">
        <f t="shared" si="74"/>
        <v>0</v>
      </c>
      <c r="AB318">
        <f t="shared" si="75"/>
        <v>0</v>
      </c>
      <c r="AC318" t="str">
        <f t="shared" si="76"/>
        <v/>
      </c>
      <c r="AD318" s="204">
        <f t="shared" si="86"/>
        <v>0</v>
      </c>
      <c r="AE318" s="204">
        <f t="shared" si="87"/>
        <v>0</v>
      </c>
      <c r="AF318" s="204">
        <f t="shared" si="88"/>
        <v>0</v>
      </c>
      <c r="AG318" s="204">
        <f t="shared" si="89"/>
        <v>0</v>
      </c>
    </row>
    <row r="319" spans="1:33" x14ac:dyDescent="0.3">
      <c r="A319" s="204"/>
      <c r="B319" s="205"/>
      <c r="C319" s="205"/>
      <c r="D319" s="205"/>
      <c r="E319" s="205"/>
      <c r="F319" s="204"/>
      <c r="G319" s="204"/>
      <c r="H319" s="204"/>
      <c r="I319" s="204" t="str">
        <f t="shared" si="77"/>
        <v/>
      </c>
      <c r="J319" s="204" t="str">
        <f t="shared" si="78"/>
        <v/>
      </c>
      <c r="K319" s="204" t="str">
        <f t="shared" si="79"/>
        <v/>
      </c>
      <c r="L319" s="204" t="str">
        <f t="shared" si="80"/>
        <v/>
      </c>
      <c r="M319" s="76" t="str">
        <f t="shared" si="81"/>
        <v/>
      </c>
      <c r="N319" s="206">
        <f t="shared" si="82"/>
        <v>0</v>
      </c>
      <c r="O319" s="206">
        <f t="shared" si="83"/>
        <v>0</v>
      </c>
      <c r="P319" s="206">
        <f t="shared" si="84"/>
        <v>0</v>
      </c>
      <c r="Q319" s="206">
        <f t="shared" si="85"/>
        <v>0</v>
      </c>
      <c r="X319" s="71" t="str">
        <f t="shared" si="71"/>
        <v/>
      </c>
      <c r="Y319">
        <f t="shared" si="72"/>
        <v>0</v>
      </c>
      <c r="Z319">
        <f t="shared" si="73"/>
        <v>0</v>
      </c>
      <c r="AA319">
        <f t="shared" si="74"/>
        <v>0</v>
      </c>
      <c r="AB319">
        <f t="shared" si="75"/>
        <v>0</v>
      </c>
      <c r="AC319" t="str">
        <f t="shared" si="76"/>
        <v/>
      </c>
      <c r="AD319" s="204">
        <f t="shared" si="86"/>
        <v>0</v>
      </c>
      <c r="AE319" s="204">
        <f t="shared" si="87"/>
        <v>0</v>
      </c>
      <c r="AF319" s="204">
        <f t="shared" si="88"/>
        <v>0</v>
      </c>
      <c r="AG319" s="204">
        <f t="shared" si="89"/>
        <v>0</v>
      </c>
    </row>
    <row r="320" spans="1:33" x14ac:dyDescent="0.3">
      <c r="A320" s="204"/>
      <c r="B320" s="205"/>
      <c r="C320" s="205"/>
      <c r="D320" s="205"/>
      <c r="E320" s="205"/>
      <c r="F320" s="204"/>
      <c r="G320" s="204"/>
      <c r="H320" s="204"/>
      <c r="I320" s="204" t="str">
        <f t="shared" si="77"/>
        <v/>
      </c>
      <c r="J320" s="204" t="str">
        <f t="shared" si="78"/>
        <v/>
      </c>
      <c r="K320" s="204" t="str">
        <f t="shared" si="79"/>
        <v/>
      </c>
      <c r="L320" s="204" t="str">
        <f t="shared" si="80"/>
        <v/>
      </c>
      <c r="M320" s="76" t="str">
        <f t="shared" si="81"/>
        <v/>
      </c>
      <c r="N320" s="206">
        <f t="shared" si="82"/>
        <v>0</v>
      </c>
      <c r="O320" s="206">
        <f t="shared" si="83"/>
        <v>0</v>
      </c>
      <c r="P320" s="206">
        <f t="shared" si="84"/>
        <v>0</v>
      </c>
      <c r="Q320" s="206">
        <f t="shared" si="85"/>
        <v>0</v>
      </c>
      <c r="X320" s="71" t="str">
        <f t="shared" si="71"/>
        <v/>
      </c>
      <c r="Y320">
        <f t="shared" si="72"/>
        <v>0</v>
      </c>
      <c r="Z320">
        <f t="shared" si="73"/>
        <v>0</v>
      </c>
      <c r="AA320">
        <f t="shared" si="74"/>
        <v>0</v>
      </c>
      <c r="AB320">
        <f t="shared" si="75"/>
        <v>0</v>
      </c>
      <c r="AC320" t="str">
        <f t="shared" si="76"/>
        <v/>
      </c>
      <c r="AD320" s="204">
        <f t="shared" si="86"/>
        <v>0</v>
      </c>
      <c r="AE320" s="204">
        <f t="shared" si="87"/>
        <v>0</v>
      </c>
      <c r="AF320" s="204">
        <f t="shared" si="88"/>
        <v>0</v>
      </c>
      <c r="AG320" s="204">
        <f t="shared" si="89"/>
        <v>0</v>
      </c>
    </row>
    <row r="321" spans="1:33" x14ac:dyDescent="0.3">
      <c r="A321" s="204"/>
      <c r="B321" s="205"/>
      <c r="C321" s="205"/>
      <c r="D321" s="205"/>
      <c r="E321" s="205"/>
      <c r="F321" s="204"/>
      <c r="G321" s="204"/>
      <c r="H321" s="204"/>
      <c r="I321" s="204" t="str">
        <f t="shared" si="77"/>
        <v/>
      </c>
      <c r="J321" s="204" t="str">
        <f t="shared" si="78"/>
        <v/>
      </c>
      <c r="K321" s="204" t="str">
        <f t="shared" si="79"/>
        <v/>
      </c>
      <c r="L321" s="204" t="str">
        <f t="shared" si="80"/>
        <v/>
      </c>
      <c r="M321" s="76" t="str">
        <f t="shared" si="81"/>
        <v/>
      </c>
      <c r="N321" s="206">
        <f t="shared" si="82"/>
        <v>0</v>
      </c>
      <c r="O321" s="206">
        <f t="shared" si="83"/>
        <v>0</v>
      </c>
      <c r="P321" s="206">
        <f t="shared" si="84"/>
        <v>0</v>
      </c>
      <c r="Q321" s="206">
        <f t="shared" si="85"/>
        <v>0</v>
      </c>
      <c r="X321" s="71" t="str">
        <f t="shared" si="71"/>
        <v/>
      </c>
      <c r="Y321">
        <f t="shared" si="72"/>
        <v>0</v>
      </c>
      <c r="Z321">
        <f t="shared" si="73"/>
        <v>0</v>
      </c>
      <c r="AA321">
        <f t="shared" si="74"/>
        <v>0</v>
      </c>
      <c r="AB321">
        <f t="shared" si="75"/>
        <v>0</v>
      </c>
      <c r="AC321" t="str">
        <f t="shared" si="76"/>
        <v/>
      </c>
      <c r="AD321" s="204">
        <f t="shared" si="86"/>
        <v>0</v>
      </c>
      <c r="AE321" s="204">
        <f t="shared" si="87"/>
        <v>0</v>
      </c>
      <c r="AF321" s="204">
        <f t="shared" si="88"/>
        <v>0</v>
      </c>
      <c r="AG321" s="204">
        <f t="shared" si="89"/>
        <v>0</v>
      </c>
    </row>
    <row r="322" spans="1:33" x14ac:dyDescent="0.3">
      <c r="A322" s="204"/>
      <c r="B322" s="205"/>
      <c r="C322" s="205"/>
      <c r="D322" s="205"/>
      <c r="E322" s="205"/>
      <c r="F322" s="204"/>
      <c r="G322" s="204"/>
      <c r="H322" s="204"/>
      <c r="I322" s="204" t="str">
        <f t="shared" si="77"/>
        <v/>
      </c>
      <c r="J322" s="204" t="str">
        <f t="shared" si="78"/>
        <v/>
      </c>
      <c r="K322" s="204" t="str">
        <f t="shared" si="79"/>
        <v/>
      </c>
      <c r="L322" s="204" t="str">
        <f t="shared" si="80"/>
        <v/>
      </c>
      <c r="M322" s="76" t="str">
        <f t="shared" si="81"/>
        <v/>
      </c>
      <c r="N322" s="206">
        <f t="shared" si="82"/>
        <v>0</v>
      </c>
      <c r="O322" s="206">
        <f t="shared" si="83"/>
        <v>0</v>
      </c>
      <c r="P322" s="206">
        <f t="shared" si="84"/>
        <v>0</v>
      </c>
      <c r="Q322" s="206">
        <f t="shared" si="85"/>
        <v>0</v>
      </c>
      <c r="X322" s="71" t="str">
        <f t="shared" si="71"/>
        <v/>
      </c>
      <c r="Y322">
        <f t="shared" si="72"/>
        <v>0</v>
      </c>
      <c r="Z322">
        <f t="shared" si="73"/>
        <v>0</v>
      </c>
      <c r="AA322">
        <f t="shared" si="74"/>
        <v>0</v>
      </c>
      <c r="AB322">
        <f t="shared" si="75"/>
        <v>0</v>
      </c>
      <c r="AC322" t="str">
        <f t="shared" si="76"/>
        <v/>
      </c>
      <c r="AD322" s="204">
        <f t="shared" si="86"/>
        <v>0</v>
      </c>
      <c r="AE322" s="204">
        <f t="shared" si="87"/>
        <v>0</v>
      </c>
      <c r="AF322" s="204">
        <f t="shared" si="88"/>
        <v>0</v>
      </c>
      <c r="AG322" s="204">
        <f t="shared" si="89"/>
        <v>0</v>
      </c>
    </row>
    <row r="323" spans="1:33" x14ac:dyDescent="0.3">
      <c r="A323" s="204"/>
      <c r="B323" s="205"/>
      <c r="C323" s="205"/>
      <c r="D323" s="205"/>
      <c r="E323" s="205"/>
      <c r="F323" s="204"/>
      <c r="G323" s="204"/>
      <c r="H323" s="204"/>
      <c r="I323" s="204" t="str">
        <f t="shared" si="77"/>
        <v/>
      </c>
      <c r="J323" s="204" t="str">
        <f t="shared" si="78"/>
        <v/>
      </c>
      <c r="K323" s="204" t="str">
        <f t="shared" si="79"/>
        <v/>
      </c>
      <c r="L323" s="204" t="str">
        <f t="shared" si="80"/>
        <v/>
      </c>
      <c r="M323" s="76" t="str">
        <f t="shared" si="81"/>
        <v/>
      </c>
      <c r="N323" s="206">
        <f t="shared" si="82"/>
        <v>0</v>
      </c>
      <c r="O323" s="206">
        <f t="shared" si="83"/>
        <v>0</v>
      </c>
      <c r="P323" s="206">
        <f t="shared" si="84"/>
        <v>0</v>
      </c>
      <c r="Q323" s="206">
        <f t="shared" si="85"/>
        <v>0</v>
      </c>
      <c r="X323" s="71" t="str">
        <f t="shared" ref="X323:X386" si="90">M323</f>
        <v/>
      </c>
      <c r="Y323">
        <f t="shared" ref="Y323:Y361" si="91">IFERROR(IF(A323&lt;&gt;"",IF(A324&lt;&gt;"",IF(FIND("Mode AM +Tarif actuel",A324),VALUE(LEFT(B323,LEN(B323)-2)),),0),0),0)-IFERROR(IF(A323&lt;&gt;"",IF(A324&lt;&gt;"",IF(FIND("Mode AM +Tarif actuel",A324),VALUE(LEFT(B324,LEN(B324)-2)),),0),0),0)</f>
        <v>0</v>
      </c>
      <c r="Z323">
        <f t="shared" ref="Z323:Z361" si="92">IFERROR(IF(A323&lt;&gt;"",IF(A324&lt;&gt;"",IF(FIND("Mode AM +Tarif actuel",A324),VALUE(LEFT(C323,LEN(C323)-2)),),0),0),0)-IFERROR(IF(A323&lt;&gt;"",IF(A324&lt;&gt;"",IF(FIND("Mode AM +Tarif actuel",A324),VALUE(LEFT(C324,LEN(C324)-2)),),0),0),0)</f>
        <v>0</v>
      </c>
      <c r="AA323">
        <f t="shared" ref="AA323:AA361" si="93">IFERROR(IF(A323&lt;&gt;"",IF(A324&lt;&gt;"",IF(FIND("Mode AM +Tarif actuel",A324),VALUE(LEFT(D323,LEN(D323)-2)),),0),0),0)-IFERROR(IF(A323&lt;&gt;"",IF(A324&lt;&gt;"",IF(FIND("Mode AM +Tarif actuel",A324),VALUE(LEFT(D324,LEN(D324)-2)),),0),0),0)</f>
        <v>0</v>
      </c>
      <c r="AB323">
        <f t="shared" ref="AB323:AB361" si="94">IFERROR(IF(A323&lt;&gt;"",IF(A324&lt;&gt;"",IF(FIND("Mode AM +Tarif actuel",A324),VALUE(LEFT(E323,LEN(E323)-2)),),0),0),0)-IFERROR(IF(A323&lt;&gt;"",IF(A324&lt;&gt;"",IF(FIND("Mode AM +Tarif actuel",A324),VALUE(LEFT(E324,LEN(E324)-2)),),0),0),0)</f>
        <v>0</v>
      </c>
      <c r="AC323" t="str">
        <f t="shared" ref="AC323:AC363" si="95">IF(SUM(Y323:AB323)&gt;0,"A revoir","")</f>
        <v/>
      </c>
      <c r="AD323" s="204">
        <f t="shared" si="86"/>
        <v>0</v>
      </c>
      <c r="AE323" s="204">
        <f t="shared" si="87"/>
        <v>0</v>
      </c>
      <c r="AF323" s="204">
        <f t="shared" si="88"/>
        <v>0</v>
      </c>
      <c r="AG323" s="204">
        <f t="shared" si="89"/>
        <v>0</v>
      </c>
    </row>
    <row r="324" spans="1:33" x14ac:dyDescent="0.3">
      <c r="A324" s="204"/>
      <c r="B324" s="205"/>
      <c r="C324" s="205"/>
      <c r="D324" s="205"/>
      <c r="E324" s="205"/>
      <c r="F324" s="204"/>
      <c r="G324" s="204"/>
      <c r="H324" s="204"/>
      <c r="I324" s="204" t="str">
        <f t="shared" si="77"/>
        <v/>
      </c>
      <c r="J324" s="204" t="str">
        <f t="shared" si="78"/>
        <v/>
      </c>
      <c r="K324" s="204" t="str">
        <f t="shared" si="79"/>
        <v/>
      </c>
      <c r="L324" s="204" t="str">
        <f t="shared" si="80"/>
        <v/>
      </c>
      <c r="M324" s="76" t="str">
        <f t="shared" si="81"/>
        <v/>
      </c>
      <c r="N324" s="206">
        <f t="shared" si="82"/>
        <v>0</v>
      </c>
      <c r="O324" s="206">
        <f t="shared" si="83"/>
        <v>0</v>
      </c>
      <c r="P324" s="206">
        <f t="shared" si="84"/>
        <v>0</v>
      </c>
      <c r="Q324" s="206">
        <f t="shared" si="85"/>
        <v>0</v>
      </c>
      <c r="X324" s="71" t="str">
        <f t="shared" si="90"/>
        <v/>
      </c>
      <c r="Y324">
        <f t="shared" si="91"/>
        <v>0</v>
      </c>
      <c r="Z324">
        <f t="shared" si="92"/>
        <v>0</v>
      </c>
      <c r="AA324">
        <f t="shared" si="93"/>
        <v>0</v>
      </c>
      <c r="AB324">
        <f t="shared" si="94"/>
        <v>0</v>
      </c>
      <c r="AC324" t="str">
        <f t="shared" si="95"/>
        <v/>
      </c>
      <c r="AD324" s="204">
        <f t="shared" si="86"/>
        <v>0</v>
      </c>
      <c r="AE324" s="204">
        <f t="shared" si="87"/>
        <v>0</v>
      </c>
      <c r="AF324" s="204">
        <f t="shared" si="88"/>
        <v>0</v>
      </c>
      <c r="AG324" s="204">
        <f t="shared" si="89"/>
        <v>0</v>
      </c>
    </row>
    <row r="325" spans="1:33" x14ac:dyDescent="0.3">
      <c r="A325" s="204"/>
      <c r="B325" s="205"/>
      <c r="C325" s="205"/>
      <c r="D325" s="205"/>
      <c r="E325" s="205"/>
      <c r="F325" s="204"/>
      <c r="G325" s="204"/>
      <c r="H325" s="204"/>
      <c r="I325" s="204" t="str">
        <f t="shared" ref="I325:I388" si="96">IF(G325="Détail",LEN(A325),"")</f>
        <v/>
      </c>
      <c r="J325" s="204" t="str">
        <f t="shared" ref="J325:J388" si="97">IF(I325="","",LEFT(A325,3))</f>
        <v/>
      </c>
      <c r="K325" s="204" t="str">
        <f t="shared" ref="K325:K388" si="98">IF(J325&lt;&gt;"",MID(A325,5,3),"")</f>
        <v/>
      </c>
      <c r="L325" s="204" t="str">
        <f t="shared" ref="L325:L388" si="99">IF(J325&lt;&gt;"",RIGHT(A325,2),"")</f>
        <v/>
      </c>
      <c r="M325" s="76" t="str">
        <f t="shared" ref="M325:M388" si="100">IF(J325&lt;&gt;"",CONCATENATE(J325,"/",K325),"")</f>
        <v/>
      </c>
      <c r="N325" s="206">
        <f t="shared" ref="N325:N388" si="101">IFERROR(IF(A325&lt;&gt;"",IF(A326&lt;&gt;"",IF(FIND("Mode AM +Tarif actuel",A326),VALUE(LEFT(B326,LEN(B326)-2)),),0),0),0)</f>
        <v>0</v>
      </c>
      <c r="O325" s="206">
        <f t="shared" ref="O325:O388" si="102">IFERROR(IF(A325&lt;&gt;"",IF(A326&lt;&gt;"",IF(FIND("Mode AM +Tarif actuel",A326),VALUE(LEFT(C326,LEN(C326)-2)),),0),0),0)</f>
        <v>0</v>
      </c>
      <c r="P325" s="206">
        <f t="shared" ref="P325:P388" si="103">IFERROR(IF(A325&lt;&gt;"",IF(A326&lt;&gt;"",IF(FIND("Mode AM +Tarif actuel",A326),VALUE(LEFT(D326,LEN(D326)-2)),),0),0),0)</f>
        <v>0</v>
      </c>
      <c r="Q325" s="206">
        <f t="shared" ref="Q325:Q388" si="104">IFERROR(IF(A325&lt;&gt;"",IF(A326&lt;&gt;"",IF(FIND("Mode AM +Tarif actuel",A326),VALUE(LEFT(E326,LEN(E326)-2)),),0),0),0)</f>
        <v>0</v>
      </c>
      <c r="X325" s="71" t="str">
        <f t="shared" si="90"/>
        <v/>
      </c>
      <c r="Y325">
        <f t="shared" si="91"/>
        <v>0</v>
      </c>
      <c r="Z325">
        <f t="shared" si="92"/>
        <v>0</v>
      </c>
      <c r="AA325">
        <f t="shared" si="93"/>
        <v>0</v>
      </c>
      <c r="AB325">
        <f t="shared" si="94"/>
        <v>0</v>
      </c>
      <c r="AC325" t="str">
        <f t="shared" si="95"/>
        <v/>
      </c>
      <c r="AD325" s="204">
        <f t="shared" si="86"/>
        <v>0</v>
      </c>
      <c r="AE325" s="204">
        <f t="shared" si="87"/>
        <v>0</v>
      </c>
      <c r="AF325" s="204">
        <f t="shared" si="88"/>
        <v>0</v>
      </c>
      <c r="AG325" s="204">
        <f t="shared" si="89"/>
        <v>0</v>
      </c>
    </row>
    <row r="326" spans="1:33" x14ac:dyDescent="0.3">
      <c r="A326" s="204"/>
      <c r="B326" s="205"/>
      <c r="C326" s="205"/>
      <c r="D326" s="205"/>
      <c r="E326" s="205"/>
      <c r="F326" s="204"/>
      <c r="G326" s="204"/>
      <c r="H326" s="204"/>
      <c r="I326" s="204" t="str">
        <f t="shared" si="96"/>
        <v/>
      </c>
      <c r="J326" s="204" t="str">
        <f t="shared" si="97"/>
        <v/>
      </c>
      <c r="K326" s="204" t="str">
        <f t="shared" si="98"/>
        <v/>
      </c>
      <c r="L326" s="204" t="str">
        <f t="shared" si="99"/>
        <v/>
      </c>
      <c r="M326" s="76" t="str">
        <f t="shared" si="100"/>
        <v/>
      </c>
      <c r="N326" s="206">
        <f t="shared" si="101"/>
        <v>0</v>
      </c>
      <c r="O326" s="206">
        <f t="shared" si="102"/>
        <v>0</v>
      </c>
      <c r="P326" s="206">
        <f t="shared" si="103"/>
        <v>0</v>
      </c>
      <c r="Q326" s="206">
        <f t="shared" si="104"/>
        <v>0</v>
      </c>
      <c r="X326" s="71" t="str">
        <f t="shared" si="90"/>
        <v/>
      </c>
      <c r="Y326">
        <f t="shared" si="91"/>
        <v>0</v>
      </c>
      <c r="Z326">
        <f t="shared" si="92"/>
        <v>0</v>
      </c>
      <c r="AA326">
        <f t="shared" si="93"/>
        <v>0</v>
      </c>
      <c r="AB326">
        <f t="shared" si="94"/>
        <v>0</v>
      </c>
      <c r="AC326" t="str">
        <f t="shared" si="95"/>
        <v/>
      </c>
      <c r="AD326" s="204">
        <f t="shared" si="86"/>
        <v>0</v>
      </c>
      <c r="AE326" s="204">
        <f t="shared" si="87"/>
        <v>0</v>
      </c>
      <c r="AF326" s="204">
        <f t="shared" si="88"/>
        <v>0</v>
      </c>
      <c r="AG326" s="204">
        <f t="shared" si="89"/>
        <v>0</v>
      </c>
    </row>
    <row r="327" spans="1:33" x14ac:dyDescent="0.3">
      <c r="A327" s="204"/>
      <c r="B327" s="205"/>
      <c r="C327" s="205"/>
      <c r="D327" s="205"/>
      <c r="E327" s="205"/>
      <c r="F327" s="204"/>
      <c r="G327" s="204"/>
      <c r="H327" s="204"/>
      <c r="I327" s="204" t="str">
        <f t="shared" si="96"/>
        <v/>
      </c>
      <c r="J327" s="204" t="str">
        <f t="shared" si="97"/>
        <v/>
      </c>
      <c r="K327" s="204" t="str">
        <f t="shared" si="98"/>
        <v/>
      </c>
      <c r="L327" s="204" t="str">
        <f t="shared" si="99"/>
        <v/>
      </c>
      <c r="M327" s="76" t="str">
        <f t="shared" si="100"/>
        <v/>
      </c>
      <c r="N327" s="206">
        <f t="shared" si="101"/>
        <v>0</v>
      </c>
      <c r="O327" s="206">
        <f t="shared" si="102"/>
        <v>0</v>
      </c>
      <c r="P327" s="206">
        <f t="shared" si="103"/>
        <v>0</v>
      </c>
      <c r="Q327" s="206">
        <f t="shared" si="104"/>
        <v>0</v>
      </c>
      <c r="X327" s="71" t="str">
        <f t="shared" si="90"/>
        <v/>
      </c>
      <c r="Y327">
        <f t="shared" si="91"/>
        <v>0</v>
      </c>
      <c r="Z327">
        <f t="shared" si="92"/>
        <v>0</v>
      </c>
      <c r="AA327">
        <f t="shared" si="93"/>
        <v>0</v>
      </c>
      <c r="AB327">
        <f t="shared" si="94"/>
        <v>0</v>
      </c>
      <c r="AC327" t="str">
        <f t="shared" si="95"/>
        <v/>
      </c>
      <c r="AD327" s="204">
        <f t="shared" si="86"/>
        <v>0</v>
      </c>
      <c r="AE327" s="204">
        <f t="shared" si="87"/>
        <v>0</v>
      </c>
      <c r="AF327" s="204">
        <f t="shared" si="88"/>
        <v>0</v>
      </c>
      <c r="AG327" s="204">
        <f t="shared" si="89"/>
        <v>0</v>
      </c>
    </row>
    <row r="328" spans="1:33" x14ac:dyDescent="0.3">
      <c r="A328" s="204"/>
      <c r="B328" s="205"/>
      <c r="C328" s="205"/>
      <c r="D328" s="205"/>
      <c r="E328" s="205"/>
      <c r="F328" s="204"/>
      <c r="G328" s="204"/>
      <c r="H328" s="204"/>
      <c r="I328" s="204" t="str">
        <f t="shared" si="96"/>
        <v/>
      </c>
      <c r="J328" s="204" t="str">
        <f t="shared" si="97"/>
        <v/>
      </c>
      <c r="K328" s="204" t="str">
        <f t="shared" si="98"/>
        <v/>
      </c>
      <c r="L328" s="204" t="str">
        <f t="shared" si="99"/>
        <v/>
      </c>
      <c r="M328" s="76" t="str">
        <f t="shared" si="100"/>
        <v/>
      </c>
      <c r="N328" s="206">
        <f t="shared" si="101"/>
        <v>0</v>
      </c>
      <c r="O328" s="206">
        <f t="shared" si="102"/>
        <v>0</v>
      </c>
      <c r="P328" s="206">
        <f t="shared" si="103"/>
        <v>0</v>
      </c>
      <c r="Q328" s="206">
        <f t="shared" si="104"/>
        <v>0</v>
      </c>
      <c r="X328" s="71" t="str">
        <f t="shared" si="90"/>
        <v/>
      </c>
      <c r="Y328">
        <f t="shared" si="91"/>
        <v>0</v>
      </c>
      <c r="Z328">
        <f t="shared" si="92"/>
        <v>0</v>
      </c>
      <c r="AA328">
        <f t="shared" si="93"/>
        <v>0</v>
      </c>
      <c r="AB328">
        <f t="shared" si="94"/>
        <v>0</v>
      </c>
      <c r="AC328" t="str">
        <f t="shared" si="95"/>
        <v/>
      </c>
      <c r="AD328" s="204">
        <f t="shared" si="86"/>
        <v>0</v>
      </c>
      <c r="AE328" s="204">
        <f t="shared" si="87"/>
        <v>0</v>
      </c>
      <c r="AF328" s="204">
        <f t="shared" si="88"/>
        <v>0</v>
      </c>
      <c r="AG328" s="204">
        <f t="shared" si="89"/>
        <v>0</v>
      </c>
    </row>
    <row r="329" spans="1:33" x14ac:dyDescent="0.3">
      <c r="A329" s="204"/>
      <c r="B329" s="205"/>
      <c r="C329" s="205"/>
      <c r="D329" s="205"/>
      <c r="E329" s="205"/>
      <c r="F329" s="204"/>
      <c r="G329" s="204"/>
      <c r="H329" s="204"/>
      <c r="I329" s="204" t="str">
        <f t="shared" si="96"/>
        <v/>
      </c>
      <c r="J329" s="204" t="str">
        <f t="shared" si="97"/>
        <v/>
      </c>
      <c r="K329" s="204" t="str">
        <f t="shared" si="98"/>
        <v/>
      </c>
      <c r="L329" s="204" t="str">
        <f t="shared" si="99"/>
        <v/>
      </c>
      <c r="M329" s="76" t="str">
        <f t="shared" si="100"/>
        <v/>
      </c>
      <c r="N329" s="206">
        <f t="shared" si="101"/>
        <v>0</v>
      </c>
      <c r="O329" s="206">
        <f t="shared" si="102"/>
        <v>0</v>
      </c>
      <c r="P329" s="206">
        <f t="shared" si="103"/>
        <v>0</v>
      </c>
      <c r="Q329" s="206">
        <f t="shared" si="104"/>
        <v>0</v>
      </c>
      <c r="X329" s="71" t="str">
        <f t="shared" si="90"/>
        <v/>
      </c>
      <c r="Y329">
        <f t="shared" si="91"/>
        <v>0</v>
      </c>
      <c r="Z329">
        <f t="shared" si="92"/>
        <v>0</v>
      </c>
      <c r="AA329">
        <f t="shared" si="93"/>
        <v>0</v>
      </c>
      <c r="AB329">
        <f t="shared" si="94"/>
        <v>0</v>
      </c>
      <c r="AC329" t="str">
        <f t="shared" si="95"/>
        <v/>
      </c>
      <c r="AD329" s="204">
        <f t="shared" si="86"/>
        <v>0</v>
      </c>
      <c r="AE329" s="204">
        <f t="shared" si="87"/>
        <v>0</v>
      </c>
      <c r="AF329" s="204">
        <f t="shared" si="88"/>
        <v>0</v>
      </c>
      <c r="AG329" s="204">
        <f t="shared" si="89"/>
        <v>0</v>
      </c>
    </row>
    <row r="330" spans="1:33" x14ac:dyDescent="0.3">
      <c r="A330" s="204"/>
      <c r="B330" s="205"/>
      <c r="C330" s="205"/>
      <c r="D330" s="205"/>
      <c r="E330" s="205"/>
      <c r="F330" s="204"/>
      <c r="G330" s="204"/>
      <c r="H330" s="204"/>
      <c r="I330" s="204" t="str">
        <f t="shared" si="96"/>
        <v/>
      </c>
      <c r="J330" s="204" t="str">
        <f t="shared" si="97"/>
        <v/>
      </c>
      <c r="K330" s="204" t="str">
        <f t="shared" si="98"/>
        <v/>
      </c>
      <c r="L330" s="204" t="str">
        <f t="shared" si="99"/>
        <v/>
      </c>
      <c r="M330" s="76" t="str">
        <f t="shared" si="100"/>
        <v/>
      </c>
      <c r="N330" s="206">
        <f t="shared" si="101"/>
        <v>0</v>
      </c>
      <c r="O330" s="206">
        <f t="shared" si="102"/>
        <v>0</v>
      </c>
      <c r="P330" s="206">
        <f t="shared" si="103"/>
        <v>0</v>
      </c>
      <c r="Q330" s="206">
        <f t="shared" si="104"/>
        <v>0</v>
      </c>
      <c r="X330" s="71" t="str">
        <f t="shared" si="90"/>
        <v/>
      </c>
      <c r="Y330">
        <f t="shared" si="91"/>
        <v>0</v>
      </c>
      <c r="Z330">
        <f t="shared" si="92"/>
        <v>0</v>
      </c>
      <c r="AA330">
        <f t="shared" si="93"/>
        <v>0</v>
      </c>
      <c r="AB330">
        <f t="shared" si="94"/>
        <v>0</v>
      </c>
      <c r="AC330" t="str">
        <f t="shared" si="95"/>
        <v/>
      </c>
      <c r="AD330" s="204">
        <f t="shared" si="86"/>
        <v>0</v>
      </c>
      <c r="AE330" s="204">
        <f t="shared" si="87"/>
        <v>0</v>
      </c>
      <c r="AF330" s="204">
        <f t="shared" si="88"/>
        <v>0</v>
      </c>
      <c r="AG330" s="204">
        <f t="shared" si="89"/>
        <v>0</v>
      </c>
    </row>
    <row r="331" spans="1:33" x14ac:dyDescent="0.3">
      <c r="A331" s="204"/>
      <c r="B331" s="205"/>
      <c r="C331" s="205"/>
      <c r="D331" s="205"/>
      <c r="E331" s="205"/>
      <c r="F331" s="204"/>
      <c r="G331" s="204"/>
      <c r="H331" s="204"/>
      <c r="I331" s="204" t="str">
        <f t="shared" si="96"/>
        <v/>
      </c>
      <c r="J331" s="204" t="str">
        <f t="shared" si="97"/>
        <v/>
      </c>
      <c r="K331" s="204" t="str">
        <f t="shared" si="98"/>
        <v/>
      </c>
      <c r="L331" s="204" t="str">
        <f t="shared" si="99"/>
        <v/>
      </c>
      <c r="M331" s="76" t="str">
        <f t="shared" si="100"/>
        <v/>
      </c>
      <c r="N331" s="206">
        <f t="shared" si="101"/>
        <v>0</v>
      </c>
      <c r="O331" s="206">
        <f t="shared" si="102"/>
        <v>0</v>
      </c>
      <c r="P331" s="206">
        <f t="shared" si="103"/>
        <v>0</v>
      </c>
      <c r="Q331" s="206">
        <f t="shared" si="104"/>
        <v>0</v>
      </c>
      <c r="X331" s="71" t="str">
        <f t="shared" si="90"/>
        <v/>
      </c>
      <c r="Y331">
        <f t="shared" si="91"/>
        <v>0</v>
      </c>
      <c r="Z331">
        <f t="shared" si="92"/>
        <v>0</v>
      </c>
      <c r="AA331">
        <f t="shared" si="93"/>
        <v>0</v>
      </c>
      <c r="AB331">
        <f t="shared" si="94"/>
        <v>0</v>
      </c>
      <c r="AC331" t="str">
        <f t="shared" si="95"/>
        <v/>
      </c>
      <c r="AD331" s="204">
        <f t="shared" ref="AD331:AD394" si="105">IFERROR(IF(A331&lt;&gt;"",IF(A332&lt;&gt;"",IF(FIND("Mode AM +Tarif actuel",A332),VALUE(LEFT(B331,LEN(B331)-2)),),0),0),0)</f>
        <v>0</v>
      </c>
      <c r="AE331" s="204">
        <f t="shared" ref="AE331:AE394" si="106">IFERROR(IF(A331&lt;&gt;"",IF(A332&lt;&gt;"",IF(FIND("Mode AM +Tarif actuel",A332),VALUE(LEFT(C331,LEN(C331)-2)),),0),0),0)</f>
        <v>0</v>
      </c>
      <c r="AF331" s="204">
        <f t="shared" ref="AF331:AF394" si="107">IFERROR(IF(A331&lt;&gt;"",IF(A332&lt;&gt;"",IF(FIND("Mode AM +Tarif actuel",A332),VALUE(LEFT(D331,LEN(D331)-2)),),0),0),0)</f>
        <v>0</v>
      </c>
      <c r="AG331" s="204">
        <f t="shared" ref="AG331:AG394" si="108">IFERROR(IF(A331&lt;&gt;"",IF(A332&lt;&gt;"",IF(FIND("Mode AM +Tarif actuel",A332),VALUE(LEFT(E331,LEN(E331)-2)),),0),0),0)</f>
        <v>0</v>
      </c>
    </row>
    <row r="332" spans="1:33" x14ac:dyDescent="0.3">
      <c r="A332" s="204"/>
      <c r="B332" s="205"/>
      <c r="C332" s="205"/>
      <c r="D332" s="205"/>
      <c r="E332" s="205"/>
      <c r="F332" s="204"/>
      <c r="G332" s="204"/>
      <c r="H332" s="204"/>
      <c r="I332" s="204" t="str">
        <f t="shared" si="96"/>
        <v/>
      </c>
      <c r="J332" s="204" t="str">
        <f t="shared" si="97"/>
        <v/>
      </c>
      <c r="K332" s="204" t="str">
        <f t="shared" si="98"/>
        <v/>
      </c>
      <c r="L332" s="204" t="str">
        <f t="shared" si="99"/>
        <v/>
      </c>
      <c r="M332" s="76" t="str">
        <f t="shared" si="100"/>
        <v/>
      </c>
      <c r="N332" s="206">
        <f t="shared" si="101"/>
        <v>0</v>
      </c>
      <c r="O332" s="206">
        <f t="shared" si="102"/>
        <v>0</v>
      </c>
      <c r="P332" s="206">
        <f t="shared" si="103"/>
        <v>0</v>
      </c>
      <c r="Q332" s="206">
        <f t="shared" si="104"/>
        <v>0</v>
      </c>
      <c r="X332" s="71" t="str">
        <f t="shared" si="90"/>
        <v/>
      </c>
      <c r="Y332">
        <f t="shared" si="91"/>
        <v>0</v>
      </c>
      <c r="Z332">
        <f t="shared" si="92"/>
        <v>0</v>
      </c>
      <c r="AA332">
        <f t="shared" si="93"/>
        <v>0</v>
      </c>
      <c r="AB332">
        <f t="shared" si="94"/>
        <v>0</v>
      </c>
      <c r="AC332" t="str">
        <f t="shared" si="95"/>
        <v/>
      </c>
      <c r="AD332" s="204">
        <f t="shared" si="105"/>
        <v>0</v>
      </c>
      <c r="AE332" s="204">
        <f t="shared" si="106"/>
        <v>0</v>
      </c>
      <c r="AF332" s="204">
        <f t="shared" si="107"/>
        <v>0</v>
      </c>
      <c r="AG332" s="204">
        <f t="shared" si="108"/>
        <v>0</v>
      </c>
    </row>
    <row r="333" spans="1:33" x14ac:dyDescent="0.3">
      <c r="A333" s="204"/>
      <c r="B333" s="205"/>
      <c r="C333" s="205"/>
      <c r="D333" s="205"/>
      <c r="E333" s="205"/>
      <c r="F333" s="204"/>
      <c r="G333" s="204"/>
      <c r="H333" s="204"/>
      <c r="I333" s="204" t="str">
        <f t="shared" si="96"/>
        <v/>
      </c>
      <c r="J333" s="204" t="str">
        <f t="shared" si="97"/>
        <v/>
      </c>
      <c r="K333" s="204" t="str">
        <f t="shared" si="98"/>
        <v/>
      </c>
      <c r="L333" s="204" t="str">
        <f t="shared" si="99"/>
        <v/>
      </c>
      <c r="M333" s="76" t="str">
        <f t="shared" si="100"/>
        <v/>
      </c>
      <c r="N333" s="206">
        <f t="shared" si="101"/>
        <v>0</v>
      </c>
      <c r="O333" s="206">
        <f t="shared" si="102"/>
        <v>0</v>
      </c>
      <c r="P333" s="206">
        <f t="shared" si="103"/>
        <v>0</v>
      </c>
      <c r="Q333" s="206">
        <f t="shared" si="104"/>
        <v>0</v>
      </c>
      <c r="X333" s="71" t="str">
        <f t="shared" si="90"/>
        <v/>
      </c>
      <c r="Y333">
        <f t="shared" si="91"/>
        <v>0</v>
      </c>
      <c r="Z333">
        <f t="shared" si="92"/>
        <v>0</v>
      </c>
      <c r="AA333">
        <f t="shared" si="93"/>
        <v>0</v>
      </c>
      <c r="AB333">
        <f t="shared" si="94"/>
        <v>0</v>
      </c>
      <c r="AC333" t="str">
        <f t="shared" si="95"/>
        <v/>
      </c>
      <c r="AD333" s="204">
        <f t="shared" si="105"/>
        <v>0</v>
      </c>
      <c r="AE333" s="204">
        <f t="shared" si="106"/>
        <v>0</v>
      </c>
      <c r="AF333" s="204">
        <f t="shared" si="107"/>
        <v>0</v>
      </c>
      <c r="AG333" s="204">
        <f t="shared" si="108"/>
        <v>0</v>
      </c>
    </row>
    <row r="334" spans="1:33" x14ac:dyDescent="0.3">
      <c r="A334" s="204"/>
      <c r="B334" s="205"/>
      <c r="C334" s="205"/>
      <c r="D334" s="205"/>
      <c r="E334" s="205"/>
      <c r="F334" s="204"/>
      <c r="G334" s="204"/>
      <c r="H334" s="204"/>
      <c r="I334" s="204" t="str">
        <f t="shared" si="96"/>
        <v/>
      </c>
      <c r="J334" s="204" t="str">
        <f t="shared" si="97"/>
        <v/>
      </c>
      <c r="K334" s="204" t="str">
        <f t="shared" si="98"/>
        <v/>
      </c>
      <c r="L334" s="204" t="str">
        <f t="shared" si="99"/>
        <v/>
      </c>
      <c r="M334" s="76" t="str">
        <f t="shared" si="100"/>
        <v/>
      </c>
      <c r="N334" s="206">
        <f t="shared" si="101"/>
        <v>0</v>
      </c>
      <c r="O334" s="206">
        <f t="shared" si="102"/>
        <v>0</v>
      </c>
      <c r="P334" s="206">
        <f t="shared" si="103"/>
        <v>0</v>
      </c>
      <c r="Q334" s="206">
        <f t="shared" si="104"/>
        <v>0</v>
      </c>
      <c r="X334" s="71" t="str">
        <f t="shared" si="90"/>
        <v/>
      </c>
      <c r="Y334">
        <f t="shared" si="91"/>
        <v>0</v>
      </c>
      <c r="Z334">
        <f t="shared" si="92"/>
        <v>0</v>
      </c>
      <c r="AA334">
        <f t="shared" si="93"/>
        <v>0</v>
      </c>
      <c r="AB334">
        <f t="shared" si="94"/>
        <v>0</v>
      </c>
      <c r="AC334" t="str">
        <f t="shared" si="95"/>
        <v/>
      </c>
      <c r="AD334" s="204">
        <f t="shared" si="105"/>
        <v>0</v>
      </c>
      <c r="AE334" s="204">
        <f t="shared" si="106"/>
        <v>0</v>
      </c>
      <c r="AF334" s="204">
        <f t="shared" si="107"/>
        <v>0</v>
      </c>
      <c r="AG334" s="204">
        <f t="shared" si="108"/>
        <v>0</v>
      </c>
    </row>
    <row r="335" spans="1:33" x14ac:dyDescent="0.3">
      <c r="A335" s="204"/>
      <c r="B335" s="205"/>
      <c r="C335" s="205"/>
      <c r="D335" s="205"/>
      <c r="E335" s="205"/>
      <c r="F335" s="204"/>
      <c r="G335" s="204"/>
      <c r="H335" s="204"/>
      <c r="I335" s="204" t="str">
        <f t="shared" si="96"/>
        <v/>
      </c>
      <c r="J335" s="204" t="str">
        <f t="shared" si="97"/>
        <v/>
      </c>
      <c r="K335" s="204" t="str">
        <f t="shared" si="98"/>
        <v/>
      </c>
      <c r="L335" s="204" t="str">
        <f t="shared" si="99"/>
        <v/>
      </c>
      <c r="M335" s="76" t="str">
        <f t="shared" si="100"/>
        <v/>
      </c>
      <c r="N335" s="206">
        <f t="shared" si="101"/>
        <v>0</v>
      </c>
      <c r="O335" s="206">
        <f t="shared" si="102"/>
        <v>0</v>
      </c>
      <c r="P335" s="206">
        <f t="shared" si="103"/>
        <v>0</v>
      </c>
      <c r="Q335" s="206">
        <f t="shared" si="104"/>
        <v>0</v>
      </c>
      <c r="X335" s="71" t="str">
        <f t="shared" si="90"/>
        <v/>
      </c>
      <c r="Y335">
        <f t="shared" si="91"/>
        <v>0</v>
      </c>
      <c r="Z335">
        <f t="shared" si="92"/>
        <v>0</v>
      </c>
      <c r="AA335">
        <f t="shared" si="93"/>
        <v>0</v>
      </c>
      <c r="AB335">
        <f t="shared" si="94"/>
        <v>0</v>
      </c>
      <c r="AC335" t="str">
        <f t="shared" si="95"/>
        <v/>
      </c>
      <c r="AD335" s="204">
        <f t="shared" si="105"/>
        <v>0</v>
      </c>
      <c r="AE335" s="204">
        <f t="shared" si="106"/>
        <v>0</v>
      </c>
      <c r="AF335" s="204">
        <f t="shared" si="107"/>
        <v>0</v>
      </c>
      <c r="AG335" s="204">
        <f t="shared" si="108"/>
        <v>0</v>
      </c>
    </row>
    <row r="336" spans="1:33" x14ac:dyDescent="0.3">
      <c r="A336" s="204"/>
      <c r="B336" s="205"/>
      <c r="C336" s="205"/>
      <c r="D336" s="205"/>
      <c r="E336" s="205"/>
      <c r="F336" s="204"/>
      <c r="G336" s="204"/>
      <c r="H336" s="204"/>
      <c r="I336" s="204" t="str">
        <f t="shared" si="96"/>
        <v/>
      </c>
      <c r="J336" s="204" t="str">
        <f t="shared" si="97"/>
        <v/>
      </c>
      <c r="K336" s="204" t="str">
        <f t="shared" si="98"/>
        <v/>
      </c>
      <c r="L336" s="204" t="str">
        <f t="shared" si="99"/>
        <v/>
      </c>
      <c r="M336" s="76" t="str">
        <f t="shared" si="100"/>
        <v/>
      </c>
      <c r="N336" s="206">
        <f t="shared" si="101"/>
        <v>0</v>
      </c>
      <c r="O336" s="206">
        <f t="shared" si="102"/>
        <v>0</v>
      </c>
      <c r="P336" s="206">
        <f t="shared" si="103"/>
        <v>0</v>
      </c>
      <c r="Q336" s="206">
        <f t="shared" si="104"/>
        <v>0</v>
      </c>
      <c r="X336" s="71" t="str">
        <f t="shared" si="90"/>
        <v/>
      </c>
      <c r="Y336">
        <f t="shared" si="91"/>
        <v>0</v>
      </c>
      <c r="Z336">
        <f t="shared" si="92"/>
        <v>0</v>
      </c>
      <c r="AA336">
        <f t="shared" si="93"/>
        <v>0</v>
      </c>
      <c r="AB336">
        <f t="shared" si="94"/>
        <v>0</v>
      </c>
      <c r="AC336" t="str">
        <f t="shared" si="95"/>
        <v/>
      </c>
      <c r="AD336" s="204">
        <f t="shared" si="105"/>
        <v>0</v>
      </c>
      <c r="AE336" s="204">
        <f t="shared" si="106"/>
        <v>0</v>
      </c>
      <c r="AF336" s="204">
        <f t="shared" si="107"/>
        <v>0</v>
      </c>
      <c r="AG336" s="204">
        <f t="shared" si="108"/>
        <v>0</v>
      </c>
    </row>
    <row r="337" spans="1:33" x14ac:dyDescent="0.3">
      <c r="A337" s="204"/>
      <c r="B337" s="205"/>
      <c r="C337" s="205"/>
      <c r="D337" s="205"/>
      <c r="E337" s="205"/>
      <c r="F337" s="204"/>
      <c r="G337" s="204"/>
      <c r="H337" s="204"/>
      <c r="I337" s="204" t="str">
        <f t="shared" si="96"/>
        <v/>
      </c>
      <c r="J337" s="204" t="str">
        <f t="shared" si="97"/>
        <v/>
      </c>
      <c r="K337" s="204" t="str">
        <f t="shared" si="98"/>
        <v/>
      </c>
      <c r="L337" s="204" t="str">
        <f t="shared" si="99"/>
        <v/>
      </c>
      <c r="M337" s="76" t="str">
        <f t="shared" si="100"/>
        <v/>
      </c>
      <c r="N337" s="206">
        <f t="shared" si="101"/>
        <v>0</v>
      </c>
      <c r="O337" s="206">
        <f t="shared" si="102"/>
        <v>0</v>
      </c>
      <c r="P337" s="206">
        <f t="shared" si="103"/>
        <v>0</v>
      </c>
      <c r="Q337" s="206">
        <f t="shared" si="104"/>
        <v>0</v>
      </c>
      <c r="X337" s="71" t="str">
        <f t="shared" si="90"/>
        <v/>
      </c>
      <c r="Y337">
        <f t="shared" si="91"/>
        <v>0</v>
      </c>
      <c r="Z337">
        <f t="shared" si="92"/>
        <v>0</v>
      </c>
      <c r="AA337">
        <f t="shared" si="93"/>
        <v>0</v>
      </c>
      <c r="AB337">
        <f t="shared" si="94"/>
        <v>0</v>
      </c>
      <c r="AC337" t="str">
        <f t="shared" si="95"/>
        <v/>
      </c>
      <c r="AD337" s="204">
        <f t="shared" si="105"/>
        <v>0</v>
      </c>
      <c r="AE337" s="204">
        <f t="shared" si="106"/>
        <v>0</v>
      </c>
      <c r="AF337" s="204">
        <f t="shared" si="107"/>
        <v>0</v>
      </c>
      <c r="AG337" s="204">
        <f t="shared" si="108"/>
        <v>0</v>
      </c>
    </row>
    <row r="338" spans="1:33" x14ac:dyDescent="0.3">
      <c r="A338" s="204"/>
      <c r="B338" s="205"/>
      <c r="C338" s="205"/>
      <c r="D338" s="205"/>
      <c r="E338" s="205"/>
      <c r="F338" s="204"/>
      <c r="G338" s="204"/>
      <c r="H338" s="204"/>
      <c r="I338" s="204" t="str">
        <f t="shared" si="96"/>
        <v/>
      </c>
      <c r="J338" s="204" t="str">
        <f t="shared" si="97"/>
        <v/>
      </c>
      <c r="K338" s="204" t="str">
        <f t="shared" si="98"/>
        <v/>
      </c>
      <c r="L338" s="204" t="str">
        <f t="shared" si="99"/>
        <v/>
      </c>
      <c r="M338" s="76" t="str">
        <f t="shared" si="100"/>
        <v/>
      </c>
      <c r="N338" s="206">
        <f t="shared" si="101"/>
        <v>0</v>
      </c>
      <c r="O338" s="206">
        <f t="shared" si="102"/>
        <v>0</v>
      </c>
      <c r="P338" s="206">
        <f t="shared" si="103"/>
        <v>0</v>
      </c>
      <c r="Q338" s="206">
        <f t="shared" si="104"/>
        <v>0</v>
      </c>
      <c r="X338" s="71" t="str">
        <f t="shared" si="90"/>
        <v/>
      </c>
      <c r="Y338">
        <f t="shared" si="91"/>
        <v>0</v>
      </c>
      <c r="Z338">
        <f t="shared" si="92"/>
        <v>0</v>
      </c>
      <c r="AA338">
        <f t="shared" si="93"/>
        <v>0</v>
      </c>
      <c r="AB338">
        <f t="shared" si="94"/>
        <v>0</v>
      </c>
      <c r="AC338" t="str">
        <f t="shared" si="95"/>
        <v/>
      </c>
      <c r="AD338" s="204">
        <f t="shared" si="105"/>
        <v>0</v>
      </c>
      <c r="AE338" s="204">
        <f t="shared" si="106"/>
        <v>0</v>
      </c>
      <c r="AF338" s="204">
        <f t="shared" si="107"/>
        <v>0</v>
      </c>
      <c r="AG338" s="204">
        <f t="shared" si="108"/>
        <v>0</v>
      </c>
    </row>
    <row r="339" spans="1:33" x14ac:dyDescent="0.3">
      <c r="A339" s="204"/>
      <c r="B339" s="205"/>
      <c r="C339" s="205"/>
      <c r="D339" s="205"/>
      <c r="E339" s="205"/>
      <c r="F339" s="204"/>
      <c r="G339" s="204"/>
      <c r="H339" s="204"/>
      <c r="I339" s="204" t="str">
        <f t="shared" si="96"/>
        <v/>
      </c>
      <c r="J339" s="204" t="str">
        <f t="shared" si="97"/>
        <v/>
      </c>
      <c r="K339" s="204" t="str">
        <f t="shared" si="98"/>
        <v/>
      </c>
      <c r="L339" s="204" t="str">
        <f t="shared" si="99"/>
        <v/>
      </c>
      <c r="M339" s="76" t="str">
        <f t="shared" si="100"/>
        <v/>
      </c>
      <c r="N339" s="206">
        <f t="shared" si="101"/>
        <v>0</v>
      </c>
      <c r="O339" s="206">
        <f t="shared" si="102"/>
        <v>0</v>
      </c>
      <c r="P339" s="206">
        <f t="shared" si="103"/>
        <v>0</v>
      </c>
      <c r="Q339" s="206">
        <f t="shared" si="104"/>
        <v>0</v>
      </c>
      <c r="X339" s="71" t="str">
        <f t="shared" si="90"/>
        <v/>
      </c>
      <c r="Y339">
        <f t="shared" si="91"/>
        <v>0</v>
      </c>
      <c r="Z339">
        <f t="shared" si="92"/>
        <v>0</v>
      </c>
      <c r="AA339">
        <f t="shared" si="93"/>
        <v>0</v>
      </c>
      <c r="AB339">
        <f t="shared" si="94"/>
        <v>0</v>
      </c>
      <c r="AC339" t="str">
        <f t="shared" si="95"/>
        <v/>
      </c>
      <c r="AD339" s="204">
        <f t="shared" si="105"/>
        <v>0</v>
      </c>
      <c r="AE339" s="204">
        <f t="shared" si="106"/>
        <v>0</v>
      </c>
      <c r="AF339" s="204">
        <f t="shared" si="107"/>
        <v>0</v>
      </c>
      <c r="AG339" s="204">
        <f t="shared" si="108"/>
        <v>0</v>
      </c>
    </row>
    <row r="340" spans="1:33" x14ac:dyDescent="0.3">
      <c r="A340" s="204"/>
      <c r="B340" s="205"/>
      <c r="C340" s="205"/>
      <c r="D340" s="205"/>
      <c r="E340" s="205"/>
      <c r="F340" s="204"/>
      <c r="G340" s="204"/>
      <c r="H340" s="204"/>
      <c r="I340" s="204" t="str">
        <f t="shared" si="96"/>
        <v/>
      </c>
      <c r="J340" s="204" t="str">
        <f t="shared" si="97"/>
        <v/>
      </c>
      <c r="K340" s="204" t="str">
        <f t="shared" si="98"/>
        <v/>
      </c>
      <c r="L340" s="204" t="str">
        <f t="shared" si="99"/>
        <v/>
      </c>
      <c r="M340" s="76" t="str">
        <f t="shared" si="100"/>
        <v/>
      </c>
      <c r="N340" s="206">
        <f t="shared" si="101"/>
        <v>0</v>
      </c>
      <c r="O340" s="206">
        <f t="shared" si="102"/>
        <v>0</v>
      </c>
      <c r="P340" s="206">
        <f t="shared" si="103"/>
        <v>0</v>
      </c>
      <c r="Q340" s="206">
        <f t="shared" si="104"/>
        <v>0</v>
      </c>
      <c r="X340" s="71" t="str">
        <f t="shared" si="90"/>
        <v/>
      </c>
      <c r="Y340">
        <f t="shared" si="91"/>
        <v>0</v>
      </c>
      <c r="Z340">
        <f t="shared" si="92"/>
        <v>0</v>
      </c>
      <c r="AA340">
        <f t="shared" si="93"/>
        <v>0</v>
      </c>
      <c r="AB340">
        <f t="shared" si="94"/>
        <v>0</v>
      </c>
      <c r="AC340" t="str">
        <f t="shared" si="95"/>
        <v/>
      </c>
      <c r="AD340" s="204">
        <f t="shared" si="105"/>
        <v>0</v>
      </c>
      <c r="AE340" s="204">
        <f t="shared" si="106"/>
        <v>0</v>
      </c>
      <c r="AF340" s="204">
        <f t="shared" si="107"/>
        <v>0</v>
      </c>
      <c r="AG340" s="204">
        <f t="shared" si="108"/>
        <v>0</v>
      </c>
    </row>
    <row r="341" spans="1:33" x14ac:dyDescent="0.3">
      <c r="A341" s="204"/>
      <c r="B341" s="205"/>
      <c r="C341" s="205"/>
      <c r="D341" s="205"/>
      <c r="E341" s="205"/>
      <c r="F341" s="204"/>
      <c r="G341" s="204"/>
      <c r="H341" s="204"/>
      <c r="I341" s="204" t="str">
        <f t="shared" si="96"/>
        <v/>
      </c>
      <c r="J341" s="204" t="str">
        <f t="shared" si="97"/>
        <v/>
      </c>
      <c r="K341" s="204" t="str">
        <f t="shared" si="98"/>
        <v/>
      </c>
      <c r="L341" s="204" t="str">
        <f t="shared" si="99"/>
        <v/>
      </c>
      <c r="M341" s="76" t="str">
        <f t="shared" si="100"/>
        <v/>
      </c>
      <c r="N341" s="206">
        <f t="shared" si="101"/>
        <v>0</v>
      </c>
      <c r="O341" s="206">
        <f t="shared" si="102"/>
        <v>0</v>
      </c>
      <c r="P341" s="206">
        <f t="shared" si="103"/>
        <v>0</v>
      </c>
      <c r="Q341" s="206">
        <f t="shared" si="104"/>
        <v>0</v>
      </c>
      <c r="X341" s="71" t="str">
        <f t="shared" si="90"/>
        <v/>
      </c>
      <c r="Y341">
        <f t="shared" si="91"/>
        <v>0</v>
      </c>
      <c r="Z341">
        <f t="shared" si="92"/>
        <v>0</v>
      </c>
      <c r="AA341">
        <f t="shared" si="93"/>
        <v>0</v>
      </c>
      <c r="AB341">
        <f t="shared" si="94"/>
        <v>0</v>
      </c>
      <c r="AC341" t="str">
        <f t="shared" si="95"/>
        <v/>
      </c>
      <c r="AD341" s="204">
        <f t="shared" si="105"/>
        <v>0</v>
      </c>
      <c r="AE341" s="204">
        <f t="shared" si="106"/>
        <v>0</v>
      </c>
      <c r="AF341" s="204">
        <f t="shared" si="107"/>
        <v>0</v>
      </c>
      <c r="AG341" s="204">
        <f t="shared" si="108"/>
        <v>0</v>
      </c>
    </row>
    <row r="342" spans="1:33" x14ac:dyDescent="0.3">
      <c r="A342" s="204"/>
      <c r="B342" s="205"/>
      <c r="C342" s="205"/>
      <c r="D342" s="205"/>
      <c r="E342" s="205"/>
      <c r="F342" s="204"/>
      <c r="G342" s="204"/>
      <c r="H342" s="204"/>
      <c r="I342" s="204" t="str">
        <f t="shared" si="96"/>
        <v/>
      </c>
      <c r="J342" s="204" t="str">
        <f t="shared" si="97"/>
        <v/>
      </c>
      <c r="K342" s="204" t="str">
        <f t="shared" si="98"/>
        <v/>
      </c>
      <c r="L342" s="204" t="str">
        <f t="shared" si="99"/>
        <v/>
      </c>
      <c r="M342" s="76" t="str">
        <f t="shared" si="100"/>
        <v/>
      </c>
      <c r="N342" s="206">
        <f t="shared" si="101"/>
        <v>0</v>
      </c>
      <c r="O342" s="206">
        <f t="shared" si="102"/>
        <v>0</v>
      </c>
      <c r="P342" s="206">
        <f t="shared" si="103"/>
        <v>0</v>
      </c>
      <c r="Q342" s="206">
        <f t="shared" si="104"/>
        <v>0</v>
      </c>
      <c r="X342" s="71" t="str">
        <f t="shared" si="90"/>
        <v/>
      </c>
      <c r="Y342">
        <f t="shared" si="91"/>
        <v>0</v>
      </c>
      <c r="Z342">
        <f t="shared" si="92"/>
        <v>0</v>
      </c>
      <c r="AA342">
        <f t="shared" si="93"/>
        <v>0</v>
      </c>
      <c r="AB342">
        <f t="shared" si="94"/>
        <v>0</v>
      </c>
      <c r="AC342" t="str">
        <f t="shared" si="95"/>
        <v/>
      </c>
      <c r="AD342" s="204">
        <f t="shared" si="105"/>
        <v>0</v>
      </c>
      <c r="AE342" s="204">
        <f t="shared" si="106"/>
        <v>0</v>
      </c>
      <c r="AF342" s="204">
        <f t="shared" si="107"/>
        <v>0</v>
      </c>
      <c r="AG342" s="204">
        <f t="shared" si="108"/>
        <v>0</v>
      </c>
    </row>
    <row r="343" spans="1:33" x14ac:dyDescent="0.3">
      <c r="A343" s="204"/>
      <c r="B343" s="205"/>
      <c r="C343" s="205"/>
      <c r="D343" s="205"/>
      <c r="E343" s="205"/>
      <c r="F343" s="204"/>
      <c r="G343" s="204"/>
      <c r="H343" s="204"/>
      <c r="I343" s="204" t="str">
        <f t="shared" si="96"/>
        <v/>
      </c>
      <c r="J343" s="204" t="str">
        <f t="shared" si="97"/>
        <v/>
      </c>
      <c r="K343" s="204" t="str">
        <f t="shared" si="98"/>
        <v/>
      </c>
      <c r="L343" s="204" t="str">
        <f t="shared" si="99"/>
        <v/>
      </c>
      <c r="M343" s="76" t="str">
        <f t="shared" si="100"/>
        <v/>
      </c>
      <c r="N343" s="206">
        <f t="shared" si="101"/>
        <v>0</v>
      </c>
      <c r="O343" s="206">
        <f t="shared" si="102"/>
        <v>0</v>
      </c>
      <c r="P343" s="206">
        <f t="shared" si="103"/>
        <v>0</v>
      </c>
      <c r="Q343" s="206">
        <f t="shared" si="104"/>
        <v>0</v>
      </c>
      <c r="X343" s="71" t="str">
        <f t="shared" si="90"/>
        <v/>
      </c>
      <c r="Y343">
        <f t="shared" si="91"/>
        <v>0</v>
      </c>
      <c r="Z343">
        <f t="shared" si="92"/>
        <v>0</v>
      </c>
      <c r="AA343">
        <f t="shared" si="93"/>
        <v>0</v>
      </c>
      <c r="AB343">
        <f t="shared" si="94"/>
        <v>0</v>
      </c>
      <c r="AC343" t="str">
        <f t="shared" si="95"/>
        <v/>
      </c>
      <c r="AD343" s="204">
        <f t="shared" si="105"/>
        <v>0</v>
      </c>
      <c r="AE343" s="204">
        <f t="shared" si="106"/>
        <v>0</v>
      </c>
      <c r="AF343" s="204">
        <f t="shared" si="107"/>
        <v>0</v>
      </c>
      <c r="AG343" s="204">
        <f t="shared" si="108"/>
        <v>0</v>
      </c>
    </row>
    <row r="344" spans="1:33" x14ac:dyDescent="0.3">
      <c r="A344" s="204"/>
      <c r="B344" s="205"/>
      <c r="C344" s="205"/>
      <c r="D344" s="205"/>
      <c r="E344" s="205"/>
      <c r="F344" s="204"/>
      <c r="G344" s="204"/>
      <c r="H344" s="204"/>
      <c r="I344" s="204" t="str">
        <f t="shared" si="96"/>
        <v/>
      </c>
      <c r="J344" s="204" t="str">
        <f t="shared" si="97"/>
        <v/>
      </c>
      <c r="K344" s="204" t="str">
        <f t="shared" si="98"/>
        <v/>
      </c>
      <c r="L344" s="204" t="str">
        <f t="shared" si="99"/>
        <v/>
      </c>
      <c r="M344" s="76" t="str">
        <f t="shared" si="100"/>
        <v/>
      </c>
      <c r="N344" s="206">
        <f t="shared" si="101"/>
        <v>0</v>
      </c>
      <c r="O344" s="206">
        <f t="shared" si="102"/>
        <v>0</v>
      </c>
      <c r="P344" s="206">
        <f t="shared" si="103"/>
        <v>0</v>
      </c>
      <c r="Q344" s="206">
        <f t="shared" si="104"/>
        <v>0</v>
      </c>
      <c r="X344" s="71" t="str">
        <f t="shared" si="90"/>
        <v/>
      </c>
      <c r="Y344">
        <f t="shared" si="91"/>
        <v>0</v>
      </c>
      <c r="Z344">
        <f t="shared" si="92"/>
        <v>0</v>
      </c>
      <c r="AA344">
        <f t="shared" si="93"/>
        <v>0</v>
      </c>
      <c r="AB344">
        <f t="shared" si="94"/>
        <v>0</v>
      </c>
      <c r="AC344" t="str">
        <f t="shared" si="95"/>
        <v/>
      </c>
      <c r="AD344" s="204">
        <f t="shared" si="105"/>
        <v>0</v>
      </c>
      <c r="AE344" s="204">
        <f t="shared" si="106"/>
        <v>0</v>
      </c>
      <c r="AF344" s="204">
        <f t="shared" si="107"/>
        <v>0</v>
      </c>
      <c r="AG344" s="204">
        <f t="shared" si="108"/>
        <v>0</v>
      </c>
    </row>
    <row r="345" spans="1:33" x14ac:dyDescent="0.3">
      <c r="A345" s="204"/>
      <c r="B345" s="205"/>
      <c r="C345" s="205"/>
      <c r="D345" s="205"/>
      <c r="E345" s="205"/>
      <c r="F345" s="204"/>
      <c r="G345" s="204"/>
      <c r="H345" s="204"/>
      <c r="I345" s="204" t="str">
        <f t="shared" si="96"/>
        <v/>
      </c>
      <c r="J345" s="204" t="str">
        <f t="shared" si="97"/>
        <v/>
      </c>
      <c r="K345" s="204" t="str">
        <f t="shared" si="98"/>
        <v/>
      </c>
      <c r="L345" s="204" t="str">
        <f t="shared" si="99"/>
        <v/>
      </c>
      <c r="M345" s="76" t="str">
        <f t="shared" si="100"/>
        <v/>
      </c>
      <c r="N345" s="206">
        <f t="shared" si="101"/>
        <v>0</v>
      </c>
      <c r="O345" s="206">
        <f t="shared" si="102"/>
        <v>0</v>
      </c>
      <c r="P345" s="206">
        <f t="shared" si="103"/>
        <v>0</v>
      </c>
      <c r="Q345" s="206">
        <f t="shared" si="104"/>
        <v>0</v>
      </c>
      <c r="X345" s="71" t="str">
        <f t="shared" si="90"/>
        <v/>
      </c>
      <c r="Y345">
        <f t="shared" si="91"/>
        <v>0</v>
      </c>
      <c r="Z345">
        <f t="shared" si="92"/>
        <v>0</v>
      </c>
      <c r="AA345">
        <f t="shared" si="93"/>
        <v>0</v>
      </c>
      <c r="AB345">
        <f t="shared" si="94"/>
        <v>0</v>
      </c>
      <c r="AC345" t="str">
        <f t="shared" si="95"/>
        <v/>
      </c>
      <c r="AD345" s="204">
        <f t="shared" si="105"/>
        <v>0</v>
      </c>
      <c r="AE345" s="204">
        <f t="shared" si="106"/>
        <v>0</v>
      </c>
      <c r="AF345" s="204">
        <f t="shared" si="107"/>
        <v>0</v>
      </c>
      <c r="AG345" s="204">
        <f t="shared" si="108"/>
        <v>0</v>
      </c>
    </row>
    <row r="346" spans="1:33" x14ac:dyDescent="0.3">
      <c r="A346" s="204"/>
      <c r="B346" s="205"/>
      <c r="C346" s="205"/>
      <c r="D346" s="205"/>
      <c r="E346" s="205"/>
      <c r="F346" s="204"/>
      <c r="G346" s="204"/>
      <c r="H346" s="204"/>
      <c r="I346" s="204" t="str">
        <f t="shared" si="96"/>
        <v/>
      </c>
      <c r="J346" s="204" t="str">
        <f t="shared" si="97"/>
        <v/>
      </c>
      <c r="K346" s="204" t="str">
        <f t="shared" si="98"/>
        <v/>
      </c>
      <c r="L346" s="204" t="str">
        <f t="shared" si="99"/>
        <v/>
      </c>
      <c r="M346" s="76" t="str">
        <f t="shared" si="100"/>
        <v/>
      </c>
      <c r="N346" s="206">
        <f t="shared" si="101"/>
        <v>0</v>
      </c>
      <c r="O346" s="206">
        <f t="shared" si="102"/>
        <v>0</v>
      </c>
      <c r="P346" s="206">
        <f t="shared" si="103"/>
        <v>0</v>
      </c>
      <c r="Q346" s="206">
        <f t="shared" si="104"/>
        <v>0</v>
      </c>
      <c r="X346" s="71" t="str">
        <f t="shared" si="90"/>
        <v/>
      </c>
      <c r="Y346">
        <f t="shared" si="91"/>
        <v>0</v>
      </c>
      <c r="Z346">
        <f t="shared" si="92"/>
        <v>0</v>
      </c>
      <c r="AA346">
        <f t="shared" si="93"/>
        <v>0</v>
      </c>
      <c r="AB346">
        <f t="shared" si="94"/>
        <v>0</v>
      </c>
      <c r="AC346" t="str">
        <f t="shared" si="95"/>
        <v/>
      </c>
      <c r="AD346" s="204">
        <f t="shared" si="105"/>
        <v>0</v>
      </c>
      <c r="AE346" s="204">
        <f t="shared" si="106"/>
        <v>0</v>
      </c>
      <c r="AF346" s="204">
        <f t="shared" si="107"/>
        <v>0</v>
      </c>
      <c r="AG346" s="204">
        <f t="shared" si="108"/>
        <v>0</v>
      </c>
    </row>
    <row r="347" spans="1:33" x14ac:dyDescent="0.3">
      <c r="A347" s="204"/>
      <c r="B347" s="205"/>
      <c r="C347" s="205"/>
      <c r="D347" s="205"/>
      <c r="E347" s="205"/>
      <c r="F347" s="204"/>
      <c r="G347" s="204"/>
      <c r="H347" s="204"/>
      <c r="I347" s="204" t="str">
        <f t="shared" si="96"/>
        <v/>
      </c>
      <c r="J347" s="204" t="str">
        <f t="shared" si="97"/>
        <v/>
      </c>
      <c r="K347" s="204" t="str">
        <f t="shared" si="98"/>
        <v/>
      </c>
      <c r="L347" s="204" t="str">
        <f t="shared" si="99"/>
        <v/>
      </c>
      <c r="M347" s="76" t="str">
        <f t="shared" si="100"/>
        <v/>
      </c>
      <c r="N347" s="206">
        <f t="shared" si="101"/>
        <v>0</v>
      </c>
      <c r="O347" s="206">
        <f t="shared" si="102"/>
        <v>0</v>
      </c>
      <c r="P347" s="206">
        <f t="shared" si="103"/>
        <v>0</v>
      </c>
      <c r="Q347" s="206">
        <f t="shared" si="104"/>
        <v>0</v>
      </c>
      <c r="X347" s="71" t="str">
        <f t="shared" si="90"/>
        <v/>
      </c>
      <c r="Y347">
        <f t="shared" si="91"/>
        <v>0</v>
      </c>
      <c r="Z347">
        <f t="shared" si="92"/>
        <v>0</v>
      </c>
      <c r="AA347">
        <f t="shared" si="93"/>
        <v>0</v>
      </c>
      <c r="AB347">
        <f t="shared" si="94"/>
        <v>0</v>
      </c>
      <c r="AC347" t="str">
        <f t="shared" si="95"/>
        <v/>
      </c>
      <c r="AD347" s="204">
        <f t="shared" si="105"/>
        <v>0</v>
      </c>
      <c r="AE347" s="204">
        <f t="shared" si="106"/>
        <v>0</v>
      </c>
      <c r="AF347" s="204">
        <f t="shared" si="107"/>
        <v>0</v>
      </c>
      <c r="AG347" s="204">
        <f t="shared" si="108"/>
        <v>0</v>
      </c>
    </row>
    <row r="348" spans="1:33" x14ac:dyDescent="0.3">
      <c r="A348" s="204"/>
      <c r="B348" s="205"/>
      <c r="C348" s="205"/>
      <c r="D348" s="205"/>
      <c r="E348" s="205"/>
      <c r="F348" s="204"/>
      <c r="G348" s="204"/>
      <c r="H348" s="204"/>
      <c r="I348" s="204" t="str">
        <f t="shared" si="96"/>
        <v/>
      </c>
      <c r="J348" s="204" t="str">
        <f t="shared" si="97"/>
        <v/>
      </c>
      <c r="K348" s="204" t="str">
        <f t="shared" si="98"/>
        <v/>
      </c>
      <c r="L348" s="204" t="str">
        <f t="shared" si="99"/>
        <v/>
      </c>
      <c r="M348" s="76" t="str">
        <f t="shared" si="100"/>
        <v/>
      </c>
      <c r="N348" s="206">
        <f t="shared" si="101"/>
        <v>0</v>
      </c>
      <c r="O348" s="206">
        <f t="shared" si="102"/>
        <v>0</v>
      </c>
      <c r="P348" s="206">
        <f t="shared" si="103"/>
        <v>0</v>
      </c>
      <c r="Q348" s="206">
        <f t="shared" si="104"/>
        <v>0</v>
      </c>
      <c r="X348" s="71" t="str">
        <f t="shared" si="90"/>
        <v/>
      </c>
      <c r="Y348">
        <f t="shared" si="91"/>
        <v>0</v>
      </c>
      <c r="Z348">
        <f t="shared" si="92"/>
        <v>0</v>
      </c>
      <c r="AA348">
        <f t="shared" si="93"/>
        <v>0</v>
      </c>
      <c r="AB348">
        <f t="shared" si="94"/>
        <v>0</v>
      </c>
      <c r="AC348" t="str">
        <f t="shared" si="95"/>
        <v/>
      </c>
      <c r="AD348" s="204">
        <f t="shared" si="105"/>
        <v>0</v>
      </c>
      <c r="AE348" s="204">
        <f t="shared" si="106"/>
        <v>0</v>
      </c>
      <c r="AF348" s="204">
        <f t="shared" si="107"/>
        <v>0</v>
      </c>
      <c r="AG348" s="204">
        <f t="shared" si="108"/>
        <v>0</v>
      </c>
    </row>
    <row r="349" spans="1:33" x14ac:dyDescent="0.3">
      <c r="A349" s="204"/>
      <c r="B349" s="205"/>
      <c r="C349" s="205"/>
      <c r="D349" s="205"/>
      <c r="E349" s="205"/>
      <c r="F349" s="204"/>
      <c r="G349" s="204"/>
      <c r="H349" s="204"/>
      <c r="I349" s="204" t="str">
        <f t="shared" si="96"/>
        <v/>
      </c>
      <c r="J349" s="204" t="str">
        <f t="shared" si="97"/>
        <v/>
      </c>
      <c r="K349" s="204" t="str">
        <f t="shared" si="98"/>
        <v/>
      </c>
      <c r="L349" s="204" t="str">
        <f t="shared" si="99"/>
        <v/>
      </c>
      <c r="M349" s="76" t="str">
        <f t="shared" si="100"/>
        <v/>
      </c>
      <c r="N349" s="206">
        <f t="shared" si="101"/>
        <v>0</v>
      </c>
      <c r="O349" s="206">
        <f t="shared" si="102"/>
        <v>0</v>
      </c>
      <c r="P349" s="206">
        <f t="shared" si="103"/>
        <v>0</v>
      </c>
      <c r="Q349" s="206">
        <f t="shared" si="104"/>
        <v>0</v>
      </c>
      <c r="X349" s="71" t="str">
        <f t="shared" si="90"/>
        <v/>
      </c>
      <c r="Y349">
        <f t="shared" si="91"/>
        <v>0</v>
      </c>
      <c r="Z349">
        <f t="shared" si="92"/>
        <v>0</v>
      </c>
      <c r="AA349">
        <f t="shared" si="93"/>
        <v>0</v>
      </c>
      <c r="AB349">
        <f t="shared" si="94"/>
        <v>0</v>
      </c>
      <c r="AC349" t="str">
        <f t="shared" si="95"/>
        <v/>
      </c>
      <c r="AD349" s="204">
        <f t="shared" si="105"/>
        <v>0</v>
      </c>
      <c r="AE349" s="204">
        <f t="shared" si="106"/>
        <v>0</v>
      </c>
      <c r="AF349" s="204">
        <f t="shared" si="107"/>
        <v>0</v>
      </c>
      <c r="AG349" s="204">
        <f t="shared" si="108"/>
        <v>0</v>
      </c>
    </row>
    <row r="350" spans="1:33" x14ac:dyDescent="0.3">
      <c r="A350" s="204"/>
      <c r="B350" s="205"/>
      <c r="C350" s="205"/>
      <c r="D350" s="205"/>
      <c r="E350" s="205"/>
      <c r="F350" s="204"/>
      <c r="G350" s="204"/>
      <c r="H350" s="204"/>
      <c r="I350" s="204" t="str">
        <f t="shared" si="96"/>
        <v/>
      </c>
      <c r="J350" s="204" t="str">
        <f t="shared" si="97"/>
        <v/>
      </c>
      <c r="K350" s="204" t="str">
        <f t="shared" si="98"/>
        <v/>
      </c>
      <c r="L350" s="204" t="str">
        <f t="shared" si="99"/>
        <v/>
      </c>
      <c r="M350" s="76" t="str">
        <f t="shared" si="100"/>
        <v/>
      </c>
      <c r="N350" s="206">
        <f t="shared" si="101"/>
        <v>0</v>
      </c>
      <c r="O350" s="206">
        <f t="shared" si="102"/>
        <v>0</v>
      </c>
      <c r="P350" s="206">
        <f t="shared" si="103"/>
        <v>0</v>
      </c>
      <c r="Q350" s="206">
        <f t="shared" si="104"/>
        <v>0</v>
      </c>
      <c r="X350" s="71" t="str">
        <f t="shared" si="90"/>
        <v/>
      </c>
      <c r="Y350">
        <f t="shared" si="91"/>
        <v>0</v>
      </c>
      <c r="Z350">
        <f t="shared" si="92"/>
        <v>0</v>
      </c>
      <c r="AA350">
        <f t="shared" si="93"/>
        <v>0</v>
      </c>
      <c r="AB350">
        <f t="shared" si="94"/>
        <v>0</v>
      </c>
      <c r="AC350" t="str">
        <f t="shared" si="95"/>
        <v/>
      </c>
      <c r="AD350" s="204">
        <f t="shared" si="105"/>
        <v>0</v>
      </c>
      <c r="AE350" s="204">
        <f t="shared" si="106"/>
        <v>0</v>
      </c>
      <c r="AF350" s="204">
        <f t="shared" si="107"/>
        <v>0</v>
      </c>
      <c r="AG350" s="204">
        <f t="shared" si="108"/>
        <v>0</v>
      </c>
    </row>
    <row r="351" spans="1:33" x14ac:dyDescent="0.3">
      <c r="A351" s="204"/>
      <c r="B351" s="205"/>
      <c r="C351" s="205"/>
      <c r="D351" s="205"/>
      <c r="E351" s="205"/>
      <c r="F351" s="204"/>
      <c r="G351" s="204"/>
      <c r="H351" s="204"/>
      <c r="I351" s="204" t="str">
        <f t="shared" si="96"/>
        <v/>
      </c>
      <c r="J351" s="204" t="str">
        <f t="shared" si="97"/>
        <v/>
      </c>
      <c r="K351" s="204" t="str">
        <f t="shared" si="98"/>
        <v/>
      </c>
      <c r="L351" s="204" t="str">
        <f t="shared" si="99"/>
        <v/>
      </c>
      <c r="M351" s="76" t="str">
        <f t="shared" si="100"/>
        <v/>
      </c>
      <c r="N351" s="206">
        <f t="shared" si="101"/>
        <v>0</v>
      </c>
      <c r="O351" s="206">
        <f t="shared" si="102"/>
        <v>0</v>
      </c>
      <c r="P351" s="206">
        <f t="shared" si="103"/>
        <v>0</v>
      </c>
      <c r="Q351" s="206">
        <f t="shared" si="104"/>
        <v>0</v>
      </c>
      <c r="X351" s="71" t="str">
        <f t="shared" si="90"/>
        <v/>
      </c>
      <c r="Y351">
        <f t="shared" si="91"/>
        <v>0</v>
      </c>
      <c r="Z351">
        <f t="shared" si="92"/>
        <v>0</v>
      </c>
      <c r="AA351">
        <f t="shared" si="93"/>
        <v>0</v>
      </c>
      <c r="AB351">
        <f t="shared" si="94"/>
        <v>0</v>
      </c>
      <c r="AC351" t="str">
        <f t="shared" si="95"/>
        <v/>
      </c>
      <c r="AD351" s="204">
        <f t="shared" si="105"/>
        <v>0</v>
      </c>
      <c r="AE351" s="204">
        <f t="shared" si="106"/>
        <v>0</v>
      </c>
      <c r="AF351" s="204">
        <f t="shared" si="107"/>
        <v>0</v>
      </c>
      <c r="AG351" s="204">
        <f t="shared" si="108"/>
        <v>0</v>
      </c>
    </row>
    <row r="352" spans="1:33" x14ac:dyDescent="0.3">
      <c r="A352" s="204"/>
      <c r="B352" s="205"/>
      <c r="C352" s="205"/>
      <c r="D352" s="205"/>
      <c r="E352" s="205"/>
      <c r="F352" s="204"/>
      <c r="G352" s="204"/>
      <c r="H352" s="204"/>
      <c r="I352" s="204" t="str">
        <f t="shared" si="96"/>
        <v/>
      </c>
      <c r="J352" s="204" t="str">
        <f t="shared" si="97"/>
        <v/>
      </c>
      <c r="K352" s="204" t="str">
        <f t="shared" si="98"/>
        <v/>
      </c>
      <c r="L352" s="204" t="str">
        <f t="shared" si="99"/>
        <v/>
      </c>
      <c r="M352" s="76" t="str">
        <f t="shared" si="100"/>
        <v/>
      </c>
      <c r="N352" s="206">
        <f t="shared" si="101"/>
        <v>0</v>
      </c>
      <c r="O352" s="206">
        <f t="shared" si="102"/>
        <v>0</v>
      </c>
      <c r="P352" s="206">
        <f t="shared" si="103"/>
        <v>0</v>
      </c>
      <c r="Q352" s="206">
        <f t="shared" si="104"/>
        <v>0</v>
      </c>
      <c r="X352" s="71" t="str">
        <f t="shared" si="90"/>
        <v/>
      </c>
      <c r="Y352">
        <f t="shared" si="91"/>
        <v>0</v>
      </c>
      <c r="Z352">
        <f t="shared" si="92"/>
        <v>0</v>
      </c>
      <c r="AA352">
        <f t="shared" si="93"/>
        <v>0</v>
      </c>
      <c r="AB352">
        <f t="shared" si="94"/>
        <v>0</v>
      </c>
      <c r="AC352" t="str">
        <f t="shared" si="95"/>
        <v/>
      </c>
      <c r="AD352" s="204">
        <f t="shared" si="105"/>
        <v>0</v>
      </c>
      <c r="AE352" s="204">
        <f t="shared" si="106"/>
        <v>0</v>
      </c>
      <c r="AF352" s="204">
        <f t="shared" si="107"/>
        <v>0</v>
      </c>
      <c r="AG352" s="204">
        <f t="shared" si="108"/>
        <v>0</v>
      </c>
    </row>
    <row r="353" spans="1:33" x14ac:dyDescent="0.3">
      <c r="A353" s="204"/>
      <c r="B353" s="205"/>
      <c r="C353" s="205"/>
      <c r="D353" s="205"/>
      <c r="E353" s="205"/>
      <c r="F353" s="204"/>
      <c r="G353" s="204"/>
      <c r="H353" s="204"/>
      <c r="I353" s="204" t="str">
        <f t="shared" si="96"/>
        <v/>
      </c>
      <c r="J353" s="204" t="str">
        <f t="shared" si="97"/>
        <v/>
      </c>
      <c r="K353" s="204" t="str">
        <f t="shared" si="98"/>
        <v/>
      </c>
      <c r="L353" s="204" t="str">
        <f t="shared" si="99"/>
        <v/>
      </c>
      <c r="M353" s="76" t="str">
        <f t="shared" si="100"/>
        <v/>
      </c>
      <c r="N353" s="206">
        <f t="shared" si="101"/>
        <v>0</v>
      </c>
      <c r="O353" s="206">
        <f t="shared" si="102"/>
        <v>0</v>
      </c>
      <c r="P353" s="206">
        <f t="shared" si="103"/>
        <v>0</v>
      </c>
      <c r="Q353" s="206">
        <f t="shared" si="104"/>
        <v>0</v>
      </c>
      <c r="X353" s="71" t="str">
        <f t="shared" si="90"/>
        <v/>
      </c>
      <c r="Y353">
        <f t="shared" si="91"/>
        <v>0</v>
      </c>
      <c r="Z353">
        <f t="shared" si="92"/>
        <v>0</v>
      </c>
      <c r="AA353">
        <f t="shared" si="93"/>
        <v>0</v>
      </c>
      <c r="AB353">
        <f t="shared" si="94"/>
        <v>0</v>
      </c>
      <c r="AC353" t="str">
        <f t="shared" si="95"/>
        <v/>
      </c>
      <c r="AD353" s="204">
        <f t="shared" si="105"/>
        <v>0</v>
      </c>
      <c r="AE353" s="204">
        <f t="shared" si="106"/>
        <v>0</v>
      </c>
      <c r="AF353" s="204">
        <f t="shared" si="107"/>
        <v>0</v>
      </c>
      <c r="AG353" s="204">
        <f t="shared" si="108"/>
        <v>0</v>
      </c>
    </row>
    <row r="354" spans="1:33" x14ac:dyDescent="0.3">
      <c r="A354" s="204"/>
      <c r="B354" s="205"/>
      <c r="C354" s="205"/>
      <c r="D354" s="205"/>
      <c r="E354" s="205"/>
      <c r="F354" s="204"/>
      <c r="G354" s="204"/>
      <c r="H354" s="204"/>
      <c r="I354" s="204" t="str">
        <f t="shared" si="96"/>
        <v/>
      </c>
      <c r="J354" s="204" t="str">
        <f t="shared" si="97"/>
        <v/>
      </c>
      <c r="K354" s="204" t="str">
        <f t="shared" si="98"/>
        <v/>
      </c>
      <c r="L354" s="204" t="str">
        <f t="shared" si="99"/>
        <v/>
      </c>
      <c r="M354" s="76" t="str">
        <f t="shared" si="100"/>
        <v/>
      </c>
      <c r="N354" s="206">
        <f t="shared" si="101"/>
        <v>0</v>
      </c>
      <c r="O354" s="206">
        <f t="shared" si="102"/>
        <v>0</v>
      </c>
      <c r="P354" s="206">
        <f t="shared" si="103"/>
        <v>0</v>
      </c>
      <c r="Q354" s="206">
        <f t="shared" si="104"/>
        <v>0</v>
      </c>
      <c r="X354" s="71" t="str">
        <f t="shared" si="90"/>
        <v/>
      </c>
      <c r="Y354">
        <f t="shared" si="91"/>
        <v>0</v>
      </c>
      <c r="Z354">
        <f t="shared" si="92"/>
        <v>0</v>
      </c>
      <c r="AA354">
        <f t="shared" si="93"/>
        <v>0</v>
      </c>
      <c r="AB354">
        <f t="shared" si="94"/>
        <v>0</v>
      </c>
      <c r="AC354" t="str">
        <f t="shared" si="95"/>
        <v/>
      </c>
      <c r="AD354" s="204">
        <f t="shared" si="105"/>
        <v>0</v>
      </c>
      <c r="AE354" s="204">
        <f t="shared" si="106"/>
        <v>0</v>
      </c>
      <c r="AF354" s="204">
        <f t="shared" si="107"/>
        <v>0</v>
      </c>
      <c r="AG354" s="204">
        <f t="shared" si="108"/>
        <v>0</v>
      </c>
    </row>
    <row r="355" spans="1:33" x14ac:dyDescent="0.3">
      <c r="A355" s="204"/>
      <c r="B355" s="205"/>
      <c r="C355" s="205"/>
      <c r="D355" s="205"/>
      <c r="E355" s="205"/>
      <c r="F355" s="204"/>
      <c r="G355" s="204"/>
      <c r="H355" s="204"/>
      <c r="I355" s="204" t="str">
        <f t="shared" si="96"/>
        <v/>
      </c>
      <c r="J355" s="204" t="str">
        <f t="shared" si="97"/>
        <v/>
      </c>
      <c r="K355" s="204" t="str">
        <f t="shared" si="98"/>
        <v/>
      </c>
      <c r="L355" s="204" t="str">
        <f t="shared" si="99"/>
        <v/>
      </c>
      <c r="M355" s="76" t="str">
        <f t="shared" si="100"/>
        <v/>
      </c>
      <c r="N355" s="206">
        <f t="shared" si="101"/>
        <v>0</v>
      </c>
      <c r="O355" s="206">
        <f t="shared" si="102"/>
        <v>0</v>
      </c>
      <c r="P355" s="206">
        <f t="shared" si="103"/>
        <v>0</v>
      </c>
      <c r="Q355" s="206">
        <f t="shared" si="104"/>
        <v>0</v>
      </c>
      <c r="X355" s="71" t="str">
        <f t="shared" si="90"/>
        <v/>
      </c>
      <c r="Y355">
        <f t="shared" si="91"/>
        <v>0</v>
      </c>
      <c r="Z355">
        <f t="shared" si="92"/>
        <v>0</v>
      </c>
      <c r="AA355">
        <f t="shared" si="93"/>
        <v>0</v>
      </c>
      <c r="AB355">
        <f t="shared" si="94"/>
        <v>0</v>
      </c>
      <c r="AC355" t="str">
        <f t="shared" si="95"/>
        <v/>
      </c>
      <c r="AD355" s="204">
        <f t="shared" si="105"/>
        <v>0</v>
      </c>
      <c r="AE355" s="204">
        <f t="shared" si="106"/>
        <v>0</v>
      </c>
      <c r="AF355" s="204">
        <f t="shared" si="107"/>
        <v>0</v>
      </c>
      <c r="AG355" s="204">
        <f t="shared" si="108"/>
        <v>0</v>
      </c>
    </row>
    <row r="356" spans="1:33" x14ac:dyDescent="0.3">
      <c r="A356" s="204"/>
      <c r="B356" s="205"/>
      <c r="C356" s="205"/>
      <c r="D356" s="205"/>
      <c r="E356" s="205"/>
      <c r="F356" s="204"/>
      <c r="G356" s="204"/>
      <c r="H356" s="204"/>
      <c r="I356" s="204" t="str">
        <f t="shared" si="96"/>
        <v/>
      </c>
      <c r="J356" s="204" t="str">
        <f t="shared" si="97"/>
        <v/>
      </c>
      <c r="K356" s="204" t="str">
        <f t="shared" si="98"/>
        <v/>
      </c>
      <c r="L356" s="204" t="str">
        <f t="shared" si="99"/>
        <v/>
      </c>
      <c r="M356" s="76" t="str">
        <f t="shared" si="100"/>
        <v/>
      </c>
      <c r="N356" s="206">
        <f t="shared" si="101"/>
        <v>0</v>
      </c>
      <c r="O356" s="206">
        <f t="shared" si="102"/>
        <v>0</v>
      </c>
      <c r="P356" s="206">
        <f t="shared" si="103"/>
        <v>0</v>
      </c>
      <c r="Q356" s="206">
        <f t="shared" si="104"/>
        <v>0</v>
      </c>
      <c r="X356" s="71" t="str">
        <f t="shared" si="90"/>
        <v/>
      </c>
      <c r="Y356">
        <f t="shared" si="91"/>
        <v>0</v>
      </c>
      <c r="Z356">
        <f t="shared" si="92"/>
        <v>0</v>
      </c>
      <c r="AA356">
        <f t="shared" si="93"/>
        <v>0</v>
      </c>
      <c r="AB356">
        <f t="shared" si="94"/>
        <v>0</v>
      </c>
      <c r="AC356" t="str">
        <f t="shared" si="95"/>
        <v/>
      </c>
      <c r="AD356" s="204">
        <f t="shared" si="105"/>
        <v>0</v>
      </c>
      <c r="AE356" s="204">
        <f t="shared" si="106"/>
        <v>0</v>
      </c>
      <c r="AF356" s="204">
        <f t="shared" si="107"/>
        <v>0</v>
      </c>
      <c r="AG356" s="204">
        <f t="shared" si="108"/>
        <v>0</v>
      </c>
    </row>
    <row r="357" spans="1:33" x14ac:dyDescent="0.3">
      <c r="A357" s="204"/>
      <c r="B357" s="205"/>
      <c r="C357" s="205"/>
      <c r="D357" s="205"/>
      <c r="E357" s="205"/>
      <c r="F357" s="204"/>
      <c r="G357" s="204"/>
      <c r="H357" s="204"/>
      <c r="I357" s="204" t="str">
        <f t="shared" si="96"/>
        <v/>
      </c>
      <c r="J357" s="204" t="str">
        <f t="shared" si="97"/>
        <v/>
      </c>
      <c r="K357" s="204" t="str">
        <f t="shared" si="98"/>
        <v/>
      </c>
      <c r="L357" s="204" t="str">
        <f t="shared" si="99"/>
        <v/>
      </c>
      <c r="M357" s="76" t="str">
        <f t="shared" si="100"/>
        <v/>
      </c>
      <c r="N357" s="206">
        <f t="shared" si="101"/>
        <v>0</v>
      </c>
      <c r="O357" s="206">
        <f t="shared" si="102"/>
        <v>0</v>
      </c>
      <c r="P357" s="206">
        <f t="shared" si="103"/>
        <v>0</v>
      </c>
      <c r="Q357" s="206">
        <f t="shared" si="104"/>
        <v>0</v>
      </c>
      <c r="X357" s="71" t="str">
        <f t="shared" si="90"/>
        <v/>
      </c>
      <c r="Y357">
        <f t="shared" si="91"/>
        <v>0</v>
      </c>
      <c r="Z357">
        <f t="shared" si="92"/>
        <v>0</v>
      </c>
      <c r="AA357">
        <f t="shared" si="93"/>
        <v>0</v>
      </c>
      <c r="AB357">
        <f t="shared" si="94"/>
        <v>0</v>
      </c>
      <c r="AC357" t="str">
        <f t="shared" si="95"/>
        <v/>
      </c>
      <c r="AD357" s="204">
        <f t="shared" si="105"/>
        <v>0</v>
      </c>
      <c r="AE357" s="204">
        <f t="shared" si="106"/>
        <v>0</v>
      </c>
      <c r="AF357" s="204">
        <f t="shared" si="107"/>
        <v>0</v>
      </c>
      <c r="AG357" s="204">
        <f t="shared" si="108"/>
        <v>0</v>
      </c>
    </row>
    <row r="358" spans="1:33" x14ac:dyDescent="0.3">
      <c r="A358" s="204"/>
      <c r="B358" s="205"/>
      <c r="C358" s="205"/>
      <c r="D358" s="205"/>
      <c r="E358" s="205"/>
      <c r="F358" s="204"/>
      <c r="G358" s="204"/>
      <c r="H358" s="204"/>
      <c r="I358" s="204" t="str">
        <f t="shared" si="96"/>
        <v/>
      </c>
      <c r="J358" s="204" t="str">
        <f t="shared" si="97"/>
        <v/>
      </c>
      <c r="K358" s="204" t="str">
        <f t="shared" si="98"/>
        <v/>
      </c>
      <c r="L358" s="204" t="str">
        <f t="shared" si="99"/>
        <v/>
      </c>
      <c r="M358" s="76" t="str">
        <f t="shared" si="100"/>
        <v/>
      </c>
      <c r="N358" s="206">
        <f t="shared" si="101"/>
        <v>0</v>
      </c>
      <c r="O358" s="206">
        <f t="shared" si="102"/>
        <v>0</v>
      </c>
      <c r="P358" s="206">
        <f t="shared" si="103"/>
        <v>0</v>
      </c>
      <c r="Q358" s="206">
        <f t="shared" si="104"/>
        <v>0</v>
      </c>
      <c r="X358" s="71" t="str">
        <f t="shared" si="90"/>
        <v/>
      </c>
      <c r="Y358">
        <f t="shared" si="91"/>
        <v>0</v>
      </c>
      <c r="Z358">
        <f t="shared" si="92"/>
        <v>0</v>
      </c>
      <c r="AA358">
        <f t="shared" si="93"/>
        <v>0</v>
      </c>
      <c r="AB358">
        <f t="shared" si="94"/>
        <v>0</v>
      </c>
      <c r="AC358" t="str">
        <f t="shared" si="95"/>
        <v/>
      </c>
      <c r="AD358" s="204">
        <f t="shared" si="105"/>
        <v>0</v>
      </c>
      <c r="AE358" s="204">
        <f t="shared" si="106"/>
        <v>0</v>
      </c>
      <c r="AF358" s="204">
        <f t="shared" si="107"/>
        <v>0</v>
      </c>
      <c r="AG358" s="204">
        <f t="shared" si="108"/>
        <v>0</v>
      </c>
    </row>
    <row r="359" spans="1:33" x14ac:dyDescent="0.3">
      <c r="A359" s="204"/>
      <c r="B359" s="205"/>
      <c r="C359" s="205"/>
      <c r="D359" s="205"/>
      <c r="E359" s="205"/>
      <c r="F359" s="204"/>
      <c r="G359" s="204"/>
      <c r="H359" s="204"/>
      <c r="I359" s="204" t="str">
        <f t="shared" si="96"/>
        <v/>
      </c>
      <c r="J359" s="204" t="str">
        <f t="shared" si="97"/>
        <v/>
      </c>
      <c r="K359" s="204" t="str">
        <f t="shared" si="98"/>
        <v/>
      </c>
      <c r="L359" s="204" t="str">
        <f t="shared" si="99"/>
        <v/>
      </c>
      <c r="M359" s="76" t="str">
        <f t="shared" si="100"/>
        <v/>
      </c>
      <c r="N359" s="206">
        <f t="shared" si="101"/>
        <v>0</v>
      </c>
      <c r="O359" s="206">
        <f t="shared" si="102"/>
        <v>0</v>
      </c>
      <c r="P359" s="206">
        <f t="shared" si="103"/>
        <v>0</v>
      </c>
      <c r="Q359" s="206">
        <f t="shared" si="104"/>
        <v>0</v>
      </c>
      <c r="X359" s="71" t="str">
        <f t="shared" si="90"/>
        <v/>
      </c>
      <c r="Y359">
        <f t="shared" si="91"/>
        <v>0</v>
      </c>
      <c r="Z359">
        <f t="shared" si="92"/>
        <v>0</v>
      </c>
      <c r="AA359">
        <f t="shared" si="93"/>
        <v>0</v>
      </c>
      <c r="AB359">
        <f t="shared" si="94"/>
        <v>0</v>
      </c>
      <c r="AC359" t="str">
        <f t="shared" si="95"/>
        <v/>
      </c>
      <c r="AD359" s="204">
        <f t="shared" si="105"/>
        <v>0</v>
      </c>
      <c r="AE359" s="204">
        <f t="shared" si="106"/>
        <v>0</v>
      </c>
      <c r="AF359" s="204">
        <f t="shared" si="107"/>
        <v>0</v>
      </c>
      <c r="AG359" s="204">
        <f t="shared" si="108"/>
        <v>0</v>
      </c>
    </row>
    <row r="360" spans="1:33" x14ac:dyDescent="0.3">
      <c r="A360" s="204"/>
      <c r="B360" s="205"/>
      <c r="C360" s="205"/>
      <c r="D360" s="205"/>
      <c r="E360" s="205"/>
      <c r="F360" s="204"/>
      <c r="G360" s="204"/>
      <c r="H360" s="204"/>
      <c r="I360" s="204" t="str">
        <f t="shared" si="96"/>
        <v/>
      </c>
      <c r="J360" s="204" t="str">
        <f t="shared" si="97"/>
        <v/>
      </c>
      <c r="K360" s="204" t="str">
        <f t="shared" si="98"/>
        <v/>
      </c>
      <c r="L360" s="204" t="str">
        <f t="shared" si="99"/>
        <v/>
      </c>
      <c r="M360" s="76" t="str">
        <f t="shared" si="100"/>
        <v/>
      </c>
      <c r="N360" s="206">
        <f t="shared" si="101"/>
        <v>0</v>
      </c>
      <c r="O360" s="206">
        <f t="shared" si="102"/>
        <v>0</v>
      </c>
      <c r="P360" s="206">
        <f t="shared" si="103"/>
        <v>0</v>
      </c>
      <c r="Q360" s="206">
        <f t="shared" si="104"/>
        <v>0</v>
      </c>
      <c r="X360" s="71" t="str">
        <f t="shared" si="90"/>
        <v/>
      </c>
      <c r="Y360">
        <f t="shared" si="91"/>
        <v>0</v>
      </c>
      <c r="Z360">
        <f t="shared" si="92"/>
        <v>0</v>
      </c>
      <c r="AA360">
        <f t="shared" si="93"/>
        <v>0</v>
      </c>
      <c r="AB360">
        <f t="shared" si="94"/>
        <v>0</v>
      </c>
      <c r="AC360" t="str">
        <f t="shared" si="95"/>
        <v/>
      </c>
      <c r="AD360" s="204">
        <f t="shared" si="105"/>
        <v>0</v>
      </c>
      <c r="AE360" s="204">
        <f t="shared" si="106"/>
        <v>0</v>
      </c>
      <c r="AF360" s="204">
        <f t="shared" si="107"/>
        <v>0</v>
      </c>
      <c r="AG360" s="204">
        <f t="shared" si="108"/>
        <v>0</v>
      </c>
    </row>
    <row r="361" spans="1:33" x14ac:dyDescent="0.3">
      <c r="A361" s="204"/>
      <c r="B361" s="205"/>
      <c r="C361" s="205"/>
      <c r="D361" s="205"/>
      <c r="E361" s="205"/>
      <c r="F361" s="204"/>
      <c r="G361" s="204"/>
      <c r="H361" s="204"/>
      <c r="I361" s="204" t="str">
        <f t="shared" si="96"/>
        <v/>
      </c>
      <c r="J361" s="204" t="str">
        <f t="shared" si="97"/>
        <v/>
      </c>
      <c r="K361" s="204" t="str">
        <f t="shared" si="98"/>
        <v/>
      </c>
      <c r="L361" s="204" t="str">
        <f t="shared" si="99"/>
        <v/>
      </c>
      <c r="M361" s="76" t="str">
        <f t="shared" si="100"/>
        <v/>
      </c>
      <c r="N361" s="206">
        <f t="shared" si="101"/>
        <v>0</v>
      </c>
      <c r="O361" s="206">
        <f t="shared" si="102"/>
        <v>0</v>
      </c>
      <c r="P361" s="206">
        <f t="shared" si="103"/>
        <v>0</v>
      </c>
      <c r="Q361" s="206">
        <f t="shared" si="104"/>
        <v>0</v>
      </c>
      <c r="X361" s="71" t="str">
        <f t="shared" si="90"/>
        <v/>
      </c>
      <c r="Y361">
        <f t="shared" si="91"/>
        <v>0</v>
      </c>
      <c r="Z361">
        <f t="shared" si="92"/>
        <v>0</v>
      </c>
      <c r="AA361">
        <f t="shared" si="93"/>
        <v>0</v>
      </c>
      <c r="AB361">
        <f t="shared" si="94"/>
        <v>0</v>
      </c>
      <c r="AC361" t="str">
        <f t="shared" si="95"/>
        <v/>
      </c>
      <c r="AD361" s="204">
        <f t="shared" si="105"/>
        <v>0</v>
      </c>
      <c r="AE361" s="204">
        <f t="shared" si="106"/>
        <v>0</v>
      </c>
      <c r="AF361" s="204">
        <f t="shared" si="107"/>
        <v>0</v>
      </c>
      <c r="AG361" s="204">
        <f t="shared" si="108"/>
        <v>0</v>
      </c>
    </row>
    <row r="362" spans="1:33" x14ac:dyDescent="0.3">
      <c r="A362" s="204"/>
      <c r="B362" s="205"/>
      <c r="C362" s="205"/>
      <c r="D362" s="205"/>
      <c r="E362" s="205"/>
      <c r="F362" s="204"/>
      <c r="G362" s="204"/>
      <c r="H362" s="204"/>
      <c r="I362" s="204" t="str">
        <f t="shared" si="96"/>
        <v/>
      </c>
      <c r="J362" s="204" t="str">
        <f t="shared" si="97"/>
        <v/>
      </c>
      <c r="K362" s="204" t="str">
        <f t="shared" si="98"/>
        <v/>
      </c>
      <c r="L362" s="204" t="str">
        <f t="shared" si="99"/>
        <v/>
      </c>
      <c r="M362" s="76" t="str">
        <f t="shared" si="100"/>
        <v/>
      </c>
      <c r="N362" s="206">
        <f t="shared" si="101"/>
        <v>0</v>
      </c>
      <c r="O362" s="206">
        <f t="shared" si="102"/>
        <v>0</v>
      </c>
      <c r="P362" s="206">
        <f t="shared" si="103"/>
        <v>0</v>
      </c>
      <c r="Q362" s="206">
        <f t="shared" si="104"/>
        <v>0</v>
      </c>
      <c r="X362" s="71" t="str">
        <f t="shared" si="90"/>
        <v/>
      </c>
      <c r="Y362">
        <f t="shared" ref="Y362:Y425" si="109">IFERROR(IF(A362&lt;&gt;"",IF(A363&lt;&gt;"",IF(FIND("Mode AM +Tarif actuel",A363),VALUE(LEFT(B362,LEN(B362)-2)),),0),0),0)-IFERROR(IF(A362&lt;&gt;"",IF(A363&lt;&gt;"",IF(FIND("Mode AM +Tarif actuel",A363),VALUE(LEFT(B363,LEN(B363)-2)),),0),0),0)</f>
        <v>0</v>
      </c>
      <c r="Z362">
        <f t="shared" ref="Z362:Z425" si="110">IFERROR(IF(A362&lt;&gt;"",IF(A363&lt;&gt;"",IF(FIND("Mode AM +Tarif actuel",A363),VALUE(LEFT(C362,LEN(C362)-2)),),0),0),0)-IFERROR(IF(A362&lt;&gt;"",IF(A363&lt;&gt;"",IF(FIND("Mode AM +Tarif actuel",A363),VALUE(LEFT(C363,LEN(C363)-2)),),0),0),0)</f>
        <v>0</v>
      </c>
      <c r="AA362">
        <f t="shared" ref="AA362:AA425" si="111">IFERROR(IF(A362&lt;&gt;"",IF(A363&lt;&gt;"",IF(FIND("Mode AM +Tarif actuel",A363),VALUE(LEFT(D362,LEN(D362)-2)),),0),0),0)-IFERROR(IF(A362&lt;&gt;"",IF(A363&lt;&gt;"",IF(FIND("Mode AM +Tarif actuel",A363),VALUE(LEFT(D363,LEN(D363)-2)),),0),0),0)</f>
        <v>0</v>
      </c>
      <c r="AB362">
        <f t="shared" ref="AB362:AB425" si="112">IFERROR(IF(A362&lt;&gt;"",IF(A363&lt;&gt;"",IF(FIND("Mode AM +Tarif actuel",A363),VALUE(LEFT(E362,LEN(E362)-2)),),0),0),0)-IFERROR(IF(A362&lt;&gt;"",IF(A363&lt;&gt;"",IF(FIND("Mode AM +Tarif actuel",A363),VALUE(LEFT(E363,LEN(E363)-2)),),0),0),0)</f>
        <v>0</v>
      </c>
      <c r="AC362" t="str">
        <f t="shared" si="95"/>
        <v/>
      </c>
      <c r="AD362" s="204">
        <f t="shared" si="105"/>
        <v>0</v>
      </c>
      <c r="AE362" s="204">
        <f t="shared" si="106"/>
        <v>0</v>
      </c>
      <c r="AF362" s="204">
        <f t="shared" si="107"/>
        <v>0</v>
      </c>
      <c r="AG362" s="204">
        <f t="shared" si="108"/>
        <v>0</v>
      </c>
    </row>
    <row r="363" spans="1:33" x14ac:dyDescent="0.3">
      <c r="A363" s="204"/>
      <c r="B363" s="205"/>
      <c r="C363" s="205"/>
      <c r="D363" s="205"/>
      <c r="E363" s="205"/>
      <c r="F363" s="204"/>
      <c r="G363" s="204"/>
      <c r="H363" s="204"/>
      <c r="I363" s="204" t="str">
        <f t="shared" si="96"/>
        <v/>
      </c>
      <c r="J363" s="204" t="str">
        <f t="shared" si="97"/>
        <v/>
      </c>
      <c r="K363" s="204" t="str">
        <f t="shared" si="98"/>
        <v/>
      </c>
      <c r="L363" s="204" t="str">
        <f t="shared" si="99"/>
        <v/>
      </c>
      <c r="M363" s="76" t="str">
        <f t="shared" si="100"/>
        <v/>
      </c>
      <c r="N363" s="206">
        <f t="shared" si="101"/>
        <v>0</v>
      </c>
      <c r="O363" s="206">
        <f t="shared" si="102"/>
        <v>0</v>
      </c>
      <c r="P363" s="206">
        <f t="shared" si="103"/>
        <v>0</v>
      </c>
      <c r="Q363" s="206">
        <f t="shared" si="104"/>
        <v>0</v>
      </c>
      <c r="X363" s="71" t="str">
        <f t="shared" si="90"/>
        <v/>
      </c>
      <c r="Y363">
        <f t="shared" si="109"/>
        <v>0</v>
      </c>
      <c r="Z363">
        <f t="shared" si="110"/>
        <v>0</v>
      </c>
      <c r="AA363">
        <f t="shared" si="111"/>
        <v>0</v>
      </c>
      <c r="AB363">
        <f t="shared" si="112"/>
        <v>0</v>
      </c>
      <c r="AC363" t="str">
        <f t="shared" si="95"/>
        <v/>
      </c>
      <c r="AD363" s="204">
        <f t="shared" si="105"/>
        <v>0</v>
      </c>
      <c r="AE363" s="204">
        <f t="shared" si="106"/>
        <v>0</v>
      </c>
      <c r="AF363" s="204">
        <f t="shared" si="107"/>
        <v>0</v>
      </c>
      <c r="AG363" s="204">
        <f t="shared" si="108"/>
        <v>0</v>
      </c>
    </row>
    <row r="364" spans="1:33" x14ac:dyDescent="0.3">
      <c r="A364" s="204"/>
      <c r="B364" s="205"/>
      <c r="C364" s="205"/>
      <c r="D364" s="205"/>
      <c r="E364" s="205"/>
      <c r="F364" s="204"/>
      <c r="G364" s="204"/>
      <c r="H364" s="204"/>
      <c r="I364" s="204" t="str">
        <f t="shared" si="96"/>
        <v/>
      </c>
      <c r="J364" s="204" t="str">
        <f t="shared" si="97"/>
        <v/>
      </c>
      <c r="K364" s="204" t="str">
        <f t="shared" si="98"/>
        <v/>
      </c>
      <c r="L364" s="204" t="str">
        <f t="shared" si="99"/>
        <v/>
      </c>
      <c r="M364" s="76" t="str">
        <f t="shared" si="100"/>
        <v/>
      </c>
      <c r="N364" s="206">
        <f t="shared" si="101"/>
        <v>0</v>
      </c>
      <c r="O364" s="206">
        <f t="shared" si="102"/>
        <v>0</v>
      </c>
      <c r="P364" s="206">
        <f t="shared" si="103"/>
        <v>0</v>
      </c>
      <c r="Q364" s="206">
        <f t="shared" si="104"/>
        <v>0</v>
      </c>
      <c r="X364" s="71" t="str">
        <f t="shared" si="90"/>
        <v/>
      </c>
      <c r="Y364">
        <f t="shared" si="109"/>
        <v>0</v>
      </c>
      <c r="Z364">
        <f t="shared" si="110"/>
        <v>0</v>
      </c>
      <c r="AA364">
        <f t="shared" si="111"/>
        <v>0</v>
      </c>
      <c r="AB364">
        <f t="shared" si="112"/>
        <v>0</v>
      </c>
      <c r="AD364" s="204">
        <f t="shared" si="105"/>
        <v>0</v>
      </c>
      <c r="AE364" s="204">
        <f t="shared" si="106"/>
        <v>0</v>
      </c>
      <c r="AF364" s="204">
        <f t="shared" si="107"/>
        <v>0</v>
      </c>
      <c r="AG364" s="204">
        <f t="shared" si="108"/>
        <v>0</v>
      </c>
    </row>
    <row r="365" spans="1:33" x14ac:dyDescent="0.3">
      <c r="A365" s="204"/>
      <c r="B365" s="205"/>
      <c r="C365" s="205"/>
      <c r="D365" s="205"/>
      <c r="E365" s="205"/>
      <c r="F365" s="204"/>
      <c r="G365" s="204"/>
      <c r="H365" s="204"/>
      <c r="I365" s="204" t="str">
        <f t="shared" si="96"/>
        <v/>
      </c>
      <c r="J365" s="204" t="str">
        <f t="shared" si="97"/>
        <v/>
      </c>
      <c r="K365" s="204" t="str">
        <f t="shared" si="98"/>
        <v/>
      </c>
      <c r="L365" s="204" t="str">
        <f t="shared" si="99"/>
        <v/>
      </c>
      <c r="M365" s="76" t="str">
        <f t="shared" si="100"/>
        <v/>
      </c>
      <c r="N365" s="206">
        <f t="shared" si="101"/>
        <v>0</v>
      </c>
      <c r="O365" s="206">
        <f t="shared" si="102"/>
        <v>0</v>
      </c>
      <c r="P365" s="206">
        <f t="shared" si="103"/>
        <v>0</v>
      </c>
      <c r="Q365" s="206">
        <f t="shared" si="104"/>
        <v>0</v>
      </c>
      <c r="X365" s="71" t="str">
        <f t="shared" si="90"/>
        <v/>
      </c>
      <c r="Y365">
        <f t="shared" si="109"/>
        <v>0</v>
      </c>
      <c r="Z365">
        <f t="shared" si="110"/>
        <v>0</v>
      </c>
      <c r="AA365">
        <f t="shared" si="111"/>
        <v>0</v>
      </c>
      <c r="AB365">
        <f t="shared" si="112"/>
        <v>0</v>
      </c>
      <c r="AD365" s="204">
        <f t="shared" si="105"/>
        <v>0</v>
      </c>
      <c r="AE365" s="204">
        <f t="shared" si="106"/>
        <v>0</v>
      </c>
      <c r="AF365" s="204">
        <f t="shared" si="107"/>
        <v>0</v>
      </c>
      <c r="AG365" s="204">
        <f t="shared" si="108"/>
        <v>0</v>
      </c>
    </row>
    <row r="366" spans="1:33" x14ac:dyDescent="0.3">
      <c r="A366" s="204"/>
      <c r="B366" s="205"/>
      <c r="C366" s="205"/>
      <c r="D366" s="205"/>
      <c r="E366" s="205"/>
      <c r="F366" s="204"/>
      <c r="G366" s="204"/>
      <c r="H366" s="204"/>
      <c r="I366" s="204" t="str">
        <f t="shared" si="96"/>
        <v/>
      </c>
      <c r="J366" s="204" t="str">
        <f t="shared" si="97"/>
        <v/>
      </c>
      <c r="K366" s="204" t="str">
        <f t="shared" si="98"/>
        <v/>
      </c>
      <c r="L366" s="204" t="str">
        <f t="shared" si="99"/>
        <v/>
      </c>
      <c r="M366" s="76" t="str">
        <f t="shared" si="100"/>
        <v/>
      </c>
      <c r="N366" s="206">
        <f t="shared" si="101"/>
        <v>0</v>
      </c>
      <c r="O366" s="206">
        <f t="shared" si="102"/>
        <v>0</v>
      </c>
      <c r="P366" s="206">
        <f t="shared" si="103"/>
        <v>0</v>
      </c>
      <c r="Q366" s="206">
        <f t="shared" si="104"/>
        <v>0</v>
      </c>
      <c r="X366" s="71" t="str">
        <f t="shared" si="90"/>
        <v/>
      </c>
      <c r="Y366">
        <f t="shared" si="109"/>
        <v>0</v>
      </c>
      <c r="Z366">
        <f t="shared" si="110"/>
        <v>0</v>
      </c>
      <c r="AA366">
        <f t="shared" si="111"/>
        <v>0</v>
      </c>
      <c r="AB366">
        <f t="shared" si="112"/>
        <v>0</v>
      </c>
      <c r="AD366" s="204">
        <f t="shared" si="105"/>
        <v>0</v>
      </c>
      <c r="AE366" s="204">
        <f t="shared" si="106"/>
        <v>0</v>
      </c>
      <c r="AF366" s="204">
        <f t="shared" si="107"/>
        <v>0</v>
      </c>
      <c r="AG366" s="204">
        <f t="shared" si="108"/>
        <v>0</v>
      </c>
    </row>
    <row r="367" spans="1:33" x14ac:dyDescent="0.3">
      <c r="A367" s="204"/>
      <c r="B367" s="205"/>
      <c r="C367" s="205"/>
      <c r="D367" s="205"/>
      <c r="E367" s="205"/>
      <c r="F367" s="204"/>
      <c r="G367" s="204"/>
      <c r="H367" s="204"/>
      <c r="I367" s="204" t="str">
        <f t="shared" si="96"/>
        <v/>
      </c>
      <c r="J367" s="204" t="str">
        <f t="shared" si="97"/>
        <v/>
      </c>
      <c r="K367" s="204" t="str">
        <f t="shared" si="98"/>
        <v/>
      </c>
      <c r="L367" s="204" t="str">
        <f t="shared" si="99"/>
        <v/>
      </c>
      <c r="M367" s="76" t="str">
        <f t="shared" si="100"/>
        <v/>
      </c>
      <c r="N367" s="206">
        <f t="shared" si="101"/>
        <v>0</v>
      </c>
      <c r="O367" s="206">
        <f t="shared" si="102"/>
        <v>0</v>
      </c>
      <c r="P367" s="206">
        <f t="shared" si="103"/>
        <v>0</v>
      </c>
      <c r="Q367" s="206">
        <f t="shared" si="104"/>
        <v>0</v>
      </c>
      <c r="X367" s="71" t="str">
        <f t="shared" si="90"/>
        <v/>
      </c>
      <c r="Y367">
        <f t="shared" si="109"/>
        <v>0</v>
      </c>
      <c r="Z367">
        <f t="shared" si="110"/>
        <v>0</v>
      </c>
      <c r="AA367">
        <f t="shared" si="111"/>
        <v>0</v>
      </c>
      <c r="AB367">
        <f t="shared" si="112"/>
        <v>0</v>
      </c>
      <c r="AD367" s="204">
        <f t="shared" si="105"/>
        <v>0</v>
      </c>
      <c r="AE367" s="204">
        <f t="shared" si="106"/>
        <v>0</v>
      </c>
      <c r="AF367" s="204">
        <f t="shared" si="107"/>
        <v>0</v>
      </c>
      <c r="AG367" s="204">
        <f t="shared" si="108"/>
        <v>0</v>
      </c>
    </row>
    <row r="368" spans="1:33" x14ac:dyDescent="0.3">
      <c r="A368" s="204"/>
      <c r="B368" s="205"/>
      <c r="C368" s="205"/>
      <c r="D368" s="205"/>
      <c r="E368" s="205"/>
      <c r="F368" s="204"/>
      <c r="G368" s="204"/>
      <c r="H368" s="204"/>
      <c r="I368" s="204" t="str">
        <f t="shared" si="96"/>
        <v/>
      </c>
      <c r="J368" s="204" t="str">
        <f t="shared" si="97"/>
        <v/>
      </c>
      <c r="K368" s="204" t="str">
        <f t="shared" si="98"/>
        <v/>
      </c>
      <c r="L368" s="204" t="str">
        <f t="shared" si="99"/>
        <v/>
      </c>
      <c r="M368" s="76" t="str">
        <f t="shared" si="100"/>
        <v/>
      </c>
      <c r="N368" s="206">
        <f t="shared" si="101"/>
        <v>0</v>
      </c>
      <c r="O368" s="206">
        <f t="shared" si="102"/>
        <v>0</v>
      </c>
      <c r="P368" s="206">
        <f t="shared" si="103"/>
        <v>0</v>
      </c>
      <c r="Q368" s="206">
        <f t="shared" si="104"/>
        <v>0</v>
      </c>
      <c r="X368" s="71" t="str">
        <f t="shared" si="90"/>
        <v/>
      </c>
      <c r="Y368">
        <f t="shared" si="109"/>
        <v>0</v>
      </c>
      <c r="Z368">
        <f t="shared" si="110"/>
        <v>0</v>
      </c>
      <c r="AA368">
        <f t="shared" si="111"/>
        <v>0</v>
      </c>
      <c r="AB368">
        <f t="shared" si="112"/>
        <v>0</v>
      </c>
      <c r="AD368" s="204">
        <f t="shared" si="105"/>
        <v>0</v>
      </c>
      <c r="AE368" s="204">
        <f t="shared" si="106"/>
        <v>0</v>
      </c>
      <c r="AF368" s="204">
        <f t="shared" si="107"/>
        <v>0</v>
      </c>
      <c r="AG368" s="204">
        <f t="shared" si="108"/>
        <v>0</v>
      </c>
    </row>
    <row r="369" spans="1:33" x14ac:dyDescent="0.3">
      <c r="A369" s="204"/>
      <c r="B369" s="205"/>
      <c r="C369" s="205"/>
      <c r="D369" s="205"/>
      <c r="E369" s="205"/>
      <c r="F369" s="204"/>
      <c r="G369" s="204"/>
      <c r="H369" s="204"/>
      <c r="I369" s="204" t="str">
        <f t="shared" si="96"/>
        <v/>
      </c>
      <c r="J369" s="204" t="str">
        <f t="shared" si="97"/>
        <v/>
      </c>
      <c r="K369" s="204" t="str">
        <f t="shared" si="98"/>
        <v/>
      </c>
      <c r="L369" s="204" t="str">
        <f t="shared" si="99"/>
        <v/>
      </c>
      <c r="M369" s="76" t="str">
        <f t="shared" si="100"/>
        <v/>
      </c>
      <c r="N369" s="206">
        <f t="shared" si="101"/>
        <v>0</v>
      </c>
      <c r="O369" s="206">
        <f t="shared" si="102"/>
        <v>0</v>
      </c>
      <c r="P369" s="206">
        <f t="shared" si="103"/>
        <v>0</v>
      </c>
      <c r="Q369" s="206">
        <f t="shared" si="104"/>
        <v>0</v>
      </c>
      <c r="X369" s="71" t="str">
        <f t="shared" si="90"/>
        <v/>
      </c>
      <c r="Y369">
        <f t="shared" si="109"/>
        <v>0</v>
      </c>
      <c r="Z369">
        <f t="shared" si="110"/>
        <v>0</v>
      </c>
      <c r="AA369">
        <f t="shared" si="111"/>
        <v>0</v>
      </c>
      <c r="AB369">
        <f t="shared" si="112"/>
        <v>0</v>
      </c>
      <c r="AD369" s="204">
        <f t="shared" si="105"/>
        <v>0</v>
      </c>
      <c r="AE369" s="204">
        <f t="shared" si="106"/>
        <v>0</v>
      </c>
      <c r="AF369" s="204">
        <f t="shared" si="107"/>
        <v>0</v>
      </c>
      <c r="AG369" s="204">
        <f t="shared" si="108"/>
        <v>0</v>
      </c>
    </row>
    <row r="370" spans="1:33" x14ac:dyDescent="0.3">
      <c r="A370" s="204"/>
      <c r="B370" s="205"/>
      <c r="C370" s="205"/>
      <c r="D370" s="205"/>
      <c r="E370" s="205"/>
      <c r="F370" s="204"/>
      <c r="G370" s="204"/>
      <c r="H370" s="204"/>
      <c r="I370" s="204" t="str">
        <f t="shared" si="96"/>
        <v/>
      </c>
      <c r="J370" s="204" t="str">
        <f t="shared" si="97"/>
        <v/>
      </c>
      <c r="K370" s="204" t="str">
        <f t="shared" si="98"/>
        <v/>
      </c>
      <c r="L370" s="204" t="str">
        <f t="shared" si="99"/>
        <v/>
      </c>
      <c r="M370" s="76" t="str">
        <f t="shared" si="100"/>
        <v/>
      </c>
      <c r="N370" s="206">
        <f t="shared" si="101"/>
        <v>0</v>
      </c>
      <c r="O370" s="206">
        <f t="shared" si="102"/>
        <v>0</v>
      </c>
      <c r="P370" s="206">
        <f t="shared" si="103"/>
        <v>0</v>
      </c>
      <c r="Q370" s="206">
        <f t="shared" si="104"/>
        <v>0</v>
      </c>
      <c r="X370" s="71" t="str">
        <f t="shared" si="90"/>
        <v/>
      </c>
      <c r="Y370">
        <f t="shared" si="109"/>
        <v>0</v>
      </c>
      <c r="Z370">
        <f t="shared" si="110"/>
        <v>0</v>
      </c>
      <c r="AA370">
        <f t="shared" si="111"/>
        <v>0</v>
      </c>
      <c r="AB370">
        <f t="shared" si="112"/>
        <v>0</v>
      </c>
      <c r="AD370" s="204">
        <f t="shared" si="105"/>
        <v>0</v>
      </c>
      <c r="AE370" s="204">
        <f t="shared" si="106"/>
        <v>0</v>
      </c>
      <c r="AF370" s="204">
        <f t="shared" si="107"/>
        <v>0</v>
      </c>
      <c r="AG370" s="204">
        <f t="shared" si="108"/>
        <v>0</v>
      </c>
    </row>
    <row r="371" spans="1:33" x14ac:dyDescent="0.3">
      <c r="A371" s="204"/>
      <c r="B371" s="205"/>
      <c r="C371" s="205"/>
      <c r="D371" s="205"/>
      <c r="E371" s="205"/>
      <c r="F371" s="204"/>
      <c r="G371" s="204"/>
      <c r="H371" s="204"/>
      <c r="I371" s="204" t="str">
        <f t="shared" si="96"/>
        <v/>
      </c>
      <c r="J371" s="204" t="str">
        <f t="shared" si="97"/>
        <v/>
      </c>
      <c r="K371" s="204" t="str">
        <f t="shared" si="98"/>
        <v/>
      </c>
      <c r="L371" s="204" t="str">
        <f t="shared" si="99"/>
        <v/>
      </c>
      <c r="M371" s="76" t="str">
        <f t="shared" si="100"/>
        <v/>
      </c>
      <c r="N371" s="206">
        <f t="shared" si="101"/>
        <v>0</v>
      </c>
      <c r="O371" s="206">
        <f t="shared" si="102"/>
        <v>0</v>
      </c>
      <c r="P371" s="206">
        <f t="shared" si="103"/>
        <v>0</v>
      </c>
      <c r="Q371" s="206">
        <f t="shared" si="104"/>
        <v>0</v>
      </c>
      <c r="X371" s="71" t="str">
        <f t="shared" si="90"/>
        <v/>
      </c>
      <c r="Y371">
        <f t="shared" si="109"/>
        <v>0</v>
      </c>
      <c r="Z371">
        <f t="shared" si="110"/>
        <v>0</v>
      </c>
      <c r="AA371">
        <f t="shared" si="111"/>
        <v>0</v>
      </c>
      <c r="AB371">
        <f t="shared" si="112"/>
        <v>0</v>
      </c>
      <c r="AD371" s="204">
        <f t="shared" si="105"/>
        <v>0</v>
      </c>
      <c r="AE371" s="204">
        <f t="shared" si="106"/>
        <v>0</v>
      </c>
      <c r="AF371" s="204">
        <f t="shared" si="107"/>
        <v>0</v>
      </c>
      <c r="AG371" s="204">
        <f t="shared" si="108"/>
        <v>0</v>
      </c>
    </row>
    <row r="372" spans="1:33" x14ac:dyDescent="0.3">
      <c r="A372" s="204"/>
      <c r="B372" s="205"/>
      <c r="C372" s="205"/>
      <c r="D372" s="205"/>
      <c r="E372" s="205"/>
      <c r="F372" s="204"/>
      <c r="G372" s="204"/>
      <c r="H372" s="204"/>
      <c r="I372" s="204" t="str">
        <f t="shared" si="96"/>
        <v/>
      </c>
      <c r="J372" s="204" t="str">
        <f t="shared" si="97"/>
        <v/>
      </c>
      <c r="K372" s="204" t="str">
        <f t="shared" si="98"/>
        <v/>
      </c>
      <c r="L372" s="204" t="str">
        <f t="shared" si="99"/>
        <v/>
      </c>
      <c r="M372" s="76" t="str">
        <f t="shared" si="100"/>
        <v/>
      </c>
      <c r="N372" s="206">
        <f t="shared" si="101"/>
        <v>0</v>
      </c>
      <c r="O372" s="206">
        <f t="shared" si="102"/>
        <v>0</v>
      </c>
      <c r="P372" s="206">
        <f t="shared" si="103"/>
        <v>0</v>
      </c>
      <c r="Q372" s="206">
        <f t="shared" si="104"/>
        <v>0</v>
      </c>
      <c r="X372" s="71" t="str">
        <f t="shared" si="90"/>
        <v/>
      </c>
      <c r="Y372">
        <f t="shared" si="109"/>
        <v>0</v>
      </c>
      <c r="Z372">
        <f t="shared" si="110"/>
        <v>0</v>
      </c>
      <c r="AA372">
        <f t="shared" si="111"/>
        <v>0</v>
      </c>
      <c r="AB372">
        <f t="shared" si="112"/>
        <v>0</v>
      </c>
      <c r="AD372" s="204">
        <f t="shared" si="105"/>
        <v>0</v>
      </c>
      <c r="AE372" s="204">
        <f t="shared" si="106"/>
        <v>0</v>
      </c>
      <c r="AF372" s="204">
        <f t="shared" si="107"/>
        <v>0</v>
      </c>
      <c r="AG372" s="204">
        <f t="shared" si="108"/>
        <v>0</v>
      </c>
    </row>
    <row r="373" spans="1:33" x14ac:dyDescent="0.3">
      <c r="A373" s="204"/>
      <c r="B373" s="205"/>
      <c r="C373" s="205"/>
      <c r="D373" s="205"/>
      <c r="E373" s="205"/>
      <c r="F373" s="204"/>
      <c r="G373" s="204"/>
      <c r="H373" s="204"/>
      <c r="I373" s="204" t="str">
        <f t="shared" si="96"/>
        <v/>
      </c>
      <c r="J373" s="204" t="str">
        <f t="shared" si="97"/>
        <v/>
      </c>
      <c r="K373" s="204" t="str">
        <f t="shared" si="98"/>
        <v/>
      </c>
      <c r="L373" s="204" t="str">
        <f t="shared" si="99"/>
        <v/>
      </c>
      <c r="M373" s="76" t="str">
        <f t="shared" si="100"/>
        <v/>
      </c>
      <c r="N373" s="206">
        <f t="shared" si="101"/>
        <v>0</v>
      </c>
      <c r="O373" s="206">
        <f t="shared" si="102"/>
        <v>0</v>
      </c>
      <c r="P373" s="206">
        <f t="shared" si="103"/>
        <v>0</v>
      </c>
      <c r="Q373" s="206">
        <f t="shared" si="104"/>
        <v>0</v>
      </c>
      <c r="X373" s="71" t="str">
        <f t="shared" si="90"/>
        <v/>
      </c>
      <c r="Y373">
        <f t="shared" si="109"/>
        <v>0</v>
      </c>
      <c r="Z373">
        <f t="shared" si="110"/>
        <v>0</v>
      </c>
      <c r="AA373">
        <f t="shared" si="111"/>
        <v>0</v>
      </c>
      <c r="AB373">
        <f t="shared" si="112"/>
        <v>0</v>
      </c>
      <c r="AD373" s="204">
        <f t="shared" si="105"/>
        <v>0</v>
      </c>
      <c r="AE373" s="204">
        <f t="shared" si="106"/>
        <v>0</v>
      </c>
      <c r="AF373" s="204">
        <f t="shared" si="107"/>
        <v>0</v>
      </c>
      <c r="AG373" s="204">
        <f t="shared" si="108"/>
        <v>0</v>
      </c>
    </row>
    <row r="374" spans="1:33" x14ac:dyDescent="0.3">
      <c r="A374" s="204"/>
      <c r="B374" s="205"/>
      <c r="C374" s="205"/>
      <c r="D374" s="205"/>
      <c r="E374" s="205"/>
      <c r="F374" s="204"/>
      <c r="G374" s="204"/>
      <c r="H374" s="204"/>
      <c r="I374" s="204" t="str">
        <f t="shared" si="96"/>
        <v/>
      </c>
      <c r="J374" s="204" t="str">
        <f t="shared" si="97"/>
        <v/>
      </c>
      <c r="K374" s="204" t="str">
        <f t="shared" si="98"/>
        <v/>
      </c>
      <c r="L374" s="204" t="str">
        <f t="shared" si="99"/>
        <v/>
      </c>
      <c r="M374" s="76" t="str">
        <f t="shared" si="100"/>
        <v/>
      </c>
      <c r="N374" s="206">
        <f t="shared" si="101"/>
        <v>0</v>
      </c>
      <c r="O374" s="206">
        <f t="shared" si="102"/>
        <v>0</v>
      </c>
      <c r="P374" s="206">
        <f t="shared" si="103"/>
        <v>0</v>
      </c>
      <c r="Q374" s="206">
        <f t="shared" si="104"/>
        <v>0</v>
      </c>
      <c r="X374" s="71" t="str">
        <f t="shared" si="90"/>
        <v/>
      </c>
      <c r="Y374">
        <f t="shared" si="109"/>
        <v>0</v>
      </c>
      <c r="Z374">
        <f t="shared" si="110"/>
        <v>0</v>
      </c>
      <c r="AA374">
        <f t="shared" si="111"/>
        <v>0</v>
      </c>
      <c r="AB374">
        <f t="shared" si="112"/>
        <v>0</v>
      </c>
      <c r="AD374" s="204">
        <f t="shared" si="105"/>
        <v>0</v>
      </c>
      <c r="AE374" s="204">
        <f t="shared" si="106"/>
        <v>0</v>
      </c>
      <c r="AF374" s="204">
        <f t="shared" si="107"/>
        <v>0</v>
      </c>
      <c r="AG374" s="204">
        <f t="shared" si="108"/>
        <v>0</v>
      </c>
    </row>
    <row r="375" spans="1:33" x14ac:dyDescent="0.3">
      <c r="A375" s="204"/>
      <c r="B375" s="205"/>
      <c r="C375" s="205"/>
      <c r="D375" s="205"/>
      <c r="E375" s="205"/>
      <c r="F375" s="204"/>
      <c r="G375" s="204"/>
      <c r="H375" s="204"/>
      <c r="I375" s="204" t="str">
        <f t="shared" si="96"/>
        <v/>
      </c>
      <c r="J375" s="204" t="str">
        <f t="shared" si="97"/>
        <v/>
      </c>
      <c r="K375" s="204" t="str">
        <f t="shared" si="98"/>
        <v/>
      </c>
      <c r="L375" s="204" t="str">
        <f t="shared" si="99"/>
        <v/>
      </c>
      <c r="M375" s="76" t="str">
        <f t="shared" si="100"/>
        <v/>
      </c>
      <c r="N375" s="206">
        <f t="shared" si="101"/>
        <v>0</v>
      </c>
      <c r="O375" s="206">
        <f t="shared" si="102"/>
        <v>0</v>
      </c>
      <c r="P375" s="206">
        <f t="shared" si="103"/>
        <v>0</v>
      </c>
      <c r="Q375" s="206">
        <f t="shared" si="104"/>
        <v>0</v>
      </c>
      <c r="X375" s="71" t="str">
        <f t="shared" si="90"/>
        <v/>
      </c>
      <c r="Y375">
        <f t="shared" si="109"/>
        <v>0</v>
      </c>
      <c r="Z375">
        <f t="shared" si="110"/>
        <v>0</v>
      </c>
      <c r="AA375">
        <f t="shared" si="111"/>
        <v>0</v>
      </c>
      <c r="AB375">
        <f t="shared" si="112"/>
        <v>0</v>
      </c>
      <c r="AD375" s="204">
        <f t="shared" si="105"/>
        <v>0</v>
      </c>
      <c r="AE375" s="204">
        <f t="shared" si="106"/>
        <v>0</v>
      </c>
      <c r="AF375" s="204">
        <f t="shared" si="107"/>
        <v>0</v>
      </c>
      <c r="AG375" s="204">
        <f t="shared" si="108"/>
        <v>0</v>
      </c>
    </row>
    <row r="376" spans="1:33" x14ac:dyDescent="0.3">
      <c r="A376" s="204"/>
      <c r="B376" s="205"/>
      <c r="C376" s="205"/>
      <c r="D376" s="205"/>
      <c r="E376" s="205"/>
      <c r="F376" s="204"/>
      <c r="G376" s="204"/>
      <c r="H376" s="204"/>
      <c r="I376" s="204" t="str">
        <f t="shared" si="96"/>
        <v/>
      </c>
      <c r="J376" s="204" t="str">
        <f t="shared" si="97"/>
        <v/>
      </c>
      <c r="K376" s="204" t="str">
        <f t="shared" si="98"/>
        <v/>
      </c>
      <c r="L376" s="204" t="str">
        <f t="shared" si="99"/>
        <v/>
      </c>
      <c r="M376" s="76" t="str">
        <f t="shared" si="100"/>
        <v/>
      </c>
      <c r="N376" s="206">
        <f t="shared" si="101"/>
        <v>0</v>
      </c>
      <c r="O376" s="206">
        <f t="shared" si="102"/>
        <v>0</v>
      </c>
      <c r="P376" s="206">
        <f t="shared" si="103"/>
        <v>0</v>
      </c>
      <c r="Q376" s="206">
        <f t="shared" si="104"/>
        <v>0</v>
      </c>
      <c r="X376" s="71" t="str">
        <f t="shared" si="90"/>
        <v/>
      </c>
      <c r="Y376">
        <f t="shared" si="109"/>
        <v>0</v>
      </c>
      <c r="Z376">
        <f t="shared" si="110"/>
        <v>0</v>
      </c>
      <c r="AA376">
        <f t="shared" si="111"/>
        <v>0</v>
      </c>
      <c r="AB376">
        <f t="shared" si="112"/>
        <v>0</v>
      </c>
      <c r="AD376" s="204">
        <f t="shared" si="105"/>
        <v>0</v>
      </c>
      <c r="AE376" s="204">
        <f t="shared" si="106"/>
        <v>0</v>
      </c>
      <c r="AF376" s="204">
        <f t="shared" si="107"/>
        <v>0</v>
      </c>
      <c r="AG376" s="204">
        <f t="shared" si="108"/>
        <v>0</v>
      </c>
    </row>
    <row r="377" spans="1:33" x14ac:dyDescent="0.3">
      <c r="A377" s="204"/>
      <c r="B377" s="205"/>
      <c r="C377" s="205"/>
      <c r="D377" s="205"/>
      <c r="E377" s="205"/>
      <c r="F377" s="204"/>
      <c r="G377" s="204"/>
      <c r="H377" s="204"/>
      <c r="I377" s="204" t="str">
        <f t="shared" si="96"/>
        <v/>
      </c>
      <c r="J377" s="204" t="str">
        <f t="shared" si="97"/>
        <v/>
      </c>
      <c r="K377" s="204" t="str">
        <f t="shared" si="98"/>
        <v/>
      </c>
      <c r="L377" s="204" t="str">
        <f t="shared" si="99"/>
        <v/>
      </c>
      <c r="M377" s="76" t="str">
        <f t="shared" si="100"/>
        <v/>
      </c>
      <c r="N377" s="206">
        <f t="shared" si="101"/>
        <v>0</v>
      </c>
      <c r="O377" s="206">
        <f t="shared" si="102"/>
        <v>0</v>
      </c>
      <c r="P377" s="206">
        <f t="shared" si="103"/>
        <v>0</v>
      </c>
      <c r="Q377" s="206">
        <f t="shared" si="104"/>
        <v>0</v>
      </c>
      <c r="X377" s="71" t="str">
        <f t="shared" si="90"/>
        <v/>
      </c>
      <c r="Y377">
        <f t="shared" si="109"/>
        <v>0</v>
      </c>
      <c r="Z377">
        <f t="shared" si="110"/>
        <v>0</v>
      </c>
      <c r="AA377">
        <f t="shared" si="111"/>
        <v>0</v>
      </c>
      <c r="AB377">
        <f t="shared" si="112"/>
        <v>0</v>
      </c>
      <c r="AD377" s="204">
        <f t="shared" si="105"/>
        <v>0</v>
      </c>
      <c r="AE377" s="204">
        <f t="shared" si="106"/>
        <v>0</v>
      </c>
      <c r="AF377" s="204">
        <f t="shared" si="107"/>
        <v>0</v>
      </c>
      <c r="AG377" s="204">
        <f t="shared" si="108"/>
        <v>0</v>
      </c>
    </row>
    <row r="378" spans="1:33" x14ac:dyDescent="0.3">
      <c r="A378" s="204"/>
      <c r="B378" s="205"/>
      <c r="C378" s="205"/>
      <c r="D378" s="205"/>
      <c r="E378" s="205"/>
      <c r="F378" s="204"/>
      <c r="G378" s="204"/>
      <c r="H378" s="204"/>
      <c r="I378" s="204" t="str">
        <f t="shared" si="96"/>
        <v/>
      </c>
      <c r="J378" s="204" t="str">
        <f t="shared" si="97"/>
        <v/>
      </c>
      <c r="K378" s="204" t="str">
        <f t="shared" si="98"/>
        <v/>
      </c>
      <c r="L378" s="204" t="str">
        <f t="shared" si="99"/>
        <v/>
      </c>
      <c r="M378" s="76" t="str">
        <f t="shared" si="100"/>
        <v/>
      </c>
      <c r="N378" s="206">
        <f t="shared" si="101"/>
        <v>0</v>
      </c>
      <c r="O378" s="206">
        <f t="shared" si="102"/>
        <v>0</v>
      </c>
      <c r="P378" s="206">
        <f t="shared" si="103"/>
        <v>0</v>
      </c>
      <c r="Q378" s="206">
        <f t="shared" si="104"/>
        <v>0</v>
      </c>
      <c r="X378" s="71" t="str">
        <f t="shared" si="90"/>
        <v/>
      </c>
      <c r="Y378">
        <f t="shared" si="109"/>
        <v>0</v>
      </c>
      <c r="Z378">
        <f t="shared" si="110"/>
        <v>0</v>
      </c>
      <c r="AA378">
        <f t="shared" si="111"/>
        <v>0</v>
      </c>
      <c r="AB378">
        <f t="shared" si="112"/>
        <v>0</v>
      </c>
      <c r="AD378" s="204">
        <f t="shared" si="105"/>
        <v>0</v>
      </c>
      <c r="AE378" s="204">
        <f t="shared" si="106"/>
        <v>0</v>
      </c>
      <c r="AF378" s="204">
        <f t="shared" si="107"/>
        <v>0</v>
      </c>
      <c r="AG378" s="204">
        <f t="shared" si="108"/>
        <v>0</v>
      </c>
    </row>
    <row r="379" spans="1:33" x14ac:dyDescent="0.3">
      <c r="A379" s="204"/>
      <c r="B379" s="205"/>
      <c r="C379" s="205"/>
      <c r="D379" s="205"/>
      <c r="E379" s="205"/>
      <c r="F379" s="204"/>
      <c r="G379" s="204"/>
      <c r="H379" s="204"/>
      <c r="I379" s="204" t="str">
        <f t="shared" si="96"/>
        <v/>
      </c>
      <c r="J379" s="204" t="str">
        <f t="shared" si="97"/>
        <v/>
      </c>
      <c r="K379" s="204" t="str">
        <f t="shared" si="98"/>
        <v/>
      </c>
      <c r="L379" s="204" t="str">
        <f t="shared" si="99"/>
        <v/>
      </c>
      <c r="M379" s="76" t="str">
        <f t="shared" si="100"/>
        <v/>
      </c>
      <c r="N379" s="206">
        <f t="shared" si="101"/>
        <v>0</v>
      </c>
      <c r="O379" s="206">
        <f t="shared" si="102"/>
        <v>0</v>
      </c>
      <c r="P379" s="206">
        <f t="shared" si="103"/>
        <v>0</v>
      </c>
      <c r="Q379" s="206">
        <f t="shared" si="104"/>
        <v>0</v>
      </c>
      <c r="X379" s="71" t="str">
        <f t="shared" si="90"/>
        <v/>
      </c>
      <c r="Y379">
        <f t="shared" si="109"/>
        <v>0</v>
      </c>
      <c r="Z379">
        <f t="shared" si="110"/>
        <v>0</v>
      </c>
      <c r="AA379">
        <f t="shared" si="111"/>
        <v>0</v>
      </c>
      <c r="AB379">
        <f t="shared" si="112"/>
        <v>0</v>
      </c>
      <c r="AD379" s="204">
        <f t="shared" si="105"/>
        <v>0</v>
      </c>
      <c r="AE379" s="204">
        <f t="shared" si="106"/>
        <v>0</v>
      </c>
      <c r="AF379" s="204">
        <f t="shared" si="107"/>
        <v>0</v>
      </c>
      <c r="AG379" s="204">
        <f t="shared" si="108"/>
        <v>0</v>
      </c>
    </row>
    <row r="380" spans="1:33" x14ac:dyDescent="0.3">
      <c r="A380" s="204"/>
      <c r="B380" s="205"/>
      <c r="C380" s="205"/>
      <c r="D380" s="205"/>
      <c r="E380" s="205"/>
      <c r="F380" s="204"/>
      <c r="G380" s="204"/>
      <c r="H380" s="204"/>
      <c r="I380" s="204" t="str">
        <f t="shared" si="96"/>
        <v/>
      </c>
      <c r="J380" s="204" t="str">
        <f t="shared" si="97"/>
        <v/>
      </c>
      <c r="K380" s="204" t="str">
        <f t="shared" si="98"/>
        <v/>
      </c>
      <c r="L380" s="204" t="str">
        <f t="shared" si="99"/>
        <v/>
      </c>
      <c r="M380" s="76" t="str">
        <f t="shared" si="100"/>
        <v/>
      </c>
      <c r="N380" s="206">
        <f t="shared" si="101"/>
        <v>0</v>
      </c>
      <c r="O380" s="206">
        <f t="shared" si="102"/>
        <v>0</v>
      </c>
      <c r="P380" s="206">
        <f t="shared" si="103"/>
        <v>0</v>
      </c>
      <c r="Q380" s="206">
        <f t="shared" si="104"/>
        <v>0</v>
      </c>
      <c r="X380" s="71" t="str">
        <f t="shared" si="90"/>
        <v/>
      </c>
      <c r="Y380">
        <f t="shared" si="109"/>
        <v>0</v>
      </c>
      <c r="Z380">
        <f t="shared" si="110"/>
        <v>0</v>
      </c>
      <c r="AA380">
        <f t="shared" si="111"/>
        <v>0</v>
      </c>
      <c r="AB380">
        <f t="shared" si="112"/>
        <v>0</v>
      </c>
      <c r="AD380" s="204">
        <f t="shared" si="105"/>
        <v>0</v>
      </c>
      <c r="AE380" s="204">
        <f t="shared" si="106"/>
        <v>0</v>
      </c>
      <c r="AF380" s="204">
        <f t="shared" si="107"/>
        <v>0</v>
      </c>
      <c r="AG380" s="204">
        <f t="shared" si="108"/>
        <v>0</v>
      </c>
    </row>
    <row r="381" spans="1:33" x14ac:dyDescent="0.3">
      <c r="A381" s="204"/>
      <c r="B381" s="205"/>
      <c r="C381" s="205"/>
      <c r="D381" s="205"/>
      <c r="E381" s="205"/>
      <c r="F381" s="204"/>
      <c r="G381" s="204"/>
      <c r="H381" s="204"/>
      <c r="I381" s="204" t="str">
        <f t="shared" si="96"/>
        <v/>
      </c>
      <c r="J381" s="204" t="str">
        <f t="shared" si="97"/>
        <v/>
      </c>
      <c r="K381" s="204" t="str">
        <f t="shared" si="98"/>
        <v/>
      </c>
      <c r="L381" s="204" t="str">
        <f t="shared" si="99"/>
        <v/>
      </c>
      <c r="M381" s="76" t="str">
        <f t="shared" si="100"/>
        <v/>
      </c>
      <c r="N381" s="206">
        <f t="shared" si="101"/>
        <v>0</v>
      </c>
      <c r="O381" s="206">
        <f t="shared" si="102"/>
        <v>0</v>
      </c>
      <c r="P381" s="206">
        <f t="shared" si="103"/>
        <v>0</v>
      </c>
      <c r="Q381" s="206">
        <f t="shared" si="104"/>
        <v>0</v>
      </c>
      <c r="X381" s="71" t="str">
        <f t="shared" si="90"/>
        <v/>
      </c>
      <c r="Y381">
        <f t="shared" si="109"/>
        <v>0</v>
      </c>
      <c r="Z381">
        <f t="shared" si="110"/>
        <v>0</v>
      </c>
      <c r="AA381">
        <f t="shared" si="111"/>
        <v>0</v>
      </c>
      <c r="AB381">
        <f t="shared" si="112"/>
        <v>0</v>
      </c>
      <c r="AD381" s="204">
        <f t="shared" si="105"/>
        <v>0</v>
      </c>
      <c r="AE381" s="204">
        <f t="shared" si="106"/>
        <v>0</v>
      </c>
      <c r="AF381" s="204">
        <f t="shared" si="107"/>
        <v>0</v>
      </c>
      <c r="AG381" s="204">
        <f t="shared" si="108"/>
        <v>0</v>
      </c>
    </row>
    <row r="382" spans="1:33" x14ac:dyDescent="0.3">
      <c r="A382" s="204"/>
      <c r="B382" s="205"/>
      <c r="C382" s="205"/>
      <c r="D382" s="205"/>
      <c r="E382" s="205"/>
      <c r="F382" s="204"/>
      <c r="G382" s="204"/>
      <c r="H382" s="204"/>
      <c r="I382" s="204" t="str">
        <f t="shared" si="96"/>
        <v/>
      </c>
      <c r="J382" s="204" t="str">
        <f t="shared" si="97"/>
        <v/>
      </c>
      <c r="K382" s="204" t="str">
        <f t="shared" si="98"/>
        <v/>
      </c>
      <c r="L382" s="204" t="str">
        <f t="shared" si="99"/>
        <v/>
      </c>
      <c r="M382" s="76" t="str">
        <f t="shared" si="100"/>
        <v/>
      </c>
      <c r="N382" s="206">
        <f t="shared" si="101"/>
        <v>0</v>
      </c>
      <c r="O382" s="206">
        <f t="shared" si="102"/>
        <v>0</v>
      </c>
      <c r="P382" s="206">
        <f t="shared" si="103"/>
        <v>0</v>
      </c>
      <c r="Q382" s="206">
        <f t="shared" si="104"/>
        <v>0</v>
      </c>
      <c r="X382" s="71" t="str">
        <f t="shared" si="90"/>
        <v/>
      </c>
      <c r="Y382">
        <f t="shared" si="109"/>
        <v>0</v>
      </c>
      <c r="Z382">
        <f t="shared" si="110"/>
        <v>0</v>
      </c>
      <c r="AA382">
        <f t="shared" si="111"/>
        <v>0</v>
      </c>
      <c r="AB382">
        <f t="shared" si="112"/>
        <v>0</v>
      </c>
      <c r="AD382" s="204">
        <f t="shared" si="105"/>
        <v>0</v>
      </c>
      <c r="AE382" s="204">
        <f t="shared" si="106"/>
        <v>0</v>
      </c>
      <c r="AF382" s="204">
        <f t="shared" si="107"/>
        <v>0</v>
      </c>
      <c r="AG382" s="204">
        <f t="shared" si="108"/>
        <v>0</v>
      </c>
    </row>
    <row r="383" spans="1:33" x14ac:dyDescent="0.3">
      <c r="A383" s="204"/>
      <c r="B383" s="205"/>
      <c r="C383" s="205"/>
      <c r="D383" s="205"/>
      <c r="E383" s="205"/>
      <c r="F383" s="204"/>
      <c r="G383" s="204"/>
      <c r="H383" s="204"/>
      <c r="I383" s="204" t="str">
        <f t="shared" si="96"/>
        <v/>
      </c>
      <c r="J383" s="204" t="str">
        <f t="shared" si="97"/>
        <v/>
      </c>
      <c r="K383" s="204" t="str">
        <f t="shared" si="98"/>
        <v/>
      </c>
      <c r="L383" s="204" t="str">
        <f t="shared" si="99"/>
        <v/>
      </c>
      <c r="M383" s="76" t="str">
        <f t="shared" si="100"/>
        <v/>
      </c>
      <c r="N383" s="206">
        <f t="shared" si="101"/>
        <v>0</v>
      </c>
      <c r="O383" s="206">
        <f t="shared" si="102"/>
        <v>0</v>
      </c>
      <c r="P383" s="206">
        <f t="shared" si="103"/>
        <v>0</v>
      </c>
      <c r="Q383" s="206">
        <f t="shared" si="104"/>
        <v>0</v>
      </c>
      <c r="X383" s="71" t="str">
        <f t="shared" si="90"/>
        <v/>
      </c>
      <c r="Y383">
        <f t="shared" si="109"/>
        <v>0</v>
      </c>
      <c r="Z383">
        <f t="shared" si="110"/>
        <v>0</v>
      </c>
      <c r="AA383">
        <f t="shared" si="111"/>
        <v>0</v>
      </c>
      <c r="AB383">
        <f t="shared" si="112"/>
        <v>0</v>
      </c>
      <c r="AD383" s="204">
        <f t="shared" si="105"/>
        <v>0</v>
      </c>
      <c r="AE383" s="204">
        <f t="shared" si="106"/>
        <v>0</v>
      </c>
      <c r="AF383" s="204">
        <f t="shared" si="107"/>
        <v>0</v>
      </c>
      <c r="AG383" s="204">
        <f t="shared" si="108"/>
        <v>0</v>
      </c>
    </row>
    <row r="384" spans="1:33" x14ac:dyDescent="0.3">
      <c r="A384" s="204"/>
      <c r="B384" s="205"/>
      <c r="C384" s="205"/>
      <c r="D384" s="205"/>
      <c r="E384" s="205"/>
      <c r="F384" s="204"/>
      <c r="G384" s="204"/>
      <c r="H384" s="204"/>
      <c r="I384" s="204" t="str">
        <f t="shared" si="96"/>
        <v/>
      </c>
      <c r="J384" s="204" t="str">
        <f t="shared" si="97"/>
        <v/>
      </c>
      <c r="K384" s="204" t="str">
        <f t="shared" si="98"/>
        <v/>
      </c>
      <c r="L384" s="204" t="str">
        <f t="shared" si="99"/>
        <v/>
      </c>
      <c r="M384" s="76" t="str">
        <f t="shared" si="100"/>
        <v/>
      </c>
      <c r="N384" s="206">
        <f t="shared" si="101"/>
        <v>0</v>
      </c>
      <c r="O384" s="206">
        <f t="shared" si="102"/>
        <v>0</v>
      </c>
      <c r="P384" s="206">
        <f t="shared" si="103"/>
        <v>0</v>
      </c>
      <c r="Q384" s="206">
        <f t="shared" si="104"/>
        <v>0</v>
      </c>
      <c r="X384" s="71" t="str">
        <f t="shared" si="90"/>
        <v/>
      </c>
      <c r="Y384">
        <f t="shared" si="109"/>
        <v>0</v>
      </c>
      <c r="Z384">
        <f t="shared" si="110"/>
        <v>0</v>
      </c>
      <c r="AA384">
        <f t="shared" si="111"/>
        <v>0</v>
      </c>
      <c r="AB384">
        <f t="shared" si="112"/>
        <v>0</v>
      </c>
      <c r="AD384" s="204">
        <f t="shared" si="105"/>
        <v>0</v>
      </c>
      <c r="AE384" s="204">
        <f t="shared" si="106"/>
        <v>0</v>
      </c>
      <c r="AF384" s="204">
        <f t="shared" si="107"/>
        <v>0</v>
      </c>
      <c r="AG384" s="204">
        <f t="shared" si="108"/>
        <v>0</v>
      </c>
    </row>
    <row r="385" spans="1:33" x14ac:dyDescent="0.3">
      <c r="A385" s="204"/>
      <c r="B385" s="205"/>
      <c r="C385" s="205"/>
      <c r="D385" s="205"/>
      <c r="E385" s="205"/>
      <c r="F385" s="204"/>
      <c r="G385" s="204"/>
      <c r="H385" s="204"/>
      <c r="I385" s="204" t="str">
        <f t="shared" si="96"/>
        <v/>
      </c>
      <c r="J385" s="204" t="str">
        <f t="shared" si="97"/>
        <v/>
      </c>
      <c r="K385" s="204" t="str">
        <f t="shared" si="98"/>
        <v/>
      </c>
      <c r="L385" s="204" t="str">
        <f t="shared" si="99"/>
        <v/>
      </c>
      <c r="M385" s="76" t="str">
        <f t="shared" si="100"/>
        <v/>
      </c>
      <c r="N385" s="206">
        <f t="shared" si="101"/>
        <v>0</v>
      </c>
      <c r="O385" s="206">
        <f t="shared" si="102"/>
        <v>0</v>
      </c>
      <c r="P385" s="206">
        <f t="shared" si="103"/>
        <v>0</v>
      </c>
      <c r="Q385" s="206">
        <f t="shared" si="104"/>
        <v>0</v>
      </c>
      <c r="X385" s="71" t="str">
        <f t="shared" si="90"/>
        <v/>
      </c>
      <c r="Y385">
        <f t="shared" si="109"/>
        <v>0</v>
      </c>
      <c r="Z385">
        <f t="shared" si="110"/>
        <v>0</v>
      </c>
      <c r="AA385">
        <f t="shared" si="111"/>
        <v>0</v>
      </c>
      <c r="AB385">
        <f t="shared" si="112"/>
        <v>0</v>
      </c>
      <c r="AD385" s="204">
        <f t="shared" si="105"/>
        <v>0</v>
      </c>
      <c r="AE385" s="204">
        <f t="shared" si="106"/>
        <v>0</v>
      </c>
      <c r="AF385" s="204">
        <f t="shared" si="107"/>
        <v>0</v>
      </c>
      <c r="AG385" s="204">
        <f t="shared" si="108"/>
        <v>0</v>
      </c>
    </row>
    <row r="386" spans="1:33" x14ac:dyDescent="0.3">
      <c r="A386" s="204"/>
      <c r="B386" s="205"/>
      <c r="C386" s="205"/>
      <c r="D386" s="205"/>
      <c r="E386" s="205"/>
      <c r="F386" s="204"/>
      <c r="G386" s="204"/>
      <c r="H386" s="204"/>
      <c r="I386" s="204" t="str">
        <f t="shared" si="96"/>
        <v/>
      </c>
      <c r="J386" s="204" t="str">
        <f t="shared" si="97"/>
        <v/>
      </c>
      <c r="K386" s="204" t="str">
        <f t="shared" si="98"/>
        <v/>
      </c>
      <c r="L386" s="204" t="str">
        <f t="shared" si="99"/>
        <v/>
      </c>
      <c r="M386" s="76" t="str">
        <f t="shared" si="100"/>
        <v/>
      </c>
      <c r="N386" s="206">
        <f t="shared" si="101"/>
        <v>0</v>
      </c>
      <c r="O386" s="206">
        <f t="shared" si="102"/>
        <v>0</v>
      </c>
      <c r="P386" s="206">
        <f t="shared" si="103"/>
        <v>0</v>
      </c>
      <c r="Q386" s="206">
        <f t="shared" si="104"/>
        <v>0</v>
      </c>
      <c r="X386" s="71" t="str">
        <f t="shared" si="90"/>
        <v/>
      </c>
      <c r="Y386">
        <f t="shared" si="109"/>
        <v>0</v>
      </c>
      <c r="Z386">
        <f t="shared" si="110"/>
        <v>0</v>
      </c>
      <c r="AA386">
        <f t="shared" si="111"/>
        <v>0</v>
      </c>
      <c r="AB386">
        <f t="shared" si="112"/>
        <v>0</v>
      </c>
      <c r="AD386" s="204">
        <f t="shared" si="105"/>
        <v>0</v>
      </c>
      <c r="AE386" s="204">
        <f t="shared" si="106"/>
        <v>0</v>
      </c>
      <c r="AF386" s="204">
        <f t="shared" si="107"/>
        <v>0</v>
      </c>
      <c r="AG386" s="204">
        <f t="shared" si="108"/>
        <v>0</v>
      </c>
    </row>
    <row r="387" spans="1:33" x14ac:dyDescent="0.3">
      <c r="A387" s="204"/>
      <c r="B387" s="205"/>
      <c r="C387" s="205"/>
      <c r="D387" s="205"/>
      <c r="E387" s="205"/>
      <c r="F387" s="204"/>
      <c r="G387" s="204"/>
      <c r="H387" s="204"/>
      <c r="I387" s="204" t="str">
        <f t="shared" si="96"/>
        <v/>
      </c>
      <c r="J387" s="204" t="str">
        <f t="shared" si="97"/>
        <v/>
      </c>
      <c r="K387" s="204" t="str">
        <f t="shared" si="98"/>
        <v/>
      </c>
      <c r="L387" s="204" t="str">
        <f t="shared" si="99"/>
        <v/>
      </c>
      <c r="M387" s="76" t="str">
        <f t="shared" si="100"/>
        <v/>
      </c>
      <c r="N387" s="206">
        <f t="shared" si="101"/>
        <v>0</v>
      </c>
      <c r="O387" s="206">
        <f t="shared" si="102"/>
        <v>0</v>
      </c>
      <c r="P387" s="206">
        <f t="shared" si="103"/>
        <v>0</v>
      </c>
      <c r="Q387" s="206">
        <f t="shared" si="104"/>
        <v>0</v>
      </c>
      <c r="X387" s="71" t="str">
        <f t="shared" ref="X387:X450" si="113">M387</f>
        <v/>
      </c>
      <c r="Y387">
        <f t="shared" si="109"/>
        <v>0</v>
      </c>
      <c r="Z387">
        <f t="shared" si="110"/>
        <v>0</v>
      </c>
      <c r="AA387">
        <f t="shared" si="111"/>
        <v>0</v>
      </c>
      <c r="AB387">
        <f t="shared" si="112"/>
        <v>0</v>
      </c>
      <c r="AD387" s="204">
        <f t="shared" si="105"/>
        <v>0</v>
      </c>
      <c r="AE387" s="204">
        <f t="shared" si="106"/>
        <v>0</v>
      </c>
      <c r="AF387" s="204">
        <f t="shared" si="107"/>
        <v>0</v>
      </c>
      <c r="AG387" s="204">
        <f t="shared" si="108"/>
        <v>0</v>
      </c>
    </row>
    <row r="388" spans="1:33" x14ac:dyDescent="0.3">
      <c r="A388" s="204"/>
      <c r="B388" s="205"/>
      <c r="C388" s="205"/>
      <c r="D388" s="205"/>
      <c r="E388" s="205"/>
      <c r="F388" s="204"/>
      <c r="G388" s="204"/>
      <c r="H388" s="204"/>
      <c r="I388" s="204" t="str">
        <f t="shared" si="96"/>
        <v/>
      </c>
      <c r="J388" s="204" t="str">
        <f t="shared" si="97"/>
        <v/>
      </c>
      <c r="K388" s="204" t="str">
        <f t="shared" si="98"/>
        <v/>
      </c>
      <c r="L388" s="204" t="str">
        <f t="shared" si="99"/>
        <v/>
      </c>
      <c r="M388" s="76" t="str">
        <f t="shared" si="100"/>
        <v/>
      </c>
      <c r="N388" s="206">
        <f t="shared" si="101"/>
        <v>0</v>
      </c>
      <c r="O388" s="206">
        <f t="shared" si="102"/>
        <v>0</v>
      </c>
      <c r="P388" s="206">
        <f t="shared" si="103"/>
        <v>0</v>
      </c>
      <c r="Q388" s="206">
        <f t="shared" si="104"/>
        <v>0</v>
      </c>
      <c r="X388" s="71" t="str">
        <f t="shared" si="113"/>
        <v/>
      </c>
      <c r="Y388">
        <f t="shared" si="109"/>
        <v>0</v>
      </c>
      <c r="Z388">
        <f t="shared" si="110"/>
        <v>0</v>
      </c>
      <c r="AA388">
        <f t="shared" si="111"/>
        <v>0</v>
      </c>
      <c r="AB388">
        <f t="shared" si="112"/>
        <v>0</v>
      </c>
      <c r="AD388" s="204">
        <f t="shared" si="105"/>
        <v>0</v>
      </c>
      <c r="AE388" s="204">
        <f t="shared" si="106"/>
        <v>0</v>
      </c>
      <c r="AF388" s="204">
        <f t="shared" si="107"/>
        <v>0</v>
      </c>
      <c r="AG388" s="204">
        <f t="shared" si="108"/>
        <v>0</v>
      </c>
    </row>
    <row r="389" spans="1:33" x14ac:dyDescent="0.3">
      <c r="A389" s="204"/>
      <c r="B389" s="205"/>
      <c r="C389" s="205"/>
      <c r="D389" s="205"/>
      <c r="E389" s="205"/>
      <c r="F389" s="204"/>
      <c r="G389" s="204"/>
      <c r="H389" s="204"/>
      <c r="I389" s="204" t="str">
        <f t="shared" ref="I389:I452" si="114">IF(G389="Détail",LEN(A389),"")</f>
        <v/>
      </c>
      <c r="J389" s="204" t="str">
        <f t="shared" ref="J389:J452" si="115">IF(I389="","",LEFT(A389,3))</f>
        <v/>
      </c>
      <c r="K389" s="204" t="str">
        <f t="shared" ref="K389:K452" si="116">IF(J389&lt;&gt;"",MID(A389,5,3),"")</f>
        <v/>
      </c>
      <c r="L389" s="204" t="str">
        <f t="shared" ref="L389:L452" si="117">IF(J389&lt;&gt;"",RIGHT(A389,2),"")</f>
        <v/>
      </c>
      <c r="M389" s="76" t="str">
        <f t="shared" ref="M389:M452" si="118">IF(J389&lt;&gt;"",CONCATENATE(J389,"/",K389),"")</f>
        <v/>
      </c>
      <c r="N389" s="206">
        <f t="shared" ref="N389:N452" si="119">IFERROR(IF(A389&lt;&gt;"",IF(A390&lt;&gt;"",IF(FIND("Mode AM +Tarif actuel",A390),VALUE(LEFT(B390,LEN(B390)-2)),),0),0),0)</f>
        <v>0</v>
      </c>
      <c r="O389" s="206">
        <f t="shared" ref="O389:O452" si="120">IFERROR(IF(A389&lt;&gt;"",IF(A390&lt;&gt;"",IF(FIND("Mode AM +Tarif actuel",A390),VALUE(LEFT(C390,LEN(C390)-2)),),0),0),0)</f>
        <v>0</v>
      </c>
      <c r="P389" s="206">
        <f t="shared" ref="P389:P452" si="121">IFERROR(IF(A389&lt;&gt;"",IF(A390&lt;&gt;"",IF(FIND("Mode AM +Tarif actuel",A390),VALUE(LEFT(D390,LEN(D390)-2)),),0),0),0)</f>
        <v>0</v>
      </c>
      <c r="Q389" s="206">
        <f t="shared" ref="Q389:Q452" si="122">IFERROR(IF(A389&lt;&gt;"",IF(A390&lt;&gt;"",IF(FIND("Mode AM +Tarif actuel",A390),VALUE(LEFT(E390,LEN(E390)-2)),),0),0),0)</f>
        <v>0</v>
      </c>
      <c r="X389" s="71" t="str">
        <f t="shared" si="113"/>
        <v/>
      </c>
      <c r="Y389">
        <f t="shared" si="109"/>
        <v>0</v>
      </c>
      <c r="Z389">
        <f t="shared" si="110"/>
        <v>0</v>
      </c>
      <c r="AA389">
        <f t="shared" si="111"/>
        <v>0</v>
      </c>
      <c r="AB389">
        <f t="shared" si="112"/>
        <v>0</v>
      </c>
      <c r="AD389" s="204">
        <f t="shared" si="105"/>
        <v>0</v>
      </c>
      <c r="AE389" s="204">
        <f t="shared" si="106"/>
        <v>0</v>
      </c>
      <c r="AF389" s="204">
        <f t="shared" si="107"/>
        <v>0</v>
      </c>
      <c r="AG389" s="204">
        <f t="shared" si="108"/>
        <v>0</v>
      </c>
    </row>
    <row r="390" spans="1:33" x14ac:dyDescent="0.3">
      <c r="A390" s="204"/>
      <c r="B390" s="205"/>
      <c r="C390" s="205"/>
      <c r="D390" s="205"/>
      <c r="E390" s="205"/>
      <c r="F390" s="204"/>
      <c r="G390" s="204"/>
      <c r="H390" s="204"/>
      <c r="I390" s="204" t="str">
        <f t="shared" si="114"/>
        <v/>
      </c>
      <c r="J390" s="204" t="str">
        <f t="shared" si="115"/>
        <v/>
      </c>
      <c r="K390" s="204" t="str">
        <f t="shared" si="116"/>
        <v/>
      </c>
      <c r="L390" s="204" t="str">
        <f t="shared" si="117"/>
        <v/>
      </c>
      <c r="M390" s="76" t="str">
        <f t="shared" si="118"/>
        <v/>
      </c>
      <c r="N390" s="206">
        <f t="shared" si="119"/>
        <v>0</v>
      </c>
      <c r="O390" s="206">
        <f t="shared" si="120"/>
        <v>0</v>
      </c>
      <c r="P390" s="206">
        <f t="shared" si="121"/>
        <v>0</v>
      </c>
      <c r="Q390" s="206">
        <f t="shared" si="122"/>
        <v>0</v>
      </c>
      <c r="X390" s="71" t="str">
        <f t="shared" si="113"/>
        <v/>
      </c>
      <c r="Y390">
        <f t="shared" si="109"/>
        <v>0</v>
      </c>
      <c r="Z390">
        <f t="shared" si="110"/>
        <v>0</v>
      </c>
      <c r="AA390">
        <f t="shared" si="111"/>
        <v>0</v>
      </c>
      <c r="AB390">
        <f t="shared" si="112"/>
        <v>0</v>
      </c>
      <c r="AD390" s="204">
        <f t="shared" si="105"/>
        <v>0</v>
      </c>
      <c r="AE390" s="204">
        <f t="shared" si="106"/>
        <v>0</v>
      </c>
      <c r="AF390" s="204">
        <f t="shared" si="107"/>
        <v>0</v>
      </c>
      <c r="AG390" s="204">
        <f t="shared" si="108"/>
        <v>0</v>
      </c>
    </row>
    <row r="391" spans="1:33" x14ac:dyDescent="0.3">
      <c r="A391" s="204"/>
      <c r="B391" s="205"/>
      <c r="C391" s="205"/>
      <c r="D391" s="205"/>
      <c r="E391" s="205"/>
      <c r="F391" s="204"/>
      <c r="G391" s="204"/>
      <c r="H391" s="204"/>
      <c r="I391" s="204" t="str">
        <f t="shared" si="114"/>
        <v/>
      </c>
      <c r="J391" s="204" t="str">
        <f t="shared" si="115"/>
        <v/>
      </c>
      <c r="K391" s="204" t="str">
        <f t="shared" si="116"/>
        <v/>
      </c>
      <c r="L391" s="204" t="str">
        <f t="shared" si="117"/>
        <v/>
      </c>
      <c r="M391" s="76" t="str">
        <f t="shared" si="118"/>
        <v/>
      </c>
      <c r="N391" s="206">
        <f t="shared" si="119"/>
        <v>0</v>
      </c>
      <c r="O391" s="206">
        <f t="shared" si="120"/>
        <v>0</v>
      </c>
      <c r="P391" s="206">
        <f t="shared" si="121"/>
        <v>0</v>
      </c>
      <c r="Q391" s="206">
        <f t="shared" si="122"/>
        <v>0</v>
      </c>
      <c r="X391" s="71" t="str">
        <f t="shared" si="113"/>
        <v/>
      </c>
      <c r="Y391">
        <f t="shared" si="109"/>
        <v>0</v>
      </c>
      <c r="Z391">
        <f t="shared" si="110"/>
        <v>0</v>
      </c>
      <c r="AA391">
        <f t="shared" si="111"/>
        <v>0</v>
      </c>
      <c r="AB391">
        <f t="shared" si="112"/>
        <v>0</v>
      </c>
      <c r="AD391" s="204">
        <f t="shared" si="105"/>
        <v>0</v>
      </c>
      <c r="AE391" s="204">
        <f t="shared" si="106"/>
        <v>0</v>
      </c>
      <c r="AF391" s="204">
        <f t="shared" si="107"/>
        <v>0</v>
      </c>
      <c r="AG391" s="204">
        <f t="shared" si="108"/>
        <v>0</v>
      </c>
    </row>
    <row r="392" spans="1:33" x14ac:dyDescent="0.3">
      <c r="A392" s="204"/>
      <c r="B392" s="205"/>
      <c r="C392" s="205"/>
      <c r="D392" s="205"/>
      <c r="E392" s="205"/>
      <c r="F392" s="204"/>
      <c r="G392" s="204"/>
      <c r="H392" s="204"/>
      <c r="I392" s="204" t="str">
        <f t="shared" si="114"/>
        <v/>
      </c>
      <c r="J392" s="204" t="str">
        <f t="shared" si="115"/>
        <v/>
      </c>
      <c r="K392" s="204" t="str">
        <f t="shared" si="116"/>
        <v/>
      </c>
      <c r="L392" s="204" t="str">
        <f t="shared" si="117"/>
        <v/>
      </c>
      <c r="M392" s="76" t="str">
        <f t="shared" si="118"/>
        <v/>
      </c>
      <c r="N392" s="206">
        <f t="shared" si="119"/>
        <v>0</v>
      </c>
      <c r="O392" s="206">
        <f t="shared" si="120"/>
        <v>0</v>
      </c>
      <c r="P392" s="206">
        <f t="shared" si="121"/>
        <v>0</v>
      </c>
      <c r="Q392" s="206">
        <f t="shared" si="122"/>
        <v>0</v>
      </c>
      <c r="X392" s="71" t="str">
        <f t="shared" si="113"/>
        <v/>
      </c>
      <c r="Y392">
        <f t="shared" si="109"/>
        <v>0</v>
      </c>
      <c r="Z392">
        <f t="shared" si="110"/>
        <v>0</v>
      </c>
      <c r="AA392">
        <f t="shared" si="111"/>
        <v>0</v>
      </c>
      <c r="AB392">
        <f t="shared" si="112"/>
        <v>0</v>
      </c>
      <c r="AD392" s="204">
        <f t="shared" si="105"/>
        <v>0</v>
      </c>
      <c r="AE392" s="204">
        <f t="shared" si="106"/>
        <v>0</v>
      </c>
      <c r="AF392" s="204">
        <f t="shared" si="107"/>
        <v>0</v>
      </c>
      <c r="AG392" s="204">
        <f t="shared" si="108"/>
        <v>0</v>
      </c>
    </row>
    <row r="393" spans="1:33" x14ac:dyDescent="0.3">
      <c r="A393" s="204"/>
      <c r="B393" s="205"/>
      <c r="C393" s="205"/>
      <c r="D393" s="205"/>
      <c r="E393" s="205"/>
      <c r="F393" s="204"/>
      <c r="G393" s="204"/>
      <c r="H393" s="204"/>
      <c r="I393" s="204" t="str">
        <f t="shared" si="114"/>
        <v/>
      </c>
      <c r="J393" s="204" t="str">
        <f t="shared" si="115"/>
        <v/>
      </c>
      <c r="K393" s="204" t="str">
        <f t="shared" si="116"/>
        <v/>
      </c>
      <c r="L393" s="204" t="str">
        <f t="shared" si="117"/>
        <v/>
      </c>
      <c r="M393" s="76" t="str">
        <f t="shared" si="118"/>
        <v/>
      </c>
      <c r="N393" s="206">
        <f t="shared" si="119"/>
        <v>0</v>
      </c>
      <c r="O393" s="206">
        <f t="shared" si="120"/>
        <v>0</v>
      </c>
      <c r="P393" s="206">
        <f t="shared" si="121"/>
        <v>0</v>
      </c>
      <c r="Q393" s="206">
        <f t="shared" si="122"/>
        <v>0</v>
      </c>
      <c r="X393" s="71" t="str">
        <f t="shared" si="113"/>
        <v/>
      </c>
      <c r="Y393">
        <f t="shared" si="109"/>
        <v>0</v>
      </c>
      <c r="Z393">
        <f t="shared" si="110"/>
        <v>0</v>
      </c>
      <c r="AA393">
        <f t="shared" si="111"/>
        <v>0</v>
      </c>
      <c r="AB393">
        <f t="shared" si="112"/>
        <v>0</v>
      </c>
      <c r="AD393" s="204">
        <f t="shared" si="105"/>
        <v>0</v>
      </c>
      <c r="AE393" s="204">
        <f t="shared" si="106"/>
        <v>0</v>
      </c>
      <c r="AF393" s="204">
        <f t="shared" si="107"/>
        <v>0</v>
      </c>
      <c r="AG393" s="204">
        <f t="shared" si="108"/>
        <v>0</v>
      </c>
    </row>
    <row r="394" spans="1:33" x14ac:dyDescent="0.3">
      <c r="A394" s="204"/>
      <c r="B394" s="205"/>
      <c r="C394" s="205"/>
      <c r="D394" s="205"/>
      <c r="E394" s="205"/>
      <c r="F394" s="204"/>
      <c r="G394" s="204"/>
      <c r="H394" s="204"/>
      <c r="I394" s="204" t="str">
        <f t="shared" si="114"/>
        <v/>
      </c>
      <c r="J394" s="204" t="str">
        <f t="shared" si="115"/>
        <v/>
      </c>
      <c r="K394" s="204" t="str">
        <f t="shared" si="116"/>
        <v/>
      </c>
      <c r="L394" s="204" t="str">
        <f t="shared" si="117"/>
        <v/>
      </c>
      <c r="M394" s="76" t="str">
        <f t="shared" si="118"/>
        <v/>
      </c>
      <c r="N394" s="206">
        <f t="shared" si="119"/>
        <v>0</v>
      </c>
      <c r="O394" s="206">
        <f t="shared" si="120"/>
        <v>0</v>
      </c>
      <c r="P394" s="206">
        <f t="shared" si="121"/>
        <v>0</v>
      </c>
      <c r="Q394" s="206">
        <f t="shared" si="122"/>
        <v>0</v>
      </c>
      <c r="X394" s="71" t="str">
        <f t="shared" si="113"/>
        <v/>
      </c>
      <c r="Y394">
        <f t="shared" si="109"/>
        <v>0</v>
      </c>
      <c r="Z394">
        <f t="shared" si="110"/>
        <v>0</v>
      </c>
      <c r="AA394">
        <f t="shared" si="111"/>
        <v>0</v>
      </c>
      <c r="AB394">
        <f t="shared" si="112"/>
        <v>0</v>
      </c>
      <c r="AD394" s="204">
        <f t="shared" si="105"/>
        <v>0</v>
      </c>
      <c r="AE394" s="204">
        <f t="shared" si="106"/>
        <v>0</v>
      </c>
      <c r="AF394" s="204">
        <f t="shared" si="107"/>
        <v>0</v>
      </c>
      <c r="AG394" s="204">
        <f t="shared" si="108"/>
        <v>0</v>
      </c>
    </row>
    <row r="395" spans="1:33" x14ac:dyDescent="0.3">
      <c r="A395" s="204"/>
      <c r="B395" s="205"/>
      <c r="C395" s="205"/>
      <c r="D395" s="205"/>
      <c r="E395" s="205"/>
      <c r="F395" s="204"/>
      <c r="G395" s="204"/>
      <c r="H395" s="204"/>
      <c r="I395" s="204" t="str">
        <f t="shared" si="114"/>
        <v/>
      </c>
      <c r="J395" s="204" t="str">
        <f t="shared" si="115"/>
        <v/>
      </c>
      <c r="K395" s="204" t="str">
        <f t="shared" si="116"/>
        <v/>
      </c>
      <c r="L395" s="204" t="str">
        <f t="shared" si="117"/>
        <v/>
      </c>
      <c r="M395" s="76" t="str">
        <f t="shared" si="118"/>
        <v/>
      </c>
      <c r="N395" s="206">
        <f t="shared" si="119"/>
        <v>0</v>
      </c>
      <c r="O395" s="206">
        <f t="shared" si="120"/>
        <v>0</v>
      </c>
      <c r="P395" s="206">
        <f t="shared" si="121"/>
        <v>0</v>
      </c>
      <c r="Q395" s="206">
        <f t="shared" si="122"/>
        <v>0</v>
      </c>
      <c r="X395" s="71" t="str">
        <f t="shared" si="113"/>
        <v/>
      </c>
      <c r="Y395">
        <f t="shared" si="109"/>
        <v>0</v>
      </c>
      <c r="Z395">
        <f t="shared" si="110"/>
        <v>0</v>
      </c>
      <c r="AA395">
        <f t="shared" si="111"/>
        <v>0</v>
      </c>
      <c r="AB395">
        <f t="shared" si="112"/>
        <v>0</v>
      </c>
      <c r="AD395" s="204">
        <f t="shared" ref="AD395:AD458" si="123">IFERROR(IF(A395&lt;&gt;"",IF(A396&lt;&gt;"",IF(FIND("Mode AM +Tarif actuel",A396),VALUE(LEFT(B395,LEN(B395)-2)),),0),0),0)</f>
        <v>0</v>
      </c>
      <c r="AE395" s="204">
        <f t="shared" ref="AE395:AE458" si="124">IFERROR(IF(A395&lt;&gt;"",IF(A396&lt;&gt;"",IF(FIND("Mode AM +Tarif actuel",A396),VALUE(LEFT(C395,LEN(C395)-2)),),0),0),0)</f>
        <v>0</v>
      </c>
      <c r="AF395" s="204">
        <f t="shared" ref="AF395:AF458" si="125">IFERROR(IF(A395&lt;&gt;"",IF(A396&lt;&gt;"",IF(FIND("Mode AM +Tarif actuel",A396),VALUE(LEFT(D395,LEN(D395)-2)),),0),0),0)</f>
        <v>0</v>
      </c>
      <c r="AG395" s="204">
        <f t="shared" ref="AG395:AG458" si="126">IFERROR(IF(A395&lt;&gt;"",IF(A396&lt;&gt;"",IF(FIND("Mode AM +Tarif actuel",A396),VALUE(LEFT(E395,LEN(E395)-2)),),0),0),0)</f>
        <v>0</v>
      </c>
    </row>
    <row r="396" spans="1:33" x14ac:dyDescent="0.3">
      <c r="A396" s="204"/>
      <c r="B396" s="205"/>
      <c r="C396" s="205"/>
      <c r="D396" s="205"/>
      <c r="E396" s="205"/>
      <c r="F396" s="204"/>
      <c r="G396" s="204"/>
      <c r="H396" s="204"/>
      <c r="I396" s="204" t="str">
        <f t="shared" si="114"/>
        <v/>
      </c>
      <c r="J396" s="204" t="str">
        <f t="shared" si="115"/>
        <v/>
      </c>
      <c r="K396" s="204" t="str">
        <f t="shared" si="116"/>
        <v/>
      </c>
      <c r="L396" s="204" t="str">
        <f t="shared" si="117"/>
        <v/>
      </c>
      <c r="M396" s="76" t="str">
        <f t="shared" si="118"/>
        <v/>
      </c>
      <c r="N396" s="206">
        <f t="shared" si="119"/>
        <v>0</v>
      </c>
      <c r="O396" s="206">
        <f t="shared" si="120"/>
        <v>0</v>
      </c>
      <c r="P396" s="206">
        <f t="shared" si="121"/>
        <v>0</v>
      </c>
      <c r="Q396" s="206">
        <f t="shared" si="122"/>
        <v>0</v>
      </c>
      <c r="X396" s="71" t="str">
        <f t="shared" si="113"/>
        <v/>
      </c>
      <c r="Y396">
        <f t="shared" si="109"/>
        <v>0</v>
      </c>
      <c r="Z396">
        <f t="shared" si="110"/>
        <v>0</v>
      </c>
      <c r="AA396">
        <f t="shared" si="111"/>
        <v>0</v>
      </c>
      <c r="AB396">
        <f t="shared" si="112"/>
        <v>0</v>
      </c>
      <c r="AD396" s="204">
        <f t="shared" si="123"/>
        <v>0</v>
      </c>
      <c r="AE396" s="204">
        <f t="shared" si="124"/>
        <v>0</v>
      </c>
      <c r="AF396" s="204">
        <f t="shared" si="125"/>
        <v>0</v>
      </c>
      <c r="AG396" s="204">
        <f t="shared" si="126"/>
        <v>0</v>
      </c>
    </row>
    <row r="397" spans="1:33" x14ac:dyDescent="0.3">
      <c r="A397" s="204"/>
      <c r="B397" s="205"/>
      <c r="C397" s="205"/>
      <c r="D397" s="205"/>
      <c r="E397" s="205"/>
      <c r="F397" s="204"/>
      <c r="G397" s="204"/>
      <c r="H397" s="204"/>
      <c r="I397" s="204" t="str">
        <f t="shared" si="114"/>
        <v/>
      </c>
      <c r="J397" s="204" t="str">
        <f t="shared" si="115"/>
        <v/>
      </c>
      <c r="K397" s="204" t="str">
        <f t="shared" si="116"/>
        <v/>
      </c>
      <c r="L397" s="204" t="str">
        <f t="shared" si="117"/>
        <v/>
      </c>
      <c r="M397" s="76" t="str">
        <f t="shared" si="118"/>
        <v/>
      </c>
      <c r="N397" s="206">
        <f t="shared" si="119"/>
        <v>0</v>
      </c>
      <c r="O397" s="206">
        <f t="shared" si="120"/>
        <v>0</v>
      </c>
      <c r="P397" s="206">
        <f t="shared" si="121"/>
        <v>0</v>
      </c>
      <c r="Q397" s="206">
        <f t="shared" si="122"/>
        <v>0</v>
      </c>
      <c r="X397" s="71" t="str">
        <f t="shared" si="113"/>
        <v/>
      </c>
      <c r="Y397">
        <f t="shared" si="109"/>
        <v>0</v>
      </c>
      <c r="Z397">
        <f t="shared" si="110"/>
        <v>0</v>
      </c>
      <c r="AA397">
        <f t="shared" si="111"/>
        <v>0</v>
      </c>
      <c r="AB397">
        <f t="shared" si="112"/>
        <v>0</v>
      </c>
      <c r="AD397" s="204">
        <f t="shared" si="123"/>
        <v>0</v>
      </c>
      <c r="AE397" s="204">
        <f t="shared" si="124"/>
        <v>0</v>
      </c>
      <c r="AF397" s="204">
        <f t="shared" si="125"/>
        <v>0</v>
      </c>
      <c r="AG397" s="204">
        <f t="shared" si="126"/>
        <v>0</v>
      </c>
    </row>
    <row r="398" spans="1:33" x14ac:dyDescent="0.3">
      <c r="A398" s="204"/>
      <c r="B398" s="205"/>
      <c r="C398" s="205"/>
      <c r="D398" s="205"/>
      <c r="E398" s="205"/>
      <c r="F398" s="204"/>
      <c r="G398" s="204"/>
      <c r="H398" s="204"/>
      <c r="I398" s="204" t="str">
        <f t="shared" si="114"/>
        <v/>
      </c>
      <c r="J398" s="204" t="str">
        <f t="shared" si="115"/>
        <v/>
      </c>
      <c r="K398" s="204" t="str">
        <f t="shared" si="116"/>
        <v/>
      </c>
      <c r="L398" s="204" t="str">
        <f t="shared" si="117"/>
        <v/>
      </c>
      <c r="M398" s="76" t="str">
        <f t="shared" si="118"/>
        <v/>
      </c>
      <c r="N398" s="206">
        <f t="shared" si="119"/>
        <v>0</v>
      </c>
      <c r="O398" s="206">
        <f t="shared" si="120"/>
        <v>0</v>
      </c>
      <c r="P398" s="206">
        <f t="shared" si="121"/>
        <v>0</v>
      </c>
      <c r="Q398" s="206">
        <f t="shared" si="122"/>
        <v>0</v>
      </c>
      <c r="X398" s="71" t="str">
        <f t="shared" si="113"/>
        <v/>
      </c>
      <c r="Y398">
        <f t="shared" si="109"/>
        <v>0</v>
      </c>
      <c r="Z398">
        <f t="shared" si="110"/>
        <v>0</v>
      </c>
      <c r="AA398">
        <f t="shared" si="111"/>
        <v>0</v>
      </c>
      <c r="AB398">
        <f t="shared" si="112"/>
        <v>0</v>
      </c>
      <c r="AD398" s="204">
        <f t="shared" si="123"/>
        <v>0</v>
      </c>
      <c r="AE398" s="204">
        <f t="shared" si="124"/>
        <v>0</v>
      </c>
      <c r="AF398" s="204">
        <f t="shared" si="125"/>
        <v>0</v>
      </c>
      <c r="AG398" s="204">
        <f t="shared" si="126"/>
        <v>0</v>
      </c>
    </row>
    <row r="399" spans="1:33" x14ac:dyDescent="0.3">
      <c r="A399" s="204"/>
      <c r="B399" s="205"/>
      <c r="C399" s="205"/>
      <c r="D399" s="205"/>
      <c r="E399" s="205"/>
      <c r="F399" s="204"/>
      <c r="G399" s="204"/>
      <c r="H399" s="204"/>
      <c r="I399" s="204" t="str">
        <f t="shared" si="114"/>
        <v/>
      </c>
      <c r="J399" s="204" t="str">
        <f t="shared" si="115"/>
        <v/>
      </c>
      <c r="K399" s="204" t="str">
        <f t="shared" si="116"/>
        <v/>
      </c>
      <c r="L399" s="204" t="str">
        <f t="shared" si="117"/>
        <v/>
      </c>
      <c r="M399" s="76" t="str">
        <f t="shared" si="118"/>
        <v/>
      </c>
      <c r="N399" s="206">
        <f t="shared" si="119"/>
        <v>0</v>
      </c>
      <c r="O399" s="206">
        <f t="shared" si="120"/>
        <v>0</v>
      </c>
      <c r="P399" s="206">
        <f t="shared" si="121"/>
        <v>0</v>
      </c>
      <c r="Q399" s="206">
        <f t="shared" si="122"/>
        <v>0</v>
      </c>
      <c r="X399" s="71" t="str">
        <f t="shared" si="113"/>
        <v/>
      </c>
      <c r="Y399">
        <f t="shared" si="109"/>
        <v>0</v>
      </c>
      <c r="Z399">
        <f t="shared" si="110"/>
        <v>0</v>
      </c>
      <c r="AA399">
        <f t="shared" si="111"/>
        <v>0</v>
      </c>
      <c r="AB399">
        <f t="shared" si="112"/>
        <v>0</v>
      </c>
      <c r="AD399" s="204">
        <f t="shared" si="123"/>
        <v>0</v>
      </c>
      <c r="AE399" s="204">
        <f t="shared" si="124"/>
        <v>0</v>
      </c>
      <c r="AF399" s="204">
        <f t="shared" si="125"/>
        <v>0</v>
      </c>
      <c r="AG399" s="204">
        <f t="shared" si="126"/>
        <v>0</v>
      </c>
    </row>
    <row r="400" spans="1:33" x14ac:dyDescent="0.3">
      <c r="A400" s="204"/>
      <c r="B400" s="205"/>
      <c r="C400" s="205"/>
      <c r="D400" s="205"/>
      <c r="E400" s="205"/>
      <c r="F400" s="204"/>
      <c r="G400" s="204"/>
      <c r="H400" s="204"/>
      <c r="I400" s="204" t="str">
        <f t="shared" si="114"/>
        <v/>
      </c>
      <c r="J400" s="204" t="str">
        <f t="shared" si="115"/>
        <v/>
      </c>
      <c r="K400" s="204" t="str">
        <f t="shared" si="116"/>
        <v/>
      </c>
      <c r="L400" s="204" t="str">
        <f t="shared" si="117"/>
        <v/>
      </c>
      <c r="M400" s="76" t="str">
        <f t="shared" si="118"/>
        <v/>
      </c>
      <c r="N400" s="206">
        <f t="shared" si="119"/>
        <v>0</v>
      </c>
      <c r="O400" s="206">
        <f t="shared" si="120"/>
        <v>0</v>
      </c>
      <c r="P400" s="206">
        <f t="shared" si="121"/>
        <v>0</v>
      </c>
      <c r="Q400" s="206">
        <f t="shared" si="122"/>
        <v>0</v>
      </c>
      <c r="X400" s="71" t="str">
        <f t="shared" si="113"/>
        <v/>
      </c>
      <c r="Y400">
        <f t="shared" si="109"/>
        <v>0</v>
      </c>
      <c r="Z400">
        <f t="shared" si="110"/>
        <v>0</v>
      </c>
      <c r="AA400">
        <f t="shared" si="111"/>
        <v>0</v>
      </c>
      <c r="AB400">
        <f t="shared" si="112"/>
        <v>0</v>
      </c>
      <c r="AD400" s="204">
        <f t="shared" si="123"/>
        <v>0</v>
      </c>
      <c r="AE400" s="204">
        <f t="shared" si="124"/>
        <v>0</v>
      </c>
      <c r="AF400" s="204">
        <f t="shared" si="125"/>
        <v>0</v>
      </c>
      <c r="AG400" s="204">
        <f t="shared" si="126"/>
        <v>0</v>
      </c>
    </row>
    <row r="401" spans="1:33" x14ac:dyDescent="0.3">
      <c r="A401" s="204"/>
      <c r="B401" s="205"/>
      <c r="C401" s="205"/>
      <c r="D401" s="205"/>
      <c r="E401" s="205"/>
      <c r="F401" s="204"/>
      <c r="G401" s="204"/>
      <c r="H401" s="204"/>
      <c r="I401" s="204" t="str">
        <f t="shared" si="114"/>
        <v/>
      </c>
      <c r="J401" s="204" t="str">
        <f t="shared" si="115"/>
        <v/>
      </c>
      <c r="K401" s="204" t="str">
        <f t="shared" si="116"/>
        <v/>
      </c>
      <c r="L401" s="204" t="str">
        <f t="shared" si="117"/>
        <v/>
      </c>
      <c r="M401" s="76" t="str">
        <f t="shared" si="118"/>
        <v/>
      </c>
      <c r="N401" s="206">
        <f t="shared" si="119"/>
        <v>0</v>
      </c>
      <c r="O401" s="206">
        <f t="shared" si="120"/>
        <v>0</v>
      </c>
      <c r="P401" s="206">
        <f t="shared" si="121"/>
        <v>0</v>
      </c>
      <c r="Q401" s="206">
        <f t="shared" si="122"/>
        <v>0</v>
      </c>
      <c r="X401" s="71" t="str">
        <f t="shared" si="113"/>
        <v/>
      </c>
      <c r="Y401">
        <f t="shared" si="109"/>
        <v>0</v>
      </c>
      <c r="Z401">
        <f t="shared" si="110"/>
        <v>0</v>
      </c>
      <c r="AA401">
        <f t="shared" si="111"/>
        <v>0</v>
      </c>
      <c r="AB401">
        <f t="shared" si="112"/>
        <v>0</v>
      </c>
      <c r="AD401" s="204">
        <f t="shared" si="123"/>
        <v>0</v>
      </c>
      <c r="AE401" s="204">
        <f t="shared" si="124"/>
        <v>0</v>
      </c>
      <c r="AF401" s="204">
        <f t="shared" si="125"/>
        <v>0</v>
      </c>
      <c r="AG401" s="204">
        <f t="shared" si="126"/>
        <v>0</v>
      </c>
    </row>
    <row r="402" spans="1:33" x14ac:dyDescent="0.3">
      <c r="A402" s="204"/>
      <c r="B402" s="205"/>
      <c r="C402" s="205"/>
      <c r="D402" s="205"/>
      <c r="E402" s="205"/>
      <c r="F402" s="204"/>
      <c r="G402" s="204"/>
      <c r="H402" s="204"/>
      <c r="I402" s="204" t="str">
        <f t="shared" si="114"/>
        <v/>
      </c>
      <c r="J402" s="204" t="str">
        <f t="shared" si="115"/>
        <v/>
      </c>
      <c r="K402" s="204" t="str">
        <f t="shared" si="116"/>
        <v/>
      </c>
      <c r="L402" s="204" t="str">
        <f t="shared" si="117"/>
        <v/>
      </c>
      <c r="M402" s="76" t="str">
        <f t="shared" si="118"/>
        <v/>
      </c>
      <c r="N402" s="206">
        <f t="shared" si="119"/>
        <v>0</v>
      </c>
      <c r="O402" s="206">
        <f t="shared" si="120"/>
        <v>0</v>
      </c>
      <c r="P402" s="206">
        <f t="shared" si="121"/>
        <v>0</v>
      </c>
      <c r="Q402" s="206">
        <f t="shared" si="122"/>
        <v>0</v>
      </c>
      <c r="X402" s="71" t="str">
        <f t="shared" si="113"/>
        <v/>
      </c>
      <c r="Y402">
        <f t="shared" si="109"/>
        <v>0</v>
      </c>
      <c r="Z402">
        <f t="shared" si="110"/>
        <v>0</v>
      </c>
      <c r="AA402">
        <f t="shared" si="111"/>
        <v>0</v>
      </c>
      <c r="AB402">
        <f t="shared" si="112"/>
        <v>0</v>
      </c>
      <c r="AD402" s="204">
        <f t="shared" si="123"/>
        <v>0</v>
      </c>
      <c r="AE402" s="204">
        <f t="shared" si="124"/>
        <v>0</v>
      </c>
      <c r="AF402" s="204">
        <f t="shared" si="125"/>
        <v>0</v>
      </c>
      <c r="AG402" s="204">
        <f t="shared" si="126"/>
        <v>0</v>
      </c>
    </row>
    <row r="403" spans="1:33" x14ac:dyDescent="0.3">
      <c r="A403" s="204"/>
      <c r="B403" s="205"/>
      <c r="C403" s="205"/>
      <c r="D403" s="205"/>
      <c r="E403" s="205"/>
      <c r="F403" s="204"/>
      <c r="G403" s="204"/>
      <c r="H403" s="204"/>
      <c r="I403" s="204" t="str">
        <f t="shared" si="114"/>
        <v/>
      </c>
      <c r="J403" s="204" t="str">
        <f t="shared" si="115"/>
        <v/>
      </c>
      <c r="K403" s="204" t="str">
        <f t="shared" si="116"/>
        <v/>
      </c>
      <c r="L403" s="204" t="str">
        <f t="shared" si="117"/>
        <v/>
      </c>
      <c r="M403" s="76" t="str">
        <f t="shared" si="118"/>
        <v/>
      </c>
      <c r="N403" s="206">
        <f t="shared" si="119"/>
        <v>0</v>
      </c>
      <c r="O403" s="206">
        <f t="shared" si="120"/>
        <v>0</v>
      </c>
      <c r="P403" s="206">
        <f t="shared" si="121"/>
        <v>0</v>
      </c>
      <c r="Q403" s="206">
        <f t="shared" si="122"/>
        <v>0</v>
      </c>
      <c r="X403" s="71" t="str">
        <f t="shared" si="113"/>
        <v/>
      </c>
      <c r="Y403">
        <f t="shared" si="109"/>
        <v>0</v>
      </c>
      <c r="Z403">
        <f t="shared" si="110"/>
        <v>0</v>
      </c>
      <c r="AA403">
        <f t="shared" si="111"/>
        <v>0</v>
      </c>
      <c r="AB403">
        <f t="shared" si="112"/>
        <v>0</v>
      </c>
      <c r="AD403" s="204">
        <f t="shared" si="123"/>
        <v>0</v>
      </c>
      <c r="AE403" s="204">
        <f t="shared" si="124"/>
        <v>0</v>
      </c>
      <c r="AF403" s="204">
        <f t="shared" si="125"/>
        <v>0</v>
      </c>
      <c r="AG403" s="204">
        <f t="shared" si="126"/>
        <v>0</v>
      </c>
    </row>
    <row r="404" spans="1:33" x14ac:dyDescent="0.3">
      <c r="A404" s="204"/>
      <c r="B404" s="205"/>
      <c r="C404" s="205"/>
      <c r="D404" s="205"/>
      <c r="E404" s="205"/>
      <c r="F404" s="204"/>
      <c r="G404" s="204"/>
      <c r="H404" s="204"/>
      <c r="I404" s="204" t="str">
        <f t="shared" si="114"/>
        <v/>
      </c>
      <c r="J404" s="204" t="str">
        <f t="shared" si="115"/>
        <v/>
      </c>
      <c r="K404" s="204" t="str">
        <f t="shared" si="116"/>
        <v/>
      </c>
      <c r="L404" s="204" t="str">
        <f t="shared" si="117"/>
        <v/>
      </c>
      <c r="M404" s="76" t="str">
        <f t="shared" si="118"/>
        <v/>
      </c>
      <c r="N404" s="206">
        <f t="shared" si="119"/>
        <v>0</v>
      </c>
      <c r="O404" s="206">
        <f t="shared" si="120"/>
        <v>0</v>
      </c>
      <c r="P404" s="206">
        <f t="shared" si="121"/>
        <v>0</v>
      </c>
      <c r="Q404" s="206">
        <f t="shared" si="122"/>
        <v>0</v>
      </c>
      <c r="X404" s="71" t="str">
        <f t="shared" si="113"/>
        <v/>
      </c>
      <c r="Y404">
        <f t="shared" si="109"/>
        <v>0</v>
      </c>
      <c r="Z404">
        <f t="shared" si="110"/>
        <v>0</v>
      </c>
      <c r="AA404">
        <f t="shared" si="111"/>
        <v>0</v>
      </c>
      <c r="AB404">
        <f t="shared" si="112"/>
        <v>0</v>
      </c>
      <c r="AD404" s="204">
        <f t="shared" si="123"/>
        <v>0</v>
      </c>
      <c r="AE404" s="204">
        <f t="shared" si="124"/>
        <v>0</v>
      </c>
      <c r="AF404" s="204">
        <f t="shared" si="125"/>
        <v>0</v>
      </c>
      <c r="AG404" s="204">
        <f t="shared" si="126"/>
        <v>0</v>
      </c>
    </row>
    <row r="405" spans="1:33" x14ac:dyDescent="0.3">
      <c r="A405" s="204"/>
      <c r="B405" s="205"/>
      <c r="C405" s="205"/>
      <c r="D405" s="205"/>
      <c r="E405" s="205"/>
      <c r="F405" s="204"/>
      <c r="G405" s="204"/>
      <c r="H405" s="204"/>
      <c r="I405" s="204" t="str">
        <f t="shared" si="114"/>
        <v/>
      </c>
      <c r="J405" s="204" t="str">
        <f t="shared" si="115"/>
        <v/>
      </c>
      <c r="K405" s="204" t="str">
        <f t="shared" si="116"/>
        <v/>
      </c>
      <c r="L405" s="204" t="str">
        <f t="shared" si="117"/>
        <v/>
      </c>
      <c r="M405" s="76" t="str">
        <f t="shared" si="118"/>
        <v/>
      </c>
      <c r="N405" s="206">
        <f t="shared" si="119"/>
        <v>0</v>
      </c>
      <c r="O405" s="206">
        <f t="shared" si="120"/>
        <v>0</v>
      </c>
      <c r="P405" s="206">
        <f t="shared" si="121"/>
        <v>0</v>
      </c>
      <c r="Q405" s="206">
        <f t="shared" si="122"/>
        <v>0</v>
      </c>
      <c r="X405" s="71" t="str">
        <f t="shared" si="113"/>
        <v/>
      </c>
      <c r="Y405">
        <f t="shared" si="109"/>
        <v>0</v>
      </c>
      <c r="Z405">
        <f t="shared" si="110"/>
        <v>0</v>
      </c>
      <c r="AA405">
        <f t="shared" si="111"/>
        <v>0</v>
      </c>
      <c r="AB405">
        <f t="shared" si="112"/>
        <v>0</v>
      </c>
      <c r="AD405" s="204">
        <f t="shared" si="123"/>
        <v>0</v>
      </c>
      <c r="AE405" s="204">
        <f t="shared" si="124"/>
        <v>0</v>
      </c>
      <c r="AF405" s="204">
        <f t="shared" si="125"/>
        <v>0</v>
      </c>
      <c r="AG405" s="204">
        <f t="shared" si="126"/>
        <v>0</v>
      </c>
    </row>
    <row r="406" spans="1:33" x14ac:dyDescent="0.3">
      <c r="A406" s="204"/>
      <c r="B406" s="205"/>
      <c r="C406" s="205"/>
      <c r="D406" s="205"/>
      <c r="E406" s="205"/>
      <c r="F406" s="204"/>
      <c r="G406" s="204"/>
      <c r="H406" s="204"/>
      <c r="I406" s="204" t="str">
        <f t="shared" si="114"/>
        <v/>
      </c>
      <c r="J406" s="204" t="str">
        <f t="shared" si="115"/>
        <v/>
      </c>
      <c r="K406" s="204" t="str">
        <f t="shared" si="116"/>
        <v/>
      </c>
      <c r="L406" s="204" t="str">
        <f t="shared" si="117"/>
        <v/>
      </c>
      <c r="M406" s="76" t="str">
        <f t="shared" si="118"/>
        <v/>
      </c>
      <c r="N406" s="206">
        <f t="shared" si="119"/>
        <v>0</v>
      </c>
      <c r="O406" s="206">
        <f t="shared" si="120"/>
        <v>0</v>
      </c>
      <c r="P406" s="206">
        <f t="shared" si="121"/>
        <v>0</v>
      </c>
      <c r="Q406" s="206">
        <f t="shared" si="122"/>
        <v>0</v>
      </c>
      <c r="X406" s="71" t="str">
        <f t="shared" si="113"/>
        <v/>
      </c>
      <c r="Y406">
        <f t="shared" si="109"/>
        <v>0</v>
      </c>
      <c r="Z406">
        <f t="shared" si="110"/>
        <v>0</v>
      </c>
      <c r="AA406">
        <f t="shared" si="111"/>
        <v>0</v>
      </c>
      <c r="AB406">
        <f t="shared" si="112"/>
        <v>0</v>
      </c>
      <c r="AD406" s="204">
        <f t="shared" si="123"/>
        <v>0</v>
      </c>
      <c r="AE406" s="204">
        <f t="shared" si="124"/>
        <v>0</v>
      </c>
      <c r="AF406" s="204">
        <f t="shared" si="125"/>
        <v>0</v>
      </c>
      <c r="AG406" s="204">
        <f t="shared" si="126"/>
        <v>0</v>
      </c>
    </row>
    <row r="407" spans="1:33" x14ac:dyDescent="0.3">
      <c r="A407" s="204"/>
      <c r="B407" s="205"/>
      <c r="C407" s="205"/>
      <c r="D407" s="205"/>
      <c r="E407" s="205"/>
      <c r="F407" s="204"/>
      <c r="G407" s="204"/>
      <c r="H407" s="204"/>
      <c r="I407" s="204" t="str">
        <f t="shared" si="114"/>
        <v/>
      </c>
      <c r="J407" s="204" t="str">
        <f t="shared" si="115"/>
        <v/>
      </c>
      <c r="K407" s="204" t="str">
        <f t="shared" si="116"/>
        <v/>
      </c>
      <c r="L407" s="204" t="str">
        <f t="shared" si="117"/>
        <v/>
      </c>
      <c r="M407" s="76" t="str">
        <f t="shared" si="118"/>
        <v/>
      </c>
      <c r="N407" s="206">
        <f t="shared" si="119"/>
        <v>0</v>
      </c>
      <c r="O407" s="206">
        <f t="shared" si="120"/>
        <v>0</v>
      </c>
      <c r="P407" s="206">
        <f t="shared" si="121"/>
        <v>0</v>
      </c>
      <c r="Q407" s="206">
        <f t="shared" si="122"/>
        <v>0</v>
      </c>
      <c r="X407" s="71" t="str">
        <f t="shared" si="113"/>
        <v/>
      </c>
      <c r="Y407">
        <f t="shared" si="109"/>
        <v>0</v>
      </c>
      <c r="Z407">
        <f t="shared" si="110"/>
        <v>0</v>
      </c>
      <c r="AA407">
        <f t="shared" si="111"/>
        <v>0</v>
      </c>
      <c r="AB407">
        <f t="shared" si="112"/>
        <v>0</v>
      </c>
      <c r="AD407" s="204">
        <f t="shared" si="123"/>
        <v>0</v>
      </c>
      <c r="AE407" s="204">
        <f t="shared" si="124"/>
        <v>0</v>
      </c>
      <c r="AF407" s="204">
        <f t="shared" si="125"/>
        <v>0</v>
      </c>
      <c r="AG407" s="204">
        <f t="shared" si="126"/>
        <v>0</v>
      </c>
    </row>
    <row r="408" spans="1:33" x14ac:dyDescent="0.3">
      <c r="A408" s="204"/>
      <c r="B408" s="205"/>
      <c r="C408" s="205"/>
      <c r="D408" s="205"/>
      <c r="E408" s="205"/>
      <c r="F408" s="204"/>
      <c r="G408" s="204"/>
      <c r="H408" s="204"/>
      <c r="I408" s="204" t="str">
        <f t="shared" si="114"/>
        <v/>
      </c>
      <c r="J408" s="204" t="str">
        <f t="shared" si="115"/>
        <v/>
      </c>
      <c r="K408" s="204" t="str">
        <f t="shared" si="116"/>
        <v/>
      </c>
      <c r="L408" s="204" t="str">
        <f t="shared" si="117"/>
        <v/>
      </c>
      <c r="M408" s="76" t="str">
        <f t="shared" si="118"/>
        <v/>
      </c>
      <c r="N408" s="206">
        <f t="shared" si="119"/>
        <v>0</v>
      </c>
      <c r="O408" s="206">
        <f t="shared" si="120"/>
        <v>0</v>
      </c>
      <c r="P408" s="206">
        <f t="shared" si="121"/>
        <v>0</v>
      </c>
      <c r="Q408" s="206">
        <f t="shared" si="122"/>
        <v>0</v>
      </c>
      <c r="X408" s="71" t="str">
        <f t="shared" si="113"/>
        <v/>
      </c>
      <c r="Y408">
        <f t="shared" si="109"/>
        <v>0</v>
      </c>
      <c r="Z408">
        <f t="shared" si="110"/>
        <v>0</v>
      </c>
      <c r="AA408">
        <f t="shared" si="111"/>
        <v>0</v>
      </c>
      <c r="AB408">
        <f t="shared" si="112"/>
        <v>0</v>
      </c>
      <c r="AD408" s="204">
        <f t="shared" si="123"/>
        <v>0</v>
      </c>
      <c r="AE408" s="204">
        <f t="shared" si="124"/>
        <v>0</v>
      </c>
      <c r="AF408" s="204">
        <f t="shared" si="125"/>
        <v>0</v>
      </c>
      <c r="AG408" s="204">
        <f t="shared" si="126"/>
        <v>0</v>
      </c>
    </row>
    <row r="409" spans="1:33" x14ac:dyDescent="0.3">
      <c r="A409" s="204"/>
      <c r="B409" s="205"/>
      <c r="C409" s="205"/>
      <c r="D409" s="205"/>
      <c r="E409" s="205"/>
      <c r="F409" s="204"/>
      <c r="G409" s="204"/>
      <c r="H409" s="204"/>
      <c r="I409" s="204" t="str">
        <f t="shared" si="114"/>
        <v/>
      </c>
      <c r="J409" s="204" t="str">
        <f t="shared" si="115"/>
        <v/>
      </c>
      <c r="K409" s="204" t="str">
        <f t="shared" si="116"/>
        <v/>
      </c>
      <c r="L409" s="204" t="str">
        <f t="shared" si="117"/>
        <v/>
      </c>
      <c r="M409" s="76" t="str">
        <f t="shared" si="118"/>
        <v/>
      </c>
      <c r="N409" s="206">
        <f t="shared" si="119"/>
        <v>0</v>
      </c>
      <c r="O409" s="206">
        <f t="shared" si="120"/>
        <v>0</v>
      </c>
      <c r="P409" s="206">
        <f t="shared" si="121"/>
        <v>0</v>
      </c>
      <c r="Q409" s="206">
        <f t="shared" si="122"/>
        <v>0</v>
      </c>
      <c r="X409" s="71" t="str">
        <f t="shared" si="113"/>
        <v/>
      </c>
      <c r="Y409">
        <f t="shared" si="109"/>
        <v>0</v>
      </c>
      <c r="Z409">
        <f t="shared" si="110"/>
        <v>0</v>
      </c>
      <c r="AA409">
        <f t="shared" si="111"/>
        <v>0</v>
      </c>
      <c r="AB409">
        <f t="shared" si="112"/>
        <v>0</v>
      </c>
      <c r="AD409" s="204">
        <f t="shared" si="123"/>
        <v>0</v>
      </c>
      <c r="AE409" s="204">
        <f t="shared" si="124"/>
        <v>0</v>
      </c>
      <c r="AF409" s="204">
        <f t="shared" si="125"/>
        <v>0</v>
      </c>
      <c r="AG409" s="204">
        <f t="shared" si="126"/>
        <v>0</v>
      </c>
    </row>
    <row r="410" spans="1:33" x14ac:dyDescent="0.3">
      <c r="A410" s="204"/>
      <c r="B410" s="205"/>
      <c r="C410" s="205"/>
      <c r="D410" s="205"/>
      <c r="E410" s="205"/>
      <c r="F410" s="204"/>
      <c r="G410" s="204"/>
      <c r="H410" s="204"/>
      <c r="I410" s="204" t="str">
        <f t="shared" si="114"/>
        <v/>
      </c>
      <c r="J410" s="204" t="str">
        <f t="shared" si="115"/>
        <v/>
      </c>
      <c r="K410" s="204" t="str">
        <f t="shared" si="116"/>
        <v/>
      </c>
      <c r="L410" s="204" t="str">
        <f t="shared" si="117"/>
        <v/>
      </c>
      <c r="M410" s="76" t="str">
        <f t="shared" si="118"/>
        <v/>
      </c>
      <c r="N410" s="206">
        <f t="shared" si="119"/>
        <v>0</v>
      </c>
      <c r="O410" s="206">
        <f t="shared" si="120"/>
        <v>0</v>
      </c>
      <c r="P410" s="206">
        <f t="shared" si="121"/>
        <v>0</v>
      </c>
      <c r="Q410" s="206">
        <f t="shared" si="122"/>
        <v>0</v>
      </c>
      <c r="X410" s="71" t="str">
        <f t="shared" si="113"/>
        <v/>
      </c>
      <c r="Y410">
        <f t="shared" si="109"/>
        <v>0</v>
      </c>
      <c r="Z410">
        <f t="shared" si="110"/>
        <v>0</v>
      </c>
      <c r="AA410">
        <f t="shared" si="111"/>
        <v>0</v>
      </c>
      <c r="AB410">
        <f t="shared" si="112"/>
        <v>0</v>
      </c>
      <c r="AD410" s="204">
        <f t="shared" si="123"/>
        <v>0</v>
      </c>
      <c r="AE410" s="204">
        <f t="shared" si="124"/>
        <v>0</v>
      </c>
      <c r="AF410" s="204">
        <f t="shared" si="125"/>
        <v>0</v>
      </c>
      <c r="AG410" s="204">
        <f t="shared" si="126"/>
        <v>0</v>
      </c>
    </row>
    <row r="411" spans="1:33" x14ac:dyDescent="0.3">
      <c r="A411" s="204"/>
      <c r="B411" s="205"/>
      <c r="C411" s="205"/>
      <c r="D411" s="205"/>
      <c r="E411" s="205"/>
      <c r="F411" s="204"/>
      <c r="G411" s="204"/>
      <c r="H411" s="204"/>
      <c r="I411" s="204" t="str">
        <f t="shared" si="114"/>
        <v/>
      </c>
      <c r="J411" s="204" t="str">
        <f t="shared" si="115"/>
        <v/>
      </c>
      <c r="K411" s="204" t="str">
        <f t="shared" si="116"/>
        <v/>
      </c>
      <c r="L411" s="204" t="str">
        <f t="shared" si="117"/>
        <v/>
      </c>
      <c r="M411" s="76" t="str">
        <f t="shared" si="118"/>
        <v/>
      </c>
      <c r="N411" s="206">
        <f t="shared" si="119"/>
        <v>0</v>
      </c>
      <c r="O411" s="206">
        <f t="shared" si="120"/>
        <v>0</v>
      </c>
      <c r="P411" s="206">
        <f t="shared" si="121"/>
        <v>0</v>
      </c>
      <c r="Q411" s="206">
        <f t="shared" si="122"/>
        <v>0</v>
      </c>
      <c r="X411" s="71" t="str">
        <f t="shared" si="113"/>
        <v/>
      </c>
      <c r="Y411">
        <f t="shared" si="109"/>
        <v>0</v>
      </c>
      <c r="Z411">
        <f t="shared" si="110"/>
        <v>0</v>
      </c>
      <c r="AA411">
        <f t="shared" si="111"/>
        <v>0</v>
      </c>
      <c r="AB411">
        <f t="shared" si="112"/>
        <v>0</v>
      </c>
      <c r="AD411" s="204">
        <f t="shared" si="123"/>
        <v>0</v>
      </c>
      <c r="AE411" s="204">
        <f t="shared" si="124"/>
        <v>0</v>
      </c>
      <c r="AF411" s="204">
        <f t="shared" si="125"/>
        <v>0</v>
      </c>
      <c r="AG411" s="204">
        <f t="shared" si="126"/>
        <v>0</v>
      </c>
    </row>
    <row r="412" spans="1:33" x14ac:dyDescent="0.3">
      <c r="A412" s="204"/>
      <c r="B412" s="205"/>
      <c r="C412" s="205"/>
      <c r="D412" s="205"/>
      <c r="E412" s="205"/>
      <c r="F412" s="204"/>
      <c r="G412" s="204"/>
      <c r="H412" s="204"/>
      <c r="I412" s="204" t="str">
        <f t="shared" si="114"/>
        <v/>
      </c>
      <c r="J412" s="204" t="str">
        <f t="shared" si="115"/>
        <v/>
      </c>
      <c r="K412" s="204" t="str">
        <f t="shared" si="116"/>
        <v/>
      </c>
      <c r="L412" s="204" t="str">
        <f t="shared" si="117"/>
        <v/>
      </c>
      <c r="M412" s="76" t="str">
        <f t="shared" si="118"/>
        <v/>
      </c>
      <c r="N412" s="206">
        <f t="shared" si="119"/>
        <v>0</v>
      </c>
      <c r="O412" s="206">
        <f t="shared" si="120"/>
        <v>0</v>
      </c>
      <c r="P412" s="206">
        <f t="shared" si="121"/>
        <v>0</v>
      </c>
      <c r="Q412" s="206">
        <f t="shared" si="122"/>
        <v>0</v>
      </c>
      <c r="X412" s="71" t="str">
        <f t="shared" si="113"/>
        <v/>
      </c>
      <c r="Y412">
        <f t="shared" si="109"/>
        <v>0</v>
      </c>
      <c r="Z412">
        <f t="shared" si="110"/>
        <v>0</v>
      </c>
      <c r="AA412">
        <f t="shared" si="111"/>
        <v>0</v>
      </c>
      <c r="AB412">
        <f t="shared" si="112"/>
        <v>0</v>
      </c>
      <c r="AD412" s="204">
        <f t="shared" si="123"/>
        <v>0</v>
      </c>
      <c r="AE412" s="204">
        <f t="shared" si="124"/>
        <v>0</v>
      </c>
      <c r="AF412" s="204">
        <f t="shared" si="125"/>
        <v>0</v>
      </c>
      <c r="AG412" s="204">
        <f t="shared" si="126"/>
        <v>0</v>
      </c>
    </row>
    <row r="413" spans="1:33" x14ac:dyDescent="0.3">
      <c r="A413" s="204"/>
      <c r="B413" s="205"/>
      <c r="C413" s="205"/>
      <c r="D413" s="205"/>
      <c r="E413" s="205"/>
      <c r="F413" s="204"/>
      <c r="G413" s="204"/>
      <c r="H413" s="204"/>
      <c r="I413" s="204" t="str">
        <f t="shared" si="114"/>
        <v/>
      </c>
      <c r="J413" s="204" t="str">
        <f t="shared" si="115"/>
        <v/>
      </c>
      <c r="K413" s="204" t="str">
        <f t="shared" si="116"/>
        <v/>
      </c>
      <c r="L413" s="204" t="str">
        <f t="shared" si="117"/>
        <v/>
      </c>
      <c r="M413" s="76" t="str">
        <f t="shared" si="118"/>
        <v/>
      </c>
      <c r="N413" s="206">
        <f t="shared" si="119"/>
        <v>0</v>
      </c>
      <c r="O413" s="206">
        <f t="shared" si="120"/>
        <v>0</v>
      </c>
      <c r="P413" s="206">
        <f t="shared" si="121"/>
        <v>0</v>
      </c>
      <c r="Q413" s="206">
        <f t="shared" si="122"/>
        <v>0</v>
      </c>
      <c r="X413" s="71" t="str">
        <f t="shared" si="113"/>
        <v/>
      </c>
      <c r="Y413">
        <f t="shared" si="109"/>
        <v>0</v>
      </c>
      <c r="Z413">
        <f t="shared" si="110"/>
        <v>0</v>
      </c>
      <c r="AA413">
        <f t="shared" si="111"/>
        <v>0</v>
      </c>
      <c r="AB413">
        <f t="shared" si="112"/>
        <v>0</v>
      </c>
      <c r="AD413" s="204">
        <f t="shared" si="123"/>
        <v>0</v>
      </c>
      <c r="AE413" s="204">
        <f t="shared" si="124"/>
        <v>0</v>
      </c>
      <c r="AF413" s="204">
        <f t="shared" si="125"/>
        <v>0</v>
      </c>
      <c r="AG413" s="204">
        <f t="shared" si="126"/>
        <v>0</v>
      </c>
    </row>
    <row r="414" spans="1:33" x14ac:dyDescent="0.3">
      <c r="A414" s="204"/>
      <c r="B414" s="205"/>
      <c r="C414" s="205"/>
      <c r="D414" s="205"/>
      <c r="E414" s="205"/>
      <c r="F414" s="204"/>
      <c r="G414" s="204"/>
      <c r="H414" s="204"/>
      <c r="I414" s="204" t="str">
        <f t="shared" si="114"/>
        <v/>
      </c>
      <c r="J414" s="204" t="str">
        <f t="shared" si="115"/>
        <v/>
      </c>
      <c r="K414" s="204" t="str">
        <f t="shared" si="116"/>
        <v/>
      </c>
      <c r="L414" s="204" t="str">
        <f t="shared" si="117"/>
        <v/>
      </c>
      <c r="M414" s="76" t="str">
        <f t="shared" si="118"/>
        <v/>
      </c>
      <c r="N414" s="206">
        <f t="shared" si="119"/>
        <v>0</v>
      </c>
      <c r="O414" s="206">
        <f t="shared" si="120"/>
        <v>0</v>
      </c>
      <c r="P414" s="206">
        <f t="shared" si="121"/>
        <v>0</v>
      </c>
      <c r="Q414" s="206">
        <f t="shared" si="122"/>
        <v>0</v>
      </c>
      <c r="X414" s="71" t="str">
        <f t="shared" si="113"/>
        <v/>
      </c>
      <c r="Y414">
        <f t="shared" si="109"/>
        <v>0</v>
      </c>
      <c r="Z414">
        <f t="shared" si="110"/>
        <v>0</v>
      </c>
      <c r="AA414">
        <f t="shared" si="111"/>
        <v>0</v>
      </c>
      <c r="AB414">
        <f t="shared" si="112"/>
        <v>0</v>
      </c>
      <c r="AD414" s="204">
        <f t="shared" si="123"/>
        <v>0</v>
      </c>
      <c r="AE414" s="204">
        <f t="shared" si="124"/>
        <v>0</v>
      </c>
      <c r="AF414" s="204">
        <f t="shared" si="125"/>
        <v>0</v>
      </c>
      <c r="AG414" s="204">
        <f t="shared" si="126"/>
        <v>0</v>
      </c>
    </row>
    <row r="415" spans="1:33" x14ac:dyDescent="0.3">
      <c r="A415" s="204"/>
      <c r="B415" s="205"/>
      <c r="C415" s="205"/>
      <c r="D415" s="205"/>
      <c r="E415" s="205"/>
      <c r="F415" s="204"/>
      <c r="G415" s="204"/>
      <c r="H415" s="204"/>
      <c r="I415" s="204" t="str">
        <f t="shared" si="114"/>
        <v/>
      </c>
      <c r="J415" s="204" t="str">
        <f t="shared" si="115"/>
        <v/>
      </c>
      <c r="K415" s="204" t="str">
        <f t="shared" si="116"/>
        <v/>
      </c>
      <c r="L415" s="204" t="str">
        <f t="shared" si="117"/>
        <v/>
      </c>
      <c r="M415" s="76" t="str">
        <f t="shared" si="118"/>
        <v/>
      </c>
      <c r="N415" s="206">
        <f t="shared" si="119"/>
        <v>0</v>
      </c>
      <c r="O415" s="206">
        <f t="shared" si="120"/>
        <v>0</v>
      </c>
      <c r="P415" s="206">
        <f t="shared" si="121"/>
        <v>0</v>
      </c>
      <c r="Q415" s="206">
        <f t="shared" si="122"/>
        <v>0</v>
      </c>
      <c r="X415" s="71" t="str">
        <f t="shared" si="113"/>
        <v/>
      </c>
      <c r="Y415">
        <f t="shared" si="109"/>
        <v>0</v>
      </c>
      <c r="Z415">
        <f t="shared" si="110"/>
        <v>0</v>
      </c>
      <c r="AA415">
        <f t="shared" si="111"/>
        <v>0</v>
      </c>
      <c r="AB415">
        <f t="shared" si="112"/>
        <v>0</v>
      </c>
      <c r="AD415" s="204">
        <f t="shared" si="123"/>
        <v>0</v>
      </c>
      <c r="AE415" s="204">
        <f t="shared" si="124"/>
        <v>0</v>
      </c>
      <c r="AF415" s="204">
        <f t="shared" si="125"/>
        <v>0</v>
      </c>
      <c r="AG415" s="204">
        <f t="shared" si="126"/>
        <v>0</v>
      </c>
    </row>
    <row r="416" spans="1:33" x14ac:dyDescent="0.3">
      <c r="A416" s="204"/>
      <c r="B416" s="205"/>
      <c r="C416" s="205"/>
      <c r="D416" s="205"/>
      <c r="E416" s="205"/>
      <c r="F416" s="204"/>
      <c r="G416" s="204"/>
      <c r="H416" s="204"/>
      <c r="I416" s="204" t="str">
        <f t="shared" si="114"/>
        <v/>
      </c>
      <c r="J416" s="204" t="str">
        <f t="shared" si="115"/>
        <v/>
      </c>
      <c r="K416" s="204" t="str">
        <f t="shared" si="116"/>
        <v/>
      </c>
      <c r="L416" s="204" t="str">
        <f t="shared" si="117"/>
        <v/>
      </c>
      <c r="M416" s="76" t="str">
        <f t="shared" si="118"/>
        <v/>
      </c>
      <c r="N416" s="206">
        <f t="shared" si="119"/>
        <v>0</v>
      </c>
      <c r="O416" s="206">
        <f t="shared" si="120"/>
        <v>0</v>
      </c>
      <c r="P416" s="206">
        <f t="shared" si="121"/>
        <v>0</v>
      </c>
      <c r="Q416" s="206">
        <f t="shared" si="122"/>
        <v>0</v>
      </c>
      <c r="X416" s="71" t="str">
        <f t="shared" si="113"/>
        <v/>
      </c>
      <c r="Y416">
        <f t="shared" si="109"/>
        <v>0</v>
      </c>
      <c r="Z416">
        <f t="shared" si="110"/>
        <v>0</v>
      </c>
      <c r="AA416">
        <f t="shared" si="111"/>
        <v>0</v>
      </c>
      <c r="AB416">
        <f t="shared" si="112"/>
        <v>0</v>
      </c>
      <c r="AD416" s="204">
        <f t="shared" si="123"/>
        <v>0</v>
      </c>
      <c r="AE416" s="204">
        <f t="shared" si="124"/>
        <v>0</v>
      </c>
      <c r="AF416" s="204">
        <f t="shared" si="125"/>
        <v>0</v>
      </c>
      <c r="AG416" s="204">
        <f t="shared" si="126"/>
        <v>0</v>
      </c>
    </row>
    <row r="417" spans="1:33" x14ac:dyDescent="0.3">
      <c r="A417" s="204"/>
      <c r="B417" s="205"/>
      <c r="C417" s="205"/>
      <c r="D417" s="205"/>
      <c r="E417" s="205"/>
      <c r="F417" s="204"/>
      <c r="G417" s="204"/>
      <c r="H417" s="204"/>
      <c r="I417" s="204" t="str">
        <f t="shared" si="114"/>
        <v/>
      </c>
      <c r="J417" s="204" t="str">
        <f t="shared" si="115"/>
        <v/>
      </c>
      <c r="K417" s="204" t="str">
        <f t="shared" si="116"/>
        <v/>
      </c>
      <c r="L417" s="204" t="str">
        <f t="shared" si="117"/>
        <v/>
      </c>
      <c r="M417" s="76" t="str">
        <f t="shared" si="118"/>
        <v/>
      </c>
      <c r="N417" s="206">
        <f t="shared" si="119"/>
        <v>0</v>
      </c>
      <c r="O417" s="206">
        <f t="shared" si="120"/>
        <v>0</v>
      </c>
      <c r="P417" s="206">
        <f t="shared" si="121"/>
        <v>0</v>
      </c>
      <c r="Q417" s="206">
        <f t="shared" si="122"/>
        <v>0</v>
      </c>
      <c r="X417" s="71" t="str">
        <f t="shared" si="113"/>
        <v/>
      </c>
      <c r="Y417">
        <f t="shared" si="109"/>
        <v>0</v>
      </c>
      <c r="Z417">
        <f t="shared" si="110"/>
        <v>0</v>
      </c>
      <c r="AA417">
        <f t="shared" si="111"/>
        <v>0</v>
      </c>
      <c r="AB417">
        <f t="shared" si="112"/>
        <v>0</v>
      </c>
      <c r="AD417" s="204">
        <f t="shared" si="123"/>
        <v>0</v>
      </c>
      <c r="AE417" s="204">
        <f t="shared" si="124"/>
        <v>0</v>
      </c>
      <c r="AF417" s="204">
        <f t="shared" si="125"/>
        <v>0</v>
      </c>
      <c r="AG417" s="204">
        <f t="shared" si="126"/>
        <v>0</v>
      </c>
    </row>
    <row r="418" spans="1:33" x14ac:dyDescent="0.3">
      <c r="A418" s="204"/>
      <c r="B418" s="205"/>
      <c r="C418" s="205"/>
      <c r="D418" s="205"/>
      <c r="E418" s="205"/>
      <c r="F418" s="204"/>
      <c r="G418" s="204"/>
      <c r="H418" s="204"/>
      <c r="I418" s="204" t="str">
        <f t="shared" si="114"/>
        <v/>
      </c>
      <c r="J418" s="204" t="str">
        <f t="shared" si="115"/>
        <v/>
      </c>
      <c r="K418" s="204" t="str">
        <f t="shared" si="116"/>
        <v/>
      </c>
      <c r="L418" s="204" t="str">
        <f t="shared" si="117"/>
        <v/>
      </c>
      <c r="M418" s="76" t="str">
        <f t="shared" si="118"/>
        <v/>
      </c>
      <c r="N418" s="206">
        <f t="shared" si="119"/>
        <v>0</v>
      </c>
      <c r="O418" s="206">
        <f t="shared" si="120"/>
        <v>0</v>
      </c>
      <c r="P418" s="206">
        <f t="shared" si="121"/>
        <v>0</v>
      </c>
      <c r="Q418" s="206">
        <f t="shared" si="122"/>
        <v>0</v>
      </c>
      <c r="X418" s="71" t="str">
        <f t="shared" si="113"/>
        <v/>
      </c>
      <c r="Y418">
        <f t="shared" si="109"/>
        <v>0</v>
      </c>
      <c r="Z418">
        <f t="shared" si="110"/>
        <v>0</v>
      </c>
      <c r="AA418">
        <f t="shared" si="111"/>
        <v>0</v>
      </c>
      <c r="AB418">
        <f t="shared" si="112"/>
        <v>0</v>
      </c>
      <c r="AD418" s="204">
        <f t="shared" si="123"/>
        <v>0</v>
      </c>
      <c r="AE418" s="204">
        <f t="shared" si="124"/>
        <v>0</v>
      </c>
      <c r="AF418" s="204">
        <f t="shared" si="125"/>
        <v>0</v>
      </c>
      <c r="AG418" s="204">
        <f t="shared" si="126"/>
        <v>0</v>
      </c>
    </row>
    <row r="419" spans="1:33" x14ac:dyDescent="0.3">
      <c r="A419" s="204"/>
      <c r="B419" s="205"/>
      <c r="C419" s="205"/>
      <c r="D419" s="205"/>
      <c r="E419" s="205"/>
      <c r="F419" s="204"/>
      <c r="G419" s="204"/>
      <c r="H419" s="204"/>
      <c r="I419" s="204" t="str">
        <f t="shared" si="114"/>
        <v/>
      </c>
      <c r="J419" s="204" t="str">
        <f t="shared" si="115"/>
        <v/>
      </c>
      <c r="K419" s="204" t="str">
        <f t="shared" si="116"/>
        <v/>
      </c>
      <c r="L419" s="204" t="str">
        <f t="shared" si="117"/>
        <v/>
      </c>
      <c r="M419" s="76" t="str">
        <f t="shared" si="118"/>
        <v/>
      </c>
      <c r="N419" s="206">
        <f t="shared" si="119"/>
        <v>0</v>
      </c>
      <c r="O419" s="206">
        <f t="shared" si="120"/>
        <v>0</v>
      </c>
      <c r="P419" s="206">
        <f t="shared" si="121"/>
        <v>0</v>
      </c>
      <c r="Q419" s="206">
        <f t="shared" si="122"/>
        <v>0</v>
      </c>
      <c r="X419" s="71" t="str">
        <f t="shared" si="113"/>
        <v/>
      </c>
      <c r="Y419">
        <f t="shared" si="109"/>
        <v>0</v>
      </c>
      <c r="Z419">
        <f t="shared" si="110"/>
        <v>0</v>
      </c>
      <c r="AA419">
        <f t="shared" si="111"/>
        <v>0</v>
      </c>
      <c r="AB419">
        <f t="shared" si="112"/>
        <v>0</v>
      </c>
      <c r="AD419" s="204">
        <f t="shared" si="123"/>
        <v>0</v>
      </c>
      <c r="AE419" s="204">
        <f t="shared" si="124"/>
        <v>0</v>
      </c>
      <c r="AF419" s="204">
        <f t="shared" si="125"/>
        <v>0</v>
      </c>
      <c r="AG419" s="204">
        <f t="shared" si="126"/>
        <v>0</v>
      </c>
    </row>
    <row r="420" spans="1:33" x14ac:dyDescent="0.3">
      <c r="A420" s="204"/>
      <c r="B420" s="205"/>
      <c r="C420" s="205"/>
      <c r="D420" s="205"/>
      <c r="E420" s="205"/>
      <c r="F420" s="204"/>
      <c r="G420" s="204"/>
      <c r="H420" s="204"/>
      <c r="I420" s="204" t="str">
        <f t="shared" si="114"/>
        <v/>
      </c>
      <c r="J420" s="204" t="str">
        <f t="shared" si="115"/>
        <v/>
      </c>
      <c r="K420" s="204" t="str">
        <f t="shared" si="116"/>
        <v/>
      </c>
      <c r="L420" s="204" t="str">
        <f t="shared" si="117"/>
        <v/>
      </c>
      <c r="M420" s="76" t="str">
        <f t="shared" si="118"/>
        <v/>
      </c>
      <c r="N420" s="206">
        <f t="shared" si="119"/>
        <v>0</v>
      </c>
      <c r="O420" s="206">
        <f t="shared" si="120"/>
        <v>0</v>
      </c>
      <c r="P420" s="206">
        <f t="shared" si="121"/>
        <v>0</v>
      </c>
      <c r="Q420" s="206">
        <f t="shared" si="122"/>
        <v>0</v>
      </c>
      <c r="X420" s="71" t="str">
        <f t="shared" si="113"/>
        <v/>
      </c>
      <c r="Y420">
        <f t="shared" si="109"/>
        <v>0</v>
      </c>
      <c r="Z420">
        <f t="shared" si="110"/>
        <v>0</v>
      </c>
      <c r="AA420">
        <f t="shared" si="111"/>
        <v>0</v>
      </c>
      <c r="AB420">
        <f t="shared" si="112"/>
        <v>0</v>
      </c>
      <c r="AD420" s="204">
        <f t="shared" si="123"/>
        <v>0</v>
      </c>
      <c r="AE420" s="204">
        <f t="shared" si="124"/>
        <v>0</v>
      </c>
      <c r="AF420" s="204">
        <f t="shared" si="125"/>
        <v>0</v>
      </c>
      <c r="AG420" s="204">
        <f t="shared" si="126"/>
        <v>0</v>
      </c>
    </row>
    <row r="421" spans="1:33" x14ac:dyDescent="0.3">
      <c r="A421" s="204"/>
      <c r="B421" s="205"/>
      <c r="C421" s="205"/>
      <c r="D421" s="205"/>
      <c r="E421" s="205"/>
      <c r="F421" s="204"/>
      <c r="G421" s="204"/>
      <c r="H421" s="204"/>
      <c r="I421" s="204" t="str">
        <f t="shared" si="114"/>
        <v/>
      </c>
      <c r="J421" s="204" t="str">
        <f t="shared" si="115"/>
        <v/>
      </c>
      <c r="K421" s="204" t="str">
        <f t="shared" si="116"/>
        <v/>
      </c>
      <c r="L421" s="204" t="str">
        <f t="shared" si="117"/>
        <v/>
      </c>
      <c r="M421" s="76" t="str">
        <f t="shared" si="118"/>
        <v/>
      </c>
      <c r="N421" s="206">
        <f t="shared" si="119"/>
        <v>0</v>
      </c>
      <c r="O421" s="206">
        <f t="shared" si="120"/>
        <v>0</v>
      </c>
      <c r="P421" s="206">
        <f t="shared" si="121"/>
        <v>0</v>
      </c>
      <c r="Q421" s="206">
        <f t="shared" si="122"/>
        <v>0</v>
      </c>
      <c r="X421" s="71" t="str">
        <f t="shared" si="113"/>
        <v/>
      </c>
      <c r="Y421">
        <f t="shared" si="109"/>
        <v>0</v>
      </c>
      <c r="Z421">
        <f t="shared" si="110"/>
        <v>0</v>
      </c>
      <c r="AA421">
        <f t="shared" si="111"/>
        <v>0</v>
      </c>
      <c r="AB421">
        <f t="shared" si="112"/>
        <v>0</v>
      </c>
      <c r="AD421" s="204">
        <f t="shared" si="123"/>
        <v>0</v>
      </c>
      <c r="AE421" s="204">
        <f t="shared" si="124"/>
        <v>0</v>
      </c>
      <c r="AF421" s="204">
        <f t="shared" si="125"/>
        <v>0</v>
      </c>
      <c r="AG421" s="204">
        <f t="shared" si="126"/>
        <v>0</v>
      </c>
    </row>
    <row r="422" spans="1:33" x14ac:dyDescent="0.3">
      <c r="A422" s="204"/>
      <c r="B422" s="205"/>
      <c r="C422" s="205"/>
      <c r="D422" s="205"/>
      <c r="E422" s="205"/>
      <c r="F422" s="204"/>
      <c r="G422" s="204"/>
      <c r="H422" s="204"/>
      <c r="I422" s="204" t="str">
        <f t="shared" si="114"/>
        <v/>
      </c>
      <c r="J422" s="204" t="str">
        <f t="shared" si="115"/>
        <v/>
      </c>
      <c r="K422" s="204" t="str">
        <f t="shared" si="116"/>
        <v/>
      </c>
      <c r="L422" s="204" t="str">
        <f t="shared" si="117"/>
        <v/>
      </c>
      <c r="M422" s="76" t="str">
        <f t="shared" si="118"/>
        <v/>
      </c>
      <c r="N422" s="206">
        <f t="shared" si="119"/>
        <v>0</v>
      </c>
      <c r="O422" s="206">
        <f t="shared" si="120"/>
        <v>0</v>
      </c>
      <c r="P422" s="206">
        <f t="shared" si="121"/>
        <v>0</v>
      </c>
      <c r="Q422" s="206">
        <f t="shared" si="122"/>
        <v>0</v>
      </c>
      <c r="X422" s="71" t="str">
        <f t="shared" si="113"/>
        <v/>
      </c>
      <c r="Y422">
        <f t="shared" si="109"/>
        <v>0</v>
      </c>
      <c r="Z422">
        <f t="shared" si="110"/>
        <v>0</v>
      </c>
      <c r="AA422">
        <f t="shared" si="111"/>
        <v>0</v>
      </c>
      <c r="AB422">
        <f t="shared" si="112"/>
        <v>0</v>
      </c>
      <c r="AD422" s="204">
        <f t="shared" si="123"/>
        <v>0</v>
      </c>
      <c r="AE422" s="204">
        <f t="shared" si="124"/>
        <v>0</v>
      </c>
      <c r="AF422" s="204">
        <f t="shared" si="125"/>
        <v>0</v>
      </c>
      <c r="AG422" s="204">
        <f t="shared" si="126"/>
        <v>0</v>
      </c>
    </row>
    <row r="423" spans="1:33" x14ac:dyDescent="0.3">
      <c r="A423" s="204"/>
      <c r="B423" s="205"/>
      <c r="C423" s="205"/>
      <c r="D423" s="205"/>
      <c r="E423" s="205"/>
      <c r="F423" s="204"/>
      <c r="G423" s="204"/>
      <c r="H423" s="204"/>
      <c r="I423" s="204" t="str">
        <f t="shared" si="114"/>
        <v/>
      </c>
      <c r="J423" s="204" t="str">
        <f t="shared" si="115"/>
        <v/>
      </c>
      <c r="K423" s="204" t="str">
        <f t="shared" si="116"/>
        <v/>
      </c>
      <c r="L423" s="204" t="str">
        <f t="shared" si="117"/>
        <v/>
      </c>
      <c r="M423" s="76" t="str">
        <f t="shared" si="118"/>
        <v/>
      </c>
      <c r="N423" s="206">
        <f t="shared" si="119"/>
        <v>0</v>
      </c>
      <c r="O423" s="206">
        <f t="shared" si="120"/>
        <v>0</v>
      </c>
      <c r="P423" s="206">
        <f t="shared" si="121"/>
        <v>0</v>
      </c>
      <c r="Q423" s="206">
        <f t="shared" si="122"/>
        <v>0</v>
      </c>
      <c r="X423" s="71" t="str">
        <f t="shared" si="113"/>
        <v/>
      </c>
      <c r="Y423">
        <f t="shared" si="109"/>
        <v>0</v>
      </c>
      <c r="Z423">
        <f t="shared" si="110"/>
        <v>0</v>
      </c>
      <c r="AA423">
        <f t="shared" si="111"/>
        <v>0</v>
      </c>
      <c r="AB423">
        <f t="shared" si="112"/>
        <v>0</v>
      </c>
      <c r="AD423" s="204">
        <f t="shared" si="123"/>
        <v>0</v>
      </c>
      <c r="AE423" s="204">
        <f t="shared" si="124"/>
        <v>0</v>
      </c>
      <c r="AF423" s="204">
        <f t="shared" si="125"/>
        <v>0</v>
      </c>
      <c r="AG423" s="204">
        <f t="shared" si="126"/>
        <v>0</v>
      </c>
    </row>
    <row r="424" spans="1:33" x14ac:dyDescent="0.3">
      <c r="A424" s="204"/>
      <c r="B424" s="205"/>
      <c r="C424" s="205"/>
      <c r="D424" s="205"/>
      <c r="E424" s="205"/>
      <c r="F424" s="204"/>
      <c r="G424" s="204"/>
      <c r="H424" s="204"/>
      <c r="I424" s="204" t="str">
        <f t="shared" si="114"/>
        <v/>
      </c>
      <c r="J424" s="204" t="str">
        <f t="shared" si="115"/>
        <v/>
      </c>
      <c r="K424" s="204" t="str">
        <f t="shared" si="116"/>
        <v/>
      </c>
      <c r="L424" s="204" t="str">
        <f t="shared" si="117"/>
        <v/>
      </c>
      <c r="M424" s="76" t="str">
        <f t="shared" si="118"/>
        <v/>
      </c>
      <c r="N424" s="206">
        <f t="shared" si="119"/>
        <v>0</v>
      </c>
      <c r="O424" s="206">
        <f t="shared" si="120"/>
        <v>0</v>
      </c>
      <c r="P424" s="206">
        <f t="shared" si="121"/>
        <v>0</v>
      </c>
      <c r="Q424" s="206">
        <f t="shared" si="122"/>
        <v>0</v>
      </c>
      <c r="X424" s="71" t="str">
        <f t="shared" si="113"/>
        <v/>
      </c>
      <c r="Y424">
        <f t="shared" si="109"/>
        <v>0</v>
      </c>
      <c r="Z424">
        <f t="shared" si="110"/>
        <v>0</v>
      </c>
      <c r="AA424">
        <f t="shared" si="111"/>
        <v>0</v>
      </c>
      <c r="AB424">
        <f t="shared" si="112"/>
        <v>0</v>
      </c>
      <c r="AD424" s="204">
        <f t="shared" si="123"/>
        <v>0</v>
      </c>
      <c r="AE424" s="204">
        <f t="shared" si="124"/>
        <v>0</v>
      </c>
      <c r="AF424" s="204">
        <f t="shared" si="125"/>
        <v>0</v>
      </c>
      <c r="AG424" s="204">
        <f t="shared" si="126"/>
        <v>0</v>
      </c>
    </row>
    <row r="425" spans="1:33" x14ac:dyDescent="0.3">
      <c r="A425" s="204"/>
      <c r="B425" s="205"/>
      <c r="C425" s="205"/>
      <c r="D425" s="205"/>
      <c r="E425" s="205"/>
      <c r="F425" s="204"/>
      <c r="G425" s="204"/>
      <c r="H425" s="204"/>
      <c r="I425" s="204" t="str">
        <f t="shared" si="114"/>
        <v/>
      </c>
      <c r="J425" s="204" t="str">
        <f t="shared" si="115"/>
        <v/>
      </c>
      <c r="K425" s="204" t="str">
        <f t="shared" si="116"/>
        <v/>
      </c>
      <c r="L425" s="204" t="str">
        <f t="shared" si="117"/>
        <v/>
      </c>
      <c r="M425" s="76" t="str">
        <f t="shared" si="118"/>
        <v/>
      </c>
      <c r="N425" s="206">
        <f t="shared" si="119"/>
        <v>0</v>
      </c>
      <c r="O425" s="206">
        <f t="shared" si="120"/>
        <v>0</v>
      </c>
      <c r="P425" s="206">
        <f t="shared" si="121"/>
        <v>0</v>
      </c>
      <c r="Q425" s="206">
        <f t="shared" si="122"/>
        <v>0</v>
      </c>
      <c r="X425" s="71" t="str">
        <f t="shared" si="113"/>
        <v/>
      </c>
      <c r="Y425">
        <f t="shared" si="109"/>
        <v>0</v>
      </c>
      <c r="Z425">
        <f t="shared" si="110"/>
        <v>0</v>
      </c>
      <c r="AA425">
        <f t="shared" si="111"/>
        <v>0</v>
      </c>
      <c r="AB425">
        <f t="shared" si="112"/>
        <v>0</v>
      </c>
      <c r="AD425" s="204">
        <f t="shared" si="123"/>
        <v>0</v>
      </c>
      <c r="AE425" s="204">
        <f t="shared" si="124"/>
        <v>0</v>
      </c>
      <c r="AF425" s="204">
        <f t="shared" si="125"/>
        <v>0</v>
      </c>
      <c r="AG425" s="204">
        <f t="shared" si="126"/>
        <v>0</v>
      </c>
    </row>
    <row r="426" spans="1:33" x14ac:dyDescent="0.3">
      <c r="A426" s="204"/>
      <c r="B426" s="205"/>
      <c r="C426" s="205"/>
      <c r="D426" s="205"/>
      <c r="E426" s="205"/>
      <c r="F426" s="204"/>
      <c r="G426" s="204"/>
      <c r="H426" s="204"/>
      <c r="I426" s="204" t="str">
        <f t="shared" si="114"/>
        <v/>
      </c>
      <c r="J426" s="204" t="str">
        <f t="shared" si="115"/>
        <v/>
      </c>
      <c r="K426" s="204" t="str">
        <f t="shared" si="116"/>
        <v/>
      </c>
      <c r="L426" s="204" t="str">
        <f t="shared" si="117"/>
        <v/>
      </c>
      <c r="M426" s="76" t="str">
        <f t="shared" si="118"/>
        <v/>
      </c>
      <c r="N426" s="206">
        <f t="shared" si="119"/>
        <v>0</v>
      </c>
      <c r="O426" s="206">
        <f t="shared" si="120"/>
        <v>0</v>
      </c>
      <c r="P426" s="206">
        <f t="shared" si="121"/>
        <v>0</v>
      </c>
      <c r="Q426" s="206">
        <f t="shared" si="122"/>
        <v>0</v>
      </c>
      <c r="X426" s="71" t="str">
        <f t="shared" si="113"/>
        <v/>
      </c>
      <c r="Y426">
        <f t="shared" ref="Y426:Y489" si="127">IFERROR(IF(A426&lt;&gt;"",IF(A427&lt;&gt;"",IF(FIND("Mode AM +Tarif actuel",A427),VALUE(LEFT(B426,LEN(B426)-2)),),0),0),0)-IFERROR(IF(A426&lt;&gt;"",IF(A427&lt;&gt;"",IF(FIND("Mode AM +Tarif actuel",A427),VALUE(LEFT(B427,LEN(B427)-2)),),0),0),0)</f>
        <v>0</v>
      </c>
      <c r="Z426">
        <f t="shared" ref="Z426:Z489" si="128">IFERROR(IF(A426&lt;&gt;"",IF(A427&lt;&gt;"",IF(FIND("Mode AM +Tarif actuel",A427),VALUE(LEFT(C426,LEN(C426)-2)),),0),0),0)-IFERROR(IF(A426&lt;&gt;"",IF(A427&lt;&gt;"",IF(FIND("Mode AM +Tarif actuel",A427),VALUE(LEFT(C427,LEN(C427)-2)),),0),0),0)</f>
        <v>0</v>
      </c>
      <c r="AA426">
        <f t="shared" ref="AA426:AA489" si="129">IFERROR(IF(A426&lt;&gt;"",IF(A427&lt;&gt;"",IF(FIND("Mode AM +Tarif actuel",A427),VALUE(LEFT(D426,LEN(D426)-2)),),0),0),0)-IFERROR(IF(A426&lt;&gt;"",IF(A427&lt;&gt;"",IF(FIND("Mode AM +Tarif actuel",A427),VALUE(LEFT(D427,LEN(D427)-2)),),0),0),0)</f>
        <v>0</v>
      </c>
      <c r="AB426">
        <f t="shared" ref="AB426:AB489" si="130">IFERROR(IF(A426&lt;&gt;"",IF(A427&lt;&gt;"",IF(FIND("Mode AM +Tarif actuel",A427),VALUE(LEFT(E426,LEN(E426)-2)),),0),0),0)-IFERROR(IF(A426&lt;&gt;"",IF(A427&lt;&gt;"",IF(FIND("Mode AM +Tarif actuel",A427),VALUE(LEFT(E427,LEN(E427)-2)),),0),0),0)</f>
        <v>0</v>
      </c>
      <c r="AD426" s="204">
        <f t="shared" si="123"/>
        <v>0</v>
      </c>
      <c r="AE426" s="204">
        <f t="shared" si="124"/>
        <v>0</v>
      </c>
      <c r="AF426" s="204">
        <f t="shared" si="125"/>
        <v>0</v>
      </c>
      <c r="AG426" s="204">
        <f t="shared" si="126"/>
        <v>0</v>
      </c>
    </row>
    <row r="427" spans="1:33" x14ac:dyDescent="0.3">
      <c r="A427" s="204"/>
      <c r="B427" s="205"/>
      <c r="C427" s="205"/>
      <c r="D427" s="205"/>
      <c r="E427" s="205"/>
      <c r="F427" s="204"/>
      <c r="G427" s="204"/>
      <c r="H427" s="204"/>
      <c r="I427" s="204" t="str">
        <f t="shared" si="114"/>
        <v/>
      </c>
      <c r="J427" s="204" t="str">
        <f t="shared" si="115"/>
        <v/>
      </c>
      <c r="K427" s="204" t="str">
        <f t="shared" si="116"/>
        <v/>
      </c>
      <c r="L427" s="204" t="str">
        <f t="shared" si="117"/>
        <v/>
      </c>
      <c r="M427" s="76" t="str">
        <f t="shared" si="118"/>
        <v/>
      </c>
      <c r="N427" s="206">
        <f t="shared" si="119"/>
        <v>0</v>
      </c>
      <c r="O427" s="206">
        <f t="shared" si="120"/>
        <v>0</v>
      </c>
      <c r="P427" s="206">
        <f t="shared" si="121"/>
        <v>0</v>
      </c>
      <c r="Q427" s="206">
        <f t="shared" si="122"/>
        <v>0</v>
      </c>
      <c r="X427" s="71" t="str">
        <f t="shared" si="113"/>
        <v/>
      </c>
      <c r="Y427">
        <f t="shared" si="127"/>
        <v>0</v>
      </c>
      <c r="Z427">
        <f t="shared" si="128"/>
        <v>0</v>
      </c>
      <c r="AA427">
        <f t="shared" si="129"/>
        <v>0</v>
      </c>
      <c r="AB427">
        <f t="shared" si="130"/>
        <v>0</v>
      </c>
      <c r="AD427" s="204">
        <f t="shared" si="123"/>
        <v>0</v>
      </c>
      <c r="AE427" s="204">
        <f t="shared" si="124"/>
        <v>0</v>
      </c>
      <c r="AF427" s="204">
        <f t="shared" si="125"/>
        <v>0</v>
      </c>
      <c r="AG427" s="204">
        <f t="shared" si="126"/>
        <v>0</v>
      </c>
    </row>
    <row r="428" spans="1:33" x14ac:dyDescent="0.3">
      <c r="A428" s="204"/>
      <c r="B428" s="205"/>
      <c r="C428" s="205"/>
      <c r="D428" s="205"/>
      <c r="E428" s="205"/>
      <c r="F428" s="204"/>
      <c r="G428" s="204"/>
      <c r="H428" s="204"/>
      <c r="I428" s="204" t="str">
        <f t="shared" si="114"/>
        <v/>
      </c>
      <c r="J428" s="204" t="str">
        <f t="shared" si="115"/>
        <v/>
      </c>
      <c r="K428" s="204" t="str">
        <f t="shared" si="116"/>
        <v/>
      </c>
      <c r="L428" s="204" t="str">
        <f t="shared" si="117"/>
        <v/>
      </c>
      <c r="M428" s="76" t="str">
        <f t="shared" si="118"/>
        <v/>
      </c>
      <c r="N428" s="206">
        <f t="shared" si="119"/>
        <v>0</v>
      </c>
      <c r="O428" s="206">
        <f t="shared" si="120"/>
        <v>0</v>
      </c>
      <c r="P428" s="206">
        <f t="shared" si="121"/>
        <v>0</v>
      </c>
      <c r="Q428" s="206">
        <f t="shared" si="122"/>
        <v>0</v>
      </c>
      <c r="X428" s="71" t="str">
        <f t="shared" si="113"/>
        <v/>
      </c>
      <c r="Y428">
        <f t="shared" si="127"/>
        <v>0</v>
      </c>
      <c r="Z428">
        <f t="shared" si="128"/>
        <v>0</v>
      </c>
      <c r="AA428">
        <f t="shared" si="129"/>
        <v>0</v>
      </c>
      <c r="AB428">
        <f t="shared" si="130"/>
        <v>0</v>
      </c>
      <c r="AD428" s="204">
        <f t="shared" si="123"/>
        <v>0</v>
      </c>
      <c r="AE428" s="204">
        <f t="shared" si="124"/>
        <v>0</v>
      </c>
      <c r="AF428" s="204">
        <f t="shared" si="125"/>
        <v>0</v>
      </c>
      <c r="AG428" s="204">
        <f t="shared" si="126"/>
        <v>0</v>
      </c>
    </row>
    <row r="429" spans="1:33" x14ac:dyDescent="0.3">
      <c r="A429" s="204"/>
      <c r="B429" s="205"/>
      <c r="C429" s="205"/>
      <c r="D429" s="205"/>
      <c r="E429" s="205"/>
      <c r="F429" s="204"/>
      <c r="G429" s="204"/>
      <c r="H429" s="204"/>
      <c r="I429" s="204" t="str">
        <f t="shared" si="114"/>
        <v/>
      </c>
      <c r="J429" s="204" t="str">
        <f t="shared" si="115"/>
        <v/>
      </c>
      <c r="K429" s="204" t="str">
        <f t="shared" si="116"/>
        <v/>
      </c>
      <c r="L429" s="204" t="str">
        <f t="shared" si="117"/>
        <v/>
      </c>
      <c r="M429" s="76" t="str">
        <f t="shared" si="118"/>
        <v/>
      </c>
      <c r="N429" s="206">
        <f t="shared" si="119"/>
        <v>0</v>
      </c>
      <c r="O429" s="206">
        <f t="shared" si="120"/>
        <v>0</v>
      </c>
      <c r="P429" s="206">
        <f t="shared" si="121"/>
        <v>0</v>
      </c>
      <c r="Q429" s="206">
        <f t="shared" si="122"/>
        <v>0</v>
      </c>
      <c r="X429" s="71" t="str">
        <f t="shared" si="113"/>
        <v/>
      </c>
      <c r="Y429">
        <f t="shared" si="127"/>
        <v>0</v>
      </c>
      <c r="Z429">
        <f t="shared" si="128"/>
        <v>0</v>
      </c>
      <c r="AA429">
        <f t="shared" si="129"/>
        <v>0</v>
      </c>
      <c r="AB429">
        <f t="shared" si="130"/>
        <v>0</v>
      </c>
      <c r="AD429" s="204">
        <f t="shared" si="123"/>
        <v>0</v>
      </c>
      <c r="AE429" s="204">
        <f t="shared" si="124"/>
        <v>0</v>
      </c>
      <c r="AF429" s="204">
        <f t="shared" si="125"/>
        <v>0</v>
      </c>
      <c r="AG429" s="204">
        <f t="shared" si="126"/>
        <v>0</v>
      </c>
    </row>
    <row r="430" spans="1:33" x14ac:dyDescent="0.3">
      <c r="A430" s="204"/>
      <c r="B430" s="205"/>
      <c r="C430" s="205"/>
      <c r="D430" s="205"/>
      <c r="E430" s="205"/>
      <c r="F430" s="204"/>
      <c r="G430" s="204"/>
      <c r="H430" s="204"/>
      <c r="I430" s="204" t="str">
        <f t="shared" si="114"/>
        <v/>
      </c>
      <c r="J430" s="204" t="str">
        <f t="shared" si="115"/>
        <v/>
      </c>
      <c r="K430" s="204" t="str">
        <f t="shared" si="116"/>
        <v/>
      </c>
      <c r="L430" s="204" t="str">
        <f t="shared" si="117"/>
        <v/>
      </c>
      <c r="M430" s="76" t="str">
        <f t="shared" si="118"/>
        <v/>
      </c>
      <c r="N430" s="206">
        <f t="shared" si="119"/>
        <v>0</v>
      </c>
      <c r="O430" s="206">
        <f t="shared" si="120"/>
        <v>0</v>
      </c>
      <c r="P430" s="206">
        <f t="shared" si="121"/>
        <v>0</v>
      </c>
      <c r="Q430" s="206">
        <f t="shared" si="122"/>
        <v>0</v>
      </c>
      <c r="X430" s="71" t="str">
        <f t="shared" si="113"/>
        <v/>
      </c>
      <c r="Y430">
        <f t="shared" si="127"/>
        <v>0</v>
      </c>
      <c r="Z430">
        <f t="shared" si="128"/>
        <v>0</v>
      </c>
      <c r="AA430">
        <f t="shared" si="129"/>
        <v>0</v>
      </c>
      <c r="AB430">
        <f t="shared" si="130"/>
        <v>0</v>
      </c>
      <c r="AD430" s="204">
        <f t="shared" si="123"/>
        <v>0</v>
      </c>
      <c r="AE430" s="204">
        <f t="shared" si="124"/>
        <v>0</v>
      </c>
      <c r="AF430" s="204">
        <f t="shared" si="125"/>
        <v>0</v>
      </c>
      <c r="AG430" s="204">
        <f t="shared" si="126"/>
        <v>0</v>
      </c>
    </row>
    <row r="431" spans="1:33" x14ac:dyDescent="0.3">
      <c r="A431" s="204"/>
      <c r="B431" s="205"/>
      <c r="C431" s="205"/>
      <c r="D431" s="205"/>
      <c r="E431" s="205"/>
      <c r="F431" s="204"/>
      <c r="G431" s="204"/>
      <c r="H431" s="204"/>
      <c r="I431" s="204" t="str">
        <f t="shared" si="114"/>
        <v/>
      </c>
      <c r="J431" s="204" t="str">
        <f t="shared" si="115"/>
        <v/>
      </c>
      <c r="K431" s="204" t="str">
        <f t="shared" si="116"/>
        <v/>
      </c>
      <c r="L431" s="204" t="str">
        <f t="shared" si="117"/>
        <v/>
      </c>
      <c r="M431" s="76" t="str">
        <f t="shared" si="118"/>
        <v/>
      </c>
      <c r="N431" s="206">
        <f t="shared" si="119"/>
        <v>0</v>
      </c>
      <c r="O431" s="206">
        <f t="shared" si="120"/>
        <v>0</v>
      </c>
      <c r="P431" s="206">
        <f t="shared" si="121"/>
        <v>0</v>
      </c>
      <c r="Q431" s="206">
        <f t="shared" si="122"/>
        <v>0</v>
      </c>
      <c r="X431" s="71" t="str">
        <f t="shared" si="113"/>
        <v/>
      </c>
      <c r="Y431">
        <f t="shared" si="127"/>
        <v>0</v>
      </c>
      <c r="Z431">
        <f t="shared" si="128"/>
        <v>0</v>
      </c>
      <c r="AA431">
        <f t="shared" si="129"/>
        <v>0</v>
      </c>
      <c r="AB431">
        <f t="shared" si="130"/>
        <v>0</v>
      </c>
      <c r="AD431" s="204">
        <f t="shared" si="123"/>
        <v>0</v>
      </c>
      <c r="AE431" s="204">
        <f t="shared" si="124"/>
        <v>0</v>
      </c>
      <c r="AF431" s="204">
        <f t="shared" si="125"/>
        <v>0</v>
      </c>
      <c r="AG431" s="204">
        <f t="shared" si="126"/>
        <v>0</v>
      </c>
    </row>
    <row r="432" spans="1:33" x14ac:dyDescent="0.3">
      <c r="A432" s="204"/>
      <c r="B432" s="205"/>
      <c r="C432" s="205"/>
      <c r="D432" s="205"/>
      <c r="E432" s="205"/>
      <c r="F432" s="204"/>
      <c r="G432" s="204"/>
      <c r="H432" s="204"/>
      <c r="I432" s="204" t="str">
        <f t="shared" si="114"/>
        <v/>
      </c>
      <c r="J432" s="204" t="str">
        <f t="shared" si="115"/>
        <v/>
      </c>
      <c r="K432" s="204" t="str">
        <f t="shared" si="116"/>
        <v/>
      </c>
      <c r="L432" s="204" t="str">
        <f t="shared" si="117"/>
        <v/>
      </c>
      <c r="M432" s="76" t="str">
        <f t="shared" si="118"/>
        <v/>
      </c>
      <c r="N432" s="206">
        <f t="shared" si="119"/>
        <v>0</v>
      </c>
      <c r="O432" s="206">
        <f t="shared" si="120"/>
        <v>0</v>
      </c>
      <c r="P432" s="206">
        <f t="shared" si="121"/>
        <v>0</v>
      </c>
      <c r="Q432" s="206">
        <f t="shared" si="122"/>
        <v>0</v>
      </c>
      <c r="X432" s="71" t="str">
        <f t="shared" si="113"/>
        <v/>
      </c>
      <c r="Y432">
        <f t="shared" si="127"/>
        <v>0</v>
      </c>
      <c r="Z432">
        <f t="shared" si="128"/>
        <v>0</v>
      </c>
      <c r="AA432">
        <f t="shared" si="129"/>
        <v>0</v>
      </c>
      <c r="AB432">
        <f t="shared" si="130"/>
        <v>0</v>
      </c>
      <c r="AD432" s="204">
        <f t="shared" si="123"/>
        <v>0</v>
      </c>
      <c r="AE432" s="204">
        <f t="shared" si="124"/>
        <v>0</v>
      </c>
      <c r="AF432" s="204">
        <f t="shared" si="125"/>
        <v>0</v>
      </c>
      <c r="AG432" s="204">
        <f t="shared" si="126"/>
        <v>0</v>
      </c>
    </row>
    <row r="433" spans="1:33" x14ac:dyDescent="0.3">
      <c r="A433" s="204"/>
      <c r="B433" s="205"/>
      <c r="C433" s="205"/>
      <c r="D433" s="205"/>
      <c r="E433" s="205"/>
      <c r="F433" s="204"/>
      <c r="G433" s="204"/>
      <c r="H433" s="204"/>
      <c r="I433" s="204" t="str">
        <f t="shared" si="114"/>
        <v/>
      </c>
      <c r="J433" s="204" t="str">
        <f t="shared" si="115"/>
        <v/>
      </c>
      <c r="K433" s="204" t="str">
        <f t="shared" si="116"/>
        <v/>
      </c>
      <c r="L433" s="204" t="str">
        <f t="shared" si="117"/>
        <v/>
      </c>
      <c r="M433" s="76" t="str">
        <f t="shared" si="118"/>
        <v/>
      </c>
      <c r="N433" s="206">
        <f t="shared" si="119"/>
        <v>0</v>
      </c>
      <c r="O433" s="206">
        <f t="shared" si="120"/>
        <v>0</v>
      </c>
      <c r="P433" s="206">
        <f t="shared" si="121"/>
        <v>0</v>
      </c>
      <c r="Q433" s="206">
        <f t="shared" si="122"/>
        <v>0</v>
      </c>
      <c r="X433" s="71" t="str">
        <f t="shared" si="113"/>
        <v/>
      </c>
      <c r="Y433">
        <f t="shared" si="127"/>
        <v>0</v>
      </c>
      <c r="Z433">
        <f t="shared" si="128"/>
        <v>0</v>
      </c>
      <c r="AA433">
        <f t="shared" si="129"/>
        <v>0</v>
      </c>
      <c r="AB433">
        <f t="shared" si="130"/>
        <v>0</v>
      </c>
      <c r="AD433" s="204">
        <f t="shared" si="123"/>
        <v>0</v>
      </c>
      <c r="AE433" s="204">
        <f t="shared" si="124"/>
        <v>0</v>
      </c>
      <c r="AF433" s="204">
        <f t="shared" si="125"/>
        <v>0</v>
      </c>
      <c r="AG433" s="204">
        <f t="shared" si="126"/>
        <v>0</v>
      </c>
    </row>
    <row r="434" spans="1:33" x14ac:dyDescent="0.3">
      <c r="A434" s="204"/>
      <c r="B434" s="205"/>
      <c r="C434" s="205"/>
      <c r="D434" s="205"/>
      <c r="E434" s="205"/>
      <c r="F434" s="204"/>
      <c r="G434" s="204"/>
      <c r="H434" s="204"/>
      <c r="I434" s="204" t="str">
        <f t="shared" si="114"/>
        <v/>
      </c>
      <c r="J434" s="204" t="str">
        <f t="shared" si="115"/>
        <v/>
      </c>
      <c r="K434" s="204" t="str">
        <f t="shared" si="116"/>
        <v/>
      </c>
      <c r="L434" s="204" t="str">
        <f t="shared" si="117"/>
        <v/>
      </c>
      <c r="M434" s="76" t="str">
        <f t="shared" si="118"/>
        <v/>
      </c>
      <c r="N434" s="206">
        <f t="shared" si="119"/>
        <v>0</v>
      </c>
      <c r="O434" s="206">
        <f t="shared" si="120"/>
        <v>0</v>
      </c>
      <c r="P434" s="206">
        <f t="shared" si="121"/>
        <v>0</v>
      </c>
      <c r="Q434" s="206">
        <f t="shared" si="122"/>
        <v>0</v>
      </c>
      <c r="X434" s="71" t="str">
        <f t="shared" si="113"/>
        <v/>
      </c>
      <c r="Y434">
        <f t="shared" si="127"/>
        <v>0</v>
      </c>
      <c r="Z434">
        <f t="shared" si="128"/>
        <v>0</v>
      </c>
      <c r="AA434">
        <f t="shared" si="129"/>
        <v>0</v>
      </c>
      <c r="AB434">
        <f t="shared" si="130"/>
        <v>0</v>
      </c>
      <c r="AD434" s="204">
        <f t="shared" si="123"/>
        <v>0</v>
      </c>
      <c r="AE434" s="204">
        <f t="shared" si="124"/>
        <v>0</v>
      </c>
      <c r="AF434" s="204">
        <f t="shared" si="125"/>
        <v>0</v>
      </c>
      <c r="AG434" s="204">
        <f t="shared" si="126"/>
        <v>0</v>
      </c>
    </row>
    <row r="435" spans="1:33" x14ac:dyDescent="0.3">
      <c r="A435" s="204"/>
      <c r="B435" s="205"/>
      <c r="C435" s="205"/>
      <c r="D435" s="205"/>
      <c r="E435" s="205"/>
      <c r="F435" s="204"/>
      <c r="G435" s="204"/>
      <c r="H435" s="204"/>
      <c r="I435" s="204" t="str">
        <f t="shared" si="114"/>
        <v/>
      </c>
      <c r="J435" s="204" t="str">
        <f t="shared" si="115"/>
        <v/>
      </c>
      <c r="K435" s="204" t="str">
        <f t="shared" si="116"/>
        <v/>
      </c>
      <c r="L435" s="204" t="str">
        <f t="shared" si="117"/>
        <v/>
      </c>
      <c r="M435" s="76" t="str">
        <f t="shared" si="118"/>
        <v/>
      </c>
      <c r="N435" s="206">
        <f t="shared" si="119"/>
        <v>0</v>
      </c>
      <c r="O435" s="206">
        <f t="shared" si="120"/>
        <v>0</v>
      </c>
      <c r="P435" s="206">
        <f t="shared" si="121"/>
        <v>0</v>
      </c>
      <c r="Q435" s="206">
        <f t="shared" si="122"/>
        <v>0</v>
      </c>
      <c r="X435" s="71" t="str">
        <f t="shared" si="113"/>
        <v/>
      </c>
      <c r="Y435">
        <f t="shared" si="127"/>
        <v>0</v>
      </c>
      <c r="Z435">
        <f t="shared" si="128"/>
        <v>0</v>
      </c>
      <c r="AA435">
        <f t="shared" si="129"/>
        <v>0</v>
      </c>
      <c r="AB435">
        <f t="shared" si="130"/>
        <v>0</v>
      </c>
      <c r="AD435" s="204">
        <f t="shared" si="123"/>
        <v>0</v>
      </c>
      <c r="AE435" s="204">
        <f t="shared" si="124"/>
        <v>0</v>
      </c>
      <c r="AF435" s="204">
        <f t="shared" si="125"/>
        <v>0</v>
      </c>
      <c r="AG435" s="204">
        <f t="shared" si="126"/>
        <v>0</v>
      </c>
    </row>
    <row r="436" spans="1:33" x14ac:dyDescent="0.3">
      <c r="A436" s="204"/>
      <c r="B436" s="205"/>
      <c r="C436" s="205"/>
      <c r="D436" s="205"/>
      <c r="E436" s="205"/>
      <c r="F436" s="204"/>
      <c r="G436" s="204"/>
      <c r="H436" s="204"/>
      <c r="I436" s="204" t="str">
        <f t="shared" si="114"/>
        <v/>
      </c>
      <c r="J436" s="204" t="str">
        <f t="shared" si="115"/>
        <v/>
      </c>
      <c r="K436" s="204" t="str">
        <f t="shared" si="116"/>
        <v/>
      </c>
      <c r="L436" s="204" t="str">
        <f t="shared" si="117"/>
        <v/>
      </c>
      <c r="M436" s="76" t="str">
        <f t="shared" si="118"/>
        <v/>
      </c>
      <c r="N436" s="206">
        <f t="shared" si="119"/>
        <v>0</v>
      </c>
      <c r="O436" s="206">
        <f t="shared" si="120"/>
        <v>0</v>
      </c>
      <c r="P436" s="206">
        <f t="shared" si="121"/>
        <v>0</v>
      </c>
      <c r="Q436" s="206">
        <f t="shared" si="122"/>
        <v>0</v>
      </c>
      <c r="X436" s="71" t="str">
        <f t="shared" si="113"/>
        <v/>
      </c>
      <c r="Y436">
        <f t="shared" si="127"/>
        <v>0</v>
      </c>
      <c r="Z436">
        <f t="shared" si="128"/>
        <v>0</v>
      </c>
      <c r="AA436">
        <f t="shared" si="129"/>
        <v>0</v>
      </c>
      <c r="AB436">
        <f t="shared" si="130"/>
        <v>0</v>
      </c>
      <c r="AD436" s="204">
        <f t="shared" si="123"/>
        <v>0</v>
      </c>
      <c r="AE436" s="204">
        <f t="shared" si="124"/>
        <v>0</v>
      </c>
      <c r="AF436" s="204">
        <f t="shared" si="125"/>
        <v>0</v>
      </c>
      <c r="AG436" s="204">
        <f t="shared" si="126"/>
        <v>0</v>
      </c>
    </row>
    <row r="437" spans="1:33" x14ac:dyDescent="0.3">
      <c r="A437" s="204"/>
      <c r="B437" s="205"/>
      <c r="C437" s="205"/>
      <c r="D437" s="205"/>
      <c r="E437" s="205"/>
      <c r="F437" s="204"/>
      <c r="G437" s="204"/>
      <c r="H437" s="204"/>
      <c r="I437" s="204" t="str">
        <f t="shared" si="114"/>
        <v/>
      </c>
      <c r="J437" s="204" t="str">
        <f t="shared" si="115"/>
        <v/>
      </c>
      <c r="K437" s="204" t="str">
        <f t="shared" si="116"/>
        <v/>
      </c>
      <c r="L437" s="204" t="str">
        <f t="shared" si="117"/>
        <v/>
      </c>
      <c r="M437" s="76" t="str">
        <f t="shared" si="118"/>
        <v/>
      </c>
      <c r="N437" s="206">
        <f t="shared" si="119"/>
        <v>0</v>
      </c>
      <c r="O437" s="206">
        <f t="shared" si="120"/>
        <v>0</v>
      </c>
      <c r="P437" s="206">
        <f t="shared" si="121"/>
        <v>0</v>
      </c>
      <c r="Q437" s="206">
        <f t="shared" si="122"/>
        <v>0</v>
      </c>
      <c r="X437" s="71" t="str">
        <f t="shared" si="113"/>
        <v/>
      </c>
      <c r="Y437">
        <f t="shared" si="127"/>
        <v>0</v>
      </c>
      <c r="Z437">
        <f t="shared" si="128"/>
        <v>0</v>
      </c>
      <c r="AA437">
        <f t="shared" si="129"/>
        <v>0</v>
      </c>
      <c r="AB437">
        <f t="shared" si="130"/>
        <v>0</v>
      </c>
      <c r="AD437" s="204">
        <f t="shared" si="123"/>
        <v>0</v>
      </c>
      <c r="AE437" s="204">
        <f t="shared" si="124"/>
        <v>0</v>
      </c>
      <c r="AF437" s="204">
        <f t="shared" si="125"/>
        <v>0</v>
      </c>
      <c r="AG437" s="204">
        <f t="shared" si="126"/>
        <v>0</v>
      </c>
    </row>
    <row r="438" spans="1:33" x14ac:dyDescent="0.3">
      <c r="A438" s="204"/>
      <c r="B438" s="205"/>
      <c r="C438" s="205"/>
      <c r="D438" s="205"/>
      <c r="E438" s="205"/>
      <c r="F438" s="204"/>
      <c r="G438" s="204"/>
      <c r="H438" s="204"/>
      <c r="I438" s="204" t="str">
        <f t="shared" si="114"/>
        <v/>
      </c>
      <c r="J438" s="204" t="str">
        <f t="shared" si="115"/>
        <v/>
      </c>
      <c r="K438" s="204" t="str">
        <f t="shared" si="116"/>
        <v/>
      </c>
      <c r="L438" s="204" t="str">
        <f t="shared" si="117"/>
        <v/>
      </c>
      <c r="M438" s="76" t="str">
        <f t="shared" si="118"/>
        <v/>
      </c>
      <c r="N438" s="206">
        <f t="shared" si="119"/>
        <v>0</v>
      </c>
      <c r="O438" s="206">
        <f t="shared" si="120"/>
        <v>0</v>
      </c>
      <c r="P438" s="206">
        <f t="shared" si="121"/>
        <v>0</v>
      </c>
      <c r="Q438" s="206">
        <f t="shared" si="122"/>
        <v>0</v>
      </c>
      <c r="X438" s="71" t="str">
        <f t="shared" si="113"/>
        <v/>
      </c>
      <c r="Y438">
        <f t="shared" si="127"/>
        <v>0</v>
      </c>
      <c r="Z438">
        <f t="shared" si="128"/>
        <v>0</v>
      </c>
      <c r="AA438">
        <f t="shared" si="129"/>
        <v>0</v>
      </c>
      <c r="AB438">
        <f t="shared" si="130"/>
        <v>0</v>
      </c>
      <c r="AD438" s="204">
        <f t="shared" si="123"/>
        <v>0</v>
      </c>
      <c r="AE438" s="204">
        <f t="shared" si="124"/>
        <v>0</v>
      </c>
      <c r="AF438" s="204">
        <f t="shared" si="125"/>
        <v>0</v>
      </c>
      <c r="AG438" s="204">
        <f t="shared" si="126"/>
        <v>0</v>
      </c>
    </row>
    <row r="439" spans="1:33" x14ac:dyDescent="0.3">
      <c r="A439" s="204"/>
      <c r="B439" s="205"/>
      <c r="C439" s="205"/>
      <c r="D439" s="205"/>
      <c r="E439" s="205"/>
      <c r="F439" s="204"/>
      <c r="G439" s="204"/>
      <c r="H439" s="204"/>
      <c r="I439" s="204" t="str">
        <f t="shared" si="114"/>
        <v/>
      </c>
      <c r="J439" s="204" t="str">
        <f t="shared" si="115"/>
        <v/>
      </c>
      <c r="K439" s="204" t="str">
        <f t="shared" si="116"/>
        <v/>
      </c>
      <c r="L439" s="204" t="str">
        <f t="shared" si="117"/>
        <v/>
      </c>
      <c r="M439" s="76" t="str">
        <f t="shared" si="118"/>
        <v/>
      </c>
      <c r="N439" s="206">
        <f t="shared" si="119"/>
        <v>0</v>
      </c>
      <c r="O439" s="206">
        <f t="shared" si="120"/>
        <v>0</v>
      </c>
      <c r="P439" s="206">
        <f t="shared" si="121"/>
        <v>0</v>
      </c>
      <c r="Q439" s="206">
        <f t="shared" si="122"/>
        <v>0</v>
      </c>
      <c r="X439" s="71" t="str">
        <f t="shared" si="113"/>
        <v/>
      </c>
      <c r="Y439">
        <f t="shared" si="127"/>
        <v>0</v>
      </c>
      <c r="Z439">
        <f t="shared" si="128"/>
        <v>0</v>
      </c>
      <c r="AA439">
        <f t="shared" si="129"/>
        <v>0</v>
      </c>
      <c r="AB439">
        <f t="shared" si="130"/>
        <v>0</v>
      </c>
      <c r="AD439" s="204">
        <f t="shared" si="123"/>
        <v>0</v>
      </c>
      <c r="AE439" s="204">
        <f t="shared" si="124"/>
        <v>0</v>
      </c>
      <c r="AF439" s="204">
        <f t="shared" si="125"/>
        <v>0</v>
      </c>
      <c r="AG439" s="204">
        <f t="shared" si="126"/>
        <v>0</v>
      </c>
    </row>
    <row r="440" spans="1:33" x14ac:dyDescent="0.3">
      <c r="A440" s="204"/>
      <c r="B440" s="205"/>
      <c r="C440" s="205"/>
      <c r="D440" s="205"/>
      <c r="E440" s="205"/>
      <c r="F440" s="204"/>
      <c r="G440" s="204"/>
      <c r="H440" s="204"/>
      <c r="I440" s="204" t="str">
        <f t="shared" si="114"/>
        <v/>
      </c>
      <c r="J440" s="204" t="str">
        <f t="shared" si="115"/>
        <v/>
      </c>
      <c r="K440" s="204" t="str">
        <f t="shared" si="116"/>
        <v/>
      </c>
      <c r="L440" s="204" t="str">
        <f t="shared" si="117"/>
        <v/>
      </c>
      <c r="M440" s="76" t="str">
        <f t="shared" si="118"/>
        <v/>
      </c>
      <c r="N440" s="206">
        <f t="shared" si="119"/>
        <v>0</v>
      </c>
      <c r="O440" s="206">
        <f t="shared" si="120"/>
        <v>0</v>
      </c>
      <c r="P440" s="206">
        <f t="shared" si="121"/>
        <v>0</v>
      </c>
      <c r="Q440" s="206">
        <f t="shared" si="122"/>
        <v>0</v>
      </c>
      <c r="X440" s="71" t="str">
        <f t="shared" si="113"/>
        <v/>
      </c>
      <c r="Y440">
        <f t="shared" si="127"/>
        <v>0</v>
      </c>
      <c r="Z440">
        <f t="shared" si="128"/>
        <v>0</v>
      </c>
      <c r="AA440">
        <f t="shared" si="129"/>
        <v>0</v>
      </c>
      <c r="AB440">
        <f t="shared" si="130"/>
        <v>0</v>
      </c>
      <c r="AD440" s="204">
        <f t="shared" si="123"/>
        <v>0</v>
      </c>
      <c r="AE440" s="204">
        <f t="shared" si="124"/>
        <v>0</v>
      </c>
      <c r="AF440" s="204">
        <f t="shared" si="125"/>
        <v>0</v>
      </c>
      <c r="AG440" s="204">
        <f t="shared" si="126"/>
        <v>0</v>
      </c>
    </row>
    <row r="441" spans="1:33" x14ac:dyDescent="0.3">
      <c r="A441" s="204"/>
      <c r="B441" s="205"/>
      <c r="C441" s="205"/>
      <c r="D441" s="205"/>
      <c r="E441" s="205"/>
      <c r="F441" s="204"/>
      <c r="G441" s="204"/>
      <c r="H441" s="204"/>
      <c r="I441" s="204" t="str">
        <f t="shared" si="114"/>
        <v/>
      </c>
      <c r="J441" s="204" t="str">
        <f t="shared" si="115"/>
        <v/>
      </c>
      <c r="K441" s="204" t="str">
        <f t="shared" si="116"/>
        <v/>
      </c>
      <c r="L441" s="204" t="str">
        <f t="shared" si="117"/>
        <v/>
      </c>
      <c r="M441" s="76" t="str">
        <f t="shared" si="118"/>
        <v/>
      </c>
      <c r="N441" s="206">
        <f t="shared" si="119"/>
        <v>0</v>
      </c>
      <c r="O441" s="206">
        <f t="shared" si="120"/>
        <v>0</v>
      </c>
      <c r="P441" s="206">
        <f t="shared" si="121"/>
        <v>0</v>
      </c>
      <c r="Q441" s="206">
        <f t="shared" si="122"/>
        <v>0</v>
      </c>
      <c r="X441" s="71" t="str">
        <f t="shared" si="113"/>
        <v/>
      </c>
      <c r="Y441">
        <f t="shared" si="127"/>
        <v>0</v>
      </c>
      <c r="Z441">
        <f t="shared" si="128"/>
        <v>0</v>
      </c>
      <c r="AA441">
        <f t="shared" si="129"/>
        <v>0</v>
      </c>
      <c r="AB441">
        <f t="shared" si="130"/>
        <v>0</v>
      </c>
      <c r="AD441" s="204">
        <f t="shared" si="123"/>
        <v>0</v>
      </c>
      <c r="AE441" s="204">
        <f t="shared" si="124"/>
        <v>0</v>
      </c>
      <c r="AF441" s="204">
        <f t="shared" si="125"/>
        <v>0</v>
      </c>
      <c r="AG441" s="204">
        <f t="shared" si="126"/>
        <v>0</v>
      </c>
    </row>
    <row r="442" spans="1:33" x14ac:dyDescent="0.3">
      <c r="A442" s="204"/>
      <c r="B442" s="205"/>
      <c r="C442" s="205"/>
      <c r="D442" s="205"/>
      <c r="E442" s="205"/>
      <c r="F442" s="204"/>
      <c r="G442" s="204"/>
      <c r="H442" s="204"/>
      <c r="I442" s="204" t="str">
        <f t="shared" si="114"/>
        <v/>
      </c>
      <c r="J442" s="204" t="str">
        <f t="shared" si="115"/>
        <v/>
      </c>
      <c r="K442" s="204" t="str">
        <f t="shared" si="116"/>
        <v/>
      </c>
      <c r="L442" s="204" t="str">
        <f t="shared" si="117"/>
        <v/>
      </c>
      <c r="M442" s="76" t="str">
        <f t="shared" si="118"/>
        <v/>
      </c>
      <c r="N442" s="206">
        <f t="shared" si="119"/>
        <v>0</v>
      </c>
      <c r="O442" s="206">
        <f t="shared" si="120"/>
        <v>0</v>
      </c>
      <c r="P442" s="206">
        <f t="shared" si="121"/>
        <v>0</v>
      </c>
      <c r="Q442" s="206">
        <f t="shared" si="122"/>
        <v>0</v>
      </c>
      <c r="X442" s="71" t="str">
        <f t="shared" si="113"/>
        <v/>
      </c>
      <c r="Y442">
        <f t="shared" si="127"/>
        <v>0</v>
      </c>
      <c r="Z442">
        <f t="shared" si="128"/>
        <v>0</v>
      </c>
      <c r="AA442">
        <f t="shared" si="129"/>
        <v>0</v>
      </c>
      <c r="AB442">
        <f t="shared" si="130"/>
        <v>0</v>
      </c>
      <c r="AD442" s="204">
        <f t="shared" si="123"/>
        <v>0</v>
      </c>
      <c r="AE442" s="204">
        <f t="shared" si="124"/>
        <v>0</v>
      </c>
      <c r="AF442" s="204">
        <f t="shared" si="125"/>
        <v>0</v>
      </c>
      <c r="AG442" s="204">
        <f t="shared" si="126"/>
        <v>0</v>
      </c>
    </row>
    <row r="443" spans="1:33" x14ac:dyDescent="0.3">
      <c r="A443" s="204"/>
      <c r="B443" s="205"/>
      <c r="C443" s="205"/>
      <c r="D443" s="205"/>
      <c r="E443" s="205"/>
      <c r="F443" s="204"/>
      <c r="G443" s="204"/>
      <c r="H443" s="204"/>
      <c r="I443" s="204" t="str">
        <f t="shared" si="114"/>
        <v/>
      </c>
      <c r="J443" s="204" t="str">
        <f t="shared" si="115"/>
        <v/>
      </c>
      <c r="K443" s="204" t="str">
        <f t="shared" si="116"/>
        <v/>
      </c>
      <c r="L443" s="204" t="str">
        <f t="shared" si="117"/>
        <v/>
      </c>
      <c r="M443" s="76" t="str">
        <f t="shared" si="118"/>
        <v/>
      </c>
      <c r="N443" s="206">
        <f t="shared" si="119"/>
        <v>0</v>
      </c>
      <c r="O443" s="206">
        <f t="shared" si="120"/>
        <v>0</v>
      </c>
      <c r="P443" s="206">
        <f t="shared" si="121"/>
        <v>0</v>
      </c>
      <c r="Q443" s="206">
        <f t="shared" si="122"/>
        <v>0</v>
      </c>
      <c r="X443" s="71" t="str">
        <f t="shared" si="113"/>
        <v/>
      </c>
      <c r="Y443">
        <f t="shared" si="127"/>
        <v>0</v>
      </c>
      <c r="Z443">
        <f t="shared" si="128"/>
        <v>0</v>
      </c>
      <c r="AA443">
        <f t="shared" si="129"/>
        <v>0</v>
      </c>
      <c r="AB443">
        <f t="shared" si="130"/>
        <v>0</v>
      </c>
      <c r="AD443" s="204">
        <f t="shared" si="123"/>
        <v>0</v>
      </c>
      <c r="AE443" s="204">
        <f t="shared" si="124"/>
        <v>0</v>
      </c>
      <c r="AF443" s="204">
        <f t="shared" si="125"/>
        <v>0</v>
      </c>
      <c r="AG443" s="204">
        <f t="shared" si="126"/>
        <v>0</v>
      </c>
    </row>
    <row r="444" spans="1:33" x14ac:dyDescent="0.3">
      <c r="A444" s="204"/>
      <c r="B444" s="205"/>
      <c r="C444" s="205"/>
      <c r="D444" s="205"/>
      <c r="E444" s="205"/>
      <c r="F444" s="204"/>
      <c r="G444" s="204"/>
      <c r="H444" s="204"/>
      <c r="I444" s="204" t="str">
        <f t="shared" si="114"/>
        <v/>
      </c>
      <c r="J444" s="204" t="str">
        <f t="shared" si="115"/>
        <v/>
      </c>
      <c r="K444" s="204" t="str">
        <f t="shared" si="116"/>
        <v/>
      </c>
      <c r="L444" s="204" t="str">
        <f t="shared" si="117"/>
        <v/>
      </c>
      <c r="M444" s="76" t="str">
        <f t="shared" si="118"/>
        <v/>
      </c>
      <c r="N444" s="206">
        <f t="shared" si="119"/>
        <v>0</v>
      </c>
      <c r="O444" s="206">
        <f t="shared" si="120"/>
        <v>0</v>
      </c>
      <c r="P444" s="206">
        <f t="shared" si="121"/>
        <v>0</v>
      </c>
      <c r="Q444" s="206">
        <f t="shared" si="122"/>
        <v>0</v>
      </c>
      <c r="X444" s="71" t="str">
        <f t="shared" si="113"/>
        <v/>
      </c>
      <c r="Y444">
        <f t="shared" si="127"/>
        <v>0</v>
      </c>
      <c r="Z444">
        <f t="shared" si="128"/>
        <v>0</v>
      </c>
      <c r="AA444">
        <f t="shared" si="129"/>
        <v>0</v>
      </c>
      <c r="AB444">
        <f t="shared" si="130"/>
        <v>0</v>
      </c>
      <c r="AD444" s="204">
        <f t="shared" si="123"/>
        <v>0</v>
      </c>
      <c r="AE444" s="204">
        <f t="shared" si="124"/>
        <v>0</v>
      </c>
      <c r="AF444" s="204">
        <f t="shared" si="125"/>
        <v>0</v>
      </c>
      <c r="AG444" s="204">
        <f t="shared" si="126"/>
        <v>0</v>
      </c>
    </row>
    <row r="445" spans="1:33" x14ac:dyDescent="0.3">
      <c r="A445" s="204"/>
      <c r="B445" s="205"/>
      <c r="C445" s="205"/>
      <c r="D445" s="205"/>
      <c r="E445" s="205"/>
      <c r="F445" s="204"/>
      <c r="G445" s="204"/>
      <c r="H445" s="204"/>
      <c r="I445" s="204" t="str">
        <f t="shared" si="114"/>
        <v/>
      </c>
      <c r="J445" s="204" t="str">
        <f t="shared" si="115"/>
        <v/>
      </c>
      <c r="K445" s="204" t="str">
        <f t="shared" si="116"/>
        <v/>
      </c>
      <c r="L445" s="204" t="str">
        <f t="shared" si="117"/>
        <v/>
      </c>
      <c r="M445" s="76" t="str">
        <f t="shared" si="118"/>
        <v/>
      </c>
      <c r="N445" s="206">
        <f t="shared" si="119"/>
        <v>0</v>
      </c>
      <c r="O445" s="206">
        <f t="shared" si="120"/>
        <v>0</v>
      </c>
      <c r="P445" s="206">
        <f t="shared" si="121"/>
        <v>0</v>
      </c>
      <c r="Q445" s="206">
        <f t="shared" si="122"/>
        <v>0</v>
      </c>
      <c r="X445" s="71" t="str">
        <f t="shared" si="113"/>
        <v/>
      </c>
      <c r="Y445">
        <f t="shared" si="127"/>
        <v>0</v>
      </c>
      <c r="Z445">
        <f t="shared" si="128"/>
        <v>0</v>
      </c>
      <c r="AA445">
        <f t="shared" si="129"/>
        <v>0</v>
      </c>
      <c r="AB445">
        <f t="shared" si="130"/>
        <v>0</v>
      </c>
      <c r="AD445" s="204">
        <f t="shared" si="123"/>
        <v>0</v>
      </c>
      <c r="AE445" s="204">
        <f t="shared" si="124"/>
        <v>0</v>
      </c>
      <c r="AF445" s="204">
        <f t="shared" si="125"/>
        <v>0</v>
      </c>
      <c r="AG445" s="204">
        <f t="shared" si="126"/>
        <v>0</v>
      </c>
    </row>
    <row r="446" spans="1:33" x14ac:dyDescent="0.3">
      <c r="A446" s="204"/>
      <c r="B446" s="205"/>
      <c r="C446" s="205"/>
      <c r="D446" s="205"/>
      <c r="E446" s="205"/>
      <c r="F446" s="204"/>
      <c r="G446" s="204"/>
      <c r="H446" s="204"/>
      <c r="I446" s="204" t="str">
        <f t="shared" si="114"/>
        <v/>
      </c>
      <c r="J446" s="204" t="str">
        <f t="shared" si="115"/>
        <v/>
      </c>
      <c r="K446" s="204" t="str">
        <f t="shared" si="116"/>
        <v/>
      </c>
      <c r="L446" s="204" t="str">
        <f t="shared" si="117"/>
        <v/>
      </c>
      <c r="M446" s="76" t="str">
        <f t="shared" si="118"/>
        <v/>
      </c>
      <c r="N446" s="206">
        <f t="shared" si="119"/>
        <v>0</v>
      </c>
      <c r="O446" s="206">
        <f t="shared" si="120"/>
        <v>0</v>
      </c>
      <c r="P446" s="206">
        <f t="shared" si="121"/>
        <v>0</v>
      </c>
      <c r="Q446" s="206">
        <f t="shared" si="122"/>
        <v>0</v>
      </c>
      <c r="X446" s="71" t="str">
        <f t="shared" si="113"/>
        <v/>
      </c>
      <c r="Y446">
        <f t="shared" si="127"/>
        <v>0</v>
      </c>
      <c r="Z446">
        <f t="shared" si="128"/>
        <v>0</v>
      </c>
      <c r="AA446">
        <f t="shared" si="129"/>
        <v>0</v>
      </c>
      <c r="AB446">
        <f t="shared" si="130"/>
        <v>0</v>
      </c>
      <c r="AD446" s="204">
        <f t="shared" si="123"/>
        <v>0</v>
      </c>
      <c r="AE446" s="204">
        <f t="shared" si="124"/>
        <v>0</v>
      </c>
      <c r="AF446" s="204">
        <f t="shared" si="125"/>
        <v>0</v>
      </c>
      <c r="AG446" s="204">
        <f t="shared" si="126"/>
        <v>0</v>
      </c>
    </row>
    <row r="447" spans="1:33" x14ac:dyDescent="0.3">
      <c r="A447" s="204"/>
      <c r="B447" s="205"/>
      <c r="C447" s="205"/>
      <c r="D447" s="205"/>
      <c r="E447" s="205"/>
      <c r="F447" s="204"/>
      <c r="G447" s="204"/>
      <c r="H447" s="204"/>
      <c r="I447" s="204" t="str">
        <f t="shared" si="114"/>
        <v/>
      </c>
      <c r="J447" s="204" t="str">
        <f t="shared" si="115"/>
        <v/>
      </c>
      <c r="K447" s="204" t="str">
        <f t="shared" si="116"/>
        <v/>
      </c>
      <c r="L447" s="204" t="str">
        <f t="shared" si="117"/>
        <v/>
      </c>
      <c r="M447" s="76" t="str">
        <f t="shared" si="118"/>
        <v/>
      </c>
      <c r="N447" s="206">
        <f t="shared" si="119"/>
        <v>0</v>
      </c>
      <c r="O447" s="206">
        <f t="shared" si="120"/>
        <v>0</v>
      </c>
      <c r="P447" s="206">
        <f t="shared" si="121"/>
        <v>0</v>
      </c>
      <c r="Q447" s="206">
        <f t="shared" si="122"/>
        <v>0</v>
      </c>
      <c r="X447" s="71" t="str">
        <f t="shared" si="113"/>
        <v/>
      </c>
      <c r="Y447">
        <f t="shared" si="127"/>
        <v>0</v>
      </c>
      <c r="Z447">
        <f t="shared" si="128"/>
        <v>0</v>
      </c>
      <c r="AA447">
        <f t="shared" si="129"/>
        <v>0</v>
      </c>
      <c r="AB447">
        <f t="shared" si="130"/>
        <v>0</v>
      </c>
      <c r="AD447" s="204">
        <f t="shared" si="123"/>
        <v>0</v>
      </c>
      <c r="AE447" s="204">
        <f t="shared" si="124"/>
        <v>0</v>
      </c>
      <c r="AF447" s="204">
        <f t="shared" si="125"/>
        <v>0</v>
      </c>
      <c r="AG447" s="204">
        <f t="shared" si="126"/>
        <v>0</v>
      </c>
    </row>
    <row r="448" spans="1:33" x14ac:dyDescent="0.3">
      <c r="A448" s="204"/>
      <c r="B448" s="205"/>
      <c r="C448" s="205"/>
      <c r="D448" s="205"/>
      <c r="E448" s="205"/>
      <c r="F448" s="204"/>
      <c r="G448" s="204"/>
      <c r="H448" s="204"/>
      <c r="I448" s="204" t="str">
        <f t="shared" si="114"/>
        <v/>
      </c>
      <c r="J448" s="204" t="str">
        <f t="shared" si="115"/>
        <v/>
      </c>
      <c r="K448" s="204" t="str">
        <f t="shared" si="116"/>
        <v/>
      </c>
      <c r="L448" s="204" t="str">
        <f t="shared" si="117"/>
        <v/>
      </c>
      <c r="M448" s="76" t="str">
        <f t="shared" si="118"/>
        <v/>
      </c>
      <c r="N448" s="206">
        <f t="shared" si="119"/>
        <v>0</v>
      </c>
      <c r="O448" s="206">
        <f t="shared" si="120"/>
        <v>0</v>
      </c>
      <c r="P448" s="206">
        <f t="shared" si="121"/>
        <v>0</v>
      </c>
      <c r="Q448" s="206">
        <f t="shared" si="122"/>
        <v>0</v>
      </c>
      <c r="X448" s="71" t="str">
        <f t="shared" si="113"/>
        <v/>
      </c>
      <c r="Y448">
        <f t="shared" si="127"/>
        <v>0</v>
      </c>
      <c r="Z448">
        <f t="shared" si="128"/>
        <v>0</v>
      </c>
      <c r="AA448">
        <f t="shared" si="129"/>
        <v>0</v>
      </c>
      <c r="AB448">
        <f t="shared" si="130"/>
        <v>0</v>
      </c>
      <c r="AD448" s="204">
        <f t="shared" si="123"/>
        <v>0</v>
      </c>
      <c r="AE448" s="204">
        <f t="shared" si="124"/>
        <v>0</v>
      </c>
      <c r="AF448" s="204">
        <f t="shared" si="125"/>
        <v>0</v>
      </c>
      <c r="AG448" s="204">
        <f t="shared" si="126"/>
        <v>0</v>
      </c>
    </row>
    <row r="449" spans="1:33" x14ac:dyDescent="0.3">
      <c r="A449" s="204"/>
      <c r="B449" s="205"/>
      <c r="C449" s="205"/>
      <c r="D449" s="205"/>
      <c r="E449" s="205"/>
      <c r="F449" s="204"/>
      <c r="G449" s="204"/>
      <c r="H449" s="204"/>
      <c r="I449" s="204" t="str">
        <f t="shared" si="114"/>
        <v/>
      </c>
      <c r="J449" s="204" t="str">
        <f t="shared" si="115"/>
        <v/>
      </c>
      <c r="K449" s="204" t="str">
        <f t="shared" si="116"/>
        <v/>
      </c>
      <c r="L449" s="204" t="str">
        <f t="shared" si="117"/>
        <v/>
      </c>
      <c r="M449" s="76" t="str">
        <f t="shared" si="118"/>
        <v/>
      </c>
      <c r="N449" s="206">
        <f t="shared" si="119"/>
        <v>0</v>
      </c>
      <c r="O449" s="206">
        <f t="shared" si="120"/>
        <v>0</v>
      </c>
      <c r="P449" s="206">
        <f t="shared" si="121"/>
        <v>0</v>
      </c>
      <c r="Q449" s="206">
        <f t="shared" si="122"/>
        <v>0</v>
      </c>
      <c r="X449" s="71" t="str">
        <f t="shared" si="113"/>
        <v/>
      </c>
      <c r="Y449">
        <f t="shared" si="127"/>
        <v>0</v>
      </c>
      <c r="Z449">
        <f t="shared" si="128"/>
        <v>0</v>
      </c>
      <c r="AA449">
        <f t="shared" si="129"/>
        <v>0</v>
      </c>
      <c r="AB449">
        <f t="shared" si="130"/>
        <v>0</v>
      </c>
      <c r="AD449" s="204">
        <f t="shared" si="123"/>
        <v>0</v>
      </c>
      <c r="AE449" s="204">
        <f t="shared" si="124"/>
        <v>0</v>
      </c>
      <c r="AF449" s="204">
        <f t="shared" si="125"/>
        <v>0</v>
      </c>
      <c r="AG449" s="204">
        <f t="shared" si="126"/>
        <v>0</v>
      </c>
    </row>
    <row r="450" spans="1:33" x14ac:dyDescent="0.3">
      <c r="A450" s="204"/>
      <c r="B450" s="205"/>
      <c r="C450" s="205"/>
      <c r="D450" s="205"/>
      <c r="E450" s="205"/>
      <c r="F450" s="204"/>
      <c r="G450" s="204"/>
      <c r="H450" s="204"/>
      <c r="I450" s="204" t="str">
        <f t="shared" si="114"/>
        <v/>
      </c>
      <c r="J450" s="204" t="str">
        <f t="shared" si="115"/>
        <v/>
      </c>
      <c r="K450" s="204" t="str">
        <f t="shared" si="116"/>
        <v/>
      </c>
      <c r="L450" s="204" t="str">
        <f t="shared" si="117"/>
        <v/>
      </c>
      <c r="M450" s="76" t="str">
        <f t="shared" si="118"/>
        <v/>
      </c>
      <c r="N450" s="206">
        <f t="shared" si="119"/>
        <v>0</v>
      </c>
      <c r="O450" s="206">
        <f t="shared" si="120"/>
        <v>0</v>
      </c>
      <c r="P450" s="206">
        <f t="shared" si="121"/>
        <v>0</v>
      </c>
      <c r="Q450" s="206">
        <f t="shared" si="122"/>
        <v>0</v>
      </c>
      <c r="X450" s="71" t="str">
        <f t="shared" si="113"/>
        <v/>
      </c>
      <c r="Y450">
        <f t="shared" si="127"/>
        <v>0</v>
      </c>
      <c r="Z450">
        <f t="shared" si="128"/>
        <v>0</v>
      </c>
      <c r="AA450">
        <f t="shared" si="129"/>
        <v>0</v>
      </c>
      <c r="AB450">
        <f t="shared" si="130"/>
        <v>0</v>
      </c>
      <c r="AD450" s="204">
        <f t="shared" si="123"/>
        <v>0</v>
      </c>
      <c r="AE450" s="204">
        <f t="shared" si="124"/>
        <v>0</v>
      </c>
      <c r="AF450" s="204">
        <f t="shared" si="125"/>
        <v>0</v>
      </c>
      <c r="AG450" s="204">
        <f t="shared" si="126"/>
        <v>0</v>
      </c>
    </row>
    <row r="451" spans="1:33" x14ac:dyDescent="0.3">
      <c r="A451" s="204"/>
      <c r="B451" s="205"/>
      <c r="C451" s="205"/>
      <c r="D451" s="205"/>
      <c r="E451" s="205"/>
      <c r="F451" s="204"/>
      <c r="G451" s="204"/>
      <c r="H451" s="204"/>
      <c r="I451" s="204" t="str">
        <f t="shared" si="114"/>
        <v/>
      </c>
      <c r="J451" s="204" t="str">
        <f t="shared" si="115"/>
        <v/>
      </c>
      <c r="K451" s="204" t="str">
        <f t="shared" si="116"/>
        <v/>
      </c>
      <c r="L451" s="204" t="str">
        <f t="shared" si="117"/>
        <v/>
      </c>
      <c r="M451" s="76" t="str">
        <f t="shared" si="118"/>
        <v/>
      </c>
      <c r="N451" s="206">
        <f t="shared" si="119"/>
        <v>0</v>
      </c>
      <c r="O451" s="206">
        <f t="shared" si="120"/>
        <v>0</v>
      </c>
      <c r="P451" s="206">
        <f t="shared" si="121"/>
        <v>0</v>
      </c>
      <c r="Q451" s="206">
        <f t="shared" si="122"/>
        <v>0</v>
      </c>
      <c r="X451" s="71" t="str">
        <f t="shared" ref="X451:X514" si="131">M451</f>
        <v/>
      </c>
      <c r="Y451">
        <f t="shared" si="127"/>
        <v>0</v>
      </c>
      <c r="Z451">
        <f t="shared" si="128"/>
        <v>0</v>
      </c>
      <c r="AA451">
        <f t="shared" si="129"/>
        <v>0</v>
      </c>
      <c r="AB451">
        <f t="shared" si="130"/>
        <v>0</v>
      </c>
      <c r="AD451" s="204">
        <f t="shared" si="123"/>
        <v>0</v>
      </c>
      <c r="AE451" s="204">
        <f t="shared" si="124"/>
        <v>0</v>
      </c>
      <c r="AF451" s="204">
        <f t="shared" si="125"/>
        <v>0</v>
      </c>
      <c r="AG451" s="204">
        <f t="shared" si="126"/>
        <v>0</v>
      </c>
    </row>
    <row r="452" spans="1:33" x14ac:dyDescent="0.3">
      <c r="A452" s="204"/>
      <c r="B452" s="205"/>
      <c r="C452" s="205"/>
      <c r="D452" s="205"/>
      <c r="E452" s="205"/>
      <c r="F452" s="204"/>
      <c r="G452" s="204"/>
      <c r="H452" s="204"/>
      <c r="I452" s="204" t="str">
        <f t="shared" si="114"/>
        <v/>
      </c>
      <c r="J452" s="204" t="str">
        <f t="shared" si="115"/>
        <v/>
      </c>
      <c r="K452" s="204" t="str">
        <f t="shared" si="116"/>
        <v/>
      </c>
      <c r="L452" s="204" t="str">
        <f t="shared" si="117"/>
        <v/>
      </c>
      <c r="M452" s="76" t="str">
        <f t="shared" si="118"/>
        <v/>
      </c>
      <c r="N452" s="206">
        <f t="shared" si="119"/>
        <v>0</v>
      </c>
      <c r="O452" s="206">
        <f t="shared" si="120"/>
        <v>0</v>
      </c>
      <c r="P452" s="206">
        <f t="shared" si="121"/>
        <v>0</v>
      </c>
      <c r="Q452" s="206">
        <f t="shared" si="122"/>
        <v>0</v>
      </c>
      <c r="X452" s="71" t="str">
        <f t="shared" si="131"/>
        <v/>
      </c>
      <c r="Y452">
        <f t="shared" si="127"/>
        <v>0</v>
      </c>
      <c r="Z452">
        <f t="shared" si="128"/>
        <v>0</v>
      </c>
      <c r="AA452">
        <f t="shared" si="129"/>
        <v>0</v>
      </c>
      <c r="AB452">
        <f t="shared" si="130"/>
        <v>0</v>
      </c>
      <c r="AD452" s="204">
        <f t="shared" si="123"/>
        <v>0</v>
      </c>
      <c r="AE452" s="204">
        <f t="shared" si="124"/>
        <v>0</v>
      </c>
      <c r="AF452" s="204">
        <f t="shared" si="125"/>
        <v>0</v>
      </c>
      <c r="AG452" s="204">
        <f t="shared" si="126"/>
        <v>0</v>
      </c>
    </row>
    <row r="453" spans="1:33" x14ac:dyDescent="0.3">
      <c r="A453" s="204"/>
      <c r="B453" s="205"/>
      <c r="C453" s="205"/>
      <c r="D453" s="205"/>
      <c r="E453" s="205"/>
      <c r="F453" s="204"/>
      <c r="G453" s="204"/>
      <c r="H453" s="204"/>
      <c r="I453" s="204" t="str">
        <f t="shared" ref="I453:I516" si="132">IF(G453="Détail",LEN(A453),"")</f>
        <v/>
      </c>
      <c r="J453" s="204" t="str">
        <f t="shared" ref="J453:J516" si="133">IF(I453="","",LEFT(A453,3))</f>
        <v/>
      </c>
      <c r="K453" s="204" t="str">
        <f t="shared" ref="K453:K516" si="134">IF(J453&lt;&gt;"",MID(A453,5,3),"")</f>
        <v/>
      </c>
      <c r="L453" s="204" t="str">
        <f t="shared" ref="L453:L516" si="135">IF(J453&lt;&gt;"",RIGHT(A453,2),"")</f>
        <v/>
      </c>
      <c r="M453" s="76" t="str">
        <f t="shared" ref="M453:M516" si="136">IF(J453&lt;&gt;"",CONCATENATE(J453,"/",K453),"")</f>
        <v/>
      </c>
      <c r="N453" s="206">
        <f t="shared" ref="N453:N516" si="137">IFERROR(IF(A453&lt;&gt;"",IF(A454&lt;&gt;"",IF(FIND("Mode AM +Tarif actuel",A454),VALUE(LEFT(B454,LEN(B454)-2)),),0),0),0)</f>
        <v>0</v>
      </c>
      <c r="O453" s="206">
        <f t="shared" ref="O453:O516" si="138">IFERROR(IF(A453&lt;&gt;"",IF(A454&lt;&gt;"",IF(FIND("Mode AM +Tarif actuel",A454),VALUE(LEFT(C454,LEN(C454)-2)),),0),0),0)</f>
        <v>0</v>
      </c>
      <c r="P453" s="206">
        <f t="shared" ref="P453:P516" si="139">IFERROR(IF(A453&lt;&gt;"",IF(A454&lt;&gt;"",IF(FIND("Mode AM +Tarif actuel",A454),VALUE(LEFT(D454,LEN(D454)-2)),),0),0),0)</f>
        <v>0</v>
      </c>
      <c r="Q453" s="206">
        <f t="shared" ref="Q453:Q516" si="140">IFERROR(IF(A453&lt;&gt;"",IF(A454&lt;&gt;"",IF(FIND("Mode AM +Tarif actuel",A454),VALUE(LEFT(E454,LEN(E454)-2)),),0),0),0)</f>
        <v>0</v>
      </c>
      <c r="X453" s="71" t="str">
        <f t="shared" si="131"/>
        <v/>
      </c>
      <c r="Y453">
        <f t="shared" si="127"/>
        <v>0</v>
      </c>
      <c r="Z453">
        <f t="shared" si="128"/>
        <v>0</v>
      </c>
      <c r="AA453">
        <f t="shared" si="129"/>
        <v>0</v>
      </c>
      <c r="AB453">
        <f t="shared" si="130"/>
        <v>0</v>
      </c>
      <c r="AD453" s="204">
        <f t="shared" si="123"/>
        <v>0</v>
      </c>
      <c r="AE453" s="204">
        <f t="shared" si="124"/>
        <v>0</v>
      </c>
      <c r="AF453" s="204">
        <f t="shared" si="125"/>
        <v>0</v>
      </c>
      <c r="AG453" s="204">
        <f t="shared" si="126"/>
        <v>0</v>
      </c>
    </row>
    <row r="454" spans="1:33" x14ac:dyDescent="0.3">
      <c r="A454" s="204"/>
      <c r="B454" s="205"/>
      <c r="C454" s="205"/>
      <c r="D454" s="205"/>
      <c r="E454" s="205"/>
      <c r="F454" s="204"/>
      <c r="G454" s="204"/>
      <c r="H454" s="204"/>
      <c r="I454" s="204" t="str">
        <f t="shared" si="132"/>
        <v/>
      </c>
      <c r="J454" s="204" t="str">
        <f t="shared" si="133"/>
        <v/>
      </c>
      <c r="K454" s="204" t="str">
        <f t="shared" si="134"/>
        <v/>
      </c>
      <c r="L454" s="204" t="str">
        <f t="shared" si="135"/>
        <v/>
      </c>
      <c r="M454" s="76" t="str">
        <f t="shared" si="136"/>
        <v/>
      </c>
      <c r="N454" s="206">
        <f t="shared" si="137"/>
        <v>0</v>
      </c>
      <c r="O454" s="206">
        <f t="shared" si="138"/>
        <v>0</v>
      </c>
      <c r="P454" s="206">
        <f t="shared" si="139"/>
        <v>0</v>
      </c>
      <c r="Q454" s="206">
        <f t="shared" si="140"/>
        <v>0</v>
      </c>
      <c r="X454" s="71" t="str">
        <f t="shared" si="131"/>
        <v/>
      </c>
      <c r="Y454">
        <f t="shared" si="127"/>
        <v>0</v>
      </c>
      <c r="Z454">
        <f t="shared" si="128"/>
        <v>0</v>
      </c>
      <c r="AA454">
        <f t="shared" si="129"/>
        <v>0</v>
      </c>
      <c r="AB454">
        <f t="shared" si="130"/>
        <v>0</v>
      </c>
      <c r="AD454" s="204">
        <f t="shared" si="123"/>
        <v>0</v>
      </c>
      <c r="AE454" s="204">
        <f t="shared" si="124"/>
        <v>0</v>
      </c>
      <c r="AF454" s="204">
        <f t="shared" si="125"/>
        <v>0</v>
      </c>
      <c r="AG454" s="204">
        <f t="shared" si="126"/>
        <v>0</v>
      </c>
    </row>
    <row r="455" spans="1:33" x14ac:dyDescent="0.3">
      <c r="A455" s="204"/>
      <c r="B455" s="205"/>
      <c r="C455" s="205"/>
      <c r="D455" s="205"/>
      <c r="E455" s="205"/>
      <c r="F455" s="204"/>
      <c r="G455" s="204"/>
      <c r="H455" s="204"/>
      <c r="I455" s="204" t="str">
        <f t="shared" si="132"/>
        <v/>
      </c>
      <c r="J455" s="204" t="str">
        <f t="shared" si="133"/>
        <v/>
      </c>
      <c r="K455" s="204" t="str">
        <f t="shared" si="134"/>
        <v/>
      </c>
      <c r="L455" s="204" t="str">
        <f t="shared" si="135"/>
        <v/>
      </c>
      <c r="M455" s="76" t="str">
        <f t="shared" si="136"/>
        <v/>
      </c>
      <c r="N455" s="206">
        <f t="shared" si="137"/>
        <v>0</v>
      </c>
      <c r="O455" s="206">
        <f t="shared" si="138"/>
        <v>0</v>
      </c>
      <c r="P455" s="206">
        <f t="shared" si="139"/>
        <v>0</v>
      </c>
      <c r="Q455" s="206">
        <f t="shared" si="140"/>
        <v>0</v>
      </c>
      <c r="X455" s="71" t="str">
        <f t="shared" si="131"/>
        <v/>
      </c>
      <c r="Y455">
        <f t="shared" si="127"/>
        <v>0</v>
      </c>
      <c r="Z455">
        <f t="shared" si="128"/>
        <v>0</v>
      </c>
      <c r="AA455">
        <f t="shared" si="129"/>
        <v>0</v>
      </c>
      <c r="AB455">
        <f t="shared" si="130"/>
        <v>0</v>
      </c>
      <c r="AD455" s="204">
        <f t="shared" si="123"/>
        <v>0</v>
      </c>
      <c r="AE455" s="204">
        <f t="shared" si="124"/>
        <v>0</v>
      </c>
      <c r="AF455" s="204">
        <f t="shared" si="125"/>
        <v>0</v>
      </c>
      <c r="AG455" s="204">
        <f t="shared" si="126"/>
        <v>0</v>
      </c>
    </row>
    <row r="456" spans="1:33" x14ac:dyDescent="0.3">
      <c r="A456" s="204"/>
      <c r="B456" s="205"/>
      <c r="C456" s="205"/>
      <c r="D456" s="205"/>
      <c r="E456" s="205"/>
      <c r="F456" s="204"/>
      <c r="G456" s="204"/>
      <c r="H456" s="204"/>
      <c r="I456" s="204" t="str">
        <f t="shared" si="132"/>
        <v/>
      </c>
      <c r="J456" s="204" t="str">
        <f t="shared" si="133"/>
        <v/>
      </c>
      <c r="K456" s="204" t="str">
        <f t="shared" si="134"/>
        <v/>
      </c>
      <c r="L456" s="204" t="str">
        <f t="shared" si="135"/>
        <v/>
      </c>
      <c r="M456" s="76" t="str">
        <f t="shared" si="136"/>
        <v/>
      </c>
      <c r="N456" s="206">
        <f t="shared" si="137"/>
        <v>0</v>
      </c>
      <c r="O456" s="206">
        <f t="shared" si="138"/>
        <v>0</v>
      </c>
      <c r="P456" s="206">
        <f t="shared" si="139"/>
        <v>0</v>
      </c>
      <c r="Q456" s="206">
        <f t="shared" si="140"/>
        <v>0</v>
      </c>
      <c r="X456" s="71" t="str">
        <f t="shared" si="131"/>
        <v/>
      </c>
      <c r="Y456">
        <f t="shared" si="127"/>
        <v>0</v>
      </c>
      <c r="Z456">
        <f t="shared" si="128"/>
        <v>0</v>
      </c>
      <c r="AA456">
        <f t="shared" si="129"/>
        <v>0</v>
      </c>
      <c r="AB456">
        <f t="shared" si="130"/>
        <v>0</v>
      </c>
      <c r="AD456" s="204">
        <f t="shared" si="123"/>
        <v>0</v>
      </c>
      <c r="AE456" s="204">
        <f t="shared" si="124"/>
        <v>0</v>
      </c>
      <c r="AF456" s="204">
        <f t="shared" si="125"/>
        <v>0</v>
      </c>
      <c r="AG456" s="204">
        <f t="shared" si="126"/>
        <v>0</v>
      </c>
    </row>
    <row r="457" spans="1:33" x14ac:dyDescent="0.3">
      <c r="A457" s="204"/>
      <c r="B457" s="205"/>
      <c r="C457" s="205"/>
      <c r="D457" s="205"/>
      <c r="E457" s="205"/>
      <c r="F457" s="204"/>
      <c r="G457" s="204"/>
      <c r="H457" s="204"/>
      <c r="I457" s="204" t="str">
        <f t="shared" si="132"/>
        <v/>
      </c>
      <c r="J457" s="204" t="str">
        <f t="shared" si="133"/>
        <v/>
      </c>
      <c r="K457" s="204" t="str">
        <f t="shared" si="134"/>
        <v/>
      </c>
      <c r="L457" s="204" t="str">
        <f t="shared" si="135"/>
        <v/>
      </c>
      <c r="M457" s="76" t="str">
        <f t="shared" si="136"/>
        <v/>
      </c>
      <c r="N457" s="206">
        <f t="shared" si="137"/>
        <v>0</v>
      </c>
      <c r="O457" s="206">
        <f t="shared" si="138"/>
        <v>0</v>
      </c>
      <c r="P457" s="206">
        <f t="shared" si="139"/>
        <v>0</v>
      </c>
      <c r="Q457" s="206">
        <f t="shared" si="140"/>
        <v>0</v>
      </c>
      <c r="X457" s="71" t="str">
        <f t="shared" si="131"/>
        <v/>
      </c>
      <c r="Y457">
        <f t="shared" si="127"/>
        <v>0</v>
      </c>
      <c r="Z457">
        <f t="shared" si="128"/>
        <v>0</v>
      </c>
      <c r="AA457">
        <f t="shared" si="129"/>
        <v>0</v>
      </c>
      <c r="AB457">
        <f t="shared" si="130"/>
        <v>0</v>
      </c>
      <c r="AD457" s="204">
        <f t="shared" si="123"/>
        <v>0</v>
      </c>
      <c r="AE457" s="204">
        <f t="shared" si="124"/>
        <v>0</v>
      </c>
      <c r="AF457" s="204">
        <f t="shared" si="125"/>
        <v>0</v>
      </c>
      <c r="AG457" s="204">
        <f t="shared" si="126"/>
        <v>0</v>
      </c>
    </row>
    <row r="458" spans="1:33" x14ac:dyDescent="0.3">
      <c r="A458" s="204"/>
      <c r="B458" s="205"/>
      <c r="C458" s="205"/>
      <c r="D458" s="205"/>
      <c r="E458" s="205"/>
      <c r="F458" s="204"/>
      <c r="G458" s="204"/>
      <c r="H458" s="204"/>
      <c r="I458" s="204" t="str">
        <f t="shared" si="132"/>
        <v/>
      </c>
      <c r="J458" s="204" t="str">
        <f t="shared" si="133"/>
        <v/>
      </c>
      <c r="K458" s="204" t="str">
        <f t="shared" si="134"/>
        <v/>
      </c>
      <c r="L458" s="204" t="str">
        <f t="shared" si="135"/>
        <v/>
      </c>
      <c r="M458" s="76" t="str">
        <f t="shared" si="136"/>
        <v/>
      </c>
      <c r="N458" s="206">
        <f t="shared" si="137"/>
        <v>0</v>
      </c>
      <c r="O458" s="206">
        <f t="shared" si="138"/>
        <v>0</v>
      </c>
      <c r="P458" s="206">
        <f t="shared" si="139"/>
        <v>0</v>
      </c>
      <c r="Q458" s="206">
        <f t="shared" si="140"/>
        <v>0</v>
      </c>
      <c r="X458" s="71" t="str">
        <f t="shared" si="131"/>
        <v/>
      </c>
      <c r="Y458">
        <f t="shared" si="127"/>
        <v>0</v>
      </c>
      <c r="Z458">
        <f t="shared" si="128"/>
        <v>0</v>
      </c>
      <c r="AA458">
        <f t="shared" si="129"/>
        <v>0</v>
      </c>
      <c r="AB458">
        <f t="shared" si="130"/>
        <v>0</v>
      </c>
      <c r="AD458" s="204">
        <f t="shared" si="123"/>
        <v>0</v>
      </c>
      <c r="AE458" s="204">
        <f t="shared" si="124"/>
        <v>0</v>
      </c>
      <c r="AF458" s="204">
        <f t="shared" si="125"/>
        <v>0</v>
      </c>
      <c r="AG458" s="204">
        <f t="shared" si="126"/>
        <v>0</v>
      </c>
    </row>
    <row r="459" spans="1:33" x14ac:dyDescent="0.3">
      <c r="A459" s="204"/>
      <c r="B459" s="205"/>
      <c r="C459" s="205"/>
      <c r="D459" s="205"/>
      <c r="E459" s="205"/>
      <c r="F459" s="204"/>
      <c r="G459" s="204"/>
      <c r="H459" s="204"/>
      <c r="I459" s="204" t="str">
        <f t="shared" si="132"/>
        <v/>
      </c>
      <c r="J459" s="204" t="str">
        <f t="shared" si="133"/>
        <v/>
      </c>
      <c r="K459" s="204" t="str">
        <f t="shared" si="134"/>
        <v/>
      </c>
      <c r="L459" s="204" t="str">
        <f t="shared" si="135"/>
        <v/>
      </c>
      <c r="M459" s="76" t="str">
        <f t="shared" si="136"/>
        <v/>
      </c>
      <c r="N459" s="206">
        <f t="shared" si="137"/>
        <v>0</v>
      </c>
      <c r="O459" s="206">
        <f t="shared" si="138"/>
        <v>0</v>
      </c>
      <c r="P459" s="206">
        <f t="shared" si="139"/>
        <v>0</v>
      </c>
      <c r="Q459" s="206">
        <f t="shared" si="140"/>
        <v>0</v>
      </c>
      <c r="X459" s="71" t="str">
        <f t="shared" si="131"/>
        <v/>
      </c>
      <c r="Y459">
        <f t="shared" si="127"/>
        <v>0</v>
      </c>
      <c r="Z459">
        <f t="shared" si="128"/>
        <v>0</v>
      </c>
      <c r="AA459">
        <f t="shared" si="129"/>
        <v>0</v>
      </c>
      <c r="AB459">
        <f t="shared" si="130"/>
        <v>0</v>
      </c>
      <c r="AD459" s="204">
        <f t="shared" ref="AD459:AD522" si="141">IFERROR(IF(A459&lt;&gt;"",IF(A460&lt;&gt;"",IF(FIND("Mode AM +Tarif actuel",A460),VALUE(LEFT(B459,LEN(B459)-2)),),0),0),0)</f>
        <v>0</v>
      </c>
      <c r="AE459" s="204">
        <f t="shared" ref="AE459:AE522" si="142">IFERROR(IF(A459&lt;&gt;"",IF(A460&lt;&gt;"",IF(FIND("Mode AM +Tarif actuel",A460),VALUE(LEFT(C459,LEN(C459)-2)),),0),0),0)</f>
        <v>0</v>
      </c>
      <c r="AF459" s="204">
        <f t="shared" ref="AF459:AF522" si="143">IFERROR(IF(A459&lt;&gt;"",IF(A460&lt;&gt;"",IF(FIND("Mode AM +Tarif actuel",A460),VALUE(LEFT(D459,LEN(D459)-2)),),0),0),0)</f>
        <v>0</v>
      </c>
      <c r="AG459" s="204">
        <f t="shared" ref="AG459:AG522" si="144">IFERROR(IF(A459&lt;&gt;"",IF(A460&lt;&gt;"",IF(FIND("Mode AM +Tarif actuel",A460),VALUE(LEFT(E459,LEN(E459)-2)),),0),0),0)</f>
        <v>0</v>
      </c>
    </row>
    <row r="460" spans="1:33" x14ac:dyDescent="0.3">
      <c r="A460" s="204"/>
      <c r="B460" s="205"/>
      <c r="C460" s="205"/>
      <c r="D460" s="205"/>
      <c r="E460" s="205"/>
      <c r="F460" s="204"/>
      <c r="G460" s="204"/>
      <c r="H460" s="204"/>
      <c r="I460" s="204" t="str">
        <f t="shared" si="132"/>
        <v/>
      </c>
      <c r="J460" s="204" t="str">
        <f t="shared" si="133"/>
        <v/>
      </c>
      <c r="K460" s="204" t="str">
        <f t="shared" si="134"/>
        <v/>
      </c>
      <c r="L460" s="204" t="str">
        <f t="shared" si="135"/>
        <v/>
      </c>
      <c r="M460" s="76" t="str">
        <f t="shared" si="136"/>
        <v/>
      </c>
      <c r="N460" s="206">
        <f t="shared" si="137"/>
        <v>0</v>
      </c>
      <c r="O460" s="206">
        <f t="shared" si="138"/>
        <v>0</v>
      </c>
      <c r="P460" s="206">
        <f t="shared" si="139"/>
        <v>0</v>
      </c>
      <c r="Q460" s="206">
        <f t="shared" si="140"/>
        <v>0</v>
      </c>
      <c r="X460" s="71" t="str">
        <f t="shared" si="131"/>
        <v/>
      </c>
      <c r="Y460">
        <f t="shared" si="127"/>
        <v>0</v>
      </c>
      <c r="Z460">
        <f t="shared" si="128"/>
        <v>0</v>
      </c>
      <c r="AA460">
        <f t="shared" si="129"/>
        <v>0</v>
      </c>
      <c r="AB460">
        <f t="shared" si="130"/>
        <v>0</v>
      </c>
      <c r="AD460" s="204">
        <f t="shared" si="141"/>
        <v>0</v>
      </c>
      <c r="AE460" s="204">
        <f t="shared" si="142"/>
        <v>0</v>
      </c>
      <c r="AF460" s="204">
        <f t="shared" si="143"/>
        <v>0</v>
      </c>
      <c r="AG460" s="204">
        <f t="shared" si="144"/>
        <v>0</v>
      </c>
    </row>
    <row r="461" spans="1:33" x14ac:dyDescent="0.3">
      <c r="A461" s="204"/>
      <c r="B461" s="205"/>
      <c r="C461" s="205"/>
      <c r="D461" s="205"/>
      <c r="E461" s="205"/>
      <c r="F461" s="204"/>
      <c r="G461" s="204"/>
      <c r="H461" s="204"/>
      <c r="I461" s="204" t="str">
        <f t="shared" si="132"/>
        <v/>
      </c>
      <c r="J461" s="204" t="str">
        <f t="shared" si="133"/>
        <v/>
      </c>
      <c r="K461" s="204" t="str">
        <f t="shared" si="134"/>
        <v/>
      </c>
      <c r="L461" s="204" t="str">
        <f t="shared" si="135"/>
        <v/>
      </c>
      <c r="M461" s="76" t="str">
        <f t="shared" si="136"/>
        <v/>
      </c>
      <c r="N461" s="206">
        <f t="shared" si="137"/>
        <v>0</v>
      </c>
      <c r="O461" s="206">
        <f t="shared" si="138"/>
        <v>0</v>
      </c>
      <c r="P461" s="206">
        <f t="shared" si="139"/>
        <v>0</v>
      </c>
      <c r="Q461" s="206">
        <f t="shared" si="140"/>
        <v>0</v>
      </c>
      <c r="X461" s="71" t="str">
        <f t="shared" si="131"/>
        <v/>
      </c>
      <c r="Y461">
        <f t="shared" si="127"/>
        <v>0</v>
      </c>
      <c r="Z461">
        <f t="shared" si="128"/>
        <v>0</v>
      </c>
      <c r="AA461">
        <f t="shared" si="129"/>
        <v>0</v>
      </c>
      <c r="AB461">
        <f t="shared" si="130"/>
        <v>0</v>
      </c>
      <c r="AD461" s="204">
        <f t="shared" si="141"/>
        <v>0</v>
      </c>
      <c r="AE461" s="204">
        <f t="shared" si="142"/>
        <v>0</v>
      </c>
      <c r="AF461" s="204">
        <f t="shared" si="143"/>
        <v>0</v>
      </c>
      <c r="AG461" s="204">
        <f t="shared" si="144"/>
        <v>0</v>
      </c>
    </row>
    <row r="462" spans="1:33" x14ac:dyDescent="0.3">
      <c r="A462" s="204"/>
      <c r="B462" s="205"/>
      <c r="C462" s="205"/>
      <c r="D462" s="205"/>
      <c r="E462" s="205"/>
      <c r="F462" s="204"/>
      <c r="G462" s="204"/>
      <c r="H462" s="204"/>
      <c r="I462" s="204" t="str">
        <f t="shared" si="132"/>
        <v/>
      </c>
      <c r="J462" s="204" t="str">
        <f t="shared" si="133"/>
        <v/>
      </c>
      <c r="K462" s="204" t="str">
        <f t="shared" si="134"/>
        <v/>
      </c>
      <c r="L462" s="204" t="str">
        <f t="shared" si="135"/>
        <v/>
      </c>
      <c r="M462" s="76" t="str">
        <f t="shared" si="136"/>
        <v/>
      </c>
      <c r="N462" s="206">
        <f t="shared" si="137"/>
        <v>0</v>
      </c>
      <c r="O462" s="206">
        <f t="shared" si="138"/>
        <v>0</v>
      </c>
      <c r="P462" s="206">
        <f t="shared" si="139"/>
        <v>0</v>
      </c>
      <c r="Q462" s="206">
        <f t="shared" si="140"/>
        <v>0</v>
      </c>
      <c r="X462" s="71" t="str">
        <f t="shared" si="131"/>
        <v/>
      </c>
      <c r="Y462">
        <f t="shared" si="127"/>
        <v>0</v>
      </c>
      <c r="Z462">
        <f t="shared" si="128"/>
        <v>0</v>
      </c>
      <c r="AA462">
        <f t="shared" si="129"/>
        <v>0</v>
      </c>
      <c r="AB462">
        <f t="shared" si="130"/>
        <v>0</v>
      </c>
      <c r="AD462" s="204">
        <f t="shared" si="141"/>
        <v>0</v>
      </c>
      <c r="AE462" s="204">
        <f t="shared" si="142"/>
        <v>0</v>
      </c>
      <c r="AF462" s="204">
        <f t="shared" si="143"/>
        <v>0</v>
      </c>
      <c r="AG462" s="204">
        <f t="shared" si="144"/>
        <v>0</v>
      </c>
    </row>
    <row r="463" spans="1:33" x14ac:dyDescent="0.3">
      <c r="A463" s="204"/>
      <c r="B463" s="205"/>
      <c r="C463" s="205"/>
      <c r="D463" s="205"/>
      <c r="E463" s="205"/>
      <c r="F463" s="204"/>
      <c r="G463" s="204"/>
      <c r="H463" s="204"/>
      <c r="I463" s="204" t="str">
        <f t="shared" si="132"/>
        <v/>
      </c>
      <c r="J463" s="204" t="str">
        <f t="shared" si="133"/>
        <v/>
      </c>
      <c r="K463" s="204" t="str">
        <f t="shared" si="134"/>
        <v/>
      </c>
      <c r="L463" s="204" t="str">
        <f t="shared" si="135"/>
        <v/>
      </c>
      <c r="M463" s="76" t="str">
        <f t="shared" si="136"/>
        <v/>
      </c>
      <c r="N463" s="206">
        <f t="shared" si="137"/>
        <v>0</v>
      </c>
      <c r="O463" s="206">
        <f t="shared" si="138"/>
        <v>0</v>
      </c>
      <c r="P463" s="206">
        <f t="shared" si="139"/>
        <v>0</v>
      </c>
      <c r="Q463" s="206">
        <f t="shared" si="140"/>
        <v>0</v>
      </c>
      <c r="X463" s="71" t="str">
        <f t="shared" si="131"/>
        <v/>
      </c>
      <c r="Y463">
        <f t="shared" si="127"/>
        <v>0</v>
      </c>
      <c r="Z463">
        <f t="shared" si="128"/>
        <v>0</v>
      </c>
      <c r="AA463">
        <f t="shared" si="129"/>
        <v>0</v>
      </c>
      <c r="AB463">
        <f t="shared" si="130"/>
        <v>0</v>
      </c>
      <c r="AD463" s="204">
        <f t="shared" si="141"/>
        <v>0</v>
      </c>
      <c r="AE463" s="204">
        <f t="shared" si="142"/>
        <v>0</v>
      </c>
      <c r="AF463" s="204">
        <f t="shared" si="143"/>
        <v>0</v>
      </c>
      <c r="AG463" s="204">
        <f t="shared" si="144"/>
        <v>0</v>
      </c>
    </row>
    <row r="464" spans="1:33" x14ac:dyDescent="0.3">
      <c r="A464" s="204"/>
      <c r="B464" s="205"/>
      <c r="C464" s="205"/>
      <c r="D464" s="205"/>
      <c r="E464" s="205"/>
      <c r="F464" s="204"/>
      <c r="G464" s="204"/>
      <c r="H464" s="204"/>
      <c r="I464" s="204" t="str">
        <f t="shared" si="132"/>
        <v/>
      </c>
      <c r="J464" s="204" t="str">
        <f t="shared" si="133"/>
        <v/>
      </c>
      <c r="K464" s="204" t="str">
        <f t="shared" si="134"/>
        <v/>
      </c>
      <c r="L464" s="204" t="str">
        <f t="shared" si="135"/>
        <v/>
      </c>
      <c r="M464" s="76" t="str">
        <f t="shared" si="136"/>
        <v/>
      </c>
      <c r="N464" s="206">
        <f t="shared" si="137"/>
        <v>0</v>
      </c>
      <c r="O464" s="206">
        <f t="shared" si="138"/>
        <v>0</v>
      </c>
      <c r="P464" s="206">
        <f t="shared" si="139"/>
        <v>0</v>
      </c>
      <c r="Q464" s="206">
        <f t="shared" si="140"/>
        <v>0</v>
      </c>
      <c r="X464" s="71" t="str">
        <f t="shared" si="131"/>
        <v/>
      </c>
      <c r="Y464">
        <f t="shared" si="127"/>
        <v>0</v>
      </c>
      <c r="Z464">
        <f t="shared" si="128"/>
        <v>0</v>
      </c>
      <c r="AA464">
        <f t="shared" si="129"/>
        <v>0</v>
      </c>
      <c r="AB464">
        <f t="shared" si="130"/>
        <v>0</v>
      </c>
      <c r="AD464" s="204">
        <f t="shared" si="141"/>
        <v>0</v>
      </c>
      <c r="AE464" s="204">
        <f t="shared" si="142"/>
        <v>0</v>
      </c>
      <c r="AF464" s="204">
        <f t="shared" si="143"/>
        <v>0</v>
      </c>
      <c r="AG464" s="204">
        <f t="shared" si="144"/>
        <v>0</v>
      </c>
    </row>
    <row r="465" spans="1:33" x14ac:dyDescent="0.3">
      <c r="A465" s="204"/>
      <c r="B465" s="205"/>
      <c r="C465" s="205"/>
      <c r="D465" s="205"/>
      <c r="E465" s="205"/>
      <c r="F465" s="204"/>
      <c r="G465" s="204"/>
      <c r="H465" s="204"/>
      <c r="I465" s="204" t="str">
        <f t="shared" si="132"/>
        <v/>
      </c>
      <c r="J465" s="204" t="str">
        <f t="shared" si="133"/>
        <v/>
      </c>
      <c r="K465" s="204" t="str">
        <f t="shared" si="134"/>
        <v/>
      </c>
      <c r="L465" s="204" t="str">
        <f t="shared" si="135"/>
        <v/>
      </c>
      <c r="M465" s="76" t="str">
        <f t="shared" si="136"/>
        <v/>
      </c>
      <c r="N465" s="206">
        <f t="shared" si="137"/>
        <v>0</v>
      </c>
      <c r="O465" s="206">
        <f t="shared" si="138"/>
        <v>0</v>
      </c>
      <c r="P465" s="206">
        <f t="shared" si="139"/>
        <v>0</v>
      </c>
      <c r="Q465" s="206">
        <f t="shared" si="140"/>
        <v>0</v>
      </c>
      <c r="X465" s="71" t="str">
        <f t="shared" si="131"/>
        <v/>
      </c>
      <c r="Y465">
        <f t="shared" si="127"/>
        <v>0</v>
      </c>
      <c r="Z465">
        <f t="shared" si="128"/>
        <v>0</v>
      </c>
      <c r="AA465">
        <f t="shared" si="129"/>
        <v>0</v>
      </c>
      <c r="AB465">
        <f t="shared" si="130"/>
        <v>0</v>
      </c>
      <c r="AD465" s="204">
        <f t="shared" si="141"/>
        <v>0</v>
      </c>
      <c r="AE465" s="204">
        <f t="shared" si="142"/>
        <v>0</v>
      </c>
      <c r="AF465" s="204">
        <f t="shared" si="143"/>
        <v>0</v>
      </c>
      <c r="AG465" s="204">
        <f t="shared" si="144"/>
        <v>0</v>
      </c>
    </row>
    <row r="466" spans="1:33" x14ac:dyDescent="0.3">
      <c r="A466" s="204"/>
      <c r="B466" s="205"/>
      <c r="C466" s="205"/>
      <c r="D466" s="205"/>
      <c r="E466" s="205"/>
      <c r="F466" s="204"/>
      <c r="G466" s="204"/>
      <c r="H466" s="204"/>
      <c r="I466" s="204" t="str">
        <f t="shared" si="132"/>
        <v/>
      </c>
      <c r="J466" s="204" t="str">
        <f t="shared" si="133"/>
        <v/>
      </c>
      <c r="K466" s="204" t="str">
        <f t="shared" si="134"/>
        <v/>
      </c>
      <c r="L466" s="204" t="str">
        <f t="shared" si="135"/>
        <v/>
      </c>
      <c r="M466" s="76" t="str">
        <f t="shared" si="136"/>
        <v/>
      </c>
      <c r="N466" s="206">
        <f t="shared" si="137"/>
        <v>0</v>
      </c>
      <c r="O466" s="206">
        <f t="shared" si="138"/>
        <v>0</v>
      </c>
      <c r="P466" s="206">
        <f t="shared" si="139"/>
        <v>0</v>
      </c>
      <c r="Q466" s="206">
        <f t="shared" si="140"/>
        <v>0</v>
      </c>
      <c r="X466" s="71" t="str">
        <f t="shared" si="131"/>
        <v/>
      </c>
      <c r="Y466">
        <f t="shared" si="127"/>
        <v>0</v>
      </c>
      <c r="Z466">
        <f t="shared" si="128"/>
        <v>0</v>
      </c>
      <c r="AA466">
        <f t="shared" si="129"/>
        <v>0</v>
      </c>
      <c r="AB466">
        <f t="shared" si="130"/>
        <v>0</v>
      </c>
      <c r="AD466" s="204">
        <f t="shared" si="141"/>
        <v>0</v>
      </c>
      <c r="AE466" s="204">
        <f t="shared" si="142"/>
        <v>0</v>
      </c>
      <c r="AF466" s="204">
        <f t="shared" si="143"/>
        <v>0</v>
      </c>
      <c r="AG466" s="204">
        <f t="shared" si="144"/>
        <v>0</v>
      </c>
    </row>
    <row r="467" spans="1:33" x14ac:dyDescent="0.3">
      <c r="A467" s="204"/>
      <c r="B467" s="205"/>
      <c r="C467" s="205"/>
      <c r="D467" s="205"/>
      <c r="E467" s="205"/>
      <c r="F467" s="204"/>
      <c r="G467" s="204"/>
      <c r="H467" s="204"/>
      <c r="I467" s="204" t="str">
        <f t="shared" si="132"/>
        <v/>
      </c>
      <c r="J467" s="204" t="str">
        <f t="shared" si="133"/>
        <v/>
      </c>
      <c r="K467" s="204" t="str">
        <f t="shared" si="134"/>
        <v/>
      </c>
      <c r="L467" s="204" t="str">
        <f t="shared" si="135"/>
        <v/>
      </c>
      <c r="M467" s="76" t="str">
        <f t="shared" si="136"/>
        <v/>
      </c>
      <c r="N467" s="206">
        <f t="shared" si="137"/>
        <v>0</v>
      </c>
      <c r="O467" s="206">
        <f t="shared" si="138"/>
        <v>0</v>
      </c>
      <c r="P467" s="206">
        <f t="shared" si="139"/>
        <v>0</v>
      </c>
      <c r="Q467" s="206">
        <f t="shared" si="140"/>
        <v>0</v>
      </c>
      <c r="X467" s="71" t="str">
        <f t="shared" si="131"/>
        <v/>
      </c>
      <c r="Y467">
        <f t="shared" si="127"/>
        <v>0</v>
      </c>
      <c r="Z467">
        <f t="shared" si="128"/>
        <v>0</v>
      </c>
      <c r="AA467">
        <f t="shared" si="129"/>
        <v>0</v>
      </c>
      <c r="AB467">
        <f t="shared" si="130"/>
        <v>0</v>
      </c>
      <c r="AD467" s="204">
        <f t="shared" si="141"/>
        <v>0</v>
      </c>
      <c r="AE467" s="204">
        <f t="shared" si="142"/>
        <v>0</v>
      </c>
      <c r="AF467" s="204">
        <f t="shared" si="143"/>
        <v>0</v>
      </c>
      <c r="AG467" s="204">
        <f t="shared" si="144"/>
        <v>0</v>
      </c>
    </row>
    <row r="468" spans="1:33" x14ac:dyDescent="0.3">
      <c r="A468" s="204"/>
      <c r="B468" s="205"/>
      <c r="C468" s="205"/>
      <c r="D468" s="205"/>
      <c r="E468" s="205"/>
      <c r="F468" s="204"/>
      <c r="G468" s="204"/>
      <c r="H468" s="204"/>
      <c r="I468" s="204" t="str">
        <f t="shared" si="132"/>
        <v/>
      </c>
      <c r="J468" s="204" t="str">
        <f t="shared" si="133"/>
        <v/>
      </c>
      <c r="K468" s="204" t="str">
        <f t="shared" si="134"/>
        <v/>
      </c>
      <c r="L468" s="204" t="str">
        <f t="shared" si="135"/>
        <v/>
      </c>
      <c r="M468" s="76" t="str">
        <f t="shared" si="136"/>
        <v/>
      </c>
      <c r="N468" s="206">
        <f t="shared" si="137"/>
        <v>0</v>
      </c>
      <c r="O468" s="206">
        <f t="shared" si="138"/>
        <v>0</v>
      </c>
      <c r="P468" s="206">
        <f t="shared" si="139"/>
        <v>0</v>
      </c>
      <c r="Q468" s="206">
        <f t="shared" si="140"/>
        <v>0</v>
      </c>
      <c r="X468" s="71" t="str">
        <f t="shared" si="131"/>
        <v/>
      </c>
      <c r="Y468">
        <f t="shared" si="127"/>
        <v>0</v>
      </c>
      <c r="Z468">
        <f t="shared" si="128"/>
        <v>0</v>
      </c>
      <c r="AA468">
        <f t="shared" si="129"/>
        <v>0</v>
      </c>
      <c r="AB468">
        <f t="shared" si="130"/>
        <v>0</v>
      </c>
      <c r="AD468" s="204">
        <f t="shared" si="141"/>
        <v>0</v>
      </c>
      <c r="AE468" s="204">
        <f t="shared" si="142"/>
        <v>0</v>
      </c>
      <c r="AF468" s="204">
        <f t="shared" si="143"/>
        <v>0</v>
      </c>
      <c r="AG468" s="204">
        <f t="shared" si="144"/>
        <v>0</v>
      </c>
    </row>
    <row r="469" spans="1:33" x14ac:dyDescent="0.3">
      <c r="A469" s="204"/>
      <c r="B469" s="205"/>
      <c r="C469" s="205"/>
      <c r="D469" s="205"/>
      <c r="E469" s="205"/>
      <c r="F469" s="204"/>
      <c r="G469" s="204"/>
      <c r="H469" s="204"/>
      <c r="I469" s="204" t="str">
        <f t="shared" si="132"/>
        <v/>
      </c>
      <c r="J469" s="204" t="str">
        <f t="shared" si="133"/>
        <v/>
      </c>
      <c r="K469" s="204" t="str">
        <f t="shared" si="134"/>
        <v/>
      </c>
      <c r="L469" s="204" t="str">
        <f t="shared" si="135"/>
        <v/>
      </c>
      <c r="M469" s="76" t="str">
        <f t="shared" si="136"/>
        <v/>
      </c>
      <c r="N469" s="206">
        <f t="shared" si="137"/>
        <v>0</v>
      </c>
      <c r="O469" s="206">
        <f t="shared" si="138"/>
        <v>0</v>
      </c>
      <c r="P469" s="206">
        <f t="shared" si="139"/>
        <v>0</v>
      </c>
      <c r="Q469" s="206">
        <f t="shared" si="140"/>
        <v>0</v>
      </c>
      <c r="X469" s="71" t="str">
        <f t="shared" si="131"/>
        <v/>
      </c>
      <c r="Y469">
        <f t="shared" si="127"/>
        <v>0</v>
      </c>
      <c r="Z469">
        <f t="shared" si="128"/>
        <v>0</v>
      </c>
      <c r="AA469">
        <f t="shared" si="129"/>
        <v>0</v>
      </c>
      <c r="AB469">
        <f t="shared" si="130"/>
        <v>0</v>
      </c>
      <c r="AD469" s="204">
        <f t="shared" si="141"/>
        <v>0</v>
      </c>
      <c r="AE469" s="204">
        <f t="shared" si="142"/>
        <v>0</v>
      </c>
      <c r="AF469" s="204">
        <f t="shared" si="143"/>
        <v>0</v>
      </c>
      <c r="AG469" s="204">
        <f t="shared" si="144"/>
        <v>0</v>
      </c>
    </row>
    <row r="470" spans="1:33" x14ac:dyDescent="0.3">
      <c r="A470" s="204"/>
      <c r="B470" s="205"/>
      <c r="C470" s="205"/>
      <c r="D470" s="205"/>
      <c r="E470" s="205"/>
      <c r="F470" s="204"/>
      <c r="G470" s="204"/>
      <c r="H470" s="204"/>
      <c r="I470" s="204" t="str">
        <f t="shared" si="132"/>
        <v/>
      </c>
      <c r="J470" s="204" t="str">
        <f t="shared" si="133"/>
        <v/>
      </c>
      <c r="K470" s="204" t="str">
        <f t="shared" si="134"/>
        <v/>
      </c>
      <c r="L470" s="204" t="str">
        <f t="shared" si="135"/>
        <v/>
      </c>
      <c r="M470" s="76" t="str">
        <f t="shared" si="136"/>
        <v/>
      </c>
      <c r="N470" s="206">
        <f t="shared" si="137"/>
        <v>0</v>
      </c>
      <c r="O470" s="206">
        <f t="shared" si="138"/>
        <v>0</v>
      </c>
      <c r="P470" s="206">
        <f t="shared" si="139"/>
        <v>0</v>
      </c>
      <c r="Q470" s="206">
        <f t="shared" si="140"/>
        <v>0</v>
      </c>
      <c r="X470" s="71" t="str">
        <f t="shared" si="131"/>
        <v/>
      </c>
      <c r="Y470">
        <f t="shared" si="127"/>
        <v>0</v>
      </c>
      <c r="Z470">
        <f t="shared" si="128"/>
        <v>0</v>
      </c>
      <c r="AA470">
        <f t="shared" si="129"/>
        <v>0</v>
      </c>
      <c r="AB470">
        <f t="shared" si="130"/>
        <v>0</v>
      </c>
      <c r="AD470" s="204">
        <f t="shared" si="141"/>
        <v>0</v>
      </c>
      <c r="AE470" s="204">
        <f t="shared" si="142"/>
        <v>0</v>
      </c>
      <c r="AF470" s="204">
        <f t="shared" si="143"/>
        <v>0</v>
      </c>
      <c r="AG470" s="204">
        <f t="shared" si="144"/>
        <v>0</v>
      </c>
    </row>
    <row r="471" spans="1:33" x14ac:dyDescent="0.3">
      <c r="A471" s="204"/>
      <c r="B471" s="205"/>
      <c r="C471" s="205"/>
      <c r="D471" s="205"/>
      <c r="E471" s="205"/>
      <c r="F471" s="204"/>
      <c r="G471" s="204"/>
      <c r="H471" s="204"/>
      <c r="I471" s="204" t="str">
        <f t="shared" si="132"/>
        <v/>
      </c>
      <c r="J471" s="204" t="str">
        <f t="shared" si="133"/>
        <v/>
      </c>
      <c r="K471" s="204" t="str">
        <f t="shared" si="134"/>
        <v/>
      </c>
      <c r="L471" s="204" t="str">
        <f t="shared" si="135"/>
        <v/>
      </c>
      <c r="M471" s="76" t="str">
        <f t="shared" si="136"/>
        <v/>
      </c>
      <c r="N471" s="206">
        <f t="shared" si="137"/>
        <v>0</v>
      </c>
      <c r="O471" s="206">
        <f t="shared" si="138"/>
        <v>0</v>
      </c>
      <c r="P471" s="206">
        <f t="shared" si="139"/>
        <v>0</v>
      </c>
      <c r="Q471" s="206">
        <f t="shared" si="140"/>
        <v>0</v>
      </c>
      <c r="X471" s="71" t="str">
        <f t="shared" si="131"/>
        <v/>
      </c>
      <c r="Y471">
        <f t="shared" si="127"/>
        <v>0</v>
      </c>
      <c r="Z471">
        <f t="shared" si="128"/>
        <v>0</v>
      </c>
      <c r="AA471">
        <f t="shared" si="129"/>
        <v>0</v>
      </c>
      <c r="AB471">
        <f t="shared" si="130"/>
        <v>0</v>
      </c>
      <c r="AD471" s="204">
        <f t="shared" si="141"/>
        <v>0</v>
      </c>
      <c r="AE471" s="204">
        <f t="shared" si="142"/>
        <v>0</v>
      </c>
      <c r="AF471" s="204">
        <f t="shared" si="143"/>
        <v>0</v>
      </c>
      <c r="AG471" s="204">
        <f t="shared" si="144"/>
        <v>0</v>
      </c>
    </row>
    <row r="472" spans="1:33" x14ac:dyDescent="0.3">
      <c r="A472" s="204"/>
      <c r="B472" s="205"/>
      <c r="C472" s="205"/>
      <c r="D472" s="205"/>
      <c r="E472" s="205"/>
      <c r="F472" s="204"/>
      <c r="G472" s="204"/>
      <c r="H472" s="204"/>
      <c r="I472" s="204" t="str">
        <f t="shared" si="132"/>
        <v/>
      </c>
      <c r="J472" s="204" t="str">
        <f t="shared" si="133"/>
        <v/>
      </c>
      <c r="K472" s="204" t="str">
        <f t="shared" si="134"/>
        <v/>
      </c>
      <c r="L472" s="204" t="str">
        <f t="shared" si="135"/>
        <v/>
      </c>
      <c r="M472" s="76" t="str">
        <f t="shared" si="136"/>
        <v/>
      </c>
      <c r="N472" s="206">
        <f t="shared" si="137"/>
        <v>0</v>
      </c>
      <c r="O472" s="206">
        <f t="shared" si="138"/>
        <v>0</v>
      </c>
      <c r="P472" s="206">
        <f t="shared" si="139"/>
        <v>0</v>
      </c>
      <c r="Q472" s="206">
        <f t="shared" si="140"/>
        <v>0</v>
      </c>
      <c r="X472" s="71" t="str">
        <f t="shared" si="131"/>
        <v/>
      </c>
      <c r="Y472">
        <f t="shared" si="127"/>
        <v>0</v>
      </c>
      <c r="Z472">
        <f t="shared" si="128"/>
        <v>0</v>
      </c>
      <c r="AA472">
        <f t="shared" si="129"/>
        <v>0</v>
      </c>
      <c r="AB472">
        <f t="shared" si="130"/>
        <v>0</v>
      </c>
      <c r="AD472" s="204">
        <f t="shared" si="141"/>
        <v>0</v>
      </c>
      <c r="AE472" s="204">
        <f t="shared" si="142"/>
        <v>0</v>
      </c>
      <c r="AF472" s="204">
        <f t="shared" si="143"/>
        <v>0</v>
      </c>
      <c r="AG472" s="204">
        <f t="shared" si="144"/>
        <v>0</v>
      </c>
    </row>
    <row r="473" spans="1:33" x14ac:dyDescent="0.3">
      <c r="A473" s="204"/>
      <c r="B473" s="205"/>
      <c r="C473" s="205"/>
      <c r="D473" s="205"/>
      <c r="E473" s="205"/>
      <c r="F473" s="204"/>
      <c r="G473" s="204"/>
      <c r="H473" s="204"/>
      <c r="I473" s="204" t="str">
        <f t="shared" si="132"/>
        <v/>
      </c>
      <c r="J473" s="204" t="str">
        <f t="shared" si="133"/>
        <v/>
      </c>
      <c r="K473" s="204" t="str">
        <f t="shared" si="134"/>
        <v/>
      </c>
      <c r="L473" s="204" t="str">
        <f t="shared" si="135"/>
        <v/>
      </c>
      <c r="M473" s="76" t="str">
        <f t="shared" si="136"/>
        <v/>
      </c>
      <c r="N473" s="206">
        <f t="shared" si="137"/>
        <v>0</v>
      </c>
      <c r="O473" s="206">
        <f t="shared" si="138"/>
        <v>0</v>
      </c>
      <c r="P473" s="206">
        <f t="shared" si="139"/>
        <v>0</v>
      </c>
      <c r="Q473" s="206">
        <f t="shared" si="140"/>
        <v>0</v>
      </c>
      <c r="X473" s="71" t="str">
        <f t="shared" si="131"/>
        <v/>
      </c>
      <c r="Y473">
        <f t="shared" si="127"/>
        <v>0</v>
      </c>
      <c r="Z473">
        <f t="shared" si="128"/>
        <v>0</v>
      </c>
      <c r="AA473">
        <f t="shared" si="129"/>
        <v>0</v>
      </c>
      <c r="AB473">
        <f t="shared" si="130"/>
        <v>0</v>
      </c>
      <c r="AD473" s="204">
        <f t="shared" si="141"/>
        <v>0</v>
      </c>
      <c r="AE473" s="204">
        <f t="shared" si="142"/>
        <v>0</v>
      </c>
      <c r="AF473" s="204">
        <f t="shared" si="143"/>
        <v>0</v>
      </c>
      <c r="AG473" s="204">
        <f t="shared" si="144"/>
        <v>0</v>
      </c>
    </row>
    <row r="474" spans="1:33" x14ac:dyDescent="0.3">
      <c r="A474" s="204"/>
      <c r="B474" s="205"/>
      <c r="C474" s="205"/>
      <c r="D474" s="205"/>
      <c r="E474" s="205"/>
      <c r="F474" s="204"/>
      <c r="G474" s="204"/>
      <c r="H474" s="204"/>
      <c r="I474" s="204" t="str">
        <f t="shared" si="132"/>
        <v/>
      </c>
      <c r="J474" s="204" t="str">
        <f t="shared" si="133"/>
        <v/>
      </c>
      <c r="K474" s="204" t="str">
        <f t="shared" si="134"/>
        <v/>
      </c>
      <c r="L474" s="204" t="str">
        <f t="shared" si="135"/>
        <v/>
      </c>
      <c r="M474" s="76" t="str">
        <f t="shared" si="136"/>
        <v/>
      </c>
      <c r="N474" s="206">
        <f t="shared" si="137"/>
        <v>0</v>
      </c>
      <c r="O474" s="206">
        <f t="shared" si="138"/>
        <v>0</v>
      </c>
      <c r="P474" s="206">
        <f t="shared" si="139"/>
        <v>0</v>
      </c>
      <c r="Q474" s="206">
        <f t="shared" si="140"/>
        <v>0</v>
      </c>
      <c r="X474" s="71" t="str">
        <f t="shared" si="131"/>
        <v/>
      </c>
      <c r="Y474">
        <f t="shared" si="127"/>
        <v>0</v>
      </c>
      <c r="Z474">
        <f t="shared" si="128"/>
        <v>0</v>
      </c>
      <c r="AA474">
        <f t="shared" si="129"/>
        <v>0</v>
      </c>
      <c r="AB474">
        <f t="shared" si="130"/>
        <v>0</v>
      </c>
      <c r="AD474" s="204">
        <f t="shared" si="141"/>
        <v>0</v>
      </c>
      <c r="AE474" s="204">
        <f t="shared" si="142"/>
        <v>0</v>
      </c>
      <c r="AF474" s="204">
        <f t="shared" si="143"/>
        <v>0</v>
      </c>
      <c r="AG474" s="204">
        <f t="shared" si="144"/>
        <v>0</v>
      </c>
    </row>
    <row r="475" spans="1:33" x14ac:dyDescent="0.3">
      <c r="A475" s="204"/>
      <c r="B475" s="205"/>
      <c r="C475" s="205"/>
      <c r="D475" s="205"/>
      <c r="E475" s="205"/>
      <c r="F475" s="204"/>
      <c r="G475" s="204"/>
      <c r="H475" s="204"/>
      <c r="I475" s="204" t="str">
        <f t="shared" si="132"/>
        <v/>
      </c>
      <c r="J475" s="204" t="str">
        <f t="shared" si="133"/>
        <v/>
      </c>
      <c r="K475" s="204" t="str">
        <f t="shared" si="134"/>
        <v/>
      </c>
      <c r="L475" s="204" t="str">
        <f t="shared" si="135"/>
        <v/>
      </c>
      <c r="M475" s="76" t="str">
        <f t="shared" si="136"/>
        <v/>
      </c>
      <c r="N475" s="206">
        <f t="shared" si="137"/>
        <v>0</v>
      </c>
      <c r="O475" s="206">
        <f t="shared" si="138"/>
        <v>0</v>
      </c>
      <c r="P475" s="206">
        <f t="shared" si="139"/>
        <v>0</v>
      </c>
      <c r="Q475" s="206">
        <f t="shared" si="140"/>
        <v>0</v>
      </c>
      <c r="X475" s="71" t="str">
        <f t="shared" si="131"/>
        <v/>
      </c>
      <c r="Y475">
        <f t="shared" si="127"/>
        <v>0</v>
      </c>
      <c r="Z475">
        <f t="shared" si="128"/>
        <v>0</v>
      </c>
      <c r="AA475">
        <f t="shared" si="129"/>
        <v>0</v>
      </c>
      <c r="AB475">
        <f t="shared" si="130"/>
        <v>0</v>
      </c>
      <c r="AD475" s="204">
        <f t="shared" si="141"/>
        <v>0</v>
      </c>
      <c r="AE475" s="204">
        <f t="shared" si="142"/>
        <v>0</v>
      </c>
      <c r="AF475" s="204">
        <f t="shared" si="143"/>
        <v>0</v>
      </c>
      <c r="AG475" s="204">
        <f t="shared" si="144"/>
        <v>0</v>
      </c>
    </row>
    <row r="476" spans="1:33" x14ac:dyDescent="0.3">
      <c r="A476" s="204"/>
      <c r="B476" s="205"/>
      <c r="C476" s="205"/>
      <c r="D476" s="205"/>
      <c r="E476" s="205"/>
      <c r="F476" s="204"/>
      <c r="G476" s="204"/>
      <c r="H476" s="204"/>
      <c r="I476" s="204" t="str">
        <f t="shared" si="132"/>
        <v/>
      </c>
      <c r="J476" s="204" t="str">
        <f t="shared" si="133"/>
        <v/>
      </c>
      <c r="K476" s="204" t="str">
        <f t="shared" si="134"/>
        <v/>
      </c>
      <c r="L476" s="204" t="str">
        <f t="shared" si="135"/>
        <v/>
      </c>
      <c r="M476" s="76" t="str">
        <f t="shared" si="136"/>
        <v/>
      </c>
      <c r="N476" s="206">
        <f t="shared" si="137"/>
        <v>0</v>
      </c>
      <c r="O476" s="206">
        <f t="shared" si="138"/>
        <v>0</v>
      </c>
      <c r="P476" s="206">
        <f t="shared" si="139"/>
        <v>0</v>
      </c>
      <c r="Q476" s="206">
        <f t="shared" si="140"/>
        <v>0</v>
      </c>
      <c r="X476" s="71" t="str">
        <f t="shared" si="131"/>
        <v/>
      </c>
      <c r="Y476">
        <f t="shared" si="127"/>
        <v>0</v>
      </c>
      <c r="Z476">
        <f t="shared" si="128"/>
        <v>0</v>
      </c>
      <c r="AA476">
        <f t="shared" si="129"/>
        <v>0</v>
      </c>
      <c r="AB476">
        <f t="shared" si="130"/>
        <v>0</v>
      </c>
      <c r="AD476" s="204">
        <f t="shared" si="141"/>
        <v>0</v>
      </c>
      <c r="AE476" s="204">
        <f t="shared" si="142"/>
        <v>0</v>
      </c>
      <c r="AF476" s="204">
        <f t="shared" si="143"/>
        <v>0</v>
      </c>
      <c r="AG476" s="204">
        <f t="shared" si="144"/>
        <v>0</v>
      </c>
    </row>
    <row r="477" spans="1:33" x14ac:dyDescent="0.3">
      <c r="A477" s="204"/>
      <c r="B477" s="205"/>
      <c r="C477" s="205"/>
      <c r="D477" s="205"/>
      <c r="E477" s="205"/>
      <c r="F477" s="204"/>
      <c r="G477" s="204"/>
      <c r="H477" s="204"/>
      <c r="I477" s="204" t="str">
        <f t="shared" si="132"/>
        <v/>
      </c>
      <c r="J477" s="204" t="str">
        <f t="shared" si="133"/>
        <v/>
      </c>
      <c r="K477" s="204" t="str">
        <f t="shared" si="134"/>
        <v/>
      </c>
      <c r="L477" s="204" t="str">
        <f t="shared" si="135"/>
        <v/>
      </c>
      <c r="M477" s="76" t="str">
        <f t="shared" si="136"/>
        <v/>
      </c>
      <c r="N477" s="206">
        <f t="shared" si="137"/>
        <v>0</v>
      </c>
      <c r="O477" s="206">
        <f t="shared" si="138"/>
        <v>0</v>
      </c>
      <c r="P477" s="206">
        <f t="shared" si="139"/>
        <v>0</v>
      </c>
      <c r="Q477" s="206">
        <f t="shared" si="140"/>
        <v>0</v>
      </c>
      <c r="X477" s="71" t="str">
        <f t="shared" si="131"/>
        <v/>
      </c>
      <c r="Y477">
        <f t="shared" si="127"/>
        <v>0</v>
      </c>
      <c r="Z477">
        <f t="shared" si="128"/>
        <v>0</v>
      </c>
      <c r="AA477">
        <f t="shared" si="129"/>
        <v>0</v>
      </c>
      <c r="AB477">
        <f t="shared" si="130"/>
        <v>0</v>
      </c>
      <c r="AD477" s="204">
        <f t="shared" si="141"/>
        <v>0</v>
      </c>
      <c r="AE477" s="204">
        <f t="shared" si="142"/>
        <v>0</v>
      </c>
      <c r="AF477" s="204">
        <f t="shared" si="143"/>
        <v>0</v>
      </c>
      <c r="AG477" s="204">
        <f t="shared" si="144"/>
        <v>0</v>
      </c>
    </row>
    <row r="478" spans="1:33" x14ac:dyDescent="0.3">
      <c r="A478" s="204"/>
      <c r="B478" s="205"/>
      <c r="C478" s="205"/>
      <c r="D478" s="205"/>
      <c r="E478" s="205"/>
      <c r="F478" s="204"/>
      <c r="G478" s="204"/>
      <c r="H478" s="204"/>
      <c r="I478" s="204" t="str">
        <f t="shared" si="132"/>
        <v/>
      </c>
      <c r="J478" s="204" t="str">
        <f t="shared" si="133"/>
        <v/>
      </c>
      <c r="K478" s="204" t="str">
        <f t="shared" si="134"/>
        <v/>
      </c>
      <c r="L478" s="204" t="str">
        <f t="shared" si="135"/>
        <v/>
      </c>
      <c r="M478" s="76" t="str">
        <f t="shared" si="136"/>
        <v/>
      </c>
      <c r="N478" s="206">
        <f t="shared" si="137"/>
        <v>0</v>
      </c>
      <c r="O478" s="206">
        <f t="shared" si="138"/>
        <v>0</v>
      </c>
      <c r="P478" s="206">
        <f t="shared" si="139"/>
        <v>0</v>
      </c>
      <c r="Q478" s="206">
        <f t="shared" si="140"/>
        <v>0</v>
      </c>
      <c r="X478" s="71" t="str">
        <f t="shared" si="131"/>
        <v/>
      </c>
      <c r="Y478">
        <f t="shared" si="127"/>
        <v>0</v>
      </c>
      <c r="Z478">
        <f t="shared" si="128"/>
        <v>0</v>
      </c>
      <c r="AA478">
        <f t="shared" si="129"/>
        <v>0</v>
      </c>
      <c r="AB478">
        <f t="shared" si="130"/>
        <v>0</v>
      </c>
      <c r="AD478" s="204">
        <f t="shared" si="141"/>
        <v>0</v>
      </c>
      <c r="AE478" s="204">
        <f t="shared" si="142"/>
        <v>0</v>
      </c>
      <c r="AF478" s="204">
        <f t="shared" si="143"/>
        <v>0</v>
      </c>
      <c r="AG478" s="204">
        <f t="shared" si="144"/>
        <v>0</v>
      </c>
    </row>
    <row r="479" spans="1:33" x14ac:dyDescent="0.3">
      <c r="A479" s="204"/>
      <c r="B479" s="205"/>
      <c r="C479" s="205"/>
      <c r="D479" s="205"/>
      <c r="E479" s="205"/>
      <c r="F479" s="204"/>
      <c r="G479" s="204"/>
      <c r="H479" s="204"/>
      <c r="I479" s="204" t="str">
        <f t="shared" si="132"/>
        <v/>
      </c>
      <c r="J479" s="204" t="str">
        <f t="shared" si="133"/>
        <v/>
      </c>
      <c r="K479" s="204" t="str">
        <f t="shared" si="134"/>
        <v/>
      </c>
      <c r="L479" s="204" t="str">
        <f t="shared" si="135"/>
        <v/>
      </c>
      <c r="M479" s="76" t="str">
        <f t="shared" si="136"/>
        <v/>
      </c>
      <c r="N479" s="206">
        <f t="shared" si="137"/>
        <v>0</v>
      </c>
      <c r="O479" s="206">
        <f t="shared" si="138"/>
        <v>0</v>
      </c>
      <c r="P479" s="206">
        <f t="shared" si="139"/>
        <v>0</v>
      </c>
      <c r="Q479" s="206">
        <f t="shared" si="140"/>
        <v>0</v>
      </c>
      <c r="X479" s="71" t="str">
        <f t="shared" si="131"/>
        <v/>
      </c>
      <c r="Y479">
        <f t="shared" si="127"/>
        <v>0</v>
      </c>
      <c r="Z479">
        <f t="shared" si="128"/>
        <v>0</v>
      </c>
      <c r="AA479">
        <f t="shared" si="129"/>
        <v>0</v>
      </c>
      <c r="AB479">
        <f t="shared" si="130"/>
        <v>0</v>
      </c>
      <c r="AD479" s="204">
        <f t="shared" si="141"/>
        <v>0</v>
      </c>
      <c r="AE479" s="204">
        <f t="shared" si="142"/>
        <v>0</v>
      </c>
      <c r="AF479" s="204">
        <f t="shared" si="143"/>
        <v>0</v>
      </c>
      <c r="AG479" s="204">
        <f t="shared" si="144"/>
        <v>0</v>
      </c>
    </row>
    <row r="480" spans="1:33" x14ac:dyDescent="0.3">
      <c r="A480" s="204"/>
      <c r="B480" s="205"/>
      <c r="C480" s="205"/>
      <c r="D480" s="205"/>
      <c r="E480" s="205"/>
      <c r="F480" s="204"/>
      <c r="G480" s="204"/>
      <c r="H480" s="204"/>
      <c r="I480" s="204" t="str">
        <f t="shared" si="132"/>
        <v/>
      </c>
      <c r="J480" s="204" t="str">
        <f t="shared" si="133"/>
        <v/>
      </c>
      <c r="K480" s="204" t="str">
        <f t="shared" si="134"/>
        <v/>
      </c>
      <c r="L480" s="204" t="str">
        <f t="shared" si="135"/>
        <v/>
      </c>
      <c r="M480" s="76" t="str">
        <f t="shared" si="136"/>
        <v/>
      </c>
      <c r="N480" s="206">
        <f t="shared" si="137"/>
        <v>0</v>
      </c>
      <c r="O480" s="206">
        <f t="shared" si="138"/>
        <v>0</v>
      </c>
      <c r="P480" s="206">
        <f t="shared" si="139"/>
        <v>0</v>
      </c>
      <c r="Q480" s="206">
        <f t="shared" si="140"/>
        <v>0</v>
      </c>
      <c r="X480" s="71" t="str">
        <f t="shared" si="131"/>
        <v/>
      </c>
      <c r="Y480">
        <f t="shared" si="127"/>
        <v>0</v>
      </c>
      <c r="Z480">
        <f t="shared" si="128"/>
        <v>0</v>
      </c>
      <c r="AA480">
        <f t="shared" si="129"/>
        <v>0</v>
      </c>
      <c r="AB480">
        <f t="shared" si="130"/>
        <v>0</v>
      </c>
      <c r="AD480" s="204">
        <f t="shared" si="141"/>
        <v>0</v>
      </c>
      <c r="AE480" s="204">
        <f t="shared" si="142"/>
        <v>0</v>
      </c>
      <c r="AF480" s="204">
        <f t="shared" si="143"/>
        <v>0</v>
      </c>
      <c r="AG480" s="204">
        <f t="shared" si="144"/>
        <v>0</v>
      </c>
    </row>
    <row r="481" spans="1:33" x14ac:dyDescent="0.3">
      <c r="A481" s="204"/>
      <c r="B481" s="205"/>
      <c r="C481" s="205"/>
      <c r="D481" s="205"/>
      <c r="E481" s="205"/>
      <c r="F481" s="204"/>
      <c r="G481" s="204"/>
      <c r="H481" s="204"/>
      <c r="I481" s="204" t="str">
        <f t="shared" si="132"/>
        <v/>
      </c>
      <c r="J481" s="204" t="str">
        <f t="shared" si="133"/>
        <v/>
      </c>
      <c r="K481" s="204" t="str">
        <f t="shared" si="134"/>
        <v/>
      </c>
      <c r="L481" s="204" t="str">
        <f t="shared" si="135"/>
        <v/>
      </c>
      <c r="M481" s="76" t="str">
        <f t="shared" si="136"/>
        <v/>
      </c>
      <c r="N481" s="206">
        <f t="shared" si="137"/>
        <v>0</v>
      </c>
      <c r="O481" s="206">
        <f t="shared" si="138"/>
        <v>0</v>
      </c>
      <c r="P481" s="206">
        <f t="shared" si="139"/>
        <v>0</v>
      </c>
      <c r="Q481" s="206">
        <f t="shared" si="140"/>
        <v>0</v>
      </c>
      <c r="X481" s="71" t="str">
        <f t="shared" si="131"/>
        <v/>
      </c>
      <c r="Y481">
        <f t="shared" si="127"/>
        <v>0</v>
      </c>
      <c r="Z481">
        <f t="shared" si="128"/>
        <v>0</v>
      </c>
      <c r="AA481">
        <f t="shared" si="129"/>
        <v>0</v>
      </c>
      <c r="AB481">
        <f t="shared" si="130"/>
        <v>0</v>
      </c>
      <c r="AD481" s="204">
        <f t="shared" si="141"/>
        <v>0</v>
      </c>
      <c r="AE481" s="204">
        <f t="shared" si="142"/>
        <v>0</v>
      </c>
      <c r="AF481" s="204">
        <f t="shared" si="143"/>
        <v>0</v>
      </c>
      <c r="AG481" s="204">
        <f t="shared" si="144"/>
        <v>0</v>
      </c>
    </row>
    <row r="482" spans="1:33" x14ac:dyDescent="0.3">
      <c r="A482" s="204"/>
      <c r="B482" s="205"/>
      <c r="C482" s="205"/>
      <c r="D482" s="205"/>
      <c r="E482" s="205"/>
      <c r="F482" s="204"/>
      <c r="G482" s="204"/>
      <c r="H482" s="204"/>
      <c r="I482" s="204" t="str">
        <f t="shared" si="132"/>
        <v/>
      </c>
      <c r="J482" s="204" t="str">
        <f t="shared" si="133"/>
        <v/>
      </c>
      <c r="K482" s="204" t="str">
        <f t="shared" si="134"/>
        <v/>
      </c>
      <c r="L482" s="204" t="str">
        <f t="shared" si="135"/>
        <v/>
      </c>
      <c r="M482" s="76" t="str">
        <f t="shared" si="136"/>
        <v/>
      </c>
      <c r="N482" s="206">
        <f t="shared" si="137"/>
        <v>0</v>
      </c>
      <c r="O482" s="206">
        <f t="shared" si="138"/>
        <v>0</v>
      </c>
      <c r="P482" s="206">
        <f t="shared" si="139"/>
        <v>0</v>
      </c>
      <c r="Q482" s="206">
        <f t="shared" si="140"/>
        <v>0</v>
      </c>
      <c r="X482" s="71" t="str">
        <f t="shared" si="131"/>
        <v/>
      </c>
      <c r="Y482">
        <f t="shared" si="127"/>
        <v>0</v>
      </c>
      <c r="Z482">
        <f t="shared" si="128"/>
        <v>0</v>
      </c>
      <c r="AA482">
        <f t="shared" si="129"/>
        <v>0</v>
      </c>
      <c r="AB482">
        <f t="shared" si="130"/>
        <v>0</v>
      </c>
      <c r="AD482" s="204">
        <f t="shared" si="141"/>
        <v>0</v>
      </c>
      <c r="AE482" s="204">
        <f t="shared" si="142"/>
        <v>0</v>
      </c>
      <c r="AF482" s="204">
        <f t="shared" si="143"/>
        <v>0</v>
      </c>
      <c r="AG482" s="204">
        <f t="shared" si="144"/>
        <v>0</v>
      </c>
    </row>
    <row r="483" spans="1:33" x14ac:dyDescent="0.3">
      <c r="A483" s="204"/>
      <c r="B483" s="205"/>
      <c r="C483" s="205"/>
      <c r="D483" s="205"/>
      <c r="E483" s="205"/>
      <c r="F483" s="204"/>
      <c r="G483" s="204"/>
      <c r="H483" s="204"/>
      <c r="I483" s="204" t="str">
        <f t="shared" si="132"/>
        <v/>
      </c>
      <c r="J483" s="204" t="str">
        <f t="shared" si="133"/>
        <v/>
      </c>
      <c r="K483" s="204" t="str">
        <f t="shared" si="134"/>
        <v/>
      </c>
      <c r="L483" s="204" t="str">
        <f t="shared" si="135"/>
        <v/>
      </c>
      <c r="M483" s="76" t="str">
        <f t="shared" si="136"/>
        <v/>
      </c>
      <c r="N483" s="206">
        <f t="shared" si="137"/>
        <v>0</v>
      </c>
      <c r="O483" s="206">
        <f t="shared" si="138"/>
        <v>0</v>
      </c>
      <c r="P483" s="206">
        <f t="shared" si="139"/>
        <v>0</v>
      </c>
      <c r="Q483" s="206">
        <f t="shared" si="140"/>
        <v>0</v>
      </c>
      <c r="X483" s="71" t="str">
        <f t="shared" si="131"/>
        <v/>
      </c>
      <c r="Y483">
        <f t="shared" si="127"/>
        <v>0</v>
      </c>
      <c r="Z483">
        <f t="shared" si="128"/>
        <v>0</v>
      </c>
      <c r="AA483">
        <f t="shared" si="129"/>
        <v>0</v>
      </c>
      <c r="AB483">
        <f t="shared" si="130"/>
        <v>0</v>
      </c>
      <c r="AD483" s="204">
        <f t="shared" si="141"/>
        <v>0</v>
      </c>
      <c r="AE483" s="204">
        <f t="shared" si="142"/>
        <v>0</v>
      </c>
      <c r="AF483" s="204">
        <f t="shared" si="143"/>
        <v>0</v>
      </c>
      <c r="AG483" s="204">
        <f t="shared" si="144"/>
        <v>0</v>
      </c>
    </row>
    <row r="484" spans="1:33" x14ac:dyDescent="0.3">
      <c r="A484" s="204"/>
      <c r="B484" s="205"/>
      <c r="C484" s="205"/>
      <c r="D484" s="205"/>
      <c r="E484" s="205"/>
      <c r="F484" s="204"/>
      <c r="G484" s="204"/>
      <c r="H484" s="204"/>
      <c r="I484" s="204" t="str">
        <f t="shared" si="132"/>
        <v/>
      </c>
      <c r="J484" s="204" t="str">
        <f t="shared" si="133"/>
        <v/>
      </c>
      <c r="K484" s="204" t="str">
        <f t="shared" si="134"/>
        <v/>
      </c>
      <c r="L484" s="204" t="str">
        <f t="shared" si="135"/>
        <v/>
      </c>
      <c r="M484" s="76" t="str">
        <f t="shared" si="136"/>
        <v/>
      </c>
      <c r="N484" s="206">
        <f t="shared" si="137"/>
        <v>0</v>
      </c>
      <c r="O484" s="206">
        <f t="shared" si="138"/>
        <v>0</v>
      </c>
      <c r="P484" s="206">
        <f t="shared" si="139"/>
        <v>0</v>
      </c>
      <c r="Q484" s="206">
        <f t="shared" si="140"/>
        <v>0</v>
      </c>
      <c r="X484" s="71" t="str">
        <f t="shared" si="131"/>
        <v/>
      </c>
      <c r="Y484">
        <f t="shared" si="127"/>
        <v>0</v>
      </c>
      <c r="Z484">
        <f t="shared" si="128"/>
        <v>0</v>
      </c>
      <c r="AA484">
        <f t="shared" si="129"/>
        <v>0</v>
      </c>
      <c r="AB484">
        <f t="shared" si="130"/>
        <v>0</v>
      </c>
      <c r="AD484" s="204">
        <f t="shared" si="141"/>
        <v>0</v>
      </c>
      <c r="AE484" s="204">
        <f t="shared" si="142"/>
        <v>0</v>
      </c>
      <c r="AF484" s="204">
        <f t="shared" si="143"/>
        <v>0</v>
      </c>
      <c r="AG484" s="204">
        <f t="shared" si="144"/>
        <v>0</v>
      </c>
    </row>
    <row r="485" spans="1:33" x14ac:dyDescent="0.3">
      <c r="A485" s="204"/>
      <c r="B485" s="205"/>
      <c r="C485" s="205"/>
      <c r="D485" s="205"/>
      <c r="E485" s="205"/>
      <c r="F485" s="204"/>
      <c r="G485" s="204"/>
      <c r="H485" s="204"/>
      <c r="I485" s="204" t="str">
        <f t="shared" si="132"/>
        <v/>
      </c>
      <c r="J485" s="204" t="str">
        <f t="shared" si="133"/>
        <v/>
      </c>
      <c r="K485" s="204" t="str">
        <f t="shared" si="134"/>
        <v/>
      </c>
      <c r="L485" s="204" t="str">
        <f t="shared" si="135"/>
        <v/>
      </c>
      <c r="M485" s="76" t="str">
        <f t="shared" si="136"/>
        <v/>
      </c>
      <c r="N485" s="206">
        <f t="shared" si="137"/>
        <v>0</v>
      </c>
      <c r="O485" s="206">
        <f t="shared" si="138"/>
        <v>0</v>
      </c>
      <c r="P485" s="206">
        <f t="shared" si="139"/>
        <v>0</v>
      </c>
      <c r="Q485" s="206">
        <f t="shared" si="140"/>
        <v>0</v>
      </c>
      <c r="X485" s="71" t="str">
        <f t="shared" si="131"/>
        <v/>
      </c>
      <c r="Y485">
        <f t="shared" si="127"/>
        <v>0</v>
      </c>
      <c r="Z485">
        <f t="shared" si="128"/>
        <v>0</v>
      </c>
      <c r="AA485">
        <f t="shared" si="129"/>
        <v>0</v>
      </c>
      <c r="AB485">
        <f t="shared" si="130"/>
        <v>0</v>
      </c>
      <c r="AD485" s="204">
        <f t="shared" si="141"/>
        <v>0</v>
      </c>
      <c r="AE485" s="204">
        <f t="shared" si="142"/>
        <v>0</v>
      </c>
      <c r="AF485" s="204">
        <f t="shared" si="143"/>
        <v>0</v>
      </c>
      <c r="AG485" s="204">
        <f t="shared" si="144"/>
        <v>0</v>
      </c>
    </row>
    <row r="486" spans="1:33" x14ac:dyDescent="0.3">
      <c r="A486" s="204"/>
      <c r="B486" s="205"/>
      <c r="C486" s="205"/>
      <c r="D486" s="205"/>
      <c r="E486" s="205"/>
      <c r="F486" s="204"/>
      <c r="G486" s="204"/>
      <c r="H486" s="204"/>
      <c r="I486" s="204" t="str">
        <f t="shared" si="132"/>
        <v/>
      </c>
      <c r="J486" s="204" t="str">
        <f t="shared" si="133"/>
        <v/>
      </c>
      <c r="K486" s="204" t="str">
        <f t="shared" si="134"/>
        <v/>
      </c>
      <c r="L486" s="204" t="str">
        <f t="shared" si="135"/>
        <v/>
      </c>
      <c r="M486" s="76" t="str">
        <f t="shared" si="136"/>
        <v/>
      </c>
      <c r="N486" s="206">
        <f t="shared" si="137"/>
        <v>0</v>
      </c>
      <c r="O486" s="206">
        <f t="shared" si="138"/>
        <v>0</v>
      </c>
      <c r="P486" s="206">
        <f t="shared" si="139"/>
        <v>0</v>
      </c>
      <c r="Q486" s="206">
        <f t="shared" si="140"/>
        <v>0</v>
      </c>
      <c r="X486" s="71" t="str">
        <f t="shared" si="131"/>
        <v/>
      </c>
      <c r="Y486">
        <f t="shared" si="127"/>
        <v>0</v>
      </c>
      <c r="Z486">
        <f t="shared" si="128"/>
        <v>0</v>
      </c>
      <c r="AA486">
        <f t="shared" si="129"/>
        <v>0</v>
      </c>
      <c r="AB486">
        <f t="shared" si="130"/>
        <v>0</v>
      </c>
      <c r="AD486" s="204">
        <f t="shared" si="141"/>
        <v>0</v>
      </c>
      <c r="AE486" s="204">
        <f t="shared" si="142"/>
        <v>0</v>
      </c>
      <c r="AF486" s="204">
        <f t="shared" si="143"/>
        <v>0</v>
      </c>
      <c r="AG486" s="204">
        <f t="shared" si="144"/>
        <v>0</v>
      </c>
    </row>
    <row r="487" spans="1:33" x14ac:dyDescent="0.3">
      <c r="A487" s="204"/>
      <c r="B487" s="205"/>
      <c r="C487" s="205"/>
      <c r="D487" s="205"/>
      <c r="E487" s="205"/>
      <c r="F487" s="204"/>
      <c r="G487" s="204"/>
      <c r="H487" s="204"/>
      <c r="I487" s="204" t="str">
        <f t="shared" si="132"/>
        <v/>
      </c>
      <c r="J487" s="204" t="str">
        <f t="shared" si="133"/>
        <v/>
      </c>
      <c r="K487" s="204" t="str">
        <f t="shared" si="134"/>
        <v/>
      </c>
      <c r="L487" s="204" t="str">
        <f t="shared" si="135"/>
        <v/>
      </c>
      <c r="M487" s="76" t="str">
        <f t="shared" si="136"/>
        <v/>
      </c>
      <c r="N487" s="206">
        <f t="shared" si="137"/>
        <v>0</v>
      </c>
      <c r="O487" s="206">
        <f t="shared" si="138"/>
        <v>0</v>
      </c>
      <c r="P487" s="206">
        <f t="shared" si="139"/>
        <v>0</v>
      </c>
      <c r="Q487" s="206">
        <f t="shared" si="140"/>
        <v>0</v>
      </c>
      <c r="X487" s="71" t="str">
        <f t="shared" si="131"/>
        <v/>
      </c>
      <c r="Y487">
        <f t="shared" si="127"/>
        <v>0</v>
      </c>
      <c r="Z487">
        <f t="shared" si="128"/>
        <v>0</v>
      </c>
      <c r="AA487">
        <f t="shared" si="129"/>
        <v>0</v>
      </c>
      <c r="AB487">
        <f t="shared" si="130"/>
        <v>0</v>
      </c>
      <c r="AD487" s="204">
        <f t="shared" si="141"/>
        <v>0</v>
      </c>
      <c r="AE487" s="204">
        <f t="shared" si="142"/>
        <v>0</v>
      </c>
      <c r="AF487" s="204">
        <f t="shared" si="143"/>
        <v>0</v>
      </c>
      <c r="AG487" s="204">
        <f t="shared" si="144"/>
        <v>0</v>
      </c>
    </row>
    <row r="488" spans="1:33" x14ac:dyDescent="0.3">
      <c r="A488" s="204"/>
      <c r="B488" s="205"/>
      <c r="C488" s="205"/>
      <c r="D488" s="205"/>
      <c r="E488" s="205"/>
      <c r="F488" s="204"/>
      <c r="G488" s="204"/>
      <c r="H488" s="204"/>
      <c r="I488" s="204" t="str">
        <f t="shared" si="132"/>
        <v/>
      </c>
      <c r="J488" s="204" t="str">
        <f t="shared" si="133"/>
        <v/>
      </c>
      <c r="K488" s="204" t="str">
        <f t="shared" si="134"/>
        <v/>
      </c>
      <c r="L488" s="204" t="str">
        <f t="shared" si="135"/>
        <v/>
      </c>
      <c r="M488" s="76" t="str">
        <f t="shared" si="136"/>
        <v/>
      </c>
      <c r="N488" s="206">
        <f t="shared" si="137"/>
        <v>0</v>
      </c>
      <c r="O488" s="206">
        <f t="shared" si="138"/>
        <v>0</v>
      </c>
      <c r="P488" s="206">
        <f t="shared" si="139"/>
        <v>0</v>
      </c>
      <c r="Q488" s="206">
        <f t="shared" si="140"/>
        <v>0</v>
      </c>
      <c r="X488" s="71" t="str">
        <f t="shared" si="131"/>
        <v/>
      </c>
      <c r="Y488">
        <f t="shared" si="127"/>
        <v>0</v>
      </c>
      <c r="Z488">
        <f t="shared" si="128"/>
        <v>0</v>
      </c>
      <c r="AA488">
        <f t="shared" si="129"/>
        <v>0</v>
      </c>
      <c r="AB488">
        <f t="shared" si="130"/>
        <v>0</v>
      </c>
      <c r="AD488" s="204">
        <f t="shared" si="141"/>
        <v>0</v>
      </c>
      <c r="AE488" s="204">
        <f t="shared" si="142"/>
        <v>0</v>
      </c>
      <c r="AF488" s="204">
        <f t="shared" si="143"/>
        <v>0</v>
      </c>
      <c r="AG488" s="204">
        <f t="shared" si="144"/>
        <v>0</v>
      </c>
    </row>
    <row r="489" spans="1:33" x14ac:dyDescent="0.3">
      <c r="A489" s="204"/>
      <c r="B489" s="205"/>
      <c r="C489" s="205"/>
      <c r="D489" s="205"/>
      <c r="E489" s="205"/>
      <c r="F489" s="204"/>
      <c r="G489" s="204"/>
      <c r="H489" s="204"/>
      <c r="I489" s="204" t="str">
        <f t="shared" si="132"/>
        <v/>
      </c>
      <c r="J489" s="204" t="str">
        <f t="shared" si="133"/>
        <v/>
      </c>
      <c r="K489" s="204" t="str">
        <f t="shared" si="134"/>
        <v/>
      </c>
      <c r="L489" s="204" t="str">
        <f t="shared" si="135"/>
        <v/>
      </c>
      <c r="M489" s="76" t="str">
        <f t="shared" si="136"/>
        <v/>
      </c>
      <c r="N489" s="206">
        <f t="shared" si="137"/>
        <v>0</v>
      </c>
      <c r="O489" s="206">
        <f t="shared" si="138"/>
        <v>0</v>
      </c>
      <c r="P489" s="206">
        <f t="shared" si="139"/>
        <v>0</v>
      </c>
      <c r="Q489" s="206">
        <f t="shared" si="140"/>
        <v>0</v>
      </c>
      <c r="X489" s="71" t="str">
        <f t="shared" si="131"/>
        <v/>
      </c>
      <c r="Y489">
        <f t="shared" si="127"/>
        <v>0</v>
      </c>
      <c r="Z489">
        <f t="shared" si="128"/>
        <v>0</v>
      </c>
      <c r="AA489">
        <f t="shared" si="129"/>
        <v>0</v>
      </c>
      <c r="AB489">
        <f t="shared" si="130"/>
        <v>0</v>
      </c>
      <c r="AD489" s="204">
        <f t="shared" si="141"/>
        <v>0</v>
      </c>
      <c r="AE489" s="204">
        <f t="shared" si="142"/>
        <v>0</v>
      </c>
      <c r="AF489" s="204">
        <f t="shared" si="143"/>
        <v>0</v>
      </c>
      <c r="AG489" s="204">
        <f t="shared" si="144"/>
        <v>0</v>
      </c>
    </row>
    <row r="490" spans="1:33" x14ac:dyDescent="0.3">
      <c r="A490" s="204"/>
      <c r="B490" s="205"/>
      <c r="C490" s="205"/>
      <c r="D490" s="205"/>
      <c r="E490" s="205"/>
      <c r="F490" s="204"/>
      <c r="G490" s="204"/>
      <c r="H490" s="204"/>
      <c r="I490" s="204" t="str">
        <f t="shared" si="132"/>
        <v/>
      </c>
      <c r="J490" s="204" t="str">
        <f t="shared" si="133"/>
        <v/>
      </c>
      <c r="K490" s="204" t="str">
        <f t="shared" si="134"/>
        <v/>
      </c>
      <c r="L490" s="204" t="str">
        <f t="shared" si="135"/>
        <v/>
      </c>
      <c r="M490" s="76" t="str">
        <f t="shared" si="136"/>
        <v/>
      </c>
      <c r="N490" s="206">
        <f t="shared" si="137"/>
        <v>0</v>
      </c>
      <c r="O490" s="206">
        <f t="shared" si="138"/>
        <v>0</v>
      </c>
      <c r="P490" s="206">
        <f t="shared" si="139"/>
        <v>0</v>
      </c>
      <c r="Q490" s="206">
        <f t="shared" si="140"/>
        <v>0</v>
      </c>
      <c r="X490" s="71" t="str">
        <f t="shared" si="131"/>
        <v/>
      </c>
      <c r="Y490">
        <f t="shared" ref="Y490:Y540" si="145">IFERROR(IF(A490&lt;&gt;"",IF(A491&lt;&gt;"",IF(FIND("Mode AM +Tarif actuel",A491),VALUE(LEFT(B490,LEN(B490)-2)),),0),0),0)-IFERROR(IF(A490&lt;&gt;"",IF(A491&lt;&gt;"",IF(FIND("Mode AM +Tarif actuel",A491),VALUE(LEFT(B491,LEN(B491)-2)),),0),0),0)</f>
        <v>0</v>
      </c>
      <c r="Z490">
        <f t="shared" ref="Z490:Z540" si="146">IFERROR(IF(A490&lt;&gt;"",IF(A491&lt;&gt;"",IF(FIND("Mode AM +Tarif actuel",A491),VALUE(LEFT(C490,LEN(C490)-2)),),0),0),0)-IFERROR(IF(A490&lt;&gt;"",IF(A491&lt;&gt;"",IF(FIND("Mode AM +Tarif actuel",A491),VALUE(LEFT(C491,LEN(C491)-2)),),0),0),0)</f>
        <v>0</v>
      </c>
      <c r="AA490">
        <f t="shared" ref="AA490:AA540" si="147">IFERROR(IF(A490&lt;&gt;"",IF(A491&lt;&gt;"",IF(FIND("Mode AM +Tarif actuel",A491),VALUE(LEFT(D490,LEN(D490)-2)),),0),0),0)-IFERROR(IF(A490&lt;&gt;"",IF(A491&lt;&gt;"",IF(FIND("Mode AM +Tarif actuel",A491),VALUE(LEFT(D491,LEN(D491)-2)),),0),0),0)</f>
        <v>0</v>
      </c>
      <c r="AB490">
        <f t="shared" ref="AB490:AB540" si="148">IFERROR(IF(A490&lt;&gt;"",IF(A491&lt;&gt;"",IF(FIND("Mode AM +Tarif actuel",A491),VALUE(LEFT(E490,LEN(E490)-2)),),0),0),0)-IFERROR(IF(A490&lt;&gt;"",IF(A491&lt;&gt;"",IF(FIND("Mode AM +Tarif actuel",A491),VALUE(LEFT(E491,LEN(E491)-2)),),0),0),0)</f>
        <v>0</v>
      </c>
      <c r="AD490" s="204">
        <f t="shared" si="141"/>
        <v>0</v>
      </c>
      <c r="AE490" s="204">
        <f t="shared" si="142"/>
        <v>0</v>
      </c>
      <c r="AF490" s="204">
        <f t="shared" si="143"/>
        <v>0</v>
      </c>
      <c r="AG490" s="204">
        <f t="shared" si="144"/>
        <v>0</v>
      </c>
    </row>
    <row r="491" spans="1:33" x14ac:dyDescent="0.3">
      <c r="A491" s="204"/>
      <c r="B491" s="205"/>
      <c r="C491" s="205"/>
      <c r="D491" s="205"/>
      <c r="E491" s="205"/>
      <c r="F491" s="204"/>
      <c r="G491" s="204"/>
      <c r="H491" s="204"/>
      <c r="I491" s="204" t="str">
        <f t="shared" si="132"/>
        <v/>
      </c>
      <c r="J491" s="204" t="str">
        <f t="shared" si="133"/>
        <v/>
      </c>
      <c r="K491" s="204" t="str">
        <f t="shared" si="134"/>
        <v/>
      </c>
      <c r="L491" s="204" t="str">
        <f t="shared" si="135"/>
        <v/>
      </c>
      <c r="M491" s="76" t="str">
        <f t="shared" si="136"/>
        <v/>
      </c>
      <c r="N491" s="206">
        <f t="shared" si="137"/>
        <v>0</v>
      </c>
      <c r="O491" s="206">
        <f t="shared" si="138"/>
        <v>0</v>
      </c>
      <c r="P491" s="206">
        <f t="shared" si="139"/>
        <v>0</v>
      </c>
      <c r="Q491" s="206">
        <f t="shared" si="140"/>
        <v>0</v>
      </c>
      <c r="X491" s="71" t="str">
        <f t="shared" si="131"/>
        <v/>
      </c>
      <c r="Y491">
        <f t="shared" si="145"/>
        <v>0</v>
      </c>
      <c r="Z491">
        <f t="shared" si="146"/>
        <v>0</v>
      </c>
      <c r="AA491">
        <f t="shared" si="147"/>
        <v>0</v>
      </c>
      <c r="AB491">
        <f t="shared" si="148"/>
        <v>0</v>
      </c>
      <c r="AD491" s="204">
        <f t="shared" si="141"/>
        <v>0</v>
      </c>
      <c r="AE491" s="204">
        <f t="shared" si="142"/>
        <v>0</v>
      </c>
      <c r="AF491" s="204">
        <f t="shared" si="143"/>
        <v>0</v>
      </c>
      <c r="AG491" s="204">
        <f t="shared" si="144"/>
        <v>0</v>
      </c>
    </row>
    <row r="492" spans="1:33" x14ac:dyDescent="0.3">
      <c r="A492" s="204"/>
      <c r="B492" s="205"/>
      <c r="C492" s="205"/>
      <c r="D492" s="205"/>
      <c r="E492" s="205"/>
      <c r="F492" s="204"/>
      <c r="G492" s="204"/>
      <c r="H492" s="204"/>
      <c r="I492" s="204" t="str">
        <f t="shared" si="132"/>
        <v/>
      </c>
      <c r="J492" s="204" t="str">
        <f t="shared" si="133"/>
        <v/>
      </c>
      <c r="K492" s="204" t="str">
        <f t="shared" si="134"/>
        <v/>
      </c>
      <c r="L492" s="204" t="str">
        <f t="shared" si="135"/>
        <v/>
      </c>
      <c r="M492" s="76" t="str">
        <f t="shared" si="136"/>
        <v/>
      </c>
      <c r="N492" s="206">
        <f t="shared" si="137"/>
        <v>0</v>
      </c>
      <c r="O492" s="206">
        <f t="shared" si="138"/>
        <v>0</v>
      </c>
      <c r="P492" s="206">
        <f t="shared" si="139"/>
        <v>0</v>
      </c>
      <c r="Q492" s="206">
        <f t="shared" si="140"/>
        <v>0</v>
      </c>
      <c r="X492" s="71" t="str">
        <f t="shared" si="131"/>
        <v/>
      </c>
      <c r="Y492">
        <f t="shared" si="145"/>
        <v>0</v>
      </c>
      <c r="Z492">
        <f t="shared" si="146"/>
        <v>0</v>
      </c>
      <c r="AA492">
        <f t="shared" si="147"/>
        <v>0</v>
      </c>
      <c r="AB492">
        <f t="shared" si="148"/>
        <v>0</v>
      </c>
      <c r="AD492" s="204">
        <f t="shared" si="141"/>
        <v>0</v>
      </c>
      <c r="AE492" s="204">
        <f t="shared" si="142"/>
        <v>0</v>
      </c>
      <c r="AF492" s="204">
        <f t="shared" si="143"/>
        <v>0</v>
      </c>
      <c r="AG492" s="204">
        <f t="shared" si="144"/>
        <v>0</v>
      </c>
    </row>
    <row r="493" spans="1:33" x14ac:dyDescent="0.3">
      <c r="A493" s="204"/>
      <c r="B493" s="205"/>
      <c r="C493" s="205"/>
      <c r="D493" s="205"/>
      <c r="E493" s="205"/>
      <c r="F493" s="204"/>
      <c r="G493" s="204"/>
      <c r="H493" s="204"/>
      <c r="I493" s="204" t="str">
        <f t="shared" si="132"/>
        <v/>
      </c>
      <c r="J493" s="204" t="str">
        <f t="shared" si="133"/>
        <v/>
      </c>
      <c r="K493" s="204" t="str">
        <f t="shared" si="134"/>
        <v/>
      </c>
      <c r="L493" s="204" t="str">
        <f t="shared" si="135"/>
        <v/>
      </c>
      <c r="M493" s="76" t="str">
        <f t="shared" si="136"/>
        <v/>
      </c>
      <c r="N493" s="206">
        <f t="shared" si="137"/>
        <v>0</v>
      </c>
      <c r="O493" s="206">
        <f t="shared" si="138"/>
        <v>0</v>
      </c>
      <c r="P493" s="206">
        <f t="shared" si="139"/>
        <v>0</v>
      </c>
      <c r="Q493" s="206">
        <f t="shared" si="140"/>
        <v>0</v>
      </c>
      <c r="X493" s="71" t="str">
        <f t="shared" si="131"/>
        <v/>
      </c>
      <c r="Y493">
        <f t="shared" si="145"/>
        <v>0</v>
      </c>
      <c r="Z493">
        <f t="shared" si="146"/>
        <v>0</v>
      </c>
      <c r="AA493">
        <f t="shared" si="147"/>
        <v>0</v>
      </c>
      <c r="AB493">
        <f t="shared" si="148"/>
        <v>0</v>
      </c>
      <c r="AD493" s="204">
        <f t="shared" si="141"/>
        <v>0</v>
      </c>
      <c r="AE493" s="204">
        <f t="shared" si="142"/>
        <v>0</v>
      </c>
      <c r="AF493" s="204">
        <f t="shared" si="143"/>
        <v>0</v>
      </c>
      <c r="AG493" s="204">
        <f t="shared" si="144"/>
        <v>0</v>
      </c>
    </row>
    <row r="494" spans="1:33" x14ac:dyDescent="0.3">
      <c r="A494" s="204"/>
      <c r="B494" s="205"/>
      <c r="C494" s="205"/>
      <c r="D494" s="205"/>
      <c r="E494" s="205"/>
      <c r="F494" s="204"/>
      <c r="G494" s="204"/>
      <c r="H494" s="204"/>
      <c r="I494" s="204" t="str">
        <f t="shared" si="132"/>
        <v/>
      </c>
      <c r="J494" s="204" t="str">
        <f t="shared" si="133"/>
        <v/>
      </c>
      <c r="K494" s="204" t="str">
        <f t="shared" si="134"/>
        <v/>
      </c>
      <c r="L494" s="204" t="str">
        <f t="shared" si="135"/>
        <v/>
      </c>
      <c r="M494" s="76" t="str">
        <f t="shared" si="136"/>
        <v/>
      </c>
      <c r="N494" s="206">
        <f t="shared" si="137"/>
        <v>0</v>
      </c>
      <c r="O494" s="206">
        <f t="shared" si="138"/>
        <v>0</v>
      </c>
      <c r="P494" s="206">
        <f t="shared" si="139"/>
        <v>0</v>
      </c>
      <c r="Q494" s="206">
        <f t="shared" si="140"/>
        <v>0</v>
      </c>
      <c r="X494" s="71" t="str">
        <f t="shared" si="131"/>
        <v/>
      </c>
      <c r="Y494">
        <f t="shared" si="145"/>
        <v>0</v>
      </c>
      <c r="Z494">
        <f t="shared" si="146"/>
        <v>0</v>
      </c>
      <c r="AA494">
        <f t="shared" si="147"/>
        <v>0</v>
      </c>
      <c r="AB494">
        <f t="shared" si="148"/>
        <v>0</v>
      </c>
      <c r="AD494" s="204">
        <f t="shared" si="141"/>
        <v>0</v>
      </c>
      <c r="AE494" s="204">
        <f t="shared" si="142"/>
        <v>0</v>
      </c>
      <c r="AF494" s="204">
        <f t="shared" si="143"/>
        <v>0</v>
      </c>
      <c r="AG494" s="204">
        <f t="shared" si="144"/>
        <v>0</v>
      </c>
    </row>
    <row r="495" spans="1:33" x14ac:dyDescent="0.3">
      <c r="A495" s="204"/>
      <c r="B495" s="205"/>
      <c r="C495" s="205"/>
      <c r="D495" s="205"/>
      <c r="E495" s="205"/>
      <c r="F495" s="204"/>
      <c r="G495" s="204"/>
      <c r="H495" s="204"/>
      <c r="I495" s="204" t="str">
        <f t="shared" si="132"/>
        <v/>
      </c>
      <c r="J495" s="204" t="str">
        <f t="shared" si="133"/>
        <v/>
      </c>
      <c r="K495" s="204" t="str">
        <f t="shared" si="134"/>
        <v/>
      </c>
      <c r="L495" s="204" t="str">
        <f t="shared" si="135"/>
        <v/>
      </c>
      <c r="M495" s="76" t="str">
        <f t="shared" si="136"/>
        <v/>
      </c>
      <c r="N495" s="206">
        <f t="shared" si="137"/>
        <v>0</v>
      </c>
      <c r="O495" s="206">
        <f t="shared" si="138"/>
        <v>0</v>
      </c>
      <c r="P495" s="206">
        <f t="shared" si="139"/>
        <v>0</v>
      </c>
      <c r="Q495" s="206">
        <f t="shared" si="140"/>
        <v>0</v>
      </c>
      <c r="X495" s="71" t="str">
        <f t="shared" si="131"/>
        <v/>
      </c>
      <c r="Y495">
        <f t="shared" si="145"/>
        <v>0</v>
      </c>
      <c r="Z495">
        <f t="shared" si="146"/>
        <v>0</v>
      </c>
      <c r="AA495">
        <f t="shared" si="147"/>
        <v>0</v>
      </c>
      <c r="AB495">
        <f t="shared" si="148"/>
        <v>0</v>
      </c>
      <c r="AD495" s="204">
        <f t="shared" si="141"/>
        <v>0</v>
      </c>
      <c r="AE495" s="204">
        <f t="shared" si="142"/>
        <v>0</v>
      </c>
      <c r="AF495" s="204">
        <f t="shared" si="143"/>
        <v>0</v>
      </c>
      <c r="AG495" s="204">
        <f t="shared" si="144"/>
        <v>0</v>
      </c>
    </row>
    <row r="496" spans="1:33" x14ac:dyDescent="0.3">
      <c r="A496" s="204"/>
      <c r="B496" s="205"/>
      <c r="C496" s="205"/>
      <c r="D496" s="205"/>
      <c r="E496" s="205"/>
      <c r="F496" s="204"/>
      <c r="G496" s="204"/>
      <c r="H496" s="204"/>
      <c r="I496" s="204" t="str">
        <f t="shared" si="132"/>
        <v/>
      </c>
      <c r="J496" s="204" t="str">
        <f t="shared" si="133"/>
        <v/>
      </c>
      <c r="K496" s="204" t="str">
        <f t="shared" si="134"/>
        <v/>
      </c>
      <c r="L496" s="204" t="str">
        <f t="shared" si="135"/>
        <v/>
      </c>
      <c r="M496" s="76" t="str">
        <f t="shared" si="136"/>
        <v/>
      </c>
      <c r="N496" s="206">
        <f t="shared" si="137"/>
        <v>0</v>
      </c>
      <c r="O496" s="206">
        <f t="shared" si="138"/>
        <v>0</v>
      </c>
      <c r="P496" s="206">
        <f t="shared" si="139"/>
        <v>0</v>
      </c>
      <c r="Q496" s="206">
        <f t="shared" si="140"/>
        <v>0</v>
      </c>
      <c r="X496" s="71" t="str">
        <f t="shared" si="131"/>
        <v/>
      </c>
      <c r="Y496">
        <f t="shared" si="145"/>
        <v>0</v>
      </c>
      <c r="Z496">
        <f t="shared" si="146"/>
        <v>0</v>
      </c>
      <c r="AA496">
        <f t="shared" si="147"/>
        <v>0</v>
      </c>
      <c r="AB496">
        <f t="shared" si="148"/>
        <v>0</v>
      </c>
      <c r="AD496" s="204">
        <f t="shared" si="141"/>
        <v>0</v>
      </c>
      <c r="AE496" s="204">
        <f t="shared" si="142"/>
        <v>0</v>
      </c>
      <c r="AF496" s="204">
        <f t="shared" si="143"/>
        <v>0</v>
      </c>
      <c r="AG496" s="204">
        <f t="shared" si="144"/>
        <v>0</v>
      </c>
    </row>
    <row r="497" spans="1:33" x14ac:dyDescent="0.3">
      <c r="A497" s="204"/>
      <c r="B497" s="205"/>
      <c r="C497" s="205"/>
      <c r="D497" s="205"/>
      <c r="E497" s="205"/>
      <c r="F497" s="204"/>
      <c r="G497" s="204"/>
      <c r="H497" s="204"/>
      <c r="I497" s="204" t="str">
        <f t="shared" si="132"/>
        <v/>
      </c>
      <c r="J497" s="204" t="str">
        <f t="shared" si="133"/>
        <v/>
      </c>
      <c r="K497" s="204" t="str">
        <f t="shared" si="134"/>
        <v/>
      </c>
      <c r="L497" s="204" t="str">
        <f t="shared" si="135"/>
        <v/>
      </c>
      <c r="M497" s="76" t="str">
        <f t="shared" si="136"/>
        <v/>
      </c>
      <c r="N497" s="206">
        <f t="shared" si="137"/>
        <v>0</v>
      </c>
      <c r="O497" s="206">
        <f t="shared" si="138"/>
        <v>0</v>
      </c>
      <c r="P497" s="206">
        <f t="shared" si="139"/>
        <v>0</v>
      </c>
      <c r="Q497" s="206">
        <f t="shared" si="140"/>
        <v>0</v>
      </c>
      <c r="X497" s="71" t="str">
        <f t="shared" si="131"/>
        <v/>
      </c>
      <c r="Y497">
        <f t="shared" si="145"/>
        <v>0</v>
      </c>
      <c r="Z497">
        <f t="shared" si="146"/>
        <v>0</v>
      </c>
      <c r="AA497">
        <f t="shared" si="147"/>
        <v>0</v>
      </c>
      <c r="AB497">
        <f t="shared" si="148"/>
        <v>0</v>
      </c>
      <c r="AD497" s="204">
        <f t="shared" si="141"/>
        <v>0</v>
      </c>
      <c r="AE497" s="204">
        <f t="shared" si="142"/>
        <v>0</v>
      </c>
      <c r="AF497" s="204">
        <f t="shared" si="143"/>
        <v>0</v>
      </c>
      <c r="AG497" s="204">
        <f t="shared" si="144"/>
        <v>0</v>
      </c>
    </row>
    <row r="498" spans="1:33" x14ac:dyDescent="0.3">
      <c r="A498" s="204"/>
      <c r="B498" s="205"/>
      <c r="C498" s="205"/>
      <c r="D498" s="205"/>
      <c r="E498" s="205"/>
      <c r="F498" s="204"/>
      <c r="G498" s="204"/>
      <c r="H498" s="204"/>
      <c r="I498" s="204" t="str">
        <f t="shared" si="132"/>
        <v/>
      </c>
      <c r="J498" s="204" t="str">
        <f t="shared" si="133"/>
        <v/>
      </c>
      <c r="K498" s="204" t="str">
        <f t="shared" si="134"/>
        <v/>
      </c>
      <c r="L498" s="204" t="str">
        <f t="shared" si="135"/>
        <v/>
      </c>
      <c r="M498" s="76" t="str">
        <f t="shared" si="136"/>
        <v/>
      </c>
      <c r="N498" s="206">
        <f t="shared" si="137"/>
        <v>0</v>
      </c>
      <c r="O498" s="206">
        <f t="shared" si="138"/>
        <v>0</v>
      </c>
      <c r="P498" s="206">
        <f t="shared" si="139"/>
        <v>0</v>
      </c>
      <c r="Q498" s="206">
        <f t="shared" si="140"/>
        <v>0</v>
      </c>
      <c r="X498" s="71" t="str">
        <f t="shared" si="131"/>
        <v/>
      </c>
      <c r="Y498">
        <f t="shared" si="145"/>
        <v>0</v>
      </c>
      <c r="Z498">
        <f t="shared" si="146"/>
        <v>0</v>
      </c>
      <c r="AA498">
        <f t="shared" si="147"/>
        <v>0</v>
      </c>
      <c r="AB498">
        <f t="shared" si="148"/>
        <v>0</v>
      </c>
      <c r="AD498" s="204">
        <f t="shared" si="141"/>
        <v>0</v>
      </c>
      <c r="AE498" s="204">
        <f t="shared" si="142"/>
        <v>0</v>
      </c>
      <c r="AF498" s="204">
        <f t="shared" si="143"/>
        <v>0</v>
      </c>
      <c r="AG498" s="204">
        <f t="shared" si="144"/>
        <v>0</v>
      </c>
    </row>
    <row r="499" spans="1:33" x14ac:dyDescent="0.3">
      <c r="A499" s="204"/>
      <c r="B499" s="205"/>
      <c r="C499" s="205"/>
      <c r="D499" s="205"/>
      <c r="E499" s="205"/>
      <c r="F499" s="204"/>
      <c r="G499" s="204"/>
      <c r="H499" s="204"/>
      <c r="I499" s="204" t="str">
        <f t="shared" si="132"/>
        <v/>
      </c>
      <c r="J499" s="204" t="str">
        <f t="shared" si="133"/>
        <v/>
      </c>
      <c r="K499" s="204" t="str">
        <f t="shared" si="134"/>
        <v/>
      </c>
      <c r="L499" s="204" t="str">
        <f t="shared" si="135"/>
        <v/>
      </c>
      <c r="M499" s="76" t="str">
        <f t="shared" si="136"/>
        <v/>
      </c>
      <c r="N499" s="206">
        <f t="shared" si="137"/>
        <v>0</v>
      </c>
      <c r="O499" s="206">
        <f t="shared" si="138"/>
        <v>0</v>
      </c>
      <c r="P499" s="206">
        <f t="shared" si="139"/>
        <v>0</v>
      </c>
      <c r="Q499" s="206">
        <f t="shared" si="140"/>
        <v>0</v>
      </c>
      <c r="X499" s="71" t="str">
        <f t="shared" si="131"/>
        <v/>
      </c>
      <c r="Y499">
        <f t="shared" si="145"/>
        <v>0</v>
      </c>
      <c r="Z499">
        <f t="shared" si="146"/>
        <v>0</v>
      </c>
      <c r="AA499">
        <f t="shared" si="147"/>
        <v>0</v>
      </c>
      <c r="AB499">
        <f t="shared" si="148"/>
        <v>0</v>
      </c>
      <c r="AD499" s="204">
        <f t="shared" si="141"/>
        <v>0</v>
      </c>
      <c r="AE499" s="204">
        <f t="shared" si="142"/>
        <v>0</v>
      </c>
      <c r="AF499" s="204">
        <f t="shared" si="143"/>
        <v>0</v>
      </c>
      <c r="AG499" s="204">
        <f t="shared" si="144"/>
        <v>0</v>
      </c>
    </row>
    <row r="500" spans="1:33" x14ac:dyDescent="0.3">
      <c r="A500" s="204"/>
      <c r="B500" s="205"/>
      <c r="C500" s="205"/>
      <c r="D500" s="205"/>
      <c r="E500" s="205"/>
      <c r="F500" s="204"/>
      <c r="G500" s="204"/>
      <c r="H500" s="204"/>
      <c r="I500" s="204" t="str">
        <f t="shared" si="132"/>
        <v/>
      </c>
      <c r="J500" s="204" t="str">
        <f t="shared" si="133"/>
        <v/>
      </c>
      <c r="K500" s="204" t="str">
        <f t="shared" si="134"/>
        <v/>
      </c>
      <c r="L500" s="204" t="str">
        <f t="shared" si="135"/>
        <v/>
      </c>
      <c r="M500" s="76" t="str">
        <f t="shared" si="136"/>
        <v/>
      </c>
      <c r="N500" s="206">
        <f t="shared" si="137"/>
        <v>0</v>
      </c>
      <c r="O500" s="206">
        <f t="shared" si="138"/>
        <v>0</v>
      </c>
      <c r="P500" s="206">
        <f t="shared" si="139"/>
        <v>0</v>
      </c>
      <c r="Q500" s="206">
        <f t="shared" si="140"/>
        <v>0</v>
      </c>
      <c r="X500" s="71" t="str">
        <f t="shared" si="131"/>
        <v/>
      </c>
      <c r="Y500">
        <f t="shared" si="145"/>
        <v>0</v>
      </c>
      <c r="Z500">
        <f t="shared" si="146"/>
        <v>0</v>
      </c>
      <c r="AA500">
        <f t="shared" si="147"/>
        <v>0</v>
      </c>
      <c r="AB500">
        <f t="shared" si="148"/>
        <v>0</v>
      </c>
      <c r="AD500" s="204">
        <f t="shared" si="141"/>
        <v>0</v>
      </c>
      <c r="AE500" s="204">
        <f t="shared" si="142"/>
        <v>0</v>
      </c>
      <c r="AF500" s="204">
        <f t="shared" si="143"/>
        <v>0</v>
      </c>
      <c r="AG500" s="204">
        <f t="shared" si="144"/>
        <v>0</v>
      </c>
    </row>
    <row r="501" spans="1:33" x14ac:dyDescent="0.3">
      <c r="A501" s="204"/>
      <c r="B501" s="205"/>
      <c r="C501" s="205"/>
      <c r="D501" s="205"/>
      <c r="E501" s="205"/>
      <c r="F501" s="204"/>
      <c r="G501" s="204"/>
      <c r="H501" s="204"/>
      <c r="I501" s="204" t="str">
        <f t="shared" si="132"/>
        <v/>
      </c>
      <c r="J501" s="204" t="str">
        <f t="shared" si="133"/>
        <v/>
      </c>
      <c r="K501" s="204" t="str">
        <f t="shared" si="134"/>
        <v/>
      </c>
      <c r="L501" s="204" t="str">
        <f t="shared" si="135"/>
        <v/>
      </c>
      <c r="M501" s="76" t="str">
        <f t="shared" si="136"/>
        <v/>
      </c>
      <c r="N501" s="206">
        <f t="shared" si="137"/>
        <v>0</v>
      </c>
      <c r="O501" s="206">
        <f t="shared" si="138"/>
        <v>0</v>
      </c>
      <c r="P501" s="206">
        <f t="shared" si="139"/>
        <v>0</v>
      </c>
      <c r="Q501" s="206">
        <f t="shared" si="140"/>
        <v>0</v>
      </c>
      <c r="X501" s="71" t="str">
        <f t="shared" si="131"/>
        <v/>
      </c>
      <c r="Y501">
        <f t="shared" si="145"/>
        <v>0</v>
      </c>
      <c r="Z501">
        <f t="shared" si="146"/>
        <v>0</v>
      </c>
      <c r="AA501">
        <f t="shared" si="147"/>
        <v>0</v>
      </c>
      <c r="AB501">
        <f t="shared" si="148"/>
        <v>0</v>
      </c>
      <c r="AD501" s="204">
        <f t="shared" si="141"/>
        <v>0</v>
      </c>
      <c r="AE501" s="204">
        <f t="shared" si="142"/>
        <v>0</v>
      </c>
      <c r="AF501" s="204">
        <f t="shared" si="143"/>
        <v>0</v>
      </c>
      <c r="AG501" s="204">
        <f t="shared" si="144"/>
        <v>0</v>
      </c>
    </row>
    <row r="502" spans="1:33" x14ac:dyDescent="0.3">
      <c r="A502" s="204"/>
      <c r="B502" s="205"/>
      <c r="C502" s="205"/>
      <c r="D502" s="205"/>
      <c r="E502" s="205"/>
      <c r="F502" s="204"/>
      <c r="G502" s="204"/>
      <c r="H502" s="204"/>
      <c r="I502" s="204" t="str">
        <f t="shared" si="132"/>
        <v/>
      </c>
      <c r="J502" s="204" t="str">
        <f t="shared" si="133"/>
        <v/>
      </c>
      <c r="K502" s="204" t="str">
        <f t="shared" si="134"/>
        <v/>
      </c>
      <c r="L502" s="204" t="str">
        <f t="shared" si="135"/>
        <v/>
      </c>
      <c r="M502" s="76" t="str">
        <f t="shared" si="136"/>
        <v/>
      </c>
      <c r="N502" s="206">
        <f t="shared" si="137"/>
        <v>0</v>
      </c>
      <c r="O502" s="206">
        <f t="shared" si="138"/>
        <v>0</v>
      </c>
      <c r="P502" s="206">
        <f t="shared" si="139"/>
        <v>0</v>
      </c>
      <c r="Q502" s="206">
        <f t="shared" si="140"/>
        <v>0</v>
      </c>
      <c r="X502" s="71" t="str">
        <f t="shared" si="131"/>
        <v/>
      </c>
      <c r="Y502">
        <f t="shared" si="145"/>
        <v>0</v>
      </c>
      <c r="Z502">
        <f t="shared" si="146"/>
        <v>0</v>
      </c>
      <c r="AA502">
        <f t="shared" si="147"/>
        <v>0</v>
      </c>
      <c r="AB502">
        <f t="shared" si="148"/>
        <v>0</v>
      </c>
      <c r="AD502" s="204">
        <f t="shared" si="141"/>
        <v>0</v>
      </c>
      <c r="AE502" s="204">
        <f t="shared" si="142"/>
        <v>0</v>
      </c>
      <c r="AF502" s="204">
        <f t="shared" si="143"/>
        <v>0</v>
      </c>
      <c r="AG502" s="204">
        <f t="shared" si="144"/>
        <v>0</v>
      </c>
    </row>
    <row r="503" spans="1:33" x14ac:dyDescent="0.3">
      <c r="A503" s="204"/>
      <c r="B503" s="205"/>
      <c r="C503" s="205"/>
      <c r="D503" s="205"/>
      <c r="E503" s="205"/>
      <c r="F503" s="204"/>
      <c r="G503" s="204"/>
      <c r="H503" s="204"/>
      <c r="I503" s="204" t="str">
        <f t="shared" si="132"/>
        <v/>
      </c>
      <c r="J503" s="204" t="str">
        <f t="shared" si="133"/>
        <v/>
      </c>
      <c r="K503" s="204" t="str">
        <f t="shared" si="134"/>
        <v/>
      </c>
      <c r="L503" s="204" t="str">
        <f t="shared" si="135"/>
        <v/>
      </c>
      <c r="M503" s="76" t="str">
        <f t="shared" si="136"/>
        <v/>
      </c>
      <c r="N503" s="206">
        <f t="shared" si="137"/>
        <v>0</v>
      </c>
      <c r="O503" s="206">
        <f t="shared" si="138"/>
        <v>0</v>
      </c>
      <c r="P503" s="206">
        <f t="shared" si="139"/>
        <v>0</v>
      </c>
      <c r="Q503" s="206">
        <f t="shared" si="140"/>
        <v>0</v>
      </c>
      <c r="X503" s="71" t="str">
        <f t="shared" si="131"/>
        <v/>
      </c>
      <c r="Y503">
        <f t="shared" si="145"/>
        <v>0</v>
      </c>
      <c r="Z503">
        <f t="shared" si="146"/>
        <v>0</v>
      </c>
      <c r="AA503">
        <f t="shared" si="147"/>
        <v>0</v>
      </c>
      <c r="AB503">
        <f t="shared" si="148"/>
        <v>0</v>
      </c>
      <c r="AD503" s="204">
        <f t="shared" si="141"/>
        <v>0</v>
      </c>
      <c r="AE503" s="204">
        <f t="shared" si="142"/>
        <v>0</v>
      </c>
      <c r="AF503" s="204">
        <f t="shared" si="143"/>
        <v>0</v>
      </c>
      <c r="AG503" s="204">
        <f t="shared" si="144"/>
        <v>0</v>
      </c>
    </row>
    <row r="504" spans="1:33" x14ac:dyDescent="0.3">
      <c r="A504" s="204"/>
      <c r="B504" s="205"/>
      <c r="C504" s="205"/>
      <c r="D504" s="205"/>
      <c r="E504" s="205"/>
      <c r="F504" s="204"/>
      <c r="G504" s="204"/>
      <c r="H504" s="204"/>
      <c r="I504" s="204" t="str">
        <f t="shared" si="132"/>
        <v/>
      </c>
      <c r="J504" s="204" t="str">
        <f t="shared" si="133"/>
        <v/>
      </c>
      <c r="K504" s="204" t="str">
        <f t="shared" si="134"/>
        <v/>
      </c>
      <c r="L504" s="204" t="str">
        <f t="shared" si="135"/>
        <v/>
      </c>
      <c r="M504" s="76" t="str">
        <f t="shared" si="136"/>
        <v/>
      </c>
      <c r="N504" s="206">
        <f t="shared" si="137"/>
        <v>0</v>
      </c>
      <c r="O504" s="206">
        <f t="shared" si="138"/>
        <v>0</v>
      </c>
      <c r="P504" s="206">
        <f t="shared" si="139"/>
        <v>0</v>
      </c>
      <c r="Q504" s="206">
        <f t="shared" si="140"/>
        <v>0</v>
      </c>
      <c r="X504" s="71" t="str">
        <f t="shared" si="131"/>
        <v/>
      </c>
      <c r="Y504">
        <f t="shared" si="145"/>
        <v>0</v>
      </c>
      <c r="Z504">
        <f t="shared" si="146"/>
        <v>0</v>
      </c>
      <c r="AA504">
        <f t="shared" si="147"/>
        <v>0</v>
      </c>
      <c r="AB504">
        <f t="shared" si="148"/>
        <v>0</v>
      </c>
      <c r="AD504" s="204">
        <f t="shared" si="141"/>
        <v>0</v>
      </c>
      <c r="AE504" s="204">
        <f t="shared" si="142"/>
        <v>0</v>
      </c>
      <c r="AF504" s="204">
        <f t="shared" si="143"/>
        <v>0</v>
      </c>
      <c r="AG504" s="204">
        <f t="shared" si="144"/>
        <v>0</v>
      </c>
    </row>
    <row r="505" spans="1:33" x14ac:dyDescent="0.3">
      <c r="A505" s="204"/>
      <c r="B505" s="205"/>
      <c r="C505" s="205"/>
      <c r="D505" s="205"/>
      <c r="E505" s="205"/>
      <c r="F505" s="204"/>
      <c r="G505" s="204"/>
      <c r="H505" s="204"/>
      <c r="I505" s="204" t="str">
        <f t="shared" si="132"/>
        <v/>
      </c>
      <c r="J505" s="204" t="str">
        <f t="shared" si="133"/>
        <v/>
      </c>
      <c r="K505" s="204" t="str">
        <f t="shared" si="134"/>
        <v/>
      </c>
      <c r="L505" s="204" t="str">
        <f t="shared" si="135"/>
        <v/>
      </c>
      <c r="M505" s="76" t="str">
        <f t="shared" si="136"/>
        <v/>
      </c>
      <c r="N505" s="206">
        <f t="shared" si="137"/>
        <v>0</v>
      </c>
      <c r="O505" s="206">
        <f t="shared" si="138"/>
        <v>0</v>
      </c>
      <c r="P505" s="206">
        <f t="shared" si="139"/>
        <v>0</v>
      </c>
      <c r="Q505" s="206">
        <f t="shared" si="140"/>
        <v>0</v>
      </c>
      <c r="X505" s="71" t="str">
        <f t="shared" si="131"/>
        <v/>
      </c>
      <c r="Y505">
        <f t="shared" si="145"/>
        <v>0</v>
      </c>
      <c r="Z505">
        <f t="shared" si="146"/>
        <v>0</v>
      </c>
      <c r="AA505">
        <f t="shared" si="147"/>
        <v>0</v>
      </c>
      <c r="AB505">
        <f t="shared" si="148"/>
        <v>0</v>
      </c>
      <c r="AD505" s="204">
        <f t="shared" si="141"/>
        <v>0</v>
      </c>
      <c r="AE505" s="204">
        <f t="shared" si="142"/>
        <v>0</v>
      </c>
      <c r="AF505" s="204">
        <f t="shared" si="143"/>
        <v>0</v>
      </c>
      <c r="AG505" s="204">
        <f t="shared" si="144"/>
        <v>0</v>
      </c>
    </row>
    <row r="506" spans="1:33" x14ac:dyDescent="0.3">
      <c r="A506" s="204"/>
      <c r="B506" s="205"/>
      <c r="C506" s="205"/>
      <c r="D506" s="205"/>
      <c r="E506" s="205"/>
      <c r="F506" s="204"/>
      <c r="G506" s="204"/>
      <c r="H506" s="204"/>
      <c r="I506" s="204" t="str">
        <f t="shared" si="132"/>
        <v/>
      </c>
      <c r="J506" s="204" t="str">
        <f t="shared" si="133"/>
        <v/>
      </c>
      <c r="K506" s="204" t="str">
        <f t="shared" si="134"/>
        <v/>
      </c>
      <c r="L506" s="204" t="str">
        <f t="shared" si="135"/>
        <v/>
      </c>
      <c r="M506" s="76" t="str">
        <f t="shared" si="136"/>
        <v/>
      </c>
      <c r="N506" s="206">
        <f t="shared" si="137"/>
        <v>0</v>
      </c>
      <c r="O506" s="206">
        <f t="shared" si="138"/>
        <v>0</v>
      </c>
      <c r="P506" s="206">
        <f t="shared" si="139"/>
        <v>0</v>
      </c>
      <c r="Q506" s="206">
        <f t="shared" si="140"/>
        <v>0</v>
      </c>
      <c r="X506" s="71" t="str">
        <f t="shared" si="131"/>
        <v/>
      </c>
      <c r="Y506">
        <f t="shared" si="145"/>
        <v>0</v>
      </c>
      <c r="Z506">
        <f t="shared" si="146"/>
        <v>0</v>
      </c>
      <c r="AA506">
        <f t="shared" si="147"/>
        <v>0</v>
      </c>
      <c r="AB506">
        <f t="shared" si="148"/>
        <v>0</v>
      </c>
      <c r="AD506" s="204">
        <f t="shared" si="141"/>
        <v>0</v>
      </c>
      <c r="AE506" s="204">
        <f t="shared" si="142"/>
        <v>0</v>
      </c>
      <c r="AF506" s="204">
        <f t="shared" si="143"/>
        <v>0</v>
      </c>
      <c r="AG506" s="204">
        <f t="shared" si="144"/>
        <v>0</v>
      </c>
    </row>
    <row r="507" spans="1:33" x14ac:dyDescent="0.3">
      <c r="A507" s="204"/>
      <c r="B507" s="205"/>
      <c r="C507" s="205"/>
      <c r="D507" s="205"/>
      <c r="E507" s="205"/>
      <c r="F507" s="204"/>
      <c r="G507" s="204"/>
      <c r="H507" s="204"/>
      <c r="I507" s="204" t="str">
        <f t="shared" si="132"/>
        <v/>
      </c>
      <c r="J507" s="204" t="str">
        <f t="shared" si="133"/>
        <v/>
      </c>
      <c r="K507" s="204" t="str">
        <f t="shared" si="134"/>
        <v/>
      </c>
      <c r="L507" s="204" t="str">
        <f t="shared" si="135"/>
        <v/>
      </c>
      <c r="M507" s="76" t="str">
        <f t="shared" si="136"/>
        <v/>
      </c>
      <c r="N507" s="206">
        <f t="shared" si="137"/>
        <v>0</v>
      </c>
      <c r="O507" s="206">
        <f t="shared" si="138"/>
        <v>0</v>
      </c>
      <c r="P507" s="206">
        <f t="shared" si="139"/>
        <v>0</v>
      </c>
      <c r="Q507" s="206">
        <f t="shared" si="140"/>
        <v>0</v>
      </c>
      <c r="X507" s="71" t="str">
        <f t="shared" si="131"/>
        <v/>
      </c>
      <c r="Y507">
        <f t="shared" si="145"/>
        <v>0</v>
      </c>
      <c r="Z507">
        <f t="shared" si="146"/>
        <v>0</v>
      </c>
      <c r="AA507">
        <f t="shared" si="147"/>
        <v>0</v>
      </c>
      <c r="AB507">
        <f t="shared" si="148"/>
        <v>0</v>
      </c>
      <c r="AD507" s="204">
        <f t="shared" si="141"/>
        <v>0</v>
      </c>
      <c r="AE507" s="204">
        <f t="shared" si="142"/>
        <v>0</v>
      </c>
      <c r="AF507" s="204">
        <f t="shared" si="143"/>
        <v>0</v>
      </c>
      <c r="AG507" s="204">
        <f t="shared" si="144"/>
        <v>0</v>
      </c>
    </row>
    <row r="508" spans="1:33" x14ac:dyDescent="0.3">
      <c r="A508" s="204"/>
      <c r="B508" s="205"/>
      <c r="C508" s="205"/>
      <c r="D508" s="205"/>
      <c r="E508" s="205"/>
      <c r="F508" s="204"/>
      <c r="G508" s="204"/>
      <c r="H508" s="204"/>
      <c r="I508" s="204" t="str">
        <f t="shared" si="132"/>
        <v/>
      </c>
      <c r="J508" s="204" t="str">
        <f t="shared" si="133"/>
        <v/>
      </c>
      <c r="K508" s="204" t="str">
        <f t="shared" si="134"/>
        <v/>
      </c>
      <c r="L508" s="204" t="str">
        <f t="shared" si="135"/>
        <v/>
      </c>
      <c r="M508" s="76" t="str">
        <f t="shared" si="136"/>
        <v/>
      </c>
      <c r="N508" s="206">
        <f t="shared" si="137"/>
        <v>0</v>
      </c>
      <c r="O508" s="206">
        <f t="shared" si="138"/>
        <v>0</v>
      </c>
      <c r="P508" s="206">
        <f t="shared" si="139"/>
        <v>0</v>
      </c>
      <c r="Q508" s="206">
        <f t="shared" si="140"/>
        <v>0</v>
      </c>
      <c r="X508" s="71" t="str">
        <f t="shared" si="131"/>
        <v/>
      </c>
      <c r="Y508">
        <f t="shared" si="145"/>
        <v>0</v>
      </c>
      <c r="Z508">
        <f t="shared" si="146"/>
        <v>0</v>
      </c>
      <c r="AA508">
        <f t="shared" si="147"/>
        <v>0</v>
      </c>
      <c r="AB508">
        <f t="shared" si="148"/>
        <v>0</v>
      </c>
      <c r="AD508" s="204">
        <f t="shared" si="141"/>
        <v>0</v>
      </c>
      <c r="AE508" s="204">
        <f t="shared" si="142"/>
        <v>0</v>
      </c>
      <c r="AF508" s="204">
        <f t="shared" si="143"/>
        <v>0</v>
      </c>
      <c r="AG508" s="204">
        <f t="shared" si="144"/>
        <v>0</v>
      </c>
    </row>
    <row r="509" spans="1:33" x14ac:dyDescent="0.3">
      <c r="A509" s="204"/>
      <c r="B509" s="205"/>
      <c r="C509" s="205"/>
      <c r="D509" s="205"/>
      <c r="E509" s="205"/>
      <c r="F509" s="204"/>
      <c r="G509" s="204"/>
      <c r="H509" s="204"/>
      <c r="I509" s="204" t="str">
        <f t="shared" si="132"/>
        <v/>
      </c>
      <c r="J509" s="204" t="str">
        <f t="shared" si="133"/>
        <v/>
      </c>
      <c r="K509" s="204" t="str">
        <f t="shared" si="134"/>
        <v/>
      </c>
      <c r="L509" s="204" t="str">
        <f t="shared" si="135"/>
        <v/>
      </c>
      <c r="M509" s="76" t="str">
        <f t="shared" si="136"/>
        <v/>
      </c>
      <c r="N509" s="206">
        <f t="shared" si="137"/>
        <v>0</v>
      </c>
      <c r="O509" s="206">
        <f t="shared" si="138"/>
        <v>0</v>
      </c>
      <c r="P509" s="206">
        <f t="shared" si="139"/>
        <v>0</v>
      </c>
      <c r="Q509" s="206">
        <f t="shared" si="140"/>
        <v>0</v>
      </c>
      <c r="X509" s="71" t="str">
        <f t="shared" si="131"/>
        <v/>
      </c>
      <c r="Y509">
        <f t="shared" si="145"/>
        <v>0</v>
      </c>
      <c r="Z509">
        <f t="shared" si="146"/>
        <v>0</v>
      </c>
      <c r="AA509">
        <f t="shared" si="147"/>
        <v>0</v>
      </c>
      <c r="AB509">
        <f t="shared" si="148"/>
        <v>0</v>
      </c>
      <c r="AD509" s="204">
        <f t="shared" si="141"/>
        <v>0</v>
      </c>
      <c r="AE509" s="204">
        <f t="shared" si="142"/>
        <v>0</v>
      </c>
      <c r="AF509" s="204">
        <f t="shared" si="143"/>
        <v>0</v>
      </c>
      <c r="AG509" s="204">
        <f t="shared" si="144"/>
        <v>0</v>
      </c>
    </row>
    <row r="510" spans="1:33" x14ac:dyDescent="0.3">
      <c r="A510" s="204"/>
      <c r="B510" s="205"/>
      <c r="C510" s="205"/>
      <c r="D510" s="205"/>
      <c r="E510" s="205"/>
      <c r="F510" s="204"/>
      <c r="G510" s="204"/>
      <c r="H510" s="204"/>
      <c r="I510" s="204" t="str">
        <f t="shared" si="132"/>
        <v/>
      </c>
      <c r="J510" s="204" t="str">
        <f t="shared" si="133"/>
        <v/>
      </c>
      <c r="K510" s="204" t="str">
        <f t="shared" si="134"/>
        <v/>
      </c>
      <c r="L510" s="204" t="str">
        <f t="shared" si="135"/>
        <v/>
      </c>
      <c r="M510" s="76" t="str">
        <f t="shared" si="136"/>
        <v/>
      </c>
      <c r="N510" s="206">
        <f t="shared" si="137"/>
        <v>0</v>
      </c>
      <c r="O510" s="206">
        <f t="shared" si="138"/>
        <v>0</v>
      </c>
      <c r="P510" s="206">
        <f t="shared" si="139"/>
        <v>0</v>
      </c>
      <c r="Q510" s="206">
        <f t="shared" si="140"/>
        <v>0</v>
      </c>
      <c r="X510" s="71" t="str">
        <f t="shared" si="131"/>
        <v/>
      </c>
      <c r="Y510">
        <f t="shared" si="145"/>
        <v>0</v>
      </c>
      <c r="Z510">
        <f t="shared" si="146"/>
        <v>0</v>
      </c>
      <c r="AA510">
        <f t="shared" si="147"/>
        <v>0</v>
      </c>
      <c r="AB510">
        <f t="shared" si="148"/>
        <v>0</v>
      </c>
      <c r="AD510" s="204">
        <f t="shared" si="141"/>
        <v>0</v>
      </c>
      <c r="AE510" s="204">
        <f t="shared" si="142"/>
        <v>0</v>
      </c>
      <c r="AF510" s="204">
        <f t="shared" si="143"/>
        <v>0</v>
      </c>
      <c r="AG510" s="204">
        <f t="shared" si="144"/>
        <v>0</v>
      </c>
    </row>
    <row r="511" spans="1:33" x14ac:dyDescent="0.3">
      <c r="A511" s="204"/>
      <c r="B511" s="205"/>
      <c r="C511" s="205"/>
      <c r="D511" s="205"/>
      <c r="E511" s="205"/>
      <c r="F511" s="204"/>
      <c r="G511" s="204"/>
      <c r="H511" s="204"/>
      <c r="I511" s="204" t="str">
        <f t="shared" si="132"/>
        <v/>
      </c>
      <c r="J511" s="204" t="str">
        <f t="shared" si="133"/>
        <v/>
      </c>
      <c r="K511" s="204" t="str">
        <f t="shared" si="134"/>
        <v/>
      </c>
      <c r="L511" s="204" t="str">
        <f t="shared" si="135"/>
        <v/>
      </c>
      <c r="M511" s="76" t="str">
        <f t="shared" si="136"/>
        <v/>
      </c>
      <c r="N511" s="206">
        <f t="shared" si="137"/>
        <v>0</v>
      </c>
      <c r="O511" s="206">
        <f t="shared" si="138"/>
        <v>0</v>
      </c>
      <c r="P511" s="206">
        <f t="shared" si="139"/>
        <v>0</v>
      </c>
      <c r="Q511" s="206">
        <f t="shared" si="140"/>
        <v>0</v>
      </c>
      <c r="X511" s="71" t="str">
        <f t="shared" si="131"/>
        <v/>
      </c>
      <c r="Y511">
        <f t="shared" si="145"/>
        <v>0</v>
      </c>
      <c r="Z511">
        <f t="shared" si="146"/>
        <v>0</v>
      </c>
      <c r="AA511">
        <f t="shared" si="147"/>
        <v>0</v>
      </c>
      <c r="AB511">
        <f t="shared" si="148"/>
        <v>0</v>
      </c>
      <c r="AD511" s="204">
        <f t="shared" si="141"/>
        <v>0</v>
      </c>
      <c r="AE511" s="204">
        <f t="shared" si="142"/>
        <v>0</v>
      </c>
      <c r="AF511" s="204">
        <f t="shared" si="143"/>
        <v>0</v>
      </c>
      <c r="AG511" s="204">
        <f t="shared" si="144"/>
        <v>0</v>
      </c>
    </row>
    <row r="512" spans="1:33" x14ac:dyDescent="0.3">
      <c r="A512" s="204"/>
      <c r="B512" s="205"/>
      <c r="C512" s="205"/>
      <c r="D512" s="205"/>
      <c r="E512" s="205"/>
      <c r="F512" s="204"/>
      <c r="G512" s="204"/>
      <c r="H512" s="204"/>
      <c r="I512" s="204" t="str">
        <f t="shared" si="132"/>
        <v/>
      </c>
      <c r="J512" s="204" t="str">
        <f t="shared" si="133"/>
        <v/>
      </c>
      <c r="K512" s="204" t="str">
        <f t="shared" si="134"/>
        <v/>
      </c>
      <c r="L512" s="204" t="str">
        <f t="shared" si="135"/>
        <v/>
      </c>
      <c r="M512" s="76" t="str">
        <f t="shared" si="136"/>
        <v/>
      </c>
      <c r="N512" s="206">
        <f t="shared" si="137"/>
        <v>0</v>
      </c>
      <c r="O512" s="206">
        <f t="shared" si="138"/>
        <v>0</v>
      </c>
      <c r="P512" s="206">
        <f t="shared" si="139"/>
        <v>0</v>
      </c>
      <c r="Q512" s="206">
        <f t="shared" si="140"/>
        <v>0</v>
      </c>
      <c r="X512" s="71" t="str">
        <f t="shared" si="131"/>
        <v/>
      </c>
      <c r="Y512">
        <f t="shared" si="145"/>
        <v>0</v>
      </c>
      <c r="Z512">
        <f t="shared" si="146"/>
        <v>0</v>
      </c>
      <c r="AA512">
        <f t="shared" si="147"/>
        <v>0</v>
      </c>
      <c r="AB512">
        <f t="shared" si="148"/>
        <v>0</v>
      </c>
      <c r="AD512" s="204">
        <f t="shared" si="141"/>
        <v>0</v>
      </c>
      <c r="AE512" s="204">
        <f t="shared" si="142"/>
        <v>0</v>
      </c>
      <c r="AF512" s="204">
        <f t="shared" si="143"/>
        <v>0</v>
      </c>
      <c r="AG512" s="204">
        <f t="shared" si="144"/>
        <v>0</v>
      </c>
    </row>
    <row r="513" spans="1:33" x14ac:dyDescent="0.3">
      <c r="A513" s="204"/>
      <c r="B513" s="205"/>
      <c r="C513" s="205"/>
      <c r="D513" s="205"/>
      <c r="E513" s="205"/>
      <c r="F513" s="204"/>
      <c r="G513" s="204"/>
      <c r="H513" s="204"/>
      <c r="I513" s="204" t="str">
        <f t="shared" si="132"/>
        <v/>
      </c>
      <c r="J513" s="204" t="str">
        <f t="shared" si="133"/>
        <v/>
      </c>
      <c r="K513" s="204" t="str">
        <f t="shared" si="134"/>
        <v/>
      </c>
      <c r="L513" s="204" t="str">
        <f t="shared" si="135"/>
        <v/>
      </c>
      <c r="M513" s="76" t="str">
        <f t="shared" si="136"/>
        <v/>
      </c>
      <c r="N513" s="206">
        <f t="shared" si="137"/>
        <v>0</v>
      </c>
      <c r="O513" s="206">
        <f t="shared" si="138"/>
        <v>0</v>
      </c>
      <c r="P513" s="206">
        <f t="shared" si="139"/>
        <v>0</v>
      </c>
      <c r="Q513" s="206">
        <f t="shared" si="140"/>
        <v>0</v>
      </c>
      <c r="X513" s="71" t="str">
        <f t="shared" si="131"/>
        <v/>
      </c>
      <c r="Y513">
        <f t="shared" si="145"/>
        <v>0</v>
      </c>
      <c r="Z513">
        <f t="shared" si="146"/>
        <v>0</v>
      </c>
      <c r="AA513">
        <f t="shared" si="147"/>
        <v>0</v>
      </c>
      <c r="AB513">
        <f t="shared" si="148"/>
        <v>0</v>
      </c>
      <c r="AD513" s="204">
        <f t="shared" si="141"/>
        <v>0</v>
      </c>
      <c r="AE513" s="204">
        <f t="shared" si="142"/>
        <v>0</v>
      </c>
      <c r="AF513" s="204">
        <f t="shared" si="143"/>
        <v>0</v>
      </c>
      <c r="AG513" s="204">
        <f t="shared" si="144"/>
        <v>0</v>
      </c>
    </row>
    <row r="514" spans="1:33" x14ac:dyDescent="0.3">
      <c r="A514" s="204"/>
      <c r="B514" s="205"/>
      <c r="C514" s="205"/>
      <c r="D514" s="205"/>
      <c r="E514" s="205"/>
      <c r="F514" s="204"/>
      <c r="G514" s="204"/>
      <c r="H514" s="204"/>
      <c r="I514" s="204" t="str">
        <f t="shared" si="132"/>
        <v/>
      </c>
      <c r="J514" s="204" t="str">
        <f t="shared" si="133"/>
        <v/>
      </c>
      <c r="K514" s="204" t="str">
        <f t="shared" si="134"/>
        <v/>
      </c>
      <c r="L514" s="204" t="str">
        <f t="shared" si="135"/>
        <v/>
      </c>
      <c r="M514" s="76" t="str">
        <f t="shared" si="136"/>
        <v/>
      </c>
      <c r="N514" s="206">
        <f t="shared" si="137"/>
        <v>0</v>
      </c>
      <c r="O514" s="206">
        <f t="shared" si="138"/>
        <v>0</v>
      </c>
      <c r="P514" s="206">
        <f t="shared" si="139"/>
        <v>0</v>
      </c>
      <c r="Q514" s="206">
        <f t="shared" si="140"/>
        <v>0</v>
      </c>
      <c r="X514" s="71" t="str">
        <f t="shared" si="131"/>
        <v/>
      </c>
      <c r="Y514">
        <f t="shared" si="145"/>
        <v>0</v>
      </c>
      <c r="Z514">
        <f t="shared" si="146"/>
        <v>0</v>
      </c>
      <c r="AA514">
        <f t="shared" si="147"/>
        <v>0</v>
      </c>
      <c r="AB514">
        <f t="shared" si="148"/>
        <v>0</v>
      </c>
      <c r="AD514" s="204">
        <f t="shared" si="141"/>
        <v>0</v>
      </c>
      <c r="AE514" s="204">
        <f t="shared" si="142"/>
        <v>0</v>
      </c>
      <c r="AF514" s="204">
        <f t="shared" si="143"/>
        <v>0</v>
      </c>
      <c r="AG514" s="204">
        <f t="shared" si="144"/>
        <v>0</v>
      </c>
    </row>
    <row r="515" spans="1:33" x14ac:dyDescent="0.3">
      <c r="A515" s="204"/>
      <c r="B515" s="205"/>
      <c r="C515" s="205"/>
      <c r="D515" s="205"/>
      <c r="E515" s="205"/>
      <c r="F515" s="204"/>
      <c r="G515" s="204"/>
      <c r="H515" s="204"/>
      <c r="I515" s="204" t="str">
        <f t="shared" si="132"/>
        <v/>
      </c>
      <c r="J515" s="204" t="str">
        <f t="shared" si="133"/>
        <v/>
      </c>
      <c r="K515" s="204" t="str">
        <f t="shared" si="134"/>
        <v/>
      </c>
      <c r="L515" s="204" t="str">
        <f t="shared" si="135"/>
        <v/>
      </c>
      <c r="M515" s="76" t="str">
        <f t="shared" si="136"/>
        <v/>
      </c>
      <c r="N515" s="206">
        <f t="shared" si="137"/>
        <v>0</v>
      </c>
      <c r="O515" s="206">
        <f t="shared" si="138"/>
        <v>0</v>
      </c>
      <c r="P515" s="206">
        <f t="shared" si="139"/>
        <v>0</v>
      </c>
      <c r="Q515" s="206">
        <f t="shared" si="140"/>
        <v>0</v>
      </c>
      <c r="X515" s="71" t="str">
        <f t="shared" ref="X515:X540" si="149">M515</f>
        <v/>
      </c>
      <c r="Y515">
        <f t="shared" si="145"/>
        <v>0</v>
      </c>
      <c r="Z515">
        <f t="shared" si="146"/>
        <v>0</v>
      </c>
      <c r="AA515">
        <f t="shared" si="147"/>
        <v>0</v>
      </c>
      <c r="AB515">
        <f t="shared" si="148"/>
        <v>0</v>
      </c>
      <c r="AD515" s="204">
        <f t="shared" si="141"/>
        <v>0</v>
      </c>
      <c r="AE515" s="204">
        <f t="shared" si="142"/>
        <v>0</v>
      </c>
      <c r="AF515" s="204">
        <f t="shared" si="143"/>
        <v>0</v>
      </c>
      <c r="AG515" s="204">
        <f t="shared" si="144"/>
        <v>0</v>
      </c>
    </row>
    <row r="516" spans="1:33" x14ac:dyDescent="0.3">
      <c r="A516" s="204"/>
      <c r="B516" s="205"/>
      <c r="C516" s="205"/>
      <c r="D516" s="205"/>
      <c r="E516" s="205"/>
      <c r="F516" s="204"/>
      <c r="G516" s="204"/>
      <c r="H516" s="204"/>
      <c r="I516" s="204" t="str">
        <f t="shared" si="132"/>
        <v/>
      </c>
      <c r="J516" s="204" t="str">
        <f t="shared" si="133"/>
        <v/>
      </c>
      <c r="K516" s="204" t="str">
        <f t="shared" si="134"/>
        <v/>
      </c>
      <c r="L516" s="204" t="str">
        <f t="shared" si="135"/>
        <v/>
      </c>
      <c r="M516" s="76" t="str">
        <f t="shared" si="136"/>
        <v/>
      </c>
      <c r="N516" s="206">
        <f t="shared" si="137"/>
        <v>0</v>
      </c>
      <c r="O516" s="206">
        <f t="shared" si="138"/>
        <v>0</v>
      </c>
      <c r="P516" s="206">
        <f t="shared" si="139"/>
        <v>0</v>
      </c>
      <c r="Q516" s="206">
        <f t="shared" si="140"/>
        <v>0</v>
      </c>
      <c r="X516" s="71" t="str">
        <f t="shared" si="149"/>
        <v/>
      </c>
      <c r="Y516">
        <f t="shared" si="145"/>
        <v>0</v>
      </c>
      <c r="Z516">
        <f t="shared" si="146"/>
        <v>0</v>
      </c>
      <c r="AA516">
        <f t="shared" si="147"/>
        <v>0</v>
      </c>
      <c r="AB516">
        <f t="shared" si="148"/>
        <v>0</v>
      </c>
      <c r="AD516" s="204">
        <f t="shared" si="141"/>
        <v>0</v>
      </c>
      <c r="AE516" s="204">
        <f t="shared" si="142"/>
        <v>0</v>
      </c>
      <c r="AF516" s="204">
        <f t="shared" si="143"/>
        <v>0</v>
      </c>
      <c r="AG516" s="204">
        <f t="shared" si="144"/>
        <v>0</v>
      </c>
    </row>
    <row r="517" spans="1:33" x14ac:dyDescent="0.3">
      <c r="A517" s="204"/>
      <c r="B517" s="205"/>
      <c r="C517" s="205"/>
      <c r="D517" s="205"/>
      <c r="E517" s="205"/>
      <c r="F517" s="204"/>
      <c r="G517" s="204"/>
      <c r="H517" s="204"/>
      <c r="I517" s="204" t="str">
        <f t="shared" ref="I517:I580" si="150">IF(G517="Détail",LEN(A517),"")</f>
        <v/>
      </c>
      <c r="J517" s="204" t="str">
        <f t="shared" ref="J517:J580" si="151">IF(I517="","",LEFT(A517,3))</f>
        <v/>
      </c>
      <c r="K517" s="204" t="str">
        <f t="shared" ref="K517:K580" si="152">IF(J517&lt;&gt;"",MID(A517,5,3),"")</f>
        <v/>
      </c>
      <c r="L517" s="204" t="str">
        <f t="shared" ref="L517:L580" si="153">IF(J517&lt;&gt;"",RIGHT(A517,2),"")</f>
        <v/>
      </c>
      <c r="M517" s="76" t="str">
        <f t="shared" ref="M517:M580" si="154">IF(J517&lt;&gt;"",CONCATENATE(J517,"/",K517),"")</f>
        <v/>
      </c>
      <c r="N517" s="206">
        <f t="shared" ref="N517:N580" si="155">IFERROR(IF(A517&lt;&gt;"",IF(A518&lt;&gt;"",IF(FIND("Mode AM +Tarif actuel",A518),VALUE(LEFT(B518,LEN(B518)-2)),),0),0),0)</f>
        <v>0</v>
      </c>
      <c r="O517" s="206">
        <f t="shared" ref="O517:O580" si="156">IFERROR(IF(A517&lt;&gt;"",IF(A518&lt;&gt;"",IF(FIND("Mode AM +Tarif actuel",A518),VALUE(LEFT(C518,LEN(C518)-2)),),0),0),0)</f>
        <v>0</v>
      </c>
      <c r="P517" s="206">
        <f t="shared" ref="P517:P580" si="157">IFERROR(IF(A517&lt;&gt;"",IF(A518&lt;&gt;"",IF(FIND("Mode AM +Tarif actuel",A518),VALUE(LEFT(D518,LEN(D518)-2)),),0),0),0)</f>
        <v>0</v>
      </c>
      <c r="Q517" s="206">
        <f t="shared" ref="Q517:Q580" si="158">IFERROR(IF(A517&lt;&gt;"",IF(A518&lt;&gt;"",IF(FIND("Mode AM +Tarif actuel",A518),VALUE(LEFT(E518,LEN(E518)-2)),),0),0),0)</f>
        <v>0</v>
      </c>
      <c r="X517" s="71" t="str">
        <f t="shared" si="149"/>
        <v/>
      </c>
      <c r="Y517">
        <f t="shared" si="145"/>
        <v>0</v>
      </c>
      <c r="Z517">
        <f t="shared" si="146"/>
        <v>0</v>
      </c>
      <c r="AA517">
        <f t="shared" si="147"/>
        <v>0</v>
      </c>
      <c r="AB517">
        <f t="shared" si="148"/>
        <v>0</v>
      </c>
      <c r="AD517" s="204">
        <f t="shared" si="141"/>
        <v>0</v>
      </c>
      <c r="AE517" s="204">
        <f t="shared" si="142"/>
        <v>0</v>
      </c>
      <c r="AF517" s="204">
        <f t="shared" si="143"/>
        <v>0</v>
      </c>
      <c r="AG517" s="204">
        <f t="shared" si="144"/>
        <v>0</v>
      </c>
    </row>
    <row r="518" spans="1:33" x14ac:dyDescent="0.3">
      <c r="A518" s="204"/>
      <c r="B518" s="205"/>
      <c r="C518" s="205"/>
      <c r="D518" s="205"/>
      <c r="E518" s="205"/>
      <c r="F518" s="204"/>
      <c r="G518" s="204"/>
      <c r="H518" s="204"/>
      <c r="I518" s="204" t="str">
        <f t="shared" si="150"/>
        <v/>
      </c>
      <c r="J518" s="204" t="str">
        <f t="shared" si="151"/>
        <v/>
      </c>
      <c r="K518" s="204" t="str">
        <f t="shared" si="152"/>
        <v/>
      </c>
      <c r="L518" s="204" t="str">
        <f t="shared" si="153"/>
        <v/>
      </c>
      <c r="M518" s="76" t="str">
        <f t="shared" si="154"/>
        <v/>
      </c>
      <c r="N518" s="206">
        <f t="shared" si="155"/>
        <v>0</v>
      </c>
      <c r="O518" s="206">
        <f t="shared" si="156"/>
        <v>0</v>
      </c>
      <c r="P518" s="206">
        <f t="shared" si="157"/>
        <v>0</v>
      </c>
      <c r="Q518" s="206">
        <f t="shared" si="158"/>
        <v>0</v>
      </c>
      <c r="X518" s="71" t="str">
        <f t="shared" si="149"/>
        <v/>
      </c>
      <c r="Y518">
        <f t="shared" si="145"/>
        <v>0</v>
      </c>
      <c r="Z518">
        <f t="shared" si="146"/>
        <v>0</v>
      </c>
      <c r="AA518">
        <f t="shared" si="147"/>
        <v>0</v>
      </c>
      <c r="AB518">
        <f t="shared" si="148"/>
        <v>0</v>
      </c>
      <c r="AD518" s="204">
        <f t="shared" si="141"/>
        <v>0</v>
      </c>
      <c r="AE518" s="204">
        <f t="shared" si="142"/>
        <v>0</v>
      </c>
      <c r="AF518" s="204">
        <f t="shared" si="143"/>
        <v>0</v>
      </c>
      <c r="AG518" s="204">
        <f t="shared" si="144"/>
        <v>0</v>
      </c>
    </row>
    <row r="519" spans="1:33" x14ac:dyDescent="0.3">
      <c r="A519" s="204"/>
      <c r="B519" s="205"/>
      <c r="C519" s="205"/>
      <c r="D519" s="205"/>
      <c r="E519" s="205"/>
      <c r="F519" s="204"/>
      <c r="G519" s="204"/>
      <c r="H519" s="204"/>
      <c r="I519" s="204" t="str">
        <f t="shared" si="150"/>
        <v/>
      </c>
      <c r="J519" s="204" t="str">
        <f t="shared" si="151"/>
        <v/>
      </c>
      <c r="K519" s="204" t="str">
        <f t="shared" si="152"/>
        <v/>
      </c>
      <c r="L519" s="204" t="str">
        <f t="shared" si="153"/>
        <v/>
      </c>
      <c r="M519" s="76" t="str">
        <f t="shared" si="154"/>
        <v/>
      </c>
      <c r="N519" s="206">
        <f t="shared" si="155"/>
        <v>0</v>
      </c>
      <c r="O519" s="206">
        <f t="shared" si="156"/>
        <v>0</v>
      </c>
      <c r="P519" s="206">
        <f t="shared" si="157"/>
        <v>0</v>
      </c>
      <c r="Q519" s="206">
        <f t="shared" si="158"/>
        <v>0</v>
      </c>
      <c r="X519" s="71" t="str">
        <f t="shared" si="149"/>
        <v/>
      </c>
      <c r="Y519">
        <f t="shared" si="145"/>
        <v>0</v>
      </c>
      <c r="Z519">
        <f t="shared" si="146"/>
        <v>0</v>
      </c>
      <c r="AA519">
        <f t="shared" si="147"/>
        <v>0</v>
      </c>
      <c r="AB519">
        <f t="shared" si="148"/>
        <v>0</v>
      </c>
      <c r="AD519" s="204">
        <f t="shared" si="141"/>
        <v>0</v>
      </c>
      <c r="AE519" s="204">
        <f t="shared" si="142"/>
        <v>0</v>
      </c>
      <c r="AF519" s="204">
        <f t="shared" si="143"/>
        <v>0</v>
      </c>
      <c r="AG519" s="204">
        <f t="shared" si="144"/>
        <v>0</v>
      </c>
    </row>
    <row r="520" spans="1:33" x14ac:dyDescent="0.3">
      <c r="A520" s="204"/>
      <c r="B520" s="205"/>
      <c r="C520" s="205"/>
      <c r="D520" s="205"/>
      <c r="E520" s="205"/>
      <c r="F520" s="204"/>
      <c r="G520" s="204"/>
      <c r="H520" s="204"/>
      <c r="I520" s="204" t="str">
        <f t="shared" si="150"/>
        <v/>
      </c>
      <c r="J520" s="204" t="str">
        <f t="shared" si="151"/>
        <v/>
      </c>
      <c r="K520" s="204" t="str">
        <f t="shared" si="152"/>
        <v/>
      </c>
      <c r="L520" s="204" t="str">
        <f t="shared" si="153"/>
        <v/>
      </c>
      <c r="M520" s="76" t="str">
        <f t="shared" si="154"/>
        <v/>
      </c>
      <c r="N520" s="206">
        <f t="shared" si="155"/>
        <v>0</v>
      </c>
      <c r="O520" s="206">
        <f t="shared" si="156"/>
        <v>0</v>
      </c>
      <c r="P520" s="206">
        <f t="shared" si="157"/>
        <v>0</v>
      </c>
      <c r="Q520" s="206">
        <f t="shared" si="158"/>
        <v>0</v>
      </c>
      <c r="X520" s="71" t="str">
        <f t="shared" si="149"/>
        <v/>
      </c>
      <c r="Y520">
        <f t="shared" si="145"/>
        <v>0</v>
      </c>
      <c r="Z520">
        <f t="shared" si="146"/>
        <v>0</v>
      </c>
      <c r="AA520">
        <f t="shared" si="147"/>
        <v>0</v>
      </c>
      <c r="AB520">
        <f t="shared" si="148"/>
        <v>0</v>
      </c>
      <c r="AD520" s="204">
        <f t="shared" si="141"/>
        <v>0</v>
      </c>
      <c r="AE520" s="204">
        <f t="shared" si="142"/>
        <v>0</v>
      </c>
      <c r="AF520" s="204">
        <f t="shared" si="143"/>
        <v>0</v>
      </c>
      <c r="AG520" s="204">
        <f t="shared" si="144"/>
        <v>0</v>
      </c>
    </row>
    <row r="521" spans="1:33" x14ac:dyDescent="0.3">
      <c r="A521" s="204"/>
      <c r="B521" s="205"/>
      <c r="C521" s="205"/>
      <c r="D521" s="205"/>
      <c r="E521" s="205"/>
      <c r="F521" s="204"/>
      <c r="G521" s="204"/>
      <c r="H521" s="204"/>
      <c r="I521" s="204" t="str">
        <f t="shared" si="150"/>
        <v/>
      </c>
      <c r="J521" s="204" t="str">
        <f t="shared" si="151"/>
        <v/>
      </c>
      <c r="K521" s="204" t="str">
        <f t="shared" si="152"/>
        <v/>
      </c>
      <c r="L521" s="204" t="str">
        <f t="shared" si="153"/>
        <v/>
      </c>
      <c r="M521" s="76" t="str">
        <f t="shared" si="154"/>
        <v/>
      </c>
      <c r="N521" s="206">
        <f t="shared" si="155"/>
        <v>0</v>
      </c>
      <c r="O521" s="206">
        <f t="shared" si="156"/>
        <v>0</v>
      </c>
      <c r="P521" s="206">
        <f t="shared" si="157"/>
        <v>0</v>
      </c>
      <c r="Q521" s="206">
        <f t="shared" si="158"/>
        <v>0</v>
      </c>
      <c r="X521" s="71" t="str">
        <f t="shared" si="149"/>
        <v/>
      </c>
      <c r="Y521">
        <f t="shared" si="145"/>
        <v>0</v>
      </c>
      <c r="Z521">
        <f t="shared" si="146"/>
        <v>0</v>
      </c>
      <c r="AA521">
        <f t="shared" si="147"/>
        <v>0</v>
      </c>
      <c r="AB521">
        <f t="shared" si="148"/>
        <v>0</v>
      </c>
      <c r="AD521" s="204">
        <f t="shared" si="141"/>
        <v>0</v>
      </c>
      <c r="AE521" s="204">
        <f t="shared" si="142"/>
        <v>0</v>
      </c>
      <c r="AF521" s="204">
        <f t="shared" si="143"/>
        <v>0</v>
      </c>
      <c r="AG521" s="204">
        <f t="shared" si="144"/>
        <v>0</v>
      </c>
    </row>
    <row r="522" spans="1:33" x14ac:dyDescent="0.3">
      <c r="A522" s="204"/>
      <c r="B522" s="205"/>
      <c r="C522" s="205"/>
      <c r="D522" s="205"/>
      <c r="E522" s="205"/>
      <c r="F522" s="204"/>
      <c r="G522" s="204"/>
      <c r="H522" s="204"/>
      <c r="I522" s="204" t="str">
        <f t="shared" si="150"/>
        <v/>
      </c>
      <c r="J522" s="204" t="str">
        <f t="shared" si="151"/>
        <v/>
      </c>
      <c r="K522" s="204" t="str">
        <f t="shared" si="152"/>
        <v/>
      </c>
      <c r="L522" s="204" t="str">
        <f t="shared" si="153"/>
        <v/>
      </c>
      <c r="M522" s="76" t="str">
        <f t="shared" si="154"/>
        <v/>
      </c>
      <c r="N522" s="206">
        <f t="shared" si="155"/>
        <v>0</v>
      </c>
      <c r="O522" s="206">
        <f t="shared" si="156"/>
        <v>0</v>
      </c>
      <c r="P522" s="206">
        <f t="shared" si="157"/>
        <v>0</v>
      </c>
      <c r="Q522" s="206">
        <f t="shared" si="158"/>
        <v>0</v>
      </c>
      <c r="X522" s="71" t="str">
        <f t="shared" si="149"/>
        <v/>
      </c>
      <c r="Y522">
        <f t="shared" si="145"/>
        <v>0</v>
      </c>
      <c r="Z522">
        <f t="shared" si="146"/>
        <v>0</v>
      </c>
      <c r="AA522">
        <f t="shared" si="147"/>
        <v>0</v>
      </c>
      <c r="AB522">
        <f t="shared" si="148"/>
        <v>0</v>
      </c>
      <c r="AD522" s="204">
        <f t="shared" si="141"/>
        <v>0</v>
      </c>
      <c r="AE522" s="204">
        <f t="shared" si="142"/>
        <v>0</v>
      </c>
      <c r="AF522" s="204">
        <f t="shared" si="143"/>
        <v>0</v>
      </c>
      <c r="AG522" s="204">
        <f t="shared" si="144"/>
        <v>0</v>
      </c>
    </row>
    <row r="523" spans="1:33" x14ac:dyDescent="0.3">
      <c r="A523" s="204"/>
      <c r="B523" s="205"/>
      <c r="C523" s="205"/>
      <c r="D523" s="205"/>
      <c r="E523" s="205"/>
      <c r="F523" s="204"/>
      <c r="G523" s="204"/>
      <c r="H523" s="204"/>
      <c r="I523" s="204" t="str">
        <f t="shared" si="150"/>
        <v/>
      </c>
      <c r="J523" s="204" t="str">
        <f t="shared" si="151"/>
        <v/>
      </c>
      <c r="K523" s="204" t="str">
        <f t="shared" si="152"/>
        <v/>
      </c>
      <c r="L523" s="204" t="str">
        <f t="shared" si="153"/>
        <v/>
      </c>
      <c r="M523" s="76" t="str">
        <f t="shared" si="154"/>
        <v/>
      </c>
      <c r="N523" s="206">
        <f t="shared" si="155"/>
        <v>0</v>
      </c>
      <c r="O523" s="206">
        <f t="shared" si="156"/>
        <v>0</v>
      </c>
      <c r="P523" s="206">
        <f t="shared" si="157"/>
        <v>0</v>
      </c>
      <c r="Q523" s="206">
        <f t="shared" si="158"/>
        <v>0</v>
      </c>
      <c r="X523" s="71" t="str">
        <f t="shared" si="149"/>
        <v/>
      </c>
      <c r="Y523">
        <f t="shared" si="145"/>
        <v>0</v>
      </c>
      <c r="Z523">
        <f t="shared" si="146"/>
        <v>0</v>
      </c>
      <c r="AA523">
        <f t="shared" si="147"/>
        <v>0</v>
      </c>
      <c r="AB523">
        <f t="shared" si="148"/>
        <v>0</v>
      </c>
      <c r="AD523" s="204">
        <f t="shared" ref="AD523:AD540" si="159">IFERROR(IF(A523&lt;&gt;"",IF(A524&lt;&gt;"",IF(FIND("Mode AM +Tarif actuel",A524),VALUE(LEFT(B523,LEN(B523)-2)),),0),0),0)</f>
        <v>0</v>
      </c>
      <c r="AE523" s="204">
        <f t="shared" ref="AE523:AE540" si="160">IFERROR(IF(A523&lt;&gt;"",IF(A524&lt;&gt;"",IF(FIND("Mode AM +Tarif actuel",A524),VALUE(LEFT(C523,LEN(C523)-2)),),0),0),0)</f>
        <v>0</v>
      </c>
      <c r="AF523" s="204">
        <f t="shared" ref="AF523:AF540" si="161">IFERROR(IF(A523&lt;&gt;"",IF(A524&lt;&gt;"",IF(FIND("Mode AM +Tarif actuel",A524),VALUE(LEFT(D523,LEN(D523)-2)),),0),0),0)</f>
        <v>0</v>
      </c>
      <c r="AG523" s="204">
        <f t="shared" ref="AG523:AG540" si="162">IFERROR(IF(A523&lt;&gt;"",IF(A524&lt;&gt;"",IF(FIND("Mode AM +Tarif actuel",A524),VALUE(LEFT(E523,LEN(E523)-2)),),0),0),0)</f>
        <v>0</v>
      </c>
    </row>
    <row r="524" spans="1:33" x14ac:dyDescent="0.3">
      <c r="A524" s="204"/>
      <c r="B524" s="205"/>
      <c r="C524" s="205"/>
      <c r="D524" s="205"/>
      <c r="E524" s="205"/>
      <c r="F524" s="204"/>
      <c r="G524" s="204"/>
      <c r="H524" s="204"/>
      <c r="I524" s="204" t="str">
        <f t="shared" si="150"/>
        <v/>
      </c>
      <c r="J524" s="204" t="str">
        <f t="shared" si="151"/>
        <v/>
      </c>
      <c r="K524" s="204" t="str">
        <f t="shared" si="152"/>
        <v/>
      </c>
      <c r="L524" s="204" t="str">
        <f t="shared" si="153"/>
        <v/>
      </c>
      <c r="M524" s="76" t="str">
        <f t="shared" si="154"/>
        <v/>
      </c>
      <c r="N524" s="206">
        <f t="shared" si="155"/>
        <v>0</v>
      </c>
      <c r="O524" s="206">
        <f t="shared" si="156"/>
        <v>0</v>
      </c>
      <c r="P524" s="206">
        <f t="shared" si="157"/>
        <v>0</v>
      </c>
      <c r="Q524" s="206">
        <f t="shared" si="158"/>
        <v>0</v>
      </c>
      <c r="X524" s="71" t="str">
        <f t="shared" si="149"/>
        <v/>
      </c>
      <c r="Y524">
        <f t="shared" si="145"/>
        <v>0</v>
      </c>
      <c r="Z524">
        <f t="shared" si="146"/>
        <v>0</v>
      </c>
      <c r="AA524">
        <f t="shared" si="147"/>
        <v>0</v>
      </c>
      <c r="AB524">
        <f t="shared" si="148"/>
        <v>0</v>
      </c>
      <c r="AD524" s="204">
        <f t="shared" si="159"/>
        <v>0</v>
      </c>
      <c r="AE524" s="204">
        <f t="shared" si="160"/>
        <v>0</v>
      </c>
      <c r="AF524" s="204">
        <f t="shared" si="161"/>
        <v>0</v>
      </c>
      <c r="AG524" s="204">
        <f t="shared" si="162"/>
        <v>0</v>
      </c>
    </row>
    <row r="525" spans="1:33" x14ac:dyDescent="0.3">
      <c r="A525" s="204"/>
      <c r="B525" s="205"/>
      <c r="C525" s="205"/>
      <c r="D525" s="205"/>
      <c r="E525" s="205"/>
      <c r="F525" s="204"/>
      <c r="G525" s="204"/>
      <c r="H525" s="204"/>
      <c r="I525" s="204" t="str">
        <f t="shared" si="150"/>
        <v/>
      </c>
      <c r="J525" s="204" t="str">
        <f t="shared" si="151"/>
        <v/>
      </c>
      <c r="K525" s="204" t="str">
        <f t="shared" si="152"/>
        <v/>
      </c>
      <c r="L525" s="204" t="str">
        <f t="shared" si="153"/>
        <v/>
      </c>
      <c r="M525" s="76" t="str">
        <f t="shared" si="154"/>
        <v/>
      </c>
      <c r="N525" s="206">
        <f t="shared" si="155"/>
        <v>0</v>
      </c>
      <c r="O525" s="206">
        <f t="shared" si="156"/>
        <v>0</v>
      </c>
      <c r="P525" s="206">
        <f t="shared" si="157"/>
        <v>0</v>
      </c>
      <c r="Q525" s="206">
        <f t="shared" si="158"/>
        <v>0</v>
      </c>
      <c r="X525" s="71" t="str">
        <f t="shared" si="149"/>
        <v/>
      </c>
      <c r="Y525">
        <f t="shared" si="145"/>
        <v>0</v>
      </c>
      <c r="Z525">
        <f t="shared" si="146"/>
        <v>0</v>
      </c>
      <c r="AA525">
        <f t="shared" si="147"/>
        <v>0</v>
      </c>
      <c r="AB525">
        <f t="shared" si="148"/>
        <v>0</v>
      </c>
      <c r="AD525" s="204">
        <f t="shared" si="159"/>
        <v>0</v>
      </c>
      <c r="AE525" s="204">
        <f t="shared" si="160"/>
        <v>0</v>
      </c>
      <c r="AF525" s="204">
        <f t="shared" si="161"/>
        <v>0</v>
      </c>
      <c r="AG525" s="204">
        <f t="shared" si="162"/>
        <v>0</v>
      </c>
    </row>
    <row r="526" spans="1:33" x14ac:dyDescent="0.3">
      <c r="A526" s="204"/>
      <c r="B526" s="205"/>
      <c r="C526" s="205"/>
      <c r="D526" s="205"/>
      <c r="E526" s="205"/>
      <c r="F526" s="204"/>
      <c r="G526" s="204"/>
      <c r="H526" s="204"/>
      <c r="I526" s="204" t="str">
        <f t="shared" si="150"/>
        <v/>
      </c>
      <c r="J526" s="204" t="str">
        <f t="shared" si="151"/>
        <v/>
      </c>
      <c r="K526" s="204" t="str">
        <f t="shared" si="152"/>
        <v/>
      </c>
      <c r="L526" s="204" t="str">
        <f t="shared" si="153"/>
        <v/>
      </c>
      <c r="M526" s="76" t="str">
        <f t="shared" si="154"/>
        <v/>
      </c>
      <c r="N526" s="206">
        <f t="shared" si="155"/>
        <v>0</v>
      </c>
      <c r="O526" s="206">
        <f t="shared" si="156"/>
        <v>0</v>
      </c>
      <c r="P526" s="206">
        <f t="shared" si="157"/>
        <v>0</v>
      </c>
      <c r="Q526" s="206">
        <f t="shared" si="158"/>
        <v>0</v>
      </c>
      <c r="X526" s="71" t="str">
        <f t="shared" si="149"/>
        <v/>
      </c>
      <c r="Y526">
        <f t="shared" si="145"/>
        <v>0</v>
      </c>
      <c r="Z526">
        <f t="shared" si="146"/>
        <v>0</v>
      </c>
      <c r="AA526">
        <f t="shared" si="147"/>
        <v>0</v>
      </c>
      <c r="AB526">
        <f t="shared" si="148"/>
        <v>0</v>
      </c>
      <c r="AD526" s="204">
        <f t="shared" si="159"/>
        <v>0</v>
      </c>
      <c r="AE526" s="204">
        <f t="shared" si="160"/>
        <v>0</v>
      </c>
      <c r="AF526" s="204">
        <f t="shared" si="161"/>
        <v>0</v>
      </c>
      <c r="AG526" s="204">
        <f t="shared" si="162"/>
        <v>0</v>
      </c>
    </row>
    <row r="527" spans="1:33" x14ac:dyDescent="0.3">
      <c r="A527" s="204"/>
      <c r="B527" s="205"/>
      <c r="C527" s="205"/>
      <c r="D527" s="205"/>
      <c r="E527" s="205"/>
      <c r="F527" s="204"/>
      <c r="G527" s="204"/>
      <c r="H527" s="204"/>
      <c r="I527" s="204" t="str">
        <f t="shared" si="150"/>
        <v/>
      </c>
      <c r="J527" s="204" t="str">
        <f t="shared" si="151"/>
        <v/>
      </c>
      <c r="K527" s="204" t="str">
        <f t="shared" si="152"/>
        <v/>
      </c>
      <c r="L527" s="204" t="str">
        <f t="shared" si="153"/>
        <v/>
      </c>
      <c r="M527" s="76" t="str">
        <f t="shared" si="154"/>
        <v/>
      </c>
      <c r="N527" s="206">
        <f t="shared" si="155"/>
        <v>0</v>
      </c>
      <c r="O527" s="206">
        <f t="shared" si="156"/>
        <v>0</v>
      </c>
      <c r="P527" s="206">
        <f t="shared" si="157"/>
        <v>0</v>
      </c>
      <c r="Q527" s="206">
        <f t="shared" si="158"/>
        <v>0</v>
      </c>
      <c r="X527" s="71" t="str">
        <f t="shared" si="149"/>
        <v/>
      </c>
      <c r="Y527">
        <f t="shared" si="145"/>
        <v>0</v>
      </c>
      <c r="Z527">
        <f t="shared" si="146"/>
        <v>0</v>
      </c>
      <c r="AA527">
        <f t="shared" si="147"/>
        <v>0</v>
      </c>
      <c r="AB527">
        <f t="shared" si="148"/>
        <v>0</v>
      </c>
      <c r="AD527" s="204">
        <f t="shared" si="159"/>
        <v>0</v>
      </c>
      <c r="AE527" s="204">
        <f t="shared" si="160"/>
        <v>0</v>
      </c>
      <c r="AF527" s="204">
        <f t="shared" si="161"/>
        <v>0</v>
      </c>
      <c r="AG527" s="204">
        <f t="shared" si="162"/>
        <v>0</v>
      </c>
    </row>
    <row r="528" spans="1:33" x14ac:dyDescent="0.3">
      <c r="A528" s="204"/>
      <c r="B528" s="205"/>
      <c r="C528" s="205"/>
      <c r="D528" s="205"/>
      <c r="E528" s="205"/>
      <c r="F528" s="204"/>
      <c r="G528" s="204"/>
      <c r="H528" s="204"/>
      <c r="I528" s="204" t="str">
        <f t="shared" si="150"/>
        <v/>
      </c>
      <c r="J528" s="204" t="str">
        <f t="shared" si="151"/>
        <v/>
      </c>
      <c r="K528" s="204" t="str">
        <f t="shared" si="152"/>
        <v/>
      </c>
      <c r="L528" s="204" t="str">
        <f t="shared" si="153"/>
        <v/>
      </c>
      <c r="M528" s="76" t="str">
        <f t="shared" si="154"/>
        <v/>
      </c>
      <c r="N528" s="206">
        <f t="shared" si="155"/>
        <v>0</v>
      </c>
      <c r="O528" s="206">
        <f t="shared" si="156"/>
        <v>0</v>
      </c>
      <c r="P528" s="206">
        <f t="shared" si="157"/>
        <v>0</v>
      </c>
      <c r="Q528" s="206">
        <f t="shared" si="158"/>
        <v>0</v>
      </c>
      <c r="X528" s="71" t="str">
        <f t="shared" si="149"/>
        <v/>
      </c>
      <c r="Y528">
        <f t="shared" si="145"/>
        <v>0</v>
      </c>
      <c r="Z528">
        <f t="shared" si="146"/>
        <v>0</v>
      </c>
      <c r="AA528">
        <f t="shared" si="147"/>
        <v>0</v>
      </c>
      <c r="AB528">
        <f t="shared" si="148"/>
        <v>0</v>
      </c>
      <c r="AD528" s="204">
        <f t="shared" si="159"/>
        <v>0</v>
      </c>
      <c r="AE528" s="204">
        <f t="shared" si="160"/>
        <v>0</v>
      </c>
      <c r="AF528" s="204">
        <f t="shared" si="161"/>
        <v>0</v>
      </c>
      <c r="AG528" s="204">
        <f t="shared" si="162"/>
        <v>0</v>
      </c>
    </row>
    <row r="529" spans="1:33" x14ac:dyDescent="0.3">
      <c r="A529" s="204"/>
      <c r="B529" s="205"/>
      <c r="C529" s="205"/>
      <c r="D529" s="205"/>
      <c r="E529" s="205"/>
      <c r="F529" s="204"/>
      <c r="G529" s="204"/>
      <c r="H529" s="204"/>
      <c r="I529" s="204" t="str">
        <f t="shared" si="150"/>
        <v/>
      </c>
      <c r="J529" s="204" t="str">
        <f t="shared" si="151"/>
        <v/>
      </c>
      <c r="K529" s="204" t="str">
        <f t="shared" si="152"/>
        <v/>
      </c>
      <c r="L529" s="204" t="str">
        <f t="shared" si="153"/>
        <v/>
      </c>
      <c r="M529" s="76" t="str">
        <f t="shared" si="154"/>
        <v/>
      </c>
      <c r="N529" s="206">
        <f t="shared" si="155"/>
        <v>0</v>
      </c>
      <c r="O529" s="206">
        <f t="shared" si="156"/>
        <v>0</v>
      </c>
      <c r="P529" s="206">
        <f t="shared" si="157"/>
        <v>0</v>
      </c>
      <c r="Q529" s="206">
        <f t="shared" si="158"/>
        <v>0</v>
      </c>
      <c r="X529" s="71" t="str">
        <f t="shared" si="149"/>
        <v/>
      </c>
      <c r="Y529">
        <f t="shared" si="145"/>
        <v>0</v>
      </c>
      <c r="Z529">
        <f t="shared" si="146"/>
        <v>0</v>
      </c>
      <c r="AA529">
        <f t="shared" si="147"/>
        <v>0</v>
      </c>
      <c r="AB529">
        <f t="shared" si="148"/>
        <v>0</v>
      </c>
      <c r="AD529" s="204">
        <f t="shared" si="159"/>
        <v>0</v>
      </c>
      <c r="AE529" s="204">
        <f t="shared" si="160"/>
        <v>0</v>
      </c>
      <c r="AF529" s="204">
        <f t="shared" si="161"/>
        <v>0</v>
      </c>
      <c r="AG529" s="204">
        <f t="shared" si="162"/>
        <v>0</v>
      </c>
    </row>
    <row r="530" spans="1:33" x14ac:dyDescent="0.3">
      <c r="A530" s="204"/>
      <c r="B530" s="205"/>
      <c r="C530" s="205"/>
      <c r="D530" s="205"/>
      <c r="E530" s="205"/>
      <c r="F530" s="204"/>
      <c r="G530" s="204"/>
      <c r="H530" s="204"/>
      <c r="I530" s="204" t="str">
        <f t="shared" si="150"/>
        <v/>
      </c>
      <c r="J530" s="204" t="str">
        <f t="shared" si="151"/>
        <v/>
      </c>
      <c r="K530" s="204" t="str">
        <f t="shared" si="152"/>
        <v/>
      </c>
      <c r="L530" s="204" t="str">
        <f t="shared" si="153"/>
        <v/>
      </c>
      <c r="M530" s="76" t="str">
        <f t="shared" si="154"/>
        <v/>
      </c>
      <c r="N530" s="206">
        <f t="shared" si="155"/>
        <v>0</v>
      </c>
      <c r="O530" s="206">
        <f t="shared" si="156"/>
        <v>0</v>
      </c>
      <c r="P530" s="206">
        <f t="shared" si="157"/>
        <v>0</v>
      </c>
      <c r="Q530" s="206">
        <f t="shared" si="158"/>
        <v>0</v>
      </c>
      <c r="X530" s="71" t="str">
        <f t="shared" si="149"/>
        <v/>
      </c>
      <c r="Y530">
        <f t="shared" si="145"/>
        <v>0</v>
      </c>
      <c r="Z530">
        <f t="shared" si="146"/>
        <v>0</v>
      </c>
      <c r="AA530">
        <f t="shared" si="147"/>
        <v>0</v>
      </c>
      <c r="AB530">
        <f t="shared" si="148"/>
        <v>0</v>
      </c>
      <c r="AD530" s="204">
        <f t="shared" si="159"/>
        <v>0</v>
      </c>
      <c r="AE530" s="204">
        <f t="shared" si="160"/>
        <v>0</v>
      </c>
      <c r="AF530" s="204">
        <f t="shared" si="161"/>
        <v>0</v>
      </c>
      <c r="AG530" s="204">
        <f t="shared" si="162"/>
        <v>0</v>
      </c>
    </row>
    <row r="531" spans="1:33" x14ac:dyDescent="0.3">
      <c r="A531" s="204"/>
      <c r="B531" s="205"/>
      <c r="C531" s="205"/>
      <c r="D531" s="205"/>
      <c r="E531" s="205"/>
      <c r="F531" s="204"/>
      <c r="G531" s="204"/>
      <c r="H531" s="204"/>
      <c r="I531" s="204" t="str">
        <f t="shared" si="150"/>
        <v/>
      </c>
      <c r="J531" s="204" t="str">
        <f t="shared" si="151"/>
        <v/>
      </c>
      <c r="K531" s="204" t="str">
        <f t="shared" si="152"/>
        <v/>
      </c>
      <c r="L531" s="204" t="str">
        <f t="shared" si="153"/>
        <v/>
      </c>
      <c r="M531" s="76" t="str">
        <f t="shared" si="154"/>
        <v/>
      </c>
      <c r="N531" s="206">
        <f t="shared" si="155"/>
        <v>0</v>
      </c>
      <c r="O531" s="206">
        <f t="shared" si="156"/>
        <v>0</v>
      </c>
      <c r="P531" s="206">
        <f t="shared" si="157"/>
        <v>0</v>
      </c>
      <c r="Q531" s="206">
        <f t="shared" si="158"/>
        <v>0</v>
      </c>
      <c r="X531" s="71" t="str">
        <f t="shared" si="149"/>
        <v/>
      </c>
      <c r="Y531">
        <f t="shared" si="145"/>
        <v>0</v>
      </c>
      <c r="Z531">
        <f t="shared" si="146"/>
        <v>0</v>
      </c>
      <c r="AA531">
        <f t="shared" si="147"/>
        <v>0</v>
      </c>
      <c r="AB531">
        <f t="shared" si="148"/>
        <v>0</v>
      </c>
      <c r="AD531" s="204">
        <f t="shared" si="159"/>
        <v>0</v>
      </c>
      <c r="AE531" s="204">
        <f t="shared" si="160"/>
        <v>0</v>
      </c>
      <c r="AF531" s="204">
        <f t="shared" si="161"/>
        <v>0</v>
      </c>
      <c r="AG531" s="204">
        <f t="shared" si="162"/>
        <v>0</v>
      </c>
    </row>
    <row r="532" spans="1:33" x14ac:dyDescent="0.3">
      <c r="A532" s="204"/>
      <c r="B532" s="205"/>
      <c r="C532" s="205"/>
      <c r="D532" s="205"/>
      <c r="E532" s="205"/>
      <c r="F532" s="204"/>
      <c r="G532" s="204"/>
      <c r="H532" s="204"/>
      <c r="I532" s="204" t="str">
        <f t="shared" si="150"/>
        <v/>
      </c>
      <c r="J532" s="204" t="str">
        <f t="shared" si="151"/>
        <v/>
      </c>
      <c r="K532" s="204" t="str">
        <f t="shared" si="152"/>
        <v/>
      </c>
      <c r="L532" s="204" t="str">
        <f t="shared" si="153"/>
        <v/>
      </c>
      <c r="M532" s="76" t="str">
        <f t="shared" si="154"/>
        <v/>
      </c>
      <c r="N532" s="206">
        <f t="shared" si="155"/>
        <v>0</v>
      </c>
      <c r="O532" s="206">
        <f t="shared" si="156"/>
        <v>0</v>
      </c>
      <c r="P532" s="206">
        <f t="shared" si="157"/>
        <v>0</v>
      </c>
      <c r="Q532" s="206">
        <f t="shared" si="158"/>
        <v>0</v>
      </c>
      <c r="X532" s="71" t="str">
        <f t="shared" si="149"/>
        <v/>
      </c>
      <c r="Y532">
        <f t="shared" si="145"/>
        <v>0</v>
      </c>
      <c r="Z532">
        <f t="shared" si="146"/>
        <v>0</v>
      </c>
      <c r="AA532">
        <f t="shared" si="147"/>
        <v>0</v>
      </c>
      <c r="AB532">
        <f t="shared" si="148"/>
        <v>0</v>
      </c>
      <c r="AD532" s="204">
        <f t="shared" si="159"/>
        <v>0</v>
      </c>
      <c r="AE532" s="204">
        <f t="shared" si="160"/>
        <v>0</v>
      </c>
      <c r="AF532" s="204">
        <f t="shared" si="161"/>
        <v>0</v>
      </c>
      <c r="AG532" s="204">
        <f t="shared" si="162"/>
        <v>0</v>
      </c>
    </row>
    <row r="533" spans="1:33" x14ac:dyDescent="0.3">
      <c r="A533" s="204"/>
      <c r="B533" s="205"/>
      <c r="C533" s="205"/>
      <c r="D533" s="205"/>
      <c r="E533" s="205"/>
      <c r="F533" s="204"/>
      <c r="G533" s="204"/>
      <c r="H533" s="204"/>
      <c r="I533" s="204" t="str">
        <f t="shared" si="150"/>
        <v/>
      </c>
      <c r="J533" s="204" t="str">
        <f t="shared" si="151"/>
        <v/>
      </c>
      <c r="K533" s="204" t="str">
        <f t="shared" si="152"/>
        <v/>
      </c>
      <c r="L533" s="204" t="str">
        <f t="shared" si="153"/>
        <v/>
      </c>
      <c r="M533" s="76" t="str">
        <f t="shared" si="154"/>
        <v/>
      </c>
      <c r="N533" s="206">
        <f t="shared" si="155"/>
        <v>0</v>
      </c>
      <c r="O533" s="206">
        <f t="shared" si="156"/>
        <v>0</v>
      </c>
      <c r="P533" s="206">
        <f t="shared" si="157"/>
        <v>0</v>
      </c>
      <c r="Q533" s="206">
        <f t="shared" si="158"/>
        <v>0</v>
      </c>
      <c r="X533" s="71" t="str">
        <f t="shared" si="149"/>
        <v/>
      </c>
      <c r="Y533">
        <f t="shared" si="145"/>
        <v>0</v>
      </c>
      <c r="Z533">
        <f t="shared" si="146"/>
        <v>0</v>
      </c>
      <c r="AA533">
        <f t="shared" si="147"/>
        <v>0</v>
      </c>
      <c r="AB533">
        <f t="shared" si="148"/>
        <v>0</v>
      </c>
      <c r="AD533" s="204">
        <f t="shared" si="159"/>
        <v>0</v>
      </c>
      <c r="AE533" s="204">
        <f t="shared" si="160"/>
        <v>0</v>
      </c>
      <c r="AF533" s="204">
        <f t="shared" si="161"/>
        <v>0</v>
      </c>
      <c r="AG533" s="204">
        <f t="shared" si="162"/>
        <v>0</v>
      </c>
    </row>
    <row r="534" spans="1:33" x14ac:dyDescent="0.3">
      <c r="A534" s="204"/>
      <c r="B534" s="205"/>
      <c r="C534" s="205"/>
      <c r="D534" s="205"/>
      <c r="E534" s="205"/>
      <c r="F534" s="204"/>
      <c r="G534" s="204"/>
      <c r="H534" s="204"/>
      <c r="I534" s="204" t="str">
        <f t="shared" si="150"/>
        <v/>
      </c>
      <c r="J534" s="204" t="str">
        <f t="shared" si="151"/>
        <v/>
      </c>
      <c r="K534" s="204" t="str">
        <f t="shared" si="152"/>
        <v/>
      </c>
      <c r="L534" s="204" t="str">
        <f t="shared" si="153"/>
        <v/>
      </c>
      <c r="M534" s="76" t="str">
        <f t="shared" si="154"/>
        <v/>
      </c>
      <c r="N534" s="206">
        <f t="shared" si="155"/>
        <v>0</v>
      </c>
      <c r="O534" s="206">
        <f t="shared" si="156"/>
        <v>0</v>
      </c>
      <c r="P534" s="206">
        <f t="shared" si="157"/>
        <v>0</v>
      </c>
      <c r="Q534" s="206">
        <f t="shared" si="158"/>
        <v>0</v>
      </c>
      <c r="X534" s="71" t="str">
        <f t="shared" si="149"/>
        <v/>
      </c>
      <c r="Y534">
        <f t="shared" si="145"/>
        <v>0</v>
      </c>
      <c r="Z534">
        <f t="shared" si="146"/>
        <v>0</v>
      </c>
      <c r="AA534">
        <f t="shared" si="147"/>
        <v>0</v>
      </c>
      <c r="AB534">
        <f t="shared" si="148"/>
        <v>0</v>
      </c>
      <c r="AD534" s="204">
        <f t="shared" si="159"/>
        <v>0</v>
      </c>
      <c r="AE534" s="204">
        <f t="shared" si="160"/>
        <v>0</v>
      </c>
      <c r="AF534" s="204">
        <f t="shared" si="161"/>
        <v>0</v>
      </c>
      <c r="AG534" s="204">
        <f t="shared" si="162"/>
        <v>0</v>
      </c>
    </row>
    <row r="535" spans="1:33" x14ac:dyDescent="0.3">
      <c r="A535" s="204"/>
      <c r="B535" s="205"/>
      <c r="C535" s="205"/>
      <c r="D535" s="205"/>
      <c r="E535" s="205"/>
      <c r="F535" s="204"/>
      <c r="G535" s="204"/>
      <c r="H535" s="204"/>
      <c r="I535" s="204" t="str">
        <f t="shared" si="150"/>
        <v/>
      </c>
      <c r="J535" s="204" t="str">
        <f t="shared" si="151"/>
        <v/>
      </c>
      <c r="K535" s="204" t="str">
        <f t="shared" si="152"/>
        <v/>
      </c>
      <c r="L535" s="204" t="str">
        <f t="shared" si="153"/>
        <v/>
      </c>
      <c r="M535" s="76" t="str">
        <f t="shared" si="154"/>
        <v/>
      </c>
      <c r="N535" s="206">
        <f t="shared" si="155"/>
        <v>0</v>
      </c>
      <c r="O535" s="206">
        <f t="shared" si="156"/>
        <v>0</v>
      </c>
      <c r="P535" s="206">
        <f t="shared" si="157"/>
        <v>0</v>
      </c>
      <c r="Q535" s="206">
        <f t="shared" si="158"/>
        <v>0</v>
      </c>
      <c r="X535" s="71" t="str">
        <f t="shared" si="149"/>
        <v/>
      </c>
      <c r="Y535">
        <f t="shared" si="145"/>
        <v>0</v>
      </c>
      <c r="Z535">
        <f t="shared" si="146"/>
        <v>0</v>
      </c>
      <c r="AA535">
        <f t="shared" si="147"/>
        <v>0</v>
      </c>
      <c r="AB535">
        <f t="shared" si="148"/>
        <v>0</v>
      </c>
      <c r="AD535" s="204">
        <f t="shared" si="159"/>
        <v>0</v>
      </c>
      <c r="AE535" s="204">
        <f t="shared" si="160"/>
        <v>0</v>
      </c>
      <c r="AF535" s="204">
        <f t="shared" si="161"/>
        <v>0</v>
      </c>
      <c r="AG535" s="204">
        <f t="shared" si="162"/>
        <v>0</v>
      </c>
    </row>
    <row r="536" spans="1:33" x14ac:dyDescent="0.3">
      <c r="A536" s="204"/>
      <c r="B536" s="205"/>
      <c r="C536" s="205"/>
      <c r="D536" s="205"/>
      <c r="E536" s="205"/>
      <c r="F536" s="204"/>
      <c r="G536" s="204"/>
      <c r="H536" s="204"/>
      <c r="I536" s="204" t="str">
        <f t="shared" si="150"/>
        <v/>
      </c>
      <c r="J536" s="204" t="str">
        <f t="shared" si="151"/>
        <v/>
      </c>
      <c r="K536" s="204" t="str">
        <f t="shared" si="152"/>
        <v/>
      </c>
      <c r="L536" s="204" t="str">
        <f t="shared" si="153"/>
        <v/>
      </c>
      <c r="M536" s="76" t="str">
        <f t="shared" si="154"/>
        <v/>
      </c>
      <c r="N536" s="206">
        <f t="shared" si="155"/>
        <v>0</v>
      </c>
      <c r="O536" s="206">
        <f t="shared" si="156"/>
        <v>0</v>
      </c>
      <c r="P536" s="206">
        <f t="shared" si="157"/>
        <v>0</v>
      </c>
      <c r="Q536" s="206">
        <f t="shared" si="158"/>
        <v>0</v>
      </c>
      <c r="X536" s="71" t="str">
        <f t="shared" si="149"/>
        <v/>
      </c>
      <c r="Y536">
        <f t="shared" si="145"/>
        <v>0</v>
      </c>
      <c r="Z536">
        <f t="shared" si="146"/>
        <v>0</v>
      </c>
      <c r="AA536">
        <f t="shared" si="147"/>
        <v>0</v>
      </c>
      <c r="AB536">
        <f t="shared" si="148"/>
        <v>0</v>
      </c>
      <c r="AD536" s="204">
        <f t="shared" si="159"/>
        <v>0</v>
      </c>
      <c r="AE536" s="204">
        <f t="shared" si="160"/>
        <v>0</v>
      </c>
      <c r="AF536" s="204">
        <f t="shared" si="161"/>
        <v>0</v>
      </c>
      <c r="AG536" s="204">
        <f t="shared" si="162"/>
        <v>0</v>
      </c>
    </row>
    <row r="537" spans="1:33" x14ac:dyDescent="0.3">
      <c r="A537" s="204"/>
      <c r="B537" s="205"/>
      <c r="C537" s="205"/>
      <c r="D537" s="205"/>
      <c r="E537" s="205"/>
      <c r="F537" s="204"/>
      <c r="G537" s="204"/>
      <c r="H537" s="204"/>
      <c r="I537" s="204" t="str">
        <f t="shared" si="150"/>
        <v/>
      </c>
      <c r="J537" s="204" t="str">
        <f t="shared" si="151"/>
        <v/>
      </c>
      <c r="K537" s="204" t="str">
        <f t="shared" si="152"/>
        <v/>
      </c>
      <c r="L537" s="204" t="str">
        <f t="shared" si="153"/>
        <v/>
      </c>
      <c r="M537" s="76" t="str">
        <f t="shared" si="154"/>
        <v/>
      </c>
      <c r="N537" s="206">
        <f t="shared" si="155"/>
        <v>0</v>
      </c>
      <c r="O537" s="206">
        <f t="shared" si="156"/>
        <v>0</v>
      </c>
      <c r="P537" s="206">
        <f t="shared" si="157"/>
        <v>0</v>
      </c>
      <c r="Q537" s="206">
        <f t="shared" si="158"/>
        <v>0</v>
      </c>
      <c r="X537" s="71" t="str">
        <f t="shared" si="149"/>
        <v/>
      </c>
      <c r="Y537">
        <f t="shared" si="145"/>
        <v>0</v>
      </c>
      <c r="Z537">
        <f t="shared" si="146"/>
        <v>0</v>
      </c>
      <c r="AA537">
        <f t="shared" si="147"/>
        <v>0</v>
      </c>
      <c r="AB537">
        <f t="shared" si="148"/>
        <v>0</v>
      </c>
      <c r="AD537" s="204">
        <f t="shared" si="159"/>
        <v>0</v>
      </c>
      <c r="AE537" s="204">
        <f t="shared" si="160"/>
        <v>0</v>
      </c>
      <c r="AF537" s="204">
        <f t="shared" si="161"/>
        <v>0</v>
      </c>
      <c r="AG537" s="204">
        <f t="shared" si="162"/>
        <v>0</v>
      </c>
    </row>
    <row r="538" spans="1:33" x14ac:dyDescent="0.3">
      <c r="A538" s="204"/>
      <c r="B538" s="205"/>
      <c r="C538" s="205"/>
      <c r="D538" s="205"/>
      <c r="E538" s="205"/>
      <c r="F538" s="204"/>
      <c r="G538" s="204"/>
      <c r="H538" s="204"/>
      <c r="I538" s="204" t="str">
        <f t="shared" si="150"/>
        <v/>
      </c>
      <c r="J538" s="204" t="str">
        <f t="shared" si="151"/>
        <v/>
      </c>
      <c r="K538" s="204" t="str">
        <f t="shared" si="152"/>
        <v/>
      </c>
      <c r="L538" s="204" t="str">
        <f t="shared" si="153"/>
        <v/>
      </c>
      <c r="M538" s="76" t="str">
        <f t="shared" si="154"/>
        <v/>
      </c>
      <c r="N538" s="206">
        <f t="shared" si="155"/>
        <v>0</v>
      </c>
      <c r="O538" s="206">
        <f t="shared" si="156"/>
        <v>0</v>
      </c>
      <c r="P538" s="206">
        <f t="shared" si="157"/>
        <v>0</v>
      </c>
      <c r="Q538" s="206">
        <f t="shared" si="158"/>
        <v>0</v>
      </c>
      <c r="X538" s="71" t="str">
        <f t="shared" si="149"/>
        <v/>
      </c>
      <c r="Y538">
        <f t="shared" si="145"/>
        <v>0</v>
      </c>
      <c r="Z538">
        <f t="shared" si="146"/>
        <v>0</v>
      </c>
      <c r="AA538">
        <f t="shared" si="147"/>
        <v>0</v>
      </c>
      <c r="AB538">
        <f t="shared" si="148"/>
        <v>0</v>
      </c>
      <c r="AD538" s="204">
        <f t="shared" si="159"/>
        <v>0</v>
      </c>
      <c r="AE538" s="204">
        <f t="shared" si="160"/>
        <v>0</v>
      </c>
      <c r="AF538" s="204">
        <f t="shared" si="161"/>
        <v>0</v>
      </c>
      <c r="AG538" s="204">
        <f t="shared" si="162"/>
        <v>0</v>
      </c>
    </row>
    <row r="539" spans="1:33" x14ac:dyDescent="0.3">
      <c r="A539" s="204"/>
      <c r="B539" s="205"/>
      <c r="C539" s="205"/>
      <c r="D539" s="205"/>
      <c r="E539" s="205"/>
      <c r="F539" s="204"/>
      <c r="G539" s="204"/>
      <c r="H539" s="204"/>
      <c r="I539" s="204" t="str">
        <f t="shared" si="150"/>
        <v/>
      </c>
      <c r="J539" s="204" t="str">
        <f t="shared" si="151"/>
        <v/>
      </c>
      <c r="K539" s="204" t="str">
        <f t="shared" si="152"/>
        <v/>
      </c>
      <c r="L539" s="204" t="str">
        <f t="shared" si="153"/>
        <v/>
      </c>
      <c r="M539" s="76" t="str">
        <f t="shared" si="154"/>
        <v/>
      </c>
      <c r="N539" s="206">
        <f t="shared" si="155"/>
        <v>0</v>
      </c>
      <c r="O539" s="206">
        <f t="shared" si="156"/>
        <v>0</v>
      </c>
      <c r="P539" s="206">
        <f t="shared" si="157"/>
        <v>0</v>
      </c>
      <c r="Q539" s="206">
        <f t="shared" si="158"/>
        <v>0</v>
      </c>
      <c r="X539" s="71" t="str">
        <f t="shared" si="149"/>
        <v/>
      </c>
      <c r="Y539">
        <f t="shared" si="145"/>
        <v>0</v>
      </c>
      <c r="Z539">
        <f t="shared" si="146"/>
        <v>0</v>
      </c>
      <c r="AA539">
        <f t="shared" si="147"/>
        <v>0</v>
      </c>
      <c r="AB539">
        <f t="shared" si="148"/>
        <v>0</v>
      </c>
      <c r="AD539" s="204">
        <f t="shared" si="159"/>
        <v>0</v>
      </c>
      <c r="AE539" s="204">
        <f t="shared" si="160"/>
        <v>0</v>
      </c>
      <c r="AF539" s="204">
        <f t="shared" si="161"/>
        <v>0</v>
      </c>
      <c r="AG539" s="204">
        <f t="shared" si="162"/>
        <v>0</v>
      </c>
    </row>
    <row r="540" spans="1:33" x14ac:dyDescent="0.3">
      <c r="A540" s="204"/>
      <c r="B540" s="205"/>
      <c r="C540" s="205"/>
      <c r="D540" s="205"/>
      <c r="E540" s="205"/>
      <c r="F540" s="204"/>
      <c r="G540" s="204"/>
      <c r="H540" s="204"/>
      <c r="I540" s="204" t="str">
        <f t="shared" si="150"/>
        <v/>
      </c>
      <c r="J540" s="204" t="str">
        <f t="shared" si="151"/>
        <v/>
      </c>
      <c r="K540" s="204" t="str">
        <f t="shared" si="152"/>
        <v/>
      </c>
      <c r="L540" s="204" t="str">
        <f t="shared" si="153"/>
        <v/>
      </c>
      <c r="M540" s="76" t="str">
        <f t="shared" si="154"/>
        <v/>
      </c>
      <c r="N540" s="206">
        <f t="shared" si="155"/>
        <v>0</v>
      </c>
      <c r="O540" s="206">
        <f t="shared" si="156"/>
        <v>0</v>
      </c>
      <c r="P540" s="206">
        <f t="shared" si="157"/>
        <v>0</v>
      </c>
      <c r="Q540" s="206">
        <f t="shared" si="158"/>
        <v>0</v>
      </c>
      <c r="X540" s="71" t="str">
        <f t="shared" si="149"/>
        <v/>
      </c>
      <c r="Y540">
        <f t="shared" si="145"/>
        <v>0</v>
      </c>
      <c r="Z540">
        <f t="shared" si="146"/>
        <v>0</v>
      </c>
      <c r="AA540">
        <f t="shared" si="147"/>
        <v>0</v>
      </c>
      <c r="AB540">
        <f t="shared" si="148"/>
        <v>0</v>
      </c>
      <c r="AD540" s="204">
        <f t="shared" si="159"/>
        <v>0</v>
      </c>
      <c r="AE540" s="204">
        <f t="shared" si="160"/>
        <v>0</v>
      </c>
      <c r="AF540" s="204">
        <f t="shared" si="161"/>
        <v>0</v>
      </c>
      <c r="AG540" s="204">
        <f t="shared" si="162"/>
        <v>0</v>
      </c>
    </row>
    <row r="541" spans="1:33" x14ac:dyDescent="0.3">
      <c r="A541" s="204"/>
      <c r="B541" s="205"/>
      <c r="C541" s="205"/>
      <c r="D541" s="205"/>
      <c r="E541" s="205"/>
      <c r="F541" s="204"/>
      <c r="G541" s="204"/>
      <c r="H541" s="204"/>
      <c r="I541" s="204" t="str">
        <f t="shared" si="150"/>
        <v/>
      </c>
      <c r="J541" s="204" t="str">
        <f t="shared" si="151"/>
        <v/>
      </c>
      <c r="K541" s="204" t="str">
        <f t="shared" si="152"/>
        <v/>
      </c>
      <c r="L541" s="204" t="str">
        <f t="shared" si="153"/>
        <v/>
      </c>
      <c r="M541" s="76" t="str">
        <f t="shared" si="154"/>
        <v/>
      </c>
      <c r="N541" s="206">
        <f t="shared" si="155"/>
        <v>0</v>
      </c>
      <c r="O541" s="206">
        <f t="shared" si="156"/>
        <v>0</v>
      </c>
      <c r="P541" s="206">
        <f t="shared" si="157"/>
        <v>0</v>
      </c>
      <c r="Q541" s="206">
        <f t="shared" si="158"/>
        <v>0</v>
      </c>
    </row>
    <row r="542" spans="1:33" x14ac:dyDescent="0.3">
      <c r="A542" s="204"/>
      <c r="B542" s="205"/>
      <c r="C542" s="205"/>
      <c r="D542" s="205"/>
      <c r="E542" s="205"/>
      <c r="F542" s="204"/>
      <c r="G542" s="204"/>
      <c r="H542" s="204"/>
      <c r="I542" s="204" t="str">
        <f t="shared" si="150"/>
        <v/>
      </c>
      <c r="J542" s="204" t="str">
        <f t="shared" si="151"/>
        <v/>
      </c>
      <c r="K542" s="204" t="str">
        <f t="shared" si="152"/>
        <v/>
      </c>
      <c r="L542" s="204" t="str">
        <f t="shared" si="153"/>
        <v/>
      </c>
      <c r="M542" s="76" t="str">
        <f t="shared" si="154"/>
        <v/>
      </c>
      <c r="N542" s="206">
        <f t="shared" si="155"/>
        <v>0</v>
      </c>
      <c r="O542" s="206">
        <f t="shared" si="156"/>
        <v>0</v>
      </c>
      <c r="P542" s="206">
        <f t="shared" si="157"/>
        <v>0</v>
      </c>
      <c r="Q542" s="206">
        <f t="shared" si="158"/>
        <v>0</v>
      </c>
    </row>
    <row r="543" spans="1:33" x14ac:dyDescent="0.3">
      <c r="A543" s="204"/>
      <c r="B543" s="205"/>
      <c r="C543" s="205"/>
      <c r="D543" s="205"/>
      <c r="E543" s="205"/>
      <c r="F543" s="204"/>
      <c r="G543" s="204"/>
      <c r="H543" s="204"/>
      <c r="I543" s="204" t="str">
        <f t="shared" si="150"/>
        <v/>
      </c>
      <c r="J543" s="204" t="str">
        <f t="shared" si="151"/>
        <v/>
      </c>
      <c r="K543" s="204" t="str">
        <f t="shared" si="152"/>
        <v/>
      </c>
      <c r="L543" s="204" t="str">
        <f t="shared" si="153"/>
        <v/>
      </c>
      <c r="M543" s="76" t="str">
        <f t="shared" si="154"/>
        <v/>
      </c>
      <c r="N543" s="206">
        <f t="shared" si="155"/>
        <v>0</v>
      </c>
      <c r="O543" s="206">
        <f t="shared" si="156"/>
        <v>0</v>
      </c>
      <c r="P543" s="206">
        <f t="shared" si="157"/>
        <v>0</v>
      </c>
      <c r="Q543" s="206">
        <f t="shared" si="158"/>
        <v>0</v>
      </c>
    </row>
    <row r="544" spans="1:33" x14ac:dyDescent="0.3">
      <c r="A544" s="204"/>
      <c r="B544" s="205"/>
      <c r="C544" s="205"/>
      <c r="D544" s="205"/>
      <c r="E544" s="205"/>
      <c r="F544" s="204"/>
      <c r="G544" s="204"/>
      <c r="H544" s="204"/>
      <c r="I544" s="204" t="str">
        <f t="shared" si="150"/>
        <v/>
      </c>
      <c r="J544" s="204" t="str">
        <f t="shared" si="151"/>
        <v/>
      </c>
      <c r="K544" s="204" t="str">
        <f t="shared" si="152"/>
        <v/>
      </c>
      <c r="L544" s="204" t="str">
        <f t="shared" si="153"/>
        <v/>
      </c>
      <c r="M544" s="76" t="str">
        <f t="shared" si="154"/>
        <v/>
      </c>
      <c r="N544" s="206">
        <f t="shared" si="155"/>
        <v>0</v>
      </c>
      <c r="O544" s="206">
        <f t="shared" si="156"/>
        <v>0</v>
      </c>
      <c r="P544" s="206">
        <f t="shared" si="157"/>
        <v>0</v>
      </c>
      <c r="Q544" s="206">
        <f t="shared" si="158"/>
        <v>0</v>
      </c>
    </row>
    <row r="545" spans="1:17" x14ac:dyDescent="0.3">
      <c r="A545" s="204"/>
      <c r="B545" s="205"/>
      <c r="C545" s="205"/>
      <c r="D545" s="205"/>
      <c r="E545" s="205"/>
      <c r="F545" s="204"/>
      <c r="G545" s="204"/>
      <c r="H545" s="204"/>
      <c r="I545" s="204" t="str">
        <f t="shared" si="150"/>
        <v/>
      </c>
      <c r="J545" s="204" t="str">
        <f t="shared" si="151"/>
        <v/>
      </c>
      <c r="K545" s="204" t="str">
        <f t="shared" si="152"/>
        <v/>
      </c>
      <c r="L545" s="204" t="str">
        <f t="shared" si="153"/>
        <v/>
      </c>
      <c r="M545" s="76" t="str">
        <f t="shared" si="154"/>
        <v/>
      </c>
      <c r="N545" s="206">
        <f t="shared" si="155"/>
        <v>0</v>
      </c>
      <c r="O545" s="206">
        <f t="shared" si="156"/>
        <v>0</v>
      </c>
      <c r="P545" s="206">
        <f t="shared" si="157"/>
        <v>0</v>
      </c>
      <c r="Q545" s="206">
        <f t="shared" si="158"/>
        <v>0</v>
      </c>
    </row>
    <row r="546" spans="1:17" x14ac:dyDescent="0.3">
      <c r="A546" s="204"/>
      <c r="B546" s="205"/>
      <c r="C546" s="205"/>
      <c r="D546" s="205"/>
      <c r="E546" s="205"/>
      <c r="F546" s="204"/>
      <c r="G546" s="204"/>
      <c r="H546" s="204"/>
      <c r="I546" s="204" t="str">
        <f t="shared" si="150"/>
        <v/>
      </c>
      <c r="J546" s="204" t="str">
        <f t="shared" si="151"/>
        <v/>
      </c>
      <c r="K546" s="204" t="str">
        <f t="shared" si="152"/>
        <v/>
      </c>
      <c r="L546" s="204" t="str">
        <f t="shared" si="153"/>
        <v/>
      </c>
      <c r="M546" s="76" t="str">
        <f t="shared" si="154"/>
        <v/>
      </c>
      <c r="N546" s="206">
        <f t="shared" si="155"/>
        <v>0</v>
      </c>
      <c r="O546" s="206">
        <f t="shared" si="156"/>
        <v>0</v>
      </c>
      <c r="P546" s="206">
        <f t="shared" si="157"/>
        <v>0</v>
      </c>
      <c r="Q546" s="206">
        <f t="shared" si="158"/>
        <v>0</v>
      </c>
    </row>
    <row r="547" spans="1:17" x14ac:dyDescent="0.3">
      <c r="A547" s="204"/>
      <c r="B547" s="205"/>
      <c r="C547" s="205"/>
      <c r="D547" s="205"/>
      <c r="E547" s="205"/>
      <c r="F547" s="204"/>
      <c r="G547" s="204"/>
      <c r="H547" s="204"/>
      <c r="I547" s="204" t="str">
        <f t="shared" si="150"/>
        <v/>
      </c>
      <c r="J547" s="204" t="str">
        <f t="shared" si="151"/>
        <v/>
      </c>
      <c r="K547" s="204" t="str">
        <f t="shared" si="152"/>
        <v/>
      </c>
      <c r="L547" s="204" t="str">
        <f t="shared" si="153"/>
        <v/>
      </c>
      <c r="M547" s="76" t="str">
        <f t="shared" si="154"/>
        <v/>
      </c>
      <c r="N547" s="206">
        <f t="shared" si="155"/>
        <v>0</v>
      </c>
      <c r="O547" s="206">
        <f t="shared" si="156"/>
        <v>0</v>
      </c>
      <c r="P547" s="206">
        <f t="shared" si="157"/>
        <v>0</v>
      </c>
      <c r="Q547" s="206">
        <f t="shared" si="158"/>
        <v>0</v>
      </c>
    </row>
    <row r="548" spans="1:17" x14ac:dyDescent="0.3">
      <c r="A548" s="204"/>
      <c r="B548" s="205"/>
      <c r="C548" s="205"/>
      <c r="D548" s="205"/>
      <c r="E548" s="205"/>
      <c r="F548" s="204"/>
      <c r="G548" s="204"/>
      <c r="H548" s="204"/>
      <c r="I548" s="204" t="str">
        <f t="shared" si="150"/>
        <v/>
      </c>
      <c r="J548" s="204" t="str">
        <f t="shared" si="151"/>
        <v/>
      </c>
      <c r="K548" s="204" t="str">
        <f t="shared" si="152"/>
        <v/>
      </c>
      <c r="L548" s="204" t="str">
        <f t="shared" si="153"/>
        <v/>
      </c>
      <c r="M548" s="76" t="str">
        <f t="shared" si="154"/>
        <v/>
      </c>
      <c r="N548" s="206">
        <f t="shared" si="155"/>
        <v>0</v>
      </c>
      <c r="O548" s="206">
        <f t="shared" si="156"/>
        <v>0</v>
      </c>
      <c r="P548" s="206">
        <f t="shared" si="157"/>
        <v>0</v>
      </c>
      <c r="Q548" s="206">
        <f t="shared" si="158"/>
        <v>0</v>
      </c>
    </row>
    <row r="549" spans="1:17" x14ac:dyDescent="0.3">
      <c r="A549" s="204"/>
      <c r="B549" s="205"/>
      <c r="C549" s="205"/>
      <c r="D549" s="205"/>
      <c r="E549" s="205"/>
      <c r="F549" s="204"/>
      <c r="G549" s="204"/>
      <c r="H549" s="204"/>
      <c r="I549" s="204" t="str">
        <f t="shared" si="150"/>
        <v/>
      </c>
      <c r="J549" s="204" t="str">
        <f t="shared" si="151"/>
        <v/>
      </c>
      <c r="K549" s="204" t="str">
        <f t="shared" si="152"/>
        <v/>
      </c>
      <c r="L549" s="204" t="str">
        <f t="shared" si="153"/>
        <v/>
      </c>
      <c r="M549" s="76" t="str">
        <f t="shared" si="154"/>
        <v/>
      </c>
      <c r="N549" s="206">
        <f t="shared" si="155"/>
        <v>0</v>
      </c>
      <c r="O549" s="206">
        <f t="shared" si="156"/>
        <v>0</v>
      </c>
      <c r="P549" s="206">
        <f t="shared" si="157"/>
        <v>0</v>
      </c>
      <c r="Q549" s="206">
        <f t="shared" si="158"/>
        <v>0</v>
      </c>
    </row>
    <row r="550" spans="1:17" x14ac:dyDescent="0.3">
      <c r="A550" s="204"/>
      <c r="B550" s="205"/>
      <c r="C550" s="205"/>
      <c r="D550" s="205"/>
      <c r="E550" s="205"/>
      <c r="F550" s="204"/>
      <c r="G550" s="204"/>
      <c r="H550" s="204"/>
      <c r="I550" s="204" t="str">
        <f t="shared" si="150"/>
        <v/>
      </c>
      <c r="J550" s="204" t="str">
        <f t="shared" si="151"/>
        <v/>
      </c>
      <c r="K550" s="204" t="str">
        <f t="shared" si="152"/>
        <v/>
      </c>
      <c r="L550" s="204" t="str">
        <f t="shared" si="153"/>
        <v/>
      </c>
      <c r="M550" s="76" t="str">
        <f t="shared" si="154"/>
        <v/>
      </c>
      <c r="N550" s="206">
        <f t="shared" si="155"/>
        <v>0</v>
      </c>
      <c r="O550" s="206">
        <f t="shared" si="156"/>
        <v>0</v>
      </c>
      <c r="P550" s="206">
        <f t="shared" si="157"/>
        <v>0</v>
      </c>
      <c r="Q550" s="206">
        <f t="shared" si="158"/>
        <v>0</v>
      </c>
    </row>
    <row r="551" spans="1:17" x14ac:dyDescent="0.3">
      <c r="A551" s="204"/>
      <c r="B551" s="205"/>
      <c r="C551" s="205"/>
      <c r="D551" s="205"/>
      <c r="E551" s="205"/>
      <c r="F551" s="204"/>
      <c r="G551" s="204"/>
      <c r="H551" s="204"/>
      <c r="I551" s="204" t="str">
        <f t="shared" si="150"/>
        <v/>
      </c>
      <c r="J551" s="204" t="str">
        <f t="shared" si="151"/>
        <v/>
      </c>
      <c r="K551" s="204" t="str">
        <f t="shared" si="152"/>
        <v/>
      </c>
      <c r="L551" s="204" t="str">
        <f t="shared" si="153"/>
        <v/>
      </c>
      <c r="M551" s="76" t="str">
        <f t="shared" si="154"/>
        <v/>
      </c>
      <c r="N551" s="206">
        <f t="shared" si="155"/>
        <v>0</v>
      </c>
      <c r="O551" s="206">
        <f t="shared" si="156"/>
        <v>0</v>
      </c>
      <c r="P551" s="206">
        <f t="shared" si="157"/>
        <v>0</v>
      </c>
      <c r="Q551" s="206">
        <f t="shared" si="158"/>
        <v>0</v>
      </c>
    </row>
    <row r="552" spans="1:17" x14ac:dyDescent="0.3">
      <c r="A552" s="204"/>
      <c r="B552" s="205"/>
      <c r="C552" s="205"/>
      <c r="D552" s="205"/>
      <c r="E552" s="205"/>
      <c r="F552" s="204"/>
      <c r="G552" s="204"/>
      <c r="H552" s="204"/>
      <c r="I552" s="204" t="str">
        <f t="shared" si="150"/>
        <v/>
      </c>
      <c r="J552" s="204" t="str">
        <f t="shared" si="151"/>
        <v/>
      </c>
      <c r="K552" s="204" t="str">
        <f t="shared" si="152"/>
        <v/>
      </c>
      <c r="L552" s="204" t="str">
        <f t="shared" si="153"/>
        <v/>
      </c>
      <c r="M552" s="76" t="str">
        <f t="shared" si="154"/>
        <v/>
      </c>
      <c r="N552" s="206">
        <f t="shared" si="155"/>
        <v>0</v>
      </c>
      <c r="O552" s="206">
        <f t="shared" si="156"/>
        <v>0</v>
      </c>
      <c r="P552" s="206">
        <f t="shared" si="157"/>
        <v>0</v>
      </c>
      <c r="Q552" s="206">
        <f t="shared" si="158"/>
        <v>0</v>
      </c>
    </row>
    <row r="553" spans="1:17" x14ac:dyDescent="0.3">
      <c r="A553" s="204"/>
      <c r="B553" s="205"/>
      <c r="C553" s="205"/>
      <c r="D553" s="205"/>
      <c r="E553" s="205"/>
      <c r="F553" s="204"/>
      <c r="G553" s="204"/>
      <c r="H553" s="204"/>
      <c r="I553" s="204" t="str">
        <f t="shared" si="150"/>
        <v/>
      </c>
      <c r="J553" s="204" t="str">
        <f t="shared" si="151"/>
        <v/>
      </c>
      <c r="K553" s="204" t="str">
        <f t="shared" si="152"/>
        <v/>
      </c>
      <c r="L553" s="204" t="str">
        <f t="shared" si="153"/>
        <v/>
      </c>
      <c r="M553" s="76" t="str">
        <f t="shared" si="154"/>
        <v/>
      </c>
      <c r="N553" s="206">
        <f t="shared" si="155"/>
        <v>0</v>
      </c>
      <c r="O553" s="206">
        <f t="shared" si="156"/>
        <v>0</v>
      </c>
      <c r="P553" s="206">
        <f t="shared" si="157"/>
        <v>0</v>
      </c>
      <c r="Q553" s="206">
        <f t="shared" si="158"/>
        <v>0</v>
      </c>
    </row>
    <row r="554" spans="1:17" x14ac:dyDescent="0.3">
      <c r="A554" s="204"/>
      <c r="B554" s="205"/>
      <c r="C554" s="205"/>
      <c r="D554" s="205"/>
      <c r="E554" s="205"/>
      <c r="F554" s="204"/>
      <c r="G554" s="204"/>
      <c r="H554" s="204"/>
      <c r="I554" s="204" t="str">
        <f t="shared" si="150"/>
        <v/>
      </c>
      <c r="J554" s="204" t="str">
        <f t="shared" si="151"/>
        <v/>
      </c>
      <c r="K554" s="204" t="str">
        <f t="shared" si="152"/>
        <v/>
      </c>
      <c r="L554" s="204" t="str">
        <f t="shared" si="153"/>
        <v/>
      </c>
      <c r="M554" s="76" t="str">
        <f t="shared" si="154"/>
        <v/>
      </c>
      <c r="N554" s="206">
        <f t="shared" si="155"/>
        <v>0</v>
      </c>
      <c r="O554" s="206">
        <f t="shared" si="156"/>
        <v>0</v>
      </c>
      <c r="P554" s="206">
        <f t="shared" si="157"/>
        <v>0</v>
      </c>
      <c r="Q554" s="206">
        <f t="shared" si="158"/>
        <v>0</v>
      </c>
    </row>
    <row r="555" spans="1:17" x14ac:dyDescent="0.3">
      <c r="A555" s="204"/>
      <c r="B555" s="205"/>
      <c r="C555" s="205"/>
      <c r="D555" s="205"/>
      <c r="E555" s="205"/>
      <c r="F555" s="204"/>
      <c r="G555" s="204"/>
      <c r="H555" s="204"/>
      <c r="I555" s="204" t="str">
        <f t="shared" si="150"/>
        <v/>
      </c>
      <c r="J555" s="204" t="str">
        <f t="shared" si="151"/>
        <v/>
      </c>
      <c r="K555" s="204" t="str">
        <f t="shared" si="152"/>
        <v/>
      </c>
      <c r="L555" s="204" t="str">
        <f t="shared" si="153"/>
        <v/>
      </c>
      <c r="M555" s="76" t="str">
        <f t="shared" si="154"/>
        <v/>
      </c>
      <c r="N555" s="206">
        <f t="shared" si="155"/>
        <v>0</v>
      </c>
      <c r="O555" s="206">
        <f t="shared" si="156"/>
        <v>0</v>
      </c>
      <c r="P555" s="206">
        <f t="shared" si="157"/>
        <v>0</v>
      </c>
      <c r="Q555" s="206">
        <f t="shared" si="158"/>
        <v>0</v>
      </c>
    </row>
    <row r="556" spans="1:17" x14ac:dyDescent="0.3">
      <c r="A556" s="204"/>
      <c r="B556" s="205"/>
      <c r="C556" s="205"/>
      <c r="D556" s="205"/>
      <c r="E556" s="205"/>
      <c r="F556" s="204"/>
      <c r="G556" s="204"/>
      <c r="H556" s="204"/>
      <c r="I556" s="204" t="str">
        <f t="shared" si="150"/>
        <v/>
      </c>
      <c r="J556" s="204" t="str">
        <f t="shared" si="151"/>
        <v/>
      </c>
      <c r="K556" s="204" t="str">
        <f t="shared" si="152"/>
        <v/>
      </c>
      <c r="L556" s="204" t="str">
        <f t="shared" si="153"/>
        <v/>
      </c>
      <c r="M556" s="76" t="str">
        <f t="shared" si="154"/>
        <v/>
      </c>
      <c r="N556" s="206">
        <f t="shared" si="155"/>
        <v>0</v>
      </c>
      <c r="O556" s="206">
        <f t="shared" si="156"/>
        <v>0</v>
      </c>
      <c r="P556" s="206">
        <f t="shared" si="157"/>
        <v>0</v>
      </c>
      <c r="Q556" s="206">
        <f t="shared" si="158"/>
        <v>0</v>
      </c>
    </row>
    <row r="557" spans="1:17" x14ac:dyDescent="0.3">
      <c r="A557" s="204"/>
      <c r="B557" s="205"/>
      <c r="C557" s="205"/>
      <c r="D557" s="205"/>
      <c r="E557" s="205"/>
      <c r="F557" s="204"/>
      <c r="G557" s="204"/>
      <c r="H557" s="204"/>
      <c r="I557" s="204" t="str">
        <f t="shared" si="150"/>
        <v/>
      </c>
      <c r="J557" s="204" t="str">
        <f t="shared" si="151"/>
        <v/>
      </c>
      <c r="K557" s="204" t="str">
        <f t="shared" si="152"/>
        <v/>
      </c>
      <c r="L557" s="204" t="str">
        <f t="shared" si="153"/>
        <v/>
      </c>
      <c r="M557" s="76" t="str">
        <f t="shared" si="154"/>
        <v/>
      </c>
      <c r="N557" s="206">
        <f t="shared" si="155"/>
        <v>0</v>
      </c>
      <c r="O557" s="206">
        <f t="shared" si="156"/>
        <v>0</v>
      </c>
      <c r="P557" s="206">
        <f t="shared" si="157"/>
        <v>0</v>
      </c>
      <c r="Q557" s="206">
        <f t="shared" si="158"/>
        <v>0</v>
      </c>
    </row>
    <row r="558" spans="1:17" x14ac:dyDescent="0.3">
      <c r="A558" s="204"/>
      <c r="B558" s="205"/>
      <c r="C558" s="205"/>
      <c r="D558" s="205"/>
      <c r="E558" s="205"/>
      <c r="F558" s="204"/>
      <c r="G558" s="204"/>
      <c r="H558" s="204"/>
      <c r="I558" s="204" t="str">
        <f t="shared" si="150"/>
        <v/>
      </c>
      <c r="J558" s="204" t="str">
        <f t="shared" si="151"/>
        <v/>
      </c>
      <c r="K558" s="204" t="str">
        <f t="shared" si="152"/>
        <v/>
      </c>
      <c r="L558" s="204" t="str">
        <f t="shared" si="153"/>
        <v/>
      </c>
      <c r="M558" s="76" t="str">
        <f t="shared" si="154"/>
        <v/>
      </c>
      <c r="N558" s="206">
        <f t="shared" si="155"/>
        <v>0</v>
      </c>
      <c r="O558" s="206">
        <f t="shared" si="156"/>
        <v>0</v>
      </c>
      <c r="P558" s="206">
        <f t="shared" si="157"/>
        <v>0</v>
      </c>
      <c r="Q558" s="206">
        <f t="shared" si="158"/>
        <v>0</v>
      </c>
    </row>
    <row r="559" spans="1:17" x14ac:dyDescent="0.3">
      <c r="A559" s="204"/>
      <c r="B559" s="205"/>
      <c r="C559" s="205"/>
      <c r="D559" s="205"/>
      <c r="E559" s="205"/>
      <c r="F559" s="204"/>
      <c r="G559" s="204"/>
      <c r="H559" s="204"/>
      <c r="I559" s="204" t="str">
        <f t="shared" si="150"/>
        <v/>
      </c>
      <c r="J559" s="204" t="str">
        <f t="shared" si="151"/>
        <v/>
      </c>
      <c r="K559" s="204" t="str">
        <f t="shared" si="152"/>
        <v/>
      </c>
      <c r="L559" s="204" t="str">
        <f t="shared" si="153"/>
        <v/>
      </c>
      <c r="M559" s="76" t="str">
        <f t="shared" si="154"/>
        <v/>
      </c>
      <c r="N559" s="206">
        <f t="shared" si="155"/>
        <v>0</v>
      </c>
      <c r="O559" s="206">
        <f t="shared" si="156"/>
        <v>0</v>
      </c>
      <c r="P559" s="206">
        <f t="shared" si="157"/>
        <v>0</v>
      </c>
      <c r="Q559" s="206">
        <f t="shared" si="158"/>
        <v>0</v>
      </c>
    </row>
    <row r="560" spans="1:17" x14ac:dyDescent="0.3">
      <c r="A560" s="204"/>
      <c r="B560" s="205"/>
      <c r="C560" s="205"/>
      <c r="D560" s="205"/>
      <c r="E560" s="205"/>
      <c r="F560" s="204"/>
      <c r="G560" s="204"/>
      <c r="H560" s="204"/>
      <c r="I560" s="204" t="str">
        <f t="shared" si="150"/>
        <v/>
      </c>
      <c r="J560" s="204" t="str">
        <f t="shared" si="151"/>
        <v/>
      </c>
      <c r="K560" s="204" t="str">
        <f t="shared" si="152"/>
        <v/>
      </c>
      <c r="L560" s="204" t="str">
        <f t="shared" si="153"/>
        <v/>
      </c>
      <c r="M560" s="76" t="str">
        <f t="shared" si="154"/>
        <v/>
      </c>
      <c r="N560" s="206">
        <f t="shared" si="155"/>
        <v>0</v>
      </c>
      <c r="O560" s="206">
        <f t="shared" si="156"/>
        <v>0</v>
      </c>
      <c r="P560" s="206">
        <f t="shared" si="157"/>
        <v>0</v>
      </c>
      <c r="Q560" s="206">
        <f t="shared" si="158"/>
        <v>0</v>
      </c>
    </row>
    <row r="561" spans="1:17" x14ac:dyDescent="0.3">
      <c r="A561" s="204"/>
      <c r="B561" s="205"/>
      <c r="C561" s="205"/>
      <c r="D561" s="205"/>
      <c r="E561" s="205"/>
      <c r="F561" s="204"/>
      <c r="G561" s="204"/>
      <c r="H561" s="204"/>
      <c r="I561" s="204" t="str">
        <f t="shared" si="150"/>
        <v/>
      </c>
      <c r="J561" s="204" t="str">
        <f t="shared" si="151"/>
        <v/>
      </c>
      <c r="K561" s="204" t="str">
        <f t="shared" si="152"/>
        <v/>
      </c>
      <c r="L561" s="204" t="str">
        <f t="shared" si="153"/>
        <v/>
      </c>
      <c r="M561" s="76" t="str">
        <f t="shared" si="154"/>
        <v/>
      </c>
      <c r="N561" s="206">
        <f t="shared" si="155"/>
        <v>0</v>
      </c>
      <c r="O561" s="206">
        <f t="shared" si="156"/>
        <v>0</v>
      </c>
      <c r="P561" s="206">
        <f t="shared" si="157"/>
        <v>0</v>
      </c>
      <c r="Q561" s="206">
        <f t="shared" si="158"/>
        <v>0</v>
      </c>
    </row>
    <row r="562" spans="1:17" x14ac:dyDescent="0.3">
      <c r="A562" s="204"/>
      <c r="B562" s="205"/>
      <c r="C562" s="205"/>
      <c r="D562" s="205"/>
      <c r="E562" s="205"/>
      <c r="F562" s="204"/>
      <c r="G562" s="204"/>
      <c r="H562" s="204"/>
      <c r="I562" s="204" t="str">
        <f t="shared" si="150"/>
        <v/>
      </c>
      <c r="J562" s="204" t="str">
        <f t="shared" si="151"/>
        <v/>
      </c>
      <c r="K562" s="204" t="str">
        <f t="shared" si="152"/>
        <v/>
      </c>
      <c r="L562" s="204" t="str">
        <f t="shared" si="153"/>
        <v/>
      </c>
      <c r="M562" s="76" t="str">
        <f t="shared" si="154"/>
        <v/>
      </c>
      <c r="N562" s="206">
        <f t="shared" si="155"/>
        <v>0</v>
      </c>
      <c r="O562" s="206">
        <f t="shared" si="156"/>
        <v>0</v>
      </c>
      <c r="P562" s="206">
        <f t="shared" si="157"/>
        <v>0</v>
      </c>
      <c r="Q562" s="206">
        <f t="shared" si="158"/>
        <v>0</v>
      </c>
    </row>
    <row r="563" spans="1:17" x14ac:dyDescent="0.3">
      <c r="A563" s="204"/>
      <c r="B563" s="205"/>
      <c r="C563" s="205"/>
      <c r="D563" s="205"/>
      <c r="E563" s="205"/>
      <c r="F563" s="204"/>
      <c r="G563" s="204"/>
      <c r="H563" s="204"/>
      <c r="I563" s="204" t="str">
        <f t="shared" si="150"/>
        <v/>
      </c>
      <c r="J563" s="204" t="str">
        <f t="shared" si="151"/>
        <v/>
      </c>
      <c r="K563" s="204" t="str">
        <f t="shared" si="152"/>
        <v/>
      </c>
      <c r="L563" s="204" t="str">
        <f t="shared" si="153"/>
        <v/>
      </c>
      <c r="M563" s="76" t="str">
        <f t="shared" si="154"/>
        <v/>
      </c>
      <c r="N563" s="206">
        <f t="shared" si="155"/>
        <v>0</v>
      </c>
      <c r="O563" s="206">
        <f t="shared" si="156"/>
        <v>0</v>
      </c>
      <c r="P563" s="206">
        <f t="shared" si="157"/>
        <v>0</v>
      </c>
      <c r="Q563" s="206">
        <f t="shared" si="158"/>
        <v>0</v>
      </c>
    </row>
    <row r="564" spans="1:17" x14ac:dyDescent="0.3">
      <c r="A564" s="204"/>
      <c r="B564" s="205"/>
      <c r="C564" s="205"/>
      <c r="D564" s="205"/>
      <c r="E564" s="205"/>
      <c r="F564" s="204"/>
      <c r="G564" s="204"/>
      <c r="H564" s="204"/>
      <c r="I564" s="204" t="str">
        <f t="shared" si="150"/>
        <v/>
      </c>
      <c r="J564" s="204" t="str">
        <f t="shared" si="151"/>
        <v/>
      </c>
      <c r="K564" s="204" t="str">
        <f t="shared" si="152"/>
        <v/>
      </c>
      <c r="L564" s="204" t="str">
        <f t="shared" si="153"/>
        <v/>
      </c>
      <c r="M564" s="76" t="str">
        <f t="shared" si="154"/>
        <v/>
      </c>
      <c r="N564" s="206">
        <f t="shared" si="155"/>
        <v>0</v>
      </c>
      <c r="O564" s="206">
        <f t="shared" si="156"/>
        <v>0</v>
      </c>
      <c r="P564" s="206">
        <f t="shared" si="157"/>
        <v>0</v>
      </c>
      <c r="Q564" s="206">
        <f t="shared" si="158"/>
        <v>0</v>
      </c>
    </row>
    <row r="565" spans="1:17" x14ac:dyDescent="0.3">
      <c r="A565" s="204"/>
      <c r="B565" s="205"/>
      <c r="C565" s="205"/>
      <c r="D565" s="205"/>
      <c r="E565" s="205"/>
      <c r="F565" s="204"/>
      <c r="G565" s="204"/>
      <c r="H565" s="204"/>
      <c r="I565" s="204" t="str">
        <f t="shared" si="150"/>
        <v/>
      </c>
      <c r="J565" s="204" t="str">
        <f t="shared" si="151"/>
        <v/>
      </c>
      <c r="K565" s="204" t="str">
        <f t="shared" si="152"/>
        <v/>
      </c>
      <c r="L565" s="204" t="str">
        <f t="shared" si="153"/>
        <v/>
      </c>
      <c r="M565" s="76" t="str">
        <f t="shared" si="154"/>
        <v/>
      </c>
      <c r="N565" s="206">
        <f t="shared" si="155"/>
        <v>0</v>
      </c>
      <c r="O565" s="206">
        <f t="shared" si="156"/>
        <v>0</v>
      </c>
      <c r="P565" s="206">
        <f t="shared" si="157"/>
        <v>0</v>
      </c>
      <c r="Q565" s="206">
        <f t="shared" si="158"/>
        <v>0</v>
      </c>
    </row>
    <row r="566" spans="1:17" x14ac:dyDescent="0.3">
      <c r="A566" s="204"/>
      <c r="B566" s="205"/>
      <c r="C566" s="205"/>
      <c r="D566" s="205"/>
      <c r="E566" s="205"/>
      <c r="F566" s="204"/>
      <c r="G566" s="204"/>
      <c r="H566" s="204"/>
      <c r="I566" s="204" t="str">
        <f t="shared" si="150"/>
        <v/>
      </c>
      <c r="J566" s="204" t="str">
        <f t="shared" si="151"/>
        <v/>
      </c>
      <c r="K566" s="204" t="str">
        <f t="shared" si="152"/>
        <v/>
      </c>
      <c r="L566" s="204" t="str">
        <f t="shared" si="153"/>
        <v/>
      </c>
      <c r="M566" s="76" t="str">
        <f t="shared" si="154"/>
        <v/>
      </c>
      <c r="N566" s="206">
        <f t="shared" si="155"/>
        <v>0</v>
      </c>
      <c r="O566" s="206">
        <f t="shared" si="156"/>
        <v>0</v>
      </c>
      <c r="P566" s="206">
        <f t="shared" si="157"/>
        <v>0</v>
      </c>
      <c r="Q566" s="206">
        <f t="shared" si="158"/>
        <v>0</v>
      </c>
    </row>
    <row r="567" spans="1:17" x14ac:dyDescent="0.3">
      <c r="A567" s="204"/>
      <c r="B567" s="205"/>
      <c r="C567" s="205"/>
      <c r="D567" s="205"/>
      <c r="E567" s="205"/>
      <c r="F567" s="204"/>
      <c r="G567" s="204"/>
      <c r="H567" s="204"/>
      <c r="I567" s="204" t="str">
        <f t="shared" si="150"/>
        <v/>
      </c>
      <c r="J567" s="204" t="str">
        <f t="shared" si="151"/>
        <v/>
      </c>
      <c r="K567" s="204" t="str">
        <f t="shared" si="152"/>
        <v/>
      </c>
      <c r="L567" s="204" t="str">
        <f t="shared" si="153"/>
        <v/>
      </c>
      <c r="M567" s="76" t="str">
        <f t="shared" si="154"/>
        <v/>
      </c>
      <c r="N567" s="206">
        <f t="shared" si="155"/>
        <v>0</v>
      </c>
      <c r="O567" s="206">
        <f t="shared" si="156"/>
        <v>0</v>
      </c>
      <c r="P567" s="206">
        <f t="shared" si="157"/>
        <v>0</v>
      </c>
      <c r="Q567" s="206">
        <f t="shared" si="158"/>
        <v>0</v>
      </c>
    </row>
    <row r="568" spans="1:17" x14ac:dyDescent="0.3">
      <c r="A568" s="204"/>
      <c r="B568" s="205"/>
      <c r="C568" s="205"/>
      <c r="D568" s="205"/>
      <c r="E568" s="205"/>
      <c r="F568" s="204"/>
      <c r="G568" s="204"/>
      <c r="H568" s="204"/>
      <c r="I568" s="204" t="str">
        <f t="shared" si="150"/>
        <v/>
      </c>
      <c r="J568" s="204" t="str">
        <f t="shared" si="151"/>
        <v/>
      </c>
      <c r="K568" s="204" t="str">
        <f t="shared" si="152"/>
        <v/>
      </c>
      <c r="L568" s="204" t="str">
        <f t="shared" si="153"/>
        <v/>
      </c>
      <c r="M568" s="76" t="str">
        <f t="shared" si="154"/>
        <v/>
      </c>
      <c r="N568" s="206">
        <f t="shared" si="155"/>
        <v>0</v>
      </c>
      <c r="O568" s="206">
        <f t="shared" si="156"/>
        <v>0</v>
      </c>
      <c r="P568" s="206">
        <f t="shared" si="157"/>
        <v>0</v>
      </c>
      <c r="Q568" s="206">
        <f t="shared" si="158"/>
        <v>0</v>
      </c>
    </row>
    <row r="569" spans="1:17" x14ac:dyDescent="0.3">
      <c r="A569" s="204"/>
      <c r="B569" s="205"/>
      <c r="C569" s="205"/>
      <c r="D569" s="205"/>
      <c r="E569" s="205"/>
      <c r="F569" s="204"/>
      <c r="G569" s="204"/>
      <c r="H569" s="204"/>
      <c r="I569" s="204" t="str">
        <f t="shared" si="150"/>
        <v/>
      </c>
      <c r="J569" s="204" t="str">
        <f t="shared" si="151"/>
        <v/>
      </c>
      <c r="K569" s="204" t="str">
        <f t="shared" si="152"/>
        <v/>
      </c>
      <c r="L569" s="204" t="str">
        <f t="shared" si="153"/>
        <v/>
      </c>
      <c r="M569" s="76" t="str">
        <f t="shared" si="154"/>
        <v/>
      </c>
      <c r="N569" s="206">
        <f t="shared" si="155"/>
        <v>0</v>
      </c>
      <c r="O569" s="206">
        <f t="shared" si="156"/>
        <v>0</v>
      </c>
      <c r="P569" s="206">
        <f t="shared" si="157"/>
        <v>0</v>
      </c>
      <c r="Q569" s="206">
        <f t="shared" si="158"/>
        <v>0</v>
      </c>
    </row>
    <row r="570" spans="1:17" x14ac:dyDescent="0.3">
      <c r="A570" s="204"/>
      <c r="B570" s="205"/>
      <c r="C570" s="205"/>
      <c r="D570" s="205"/>
      <c r="E570" s="205"/>
      <c r="F570" s="204"/>
      <c r="G570" s="204"/>
      <c r="H570" s="204"/>
      <c r="I570" s="204" t="str">
        <f t="shared" si="150"/>
        <v/>
      </c>
      <c r="J570" s="204" t="str">
        <f t="shared" si="151"/>
        <v/>
      </c>
      <c r="K570" s="204" t="str">
        <f t="shared" si="152"/>
        <v/>
      </c>
      <c r="L570" s="204" t="str">
        <f t="shared" si="153"/>
        <v/>
      </c>
      <c r="M570" s="76" t="str">
        <f t="shared" si="154"/>
        <v/>
      </c>
      <c r="N570" s="206">
        <f t="shared" si="155"/>
        <v>0</v>
      </c>
      <c r="O570" s="206">
        <f t="shared" si="156"/>
        <v>0</v>
      </c>
      <c r="P570" s="206">
        <f t="shared" si="157"/>
        <v>0</v>
      </c>
      <c r="Q570" s="206">
        <f t="shared" si="158"/>
        <v>0</v>
      </c>
    </row>
    <row r="571" spans="1:17" x14ac:dyDescent="0.3">
      <c r="A571" s="204"/>
      <c r="B571" s="205"/>
      <c r="C571" s="205"/>
      <c r="D571" s="205"/>
      <c r="E571" s="205"/>
      <c r="F571" s="204"/>
      <c r="G571" s="204"/>
      <c r="H571" s="204"/>
      <c r="I571" s="204" t="str">
        <f t="shared" si="150"/>
        <v/>
      </c>
      <c r="J571" s="204" t="str">
        <f t="shared" si="151"/>
        <v/>
      </c>
      <c r="K571" s="204" t="str">
        <f t="shared" si="152"/>
        <v/>
      </c>
      <c r="L571" s="204" t="str">
        <f t="shared" si="153"/>
        <v/>
      </c>
      <c r="M571" s="76" t="str">
        <f t="shared" si="154"/>
        <v/>
      </c>
      <c r="N571" s="206">
        <f t="shared" si="155"/>
        <v>0</v>
      </c>
      <c r="O571" s="206">
        <f t="shared" si="156"/>
        <v>0</v>
      </c>
      <c r="P571" s="206">
        <f t="shared" si="157"/>
        <v>0</v>
      </c>
      <c r="Q571" s="206">
        <f t="shared" si="158"/>
        <v>0</v>
      </c>
    </row>
    <row r="572" spans="1:17" x14ac:dyDescent="0.3">
      <c r="A572" s="204"/>
      <c r="B572" s="205"/>
      <c r="C572" s="205"/>
      <c r="D572" s="205"/>
      <c r="E572" s="205"/>
      <c r="F572" s="204"/>
      <c r="G572" s="204"/>
      <c r="H572" s="204"/>
      <c r="I572" s="204" t="str">
        <f t="shared" si="150"/>
        <v/>
      </c>
      <c r="J572" s="204" t="str">
        <f t="shared" si="151"/>
        <v/>
      </c>
      <c r="K572" s="204" t="str">
        <f t="shared" si="152"/>
        <v/>
      </c>
      <c r="L572" s="204" t="str">
        <f t="shared" si="153"/>
        <v/>
      </c>
      <c r="M572" s="76" t="str">
        <f t="shared" si="154"/>
        <v/>
      </c>
      <c r="N572" s="206">
        <f t="shared" si="155"/>
        <v>0</v>
      </c>
      <c r="O572" s="206">
        <f t="shared" si="156"/>
        <v>0</v>
      </c>
      <c r="P572" s="206">
        <f t="shared" si="157"/>
        <v>0</v>
      </c>
      <c r="Q572" s="206">
        <f t="shared" si="158"/>
        <v>0</v>
      </c>
    </row>
    <row r="573" spans="1:17" x14ac:dyDescent="0.3">
      <c r="A573" s="204"/>
      <c r="B573" s="205"/>
      <c r="C573" s="205"/>
      <c r="D573" s="205"/>
      <c r="E573" s="205"/>
      <c r="F573" s="204"/>
      <c r="G573" s="204"/>
      <c r="H573" s="204"/>
      <c r="I573" s="204" t="str">
        <f t="shared" si="150"/>
        <v/>
      </c>
      <c r="J573" s="204" t="str">
        <f t="shared" si="151"/>
        <v/>
      </c>
      <c r="K573" s="204" t="str">
        <f t="shared" si="152"/>
        <v/>
      </c>
      <c r="L573" s="204" t="str">
        <f t="shared" si="153"/>
        <v/>
      </c>
      <c r="M573" s="76" t="str">
        <f t="shared" si="154"/>
        <v/>
      </c>
      <c r="N573" s="206">
        <f t="shared" si="155"/>
        <v>0</v>
      </c>
      <c r="O573" s="206">
        <f t="shared" si="156"/>
        <v>0</v>
      </c>
      <c r="P573" s="206">
        <f t="shared" si="157"/>
        <v>0</v>
      </c>
      <c r="Q573" s="206">
        <f t="shared" si="158"/>
        <v>0</v>
      </c>
    </row>
    <row r="574" spans="1:17" x14ac:dyDescent="0.3">
      <c r="A574" s="204"/>
      <c r="B574" s="205"/>
      <c r="C574" s="205"/>
      <c r="D574" s="205"/>
      <c r="E574" s="205"/>
      <c r="F574" s="204"/>
      <c r="G574" s="204"/>
      <c r="H574" s="204"/>
      <c r="I574" s="204" t="str">
        <f t="shared" si="150"/>
        <v/>
      </c>
      <c r="J574" s="204" t="str">
        <f t="shared" si="151"/>
        <v/>
      </c>
      <c r="K574" s="204" t="str">
        <f t="shared" si="152"/>
        <v/>
      </c>
      <c r="L574" s="204" t="str">
        <f t="shared" si="153"/>
        <v/>
      </c>
      <c r="M574" s="76" t="str">
        <f t="shared" si="154"/>
        <v/>
      </c>
      <c r="N574" s="206">
        <f t="shared" si="155"/>
        <v>0</v>
      </c>
      <c r="O574" s="206">
        <f t="shared" si="156"/>
        <v>0</v>
      </c>
      <c r="P574" s="206">
        <f t="shared" si="157"/>
        <v>0</v>
      </c>
      <c r="Q574" s="206">
        <f t="shared" si="158"/>
        <v>0</v>
      </c>
    </row>
    <row r="575" spans="1:17" x14ac:dyDescent="0.3">
      <c r="A575" s="204"/>
      <c r="B575" s="205"/>
      <c r="C575" s="205"/>
      <c r="D575" s="205"/>
      <c r="E575" s="205"/>
      <c r="F575" s="204"/>
      <c r="G575" s="204"/>
      <c r="H575" s="204"/>
      <c r="I575" s="204" t="str">
        <f t="shared" si="150"/>
        <v/>
      </c>
      <c r="J575" s="204" t="str">
        <f t="shared" si="151"/>
        <v/>
      </c>
      <c r="K575" s="204" t="str">
        <f t="shared" si="152"/>
        <v/>
      </c>
      <c r="L575" s="204" t="str">
        <f t="shared" si="153"/>
        <v/>
      </c>
      <c r="M575" s="76" t="str">
        <f t="shared" si="154"/>
        <v/>
      </c>
      <c r="N575" s="206">
        <f t="shared" si="155"/>
        <v>0</v>
      </c>
      <c r="O575" s="206">
        <f t="shared" si="156"/>
        <v>0</v>
      </c>
      <c r="P575" s="206">
        <f t="shared" si="157"/>
        <v>0</v>
      </c>
      <c r="Q575" s="206">
        <f t="shared" si="158"/>
        <v>0</v>
      </c>
    </row>
    <row r="576" spans="1:17" x14ac:dyDescent="0.3">
      <c r="A576" s="204"/>
      <c r="B576" s="205"/>
      <c r="C576" s="205"/>
      <c r="D576" s="205"/>
      <c r="E576" s="205"/>
      <c r="F576" s="204"/>
      <c r="G576" s="204"/>
      <c r="H576" s="204"/>
      <c r="I576" s="204" t="str">
        <f t="shared" si="150"/>
        <v/>
      </c>
      <c r="J576" s="204" t="str">
        <f t="shared" si="151"/>
        <v/>
      </c>
      <c r="K576" s="204" t="str">
        <f t="shared" si="152"/>
        <v/>
      </c>
      <c r="L576" s="204" t="str">
        <f t="shared" si="153"/>
        <v/>
      </c>
      <c r="M576" s="76" t="str">
        <f t="shared" si="154"/>
        <v/>
      </c>
      <c r="N576" s="206">
        <f t="shared" si="155"/>
        <v>0</v>
      </c>
      <c r="O576" s="206">
        <f t="shared" si="156"/>
        <v>0</v>
      </c>
      <c r="P576" s="206">
        <f t="shared" si="157"/>
        <v>0</v>
      </c>
      <c r="Q576" s="206">
        <f t="shared" si="158"/>
        <v>0</v>
      </c>
    </row>
    <row r="577" spans="1:17" x14ac:dyDescent="0.3">
      <c r="A577" s="204"/>
      <c r="B577" s="205"/>
      <c r="C577" s="205"/>
      <c r="D577" s="205"/>
      <c r="E577" s="205"/>
      <c r="F577" s="204"/>
      <c r="G577" s="204"/>
      <c r="H577" s="204"/>
      <c r="I577" s="204" t="str">
        <f t="shared" si="150"/>
        <v/>
      </c>
      <c r="J577" s="204" t="str">
        <f t="shared" si="151"/>
        <v/>
      </c>
      <c r="K577" s="204" t="str">
        <f t="shared" si="152"/>
        <v/>
      </c>
      <c r="L577" s="204" t="str">
        <f t="shared" si="153"/>
        <v/>
      </c>
      <c r="M577" s="76" t="str">
        <f t="shared" si="154"/>
        <v/>
      </c>
      <c r="N577" s="206">
        <f t="shared" si="155"/>
        <v>0</v>
      </c>
      <c r="O577" s="206">
        <f t="shared" si="156"/>
        <v>0</v>
      </c>
      <c r="P577" s="206">
        <f t="shared" si="157"/>
        <v>0</v>
      </c>
      <c r="Q577" s="206">
        <f t="shared" si="158"/>
        <v>0</v>
      </c>
    </row>
    <row r="578" spans="1:17" x14ac:dyDescent="0.3">
      <c r="A578" s="204"/>
      <c r="B578" s="205"/>
      <c r="C578" s="205"/>
      <c r="D578" s="205"/>
      <c r="E578" s="205"/>
      <c r="F578" s="204"/>
      <c r="G578" s="204"/>
      <c r="H578" s="204"/>
      <c r="I578" s="204" t="str">
        <f t="shared" si="150"/>
        <v/>
      </c>
      <c r="J578" s="204" t="str">
        <f t="shared" si="151"/>
        <v/>
      </c>
      <c r="K578" s="204" t="str">
        <f t="shared" si="152"/>
        <v/>
      </c>
      <c r="L578" s="204" t="str">
        <f t="shared" si="153"/>
        <v/>
      </c>
      <c r="M578" s="76" t="str">
        <f t="shared" si="154"/>
        <v/>
      </c>
      <c r="N578" s="206">
        <f t="shared" si="155"/>
        <v>0</v>
      </c>
      <c r="O578" s="206">
        <f t="shared" si="156"/>
        <v>0</v>
      </c>
      <c r="P578" s="206">
        <f t="shared" si="157"/>
        <v>0</v>
      </c>
      <c r="Q578" s="206">
        <f t="shared" si="158"/>
        <v>0</v>
      </c>
    </row>
    <row r="579" spans="1:17" x14ac:dyDescent="0.3">
      <c r="A579" s="204"/>
      <c r="B579" s="205"/>
      <c r="C579" s="205"/>
      <c r="D579" s="205"/>
      <c r="E579" s="205"/>
      <c r="F579" s="204"/>
      <c r="G579" s="204"/>
      <c r="H579" s="204"/>
      <c r="I579" s="204" t="str">
        <f t="shared" si="150"/>
        <v/>
      </c>
      <c r="J579" s="204" t="str">
        <f t="shared" si="151"/>
        <v/>
      </c>
      <c r="K579" s="204" t="str">
        <f t="shared" si="152"/>
        <v/>
      </c>
      <c r="L579" s="204" t="str">
        <f t="shared" si="153"/>
        <v/>
      </c>
      <c r="M579" s="76" t="str">
        <f t="shared" si="154"/>
        <v/>
      </c>
      <c r="N579" s="206">
        <f t="shared" si="155"/>
        <v>0</v>
      </c>
      <c r="O579" s="206">
        <f t="shared" si="156"/>
        <v>0</v>
      </c>
      <c r="P579" s="206">
        <f t="shared" si="157"/>
        <v>0</v>
      </c>
      <c r="Q579" s="206">
        <f t="shared" si="158"/>
        <v>0</v>
      </c>
    </row>
    <row r="580" spans="1:17" x14ac:dyDescent="0.3">
      <c r="A580" s="204"/>
      <c r="B580" s="205"/>
      <c r="C580" s="205"/>
      <c r="D580" s="205"/>
      <c r="E580" s="205"/>
      <c r="F580" s="204"/>
      <c r="G580" s="204"/>
      <c r="H580" s="204"/>
      <c r="I580" s="204" t="str">
        <f t="shared" si="150"/>
        <v/>
      </c>
      <c r="J580" s="204" t="str">
        <f t="shared" si="151"/>
        <v/>
      </c>
      <c r="K580" s="204" t="str">
        <f t="shared" si="152"/>
        <v/>
      </c>
      <c r="L580" s="204" t="str">
        <f t="shared" si="153"/>
        <v/>
      </c>
      <c r="M580" s="76" t="str">
        <f t="shared" si="154"/>
        <v/>
      </c>
      <c r="N580" s="206">
        <f t="shared" si="155"/>
        <v>0</v>
      </c>
      <c r="O580" s="206">
        <f t="shared" si="156"/>
        <v>0</v>
      </c>
      <c r="P580" s="206">
        <f t="shared" si="157"/>
        <v>0</v>
      </c>
      <c r="Q580" s="206">
        <f t="shared" si="158"/>
        <v>0</v>
      </c>
    </row>
    <row r="581" spans="1:17" x14ac:dyDescent="0.3">
      <c r="A581" s="204"/>
      <c r="B581" s="205"/>
      <c r="C581" s="205"/>
      <c r="D581" s="205"/>
      <c r="E581" s="205"/>
      <c r="F581" s="204"/>
      <c r="G581" s="204"/>
      <c r="H581" s="204"/>
      <c r="I581" s="204" t="str">
        <f t="shared" ref="I581:I644" si="163">IF(G581="Détail",LEN(A581),"")</f>
        <v/>
      </c>
      <c r="J581" s="204" t="str">
        <f t="shared" ref="J581:J644" si="164">IF(I581="","",LEFT(A581,3))</f>
        <v/>
      </c>
      <c r="K581" s="204" t="str">
        <f t="shared" ref="K581:K644" si="165">IF(J581&lt;&gt;"",MID(A581,5,3),"")</f>
        <v/>
      </c>
      <c r="L581" s="204" t="str">
        <f t="shared" ref="L581:L644" si="166">IF(J581&lt;&gt;"",RIGHT(A581,2),"")</f>
        <v/>
      </c>
      <c r="M581" s="76" t="str">
        <f t="shared" ref="M581:M644" si="167">IF(J581&lt;&gt;"",CONCATENATE(J581,"/",K581),"")</f>
        <v/>
      </c>
      <c r="N581" s="206">
        <f t="shared" ref="N581:N644" si="168">IFERROR(IF(A581&lt;&gt;"",IF(A582&lt;&gt;"",IF(FIND("Mode AM +Tarif actuel",A582),VALUE(LEFT(B582,LEN(B582)-2)),),0),0),0)</f>
        <v>0</v>
      </c>
      <c r="O581" s="206">
        <f t="shared" ref="O581:O644" si="169">IFERROR(IF(A581&lt;&gt;"",IF(A582&lt;&gt;"",IF(FIND("Mode AM +Tarif actuel",A582),VALUE(LEFT(C582,LEN(C582)-2)),),0),0),0)</f>
        <v>0</v>
      </c>
      <c r="P581" s="206">
        <f t="shared" ref="P581:P644" si="170">IFERROR(IF(A581&lt;&gt;"",IF(A582&lt;&gt;"",IF(FIND("Mode AM +Tarif actuel",A582),VALUE(LEFT(D582,LEN(D582)-2)),),0),0),0)</f>
        <v>0</v>
      </c>
      <c r="Q581" s="206">
        <f t="shared" ref="Q581:Q644" si="171">IFERROR(IF(A581&lt;&gt;"",IF(A582&lt;&gt;"",IF(FIND("Mode AM +Tarif actuel",A582),VALUE(LEFT(E582,LEN(E582)-2)),),0),0),0)</f>
        <v>0</v>
      </c>
    </row>
    <row r="582" spans="1:17" x14ac:dyDescent="0.3">
      <c r="A582" s="204"/>
      <c r="B582" s="205"/>
      <c r="C582" s="205"/>
      <c r="D582" s="205"/>
      <c r="E582" s="205"/>
      <c r="F582" s="204"/>
      <c r="G582" s="204"/>
      <c r="H582" s="204"/>
      <c r="I582" s="204" t="str">
        <f t="shared" si="163"/>
        <v/>
      </c>
      <c r="J582" s="204" t="str">
        <f t="shared" si="164"/>
        <v/>
      </c>
      <c r="K582" s="204" t="str">
        <f t="shared" si="165"/>
        <v/>
      </c>
      <c r="L582" s="204" t="str">
        <f t="shared" si="166"/>
        <v/>
      </c>
      <c r="M582" s="76" t="str">
        <f t="shared" si="167"/>
        <v/>
      </c>
      <c r="N582" s="206">
        <f t="shared" si="168"/>
        <v>0</v>
      </c>
      <c r="O582" s="206">
        <f t="shared" si="169"/>
        <v>0</v>
      </c>
      <c r="P582" s="206">
        <f t="shared" si="170"/>
        <v>0</v>
      </c>
      <c r="Q582" s="206">
        <f t="shared" si="171"/>
        <v>0</v>
      </c>
    </row>
    <row r="583" spans="1:17" x14ac:dyDescent="0.3">
      <c r="A583" s="204"/>
      <c r="B583" s="205"/>
      <c r="C583" s="205"/>
      <c r="D583" s="205"/>
      <c r="E583" s="205"/>
      <c r="F583" s="204"/>
      <c r="G583" s="204"/>
      <c r="H583" s="204"/>
      <c r="I583" s="204" t="str">
        <f t="shared" si="163"/>
        <v/>
      </c>
      <c r="J583" s="204" t="str">
        <f t="shared" si="164"/>
        <v/>
      </c>
      <c r="K583" s="204" t="str">
        <f t="shared" si="165"/>
        <v/>
      </c>
      <c r="L583" s="204" t="str">
        <f t="shared" si="166"/>
        <v/>
      </c>
      <c r="M583" s="76" t="str">
        <f t="shared" si="167"/>
        <v/>
      </c>
      <c r="N583" s="206">
        <f t="shared" si="168"/>
        <v>0</v>
      </c>
      <c r="O583" s="206">
        <f t="shared" si="169"/>
        <v>0</v>
      </c>
      <c r="P583" s="206">
        <f t="shared" si="170"/>
        <v>0</v>
      </c>
      <c r="Q583" s="206">
        <f t="shared" si="171"/>
        <v>0</v>
      </c>
    </row>
    <row r="584" spans="1:17" x14ac:dyDescent="0.3">
      <c r="A584" s="204"/>
      <c r="B584" s="205"/>
      <c r="C584" s="205"/>
      <c r="D584" s="205"/>
      <c r="E584" s="205"/>
      <c r="F584" s="204"/>
      <c r="G584" s="204"/>
      <c r="H584" s="204"/>
      <c r="I584" s="204" t="str">
        <f t="shared" si="163"/>
        <v/>
      </c>
      <c r="J584" s="204" t="str">
        <f t="shared" si="164"/>
        <v/>
      </c>
      <c r="K584" s="204" t="str">
        <f t="shared" si="165"/>
        <v/>
      </c>
      <c r="L584" s="204" t="str">
        <f t="shared" si="166"/>
        <v/>
      </c>
      <c r="M584" s="76" t="str">
        <f t="shared" si="167"/>
        <v/>
      </c>
      <c r="N584" s="206">
        <f t="shared" si="168"/>
        <v>0</v>
      </c>
      <c r="O584" s="206">
        <f t="shared" si="169"/>
        <v>0</v>
      </c>
      <c r="P584" s="206">
        <f t="shared" si="170"/>
        <v>0</v>
      </c>
      <c r="Q584" s="206">
        <f t="shared" si="171"/>
        <v>0</v>
      </c>
    </row>
    <row r="585" spans="1:17" x14ac:dyDescent="0.3">
      <c r="A585" s="204"/>
      <c r="B585" s="205"/>
      <c r="C585" s="205"/>
      <c r="D585" s="205"/>
      <c r="E585" s="205"/>
      <c r="F585" s="204"/>
      <c r="G585" s="204"/>
      <c r="H585" s="204"/>
      <c r="I585" s="204" t="str">
        <f t="shared" si="163"/>
        <v/>
      </c>
      <c r="J585" s="204" t="str">
        <f t="shared" si="164"/>
        <v/>
      </c>
      <c r="K585" s="204" t="str">
        <f t="shared" si="165"/>
        <v/>
      </c>
      <c r="L585" s="204" t="str">
        <f t="shared" si="166"/>
        <v/>
      </c>
      <c r="M585" s="76" t="str">
        <f t="shared" si="167"/>
        <v/>
      </c>
      <c r="N585" s="206">
        <f t="shared" si="168"/>
        <v>0</v>
      </c>
      <c r="O585" s="206">
        <f t="shared" si="169"/>
        <v>0</v>
      </c>
      <c r="P585" s="206">
        <f t="shared" si="170"/>
        <v>0</v>
      </c>
      <c r="Q585" s="206">
        <f t="shared" si="171"/>
        <v>0</v>
      </c>
    </row>
    <row r="586" spans="1:17" x14ac:dyDescent="0.3">
      <c r="A586" s="204"/>
      <c r="B586" s="205"/>
      <c r="C586" s="205"/>
      <c r="D586" s="205"/>
      <c r="E586" s="205"/>
      <c r="F586" s="204"/>
      <c r="G586" s="204"/>
      <c r="H586" s="204"/>
      <c r="I586" s="204" t="str">
        <f t="shared" si="163"/>
        <v/>
      </c>
      <c r="J586" s="204" t="str">
        <f t="shared" si="164"/>
        <v/>
      </c>
      <c r="K586" s="204" t="str">
        <f t="shared" si="165"/>
        <v/>
      </c>
      <c r="L586" s="204" t="str">
        <f t="shared" si="166"/>
        <v/>
      </c>
      <c r="M586" s="76" t="str">
        <f t="shared" si="167"/>
        <v/>
      </c>
      <c r="N586" s="206">
        <f t="shared" si="168"/>
        <v>0</v>
      </c>
      <c r="O586" s="206">
        <f t="shared" si="169"/>
        <v>0</v>
      </c>
      <c r="P586" s="206">
        <f t="shared" si="170"/>
        <v>0</v>
      </c>
      <c r="Q586" s="206">
        <f t="shared" si="171"/>
        <v>0</v>
      </c>
    </row>
    <row r="587" spans="1:17" x14ac:dyDescent="0.3">
      <c r="A587" s="204"/>
      <c r="B587" s="205"/>
      <c r="C587" s="205"/>
      <c r="D587" s="205"/>
      <c r="E587" s="205"/>
      <c r="F587" s="204"/>
      <c r="G587" s="204"/>
      <c r="H587" s="204"/>
      <c r="I587" s="204" t="str">
        <f t="shared" si="163"/>
        <v/>
      </c>
      <c r="J587" s="204" t="str">
        <f t="shared" si="164"/>
        <v/>
      </c>
      <c r="K587" s="204" t="str">
        <f t="shared" si="165"/>
        <v/>
      </c>
      <c r="L587" s="204" t="str">
        <f t="shared" si="166"/>
        <v/>
      </c>
      <c r="M587" s="76" t="str">
        <f t="shared" si="167"/>
        <v/>
      </c>
      <c r="N587" s="206">
        <f t="shared" si="168"/>
        <v>0</v>
      </c>
      <c r="O587" s="206">
        <f t="shared" si="169"/>
        <v>0</v>
      </c>
      <c r="P587" s="206">
        <f t="shared" si="170"/>
        <v>0</v>
      </c>
      <c r="Q587" s="206">
        <f t="shared" si="171"/>
        <v>0</v>
      </c>
    </row>
    <row r="588" spans="1:17" x14ac:dyDescent="0.3">
      <c r="A588" s="204"/>
      <c r="B588" s="205"/>
      <c r="C588" s="205"/>
      <c r="D588" s="205"/>
      <c r="E588" s="205"/>
      <c r="F588" s="204"/>
      <c r="G588" s="204"/>
      <c r="H588" s="204"/>
      <c r="I588" s="204" t="str">
        <f t="shared" si="163"/>
        <v/>
      </c>
      <c r="J588" s="204" t="str">
        <f t="shared" si="164"/>
        <v/>
      </c>
      <c r="K588" s="204" t="str">
        <f t="shared" si="165"/>
        <v/>
      </c>
      <c r="L588" s="204" t="str">
        <f t="shared" si="166"/>
        <v/>
      </c>
      <c r="M588" s="76" t="str">
        <f t="shared" si="167"/>
        <v/>
      </c>
      <c r="N588" s="206">
        <f t="shared" si="168"/>
        <v>0</v>
      </c>
      <c r="O588" s="206">
        <f t="shared" si="169"/>
        <v>0</v>
      </c>
      <c r="P588" s="206">
        <f t="shared" si="170"/>
        <v>0</v>
      </c>
      <c r="Q588" s="206">
        <f t="shared" si="171"/>
        <v>0</v>
      </c>
    </row>
    <row r="589" spans="1:17" x14ac:dyDescent="0.3">
      <c r="A589" s="204"/>
      <c r="B589" s="205"/>
      <c r="C589" s="205"/>
      <c r="D589" s="205"/>
      <c r="E589" s="205"/>
      <c r="F589" s="204"/>
      <c r="G589" s="204"/>
      <c r="H589" s="204"/>
      <c r="I589" s="204" t="str">
        <f t="shared" si="163"/>
        <v/>
      </c>
      <c r="J589" s="204" t="str">
        <f t="shared" si="164"/>
        <v/>
      </c>
      <c r="K589" s="204" t="str">
        <f t="shared" si="165"/>
        <v/>
      </c>
      <c r="L589" s="204" t="str">
        <f t="shared" si="166"/>
        <v/>
      </c>
      <c r="M589" s="76" t="str">
        <f t="shared" si="167"/>
        <v/>
      </c>
      <c r="N589" s="206">
        <f t="shared" si="168"/>
        <v>0</v>
      </c>
      <c r="O589" s="206">
        <f t="shared" si="169"/>
        <v>0</v>
      </c>
      <c r="P589" s="206">
        <f t="shared" si="170"/>
        <v>0</v>
      </c>
      <c r="Q589" s="206">
        <f t="shared" si="171"/>
        <v>0</v>
      </c>
    </row>
    <row r="590" spans="1:17" x14ac:dyDescent="0.3">
      <c r="A590" s="204"/>
      <c r="B590" s="205"/>
      <c r="C590" s="205"/>
      <c r="D590" s="205"/>
      <c r="E590" s="205"/>
      <c r="F590" s="204"/>
      <c r="G590" s="204"/>
      <c r="H590" s="204"/>
      <c r="I590" s="204" t="str">
        <f t="shared" si="163"/>
        <v/>
      </c>
      <c r="J590" s="204" t="str">
        <f t="shared" si="164"/>
        <v/>
      </c>
      <c r="K590" s="204" t="str">
        <f t="shared" si="165"/>
        <v/>
      </c>
      <c r="L590" s="204" t="str">
        <f t="shared" si="166"/>
        <v/>
      </c>
      <c r="M590" s="76" t="str">
        <f t="shared" si="167"/>
        <v/>
      </c>
      <c r="N590" s="206">
        <f t="shared" si="168"/>
        <v>0</v>
      </c>
      <c r="O590" s="206">
        <f t="shared" si="169"/>
        <v>0</v>
      </c>
      <c r="P590" s="206">
        <f t="shared" si="170"/>
        <v>0</v>
      </c>
      <c r="Q590" s="206">
        <f t="shared" si="171"/>
        <v>0</v>
      </c>
    </row>
    <row r="591" spans="1:17" x14ac:dyDescent="0.3">
      <c r="A591" s="204"/>
      <c r="B591" s="205"/>
      <c r="C591" s="205"/>
      <c r="D591" s="205"/>
      <c r="E591" s="205"/>
      <c r="F591" s="204"/>
      <c r="G591" s="204"/>
      <c r="H591" s="204"/>
      <c r="I591" s="204" t="str">
        <f t="shared" si="163"/>
        <v/>
      </c>
      <c r="J591" s="204" t="str">
        <f t="shared" si="164"/>
        <v/>
      </c>
      <c r="K591" s="204" t="str">
        <f t="shared" si="165"/>
        <v/>
      </c>
      <c r="L591" s="204" t="str">
        <f t="shared" si="166"/>
        <v/>
      </c>
      <c r="M591" s="76" t="str">
        <f t="shared" si="167"/>
        <v/>
      </c>
      <c r="N591" s="206">
        <f t="shared" si="168"/>
        <v>0</v>
      </c>
      <c r="O591" s="206">
        <f t="shared" si="169"/>
        <v>0</v>
      </c>
      <c r="P591" s="206">
        <f t="shared" si="170"/>
        <v>0</v>
      </c>
      <c r="Q591" s="206">
        <f t="shared" si="171"/>
        <v>0</v>
      </c>
    </row>
    <row r="592" spans="1:17" x14ac:dyDescent="0.3">
      <c r="A592" s="204"/>
      <c r="B592" s="205"/>
      <c r="C592" s="205"/>
      <c r="D592" s="205"/>
      <c r="E592" s="205"/>
      <c r="F592" s="204"/>
      <c r="G592" s="204"/>
      <c r="H592" s="204"/>
      <c r="I592" s="204" t="str">
        <f t="shared" si="163"/>
        <v/>
      </c>
      <c r="J592" s="204" t="str">
        <f t="shared" si="164"/>
        <v/>
      </c>
      <c r="K592" s="204" t="str">
        <f t="shared" si="165"/>
        <v/>
      </c>
      <c r="L592" s="204" t="str">
        <f t="shared" si="166"/>
        <v/>
      </c>
      <c r="M592" s="76" t="str">
        <f t="shared" si="167"/>
        <v/>
      </c>
      <c r="N592" s="206">
        <f t="shared" si="168"/>
        <v>0</v>
      </c>
      <c r="O592" s="206">
        <f t="shared" si="169"/>
        <v>0</v>
      </c>
      <c r="P592" s="206">
        <f t="shared" si="170"/>
        <v>0</v>
      </c>
      <c r="Q592" s="206">
        <f t="shared" si="171"/>
        <v>0</v>
      </c>
    </row>
    <row r="593" spans="1:17" x14ac:dyDescent="0.3">
      <c r="A593" s="204"/>
      <c r="B593" s="205"/>
      <c r="C593" s="205"/>
      <c r="D593" s="205"/>
      <c r="E593" s="205"/>
      <c r="F593" s="204"/>
      <c r="G593" s="204"/>
      <c r="H593" s="204"/>
      <c r="I593" s="204" t="str">
        <f t="shared" si="163"/>
        <v/>
      </c>
      <c r="J593" s="204" t="str">
        <f t="shared" si="164"/>
        <v/>
      </c>
      <c r="K593" s="204" t="str">
        <f t="shared" si="165"/>
        <v/>
      </c>
      <c r="L593" s="204" t="str">
        <f t="shared" si="166"/>
        <v/>
      </c>
      <c r="M593" s="76" t="str">
        <f t="shared" si="167"/>
        <v/>
      </c>
      <c r="N593" s="206">
        <f t="shared" si="168"/>
        <v>0</v>
      </c>
      <c r="O593" s="206">
        <f t="shared" si="169"/>
        <v>0</v>
      </c>
      <c r="P593" s="206">
        <f t="shared" si="170"/>
        <v>0</v>
      </c>
      <c r="Q593" s="206">
        <f t="shared" si="171"/>
        <v>0</v>
      </c>
    </row>
    <row r="594" spans="1:17" x14ac:dyDescent="0.3">
      <c r="A594" s="204"/>
      <c r="B594" s="205"/>
      <c r="C594" s="205"/>
      <c r="D594" s="205"/>
      <c r="E594" s="205"/>
      <c r="F594" s="204"/>
      <c r="G594" s="204"/>
      <c r="H594" s="204"/>
      <c r="I594" s="204" t="str">
        <f t="shared" si="163"/>
        <v/>
      </c>
      <c r="J594" s="204" t="str">
        <f t="shared" si="164"/>
        <v/>
      </c>
      <c r="K594" s="204" t="str">
        <f t="shared" si="165"/>
        <v/>
      </c>
      <c r="L594" s="204" t="str">
        <f t="shared" si="166"/>
        <v/>
      </c>
      <c r="M594" s="76" t="str">
        <f t="shared" si="167"/>
        <v/>
      </c>
      <c r="N594" s="206">
        <f t="shared" si="168"/>
        <v>0</v>
      </c>
      <c r="O594" s="206">
        <f t="shared" si="169"/>
        <v>0</v>
      </c>
      <c r="P594" s="206">
        <f t="shared" si="170"/>
        <v>0</v>
      </c>
      <c r="Q594" s="206">
        <f t="shared" si="171"/>
        <v>0</v>
      </c>
    </row>
    <row r="595" spans="1:17" x14ac:dyDescent="0.3">
      <c r="A595" s="204"/>
      <c r="B595" s="205"/>
      <c r="C595" s="205"/>
      <c r="D595" s="205"/>
      <c r="E595" s="205"/>
      <c r="F595" s="204"/>
      <c r="G595" s="204"/>
      <c r="H595" s="204"/>
      <c r="I595" s="204" t="str">
        <f t="shared" si="163"/>
        <v/>
      </c>
      <c r="J595" s="204" t="str">
        <f t="shared" si="164"/>
        <v/>
      </c>
      <c r="K595" s="204" t="str">
        <f t="shared" si="165"/>
        <v/>
      </c>
      <c r="L595" s="204" t="str">
        <f t="shared" si="166"/>
        <v/>
      </c>
      <c r="M595" s="76" t="str">
        <f t="shared" si="167"/>
        <v/>
      </c>
      <c r="N595" s="206">
        <f t="shared" si="168"/>
        <v>0</v>
      </c>
      <c r="O595" s="206">
        <f t="shared" si="169"/>
        <v>0</v>
      </c>
      <c r="P595" s="206">
        <f t="shared" si="170"/>
        <v>0</v>
      </c>
      <c r="Q595" s="206">
        <f t="shared" si="171"/>
        <v>0</v>
      </c>
    </row>
    <row r="596" spans="1:17" x14ac:dyDescent="0.3">
      <c r="A596" s="204"/>
      <c r="B596" s="205"/>
      <c r="C596" s="205"/>
      <c r="D596" s="205"/>
      <c r="E596" s="205"/>
      <c r="F596" s="204"/>
      <c r="G596" s="204"/>
      <c r="H596" s="204"/>
      <c r="I596" s="204" t="str">
        <f t="shared" si="163"/>
        <v/>
      </c>
      <c r="J596" s="204" t="str">
        <f t="shared" si="164"/>
        <v/>
      </c>
      <c r="K596" s="204" t="str">
        <f t="shared" si="165"/>
        <v/>
      </c>
      <c r="L596" s="204" t="str">
        <f t="shared" si="166"/>
        <v/>
      </c>
      <c r="M596" s="76" t="str">
        <f t="shared" si="167"/>
        <v/>
      </c>
      <c r="N596" s="206">
        <f t="shared" si="168"/>
        <v>0</v>
      </c>
      <c r="O596" s="206">
        <f t="shared" si="169"/>
        <v>0</v>
      </c>
      <c r="P596" s="206">
        <f t="shared" si="170"/>
        <v>0</v>
      </c>
      <c r="Q596" s="206">
        <f t="shared" si="171"/>
        <v>0</v>
      </c>
    </row>
    <row r="597" spans="1:17" x14ac:dyDescent="0.3">
      <c r="A597" s="204"/>
      <c r="B597" s="205"/>
      <c r="C597" s="205"/>
      <c r="D597" s="205"/>
      <c r="E597" s="205"/>
      <c r="F597" s="204"/>
      <c r="G597" s="204"/>
      <c r="H597" s="204"/>
      <c r="I597" s="204" t="str">
        <f t="shared" si="163"/>
        <v/>
      </c>
      <c r="J597" s="204" t="str">
        <f t="shared" si="164"/>
        <v/>
      </c>
      <c r="K597" s="204" t="str">
        <f t="shared" si="165"/>
        <v/>
      </c>
      <c r="L597" s="204" t="str">
        <f t="shared" si="166"/>
        <v/>
      </c>
      <c r="M597" s="76" t="str">
        <f t="shared" si="167"/>
        <v/>
      </c>
      <c r="N597" s="206">
        <f t="shared" si="168"/>
        <v>0</v>
      </c>
      <c r="O597" s="206">
        <f t="shared" si="169"/>
        <v>0</v>
      </c>
      <c r="P597" s="206">
        <f t="shared" si="170"/>
        <v>0</v>
      </c>
      <c r="Q597" s="206">
        <f t="shared" si="171"/>
        <v>0</v>
      </c>
    </row>
    <row r="598" spans="1:17" x14ac:dyDescent="0.3">
      <c r="A598" s="204"/>
      <c r="B598" s="205"/>
      <c r="C598" s="205"/>
      <c r="D598" s="205"/>
      <c r="E598" s="205"/>
      <c r="F598" s="204"/>
      <c r="G598" s="204"/>
      <c r="H598" s="204"/>
      <c r="I598" s="204" t="str">
        <f t="shared" si="163"/>
        <v/>
      </c>
      <c r="J598" s="204" t="str">
        <f t="shared" si="164"/>
        <v/>
      </c>
      <c r="K598" s="204" t="str">
        <f t="shared" si="165"/>
        <v/>
      </c>
      <c r="L598" s="204" t="str">
        <f t="shared" si="166"/>
        <v/>
      </c>
      <c r="M598" s="76" t="str">
        <f t="shared" si="167"/>
        <v/>
      </c>
      <c r="N598" s="206">
        <f t="shared" si="168"/>
        <v>0</v>
      </c>
      <c r="O598" s="206">
        <f t="shared" si="169"/>
        <v>0</v>
      </c>
      <c r="P598" s="206">
        <f t="shared" si="170"/>
        <v>0</v>
      </c>
      <c r="Q598" s="206">
        <f t="shared" si="171"/>
        <v>0</v>
      </c>
    </row>
    <row r="599" spans="1:17" x14ac:dyDescent="0.3">
      <c r="A599" s="204"/>
      <c r="B599" s="205"/>
      <c r="C599" s="205"/>
      <c r="D599" s="205"/>
      <c r="E599" s="205"/>
      <c r="F599" s="204"/>
      <c r="G599" s="204"/>
      <c r="H599" s="204"/>
      <c r="I599" s="204" t="str">
        <f t="shared" si="163"/>
        <v/>
      </c>
      <c r="J599" s="204" t="str">
        <f t="shared" si="164"/>
        <v/>
      </c>
      <c r="K599" s="204" t="str">
        <f t="shared" si="165"/>
        <v/>
      </c>
      <c r="L599" s="204" t="str">
        <f t="shared" si="166"/>
        <v/>
      </c>
      <c r="M599" s="76" t="str">
        <f t="shared" si="167"/>
        <v/>
      </c>
      <c r="N599" s="206">
        <f t="shared" si="168"/>
        <v>0</v>
      </c>
      <c r="O599" s="206">
        <f t="shared" si="169"/>
        <v>0</v>
      </c>
      <c r="P599" s="206">
        <f t="shared" si="170"/>
        <v>0</v>
      </c>
      <c r="Q599" s="206">
        <f t="shared" si="171"/>
        <v>0</v>
      </c>
    </row>
    <row r="600" spans="1:17" x14ac:dyDescent="0.3">
      <c r="A600" s="204"/>
      <c r="B600" s="205"/>
      <c r="C600" s="205"/>
      <c r="D600" s="205"/>
      <c r="E600" s="205"/>
      <c r="F600" s="204"/>
      <c r="G600" s="204"/>
      <c r="H600" s="204"/>
      <c r="I600" s="204" t="str">
        <f t="shared" si="163"/>
        <v/>
      </c>
      <c r="J600" s="204" t="str">
        <f t="shared" si="164"/>
        <v/>
      </c>
      <c r="K600" s="204" t="str">
        <f t="shared" si="165"/>
        <v/>
      </c>
      <c r="L600" s="204" t="str">
        <f t="shared" si="166"/>
        <v/>
      </c>
      <c r="M600" s="76" t="str">
        <f t="shared" si="167"/>
        <v/>
      </c>
      <c r="N600" s="206">
        <f t="shared" si="168"/>
        <v>0</v>
      </c>
      <c r="O600" s="206">
        <f t="shared" si="169"/>
        <v>0</v>
      </c>
      <c r="P600" s="206">
        <f t="shared" si="170"/>
        <v>0</v>
      </c>
      <c r="Q600" s="206">
        <f t="shared" si="171"/>
        <v>0</v>
      </c>
    </row>
    <row r="601" spans="1:17" x14ac:dyDescent="0.3">
      <c r="A601" s="204"/>
      <c r="B601" s="205"/>
      <c r="C601" s="205"/>
      <c r="D601" s="205"/>
      <c r="E601" s="205"/>
      <c r="F601" s="204"/>
      <c r="G601" s="204"/>
      <c r="H601" s="204"/>
      <c r="I601" s="204" t="str">
        <f t="shared" si="163"/>
        <v/>
      </c>
      <c r="J601" s="204" t="str">
        <f t="shared" si="164"/>
        <v/>
      </c>
      <c r="K601" s="204" t="str">
        <f t="shared" si="165"/>
        <v/>
      </c>
      <c r="L601" s="204" t="str">
        <f t="shared" si="166"/>
        <v/>
      </c>
      <c r="M601" s="76" t="str">
        <f t="shared" si="167"/>
        <v/>
      </c>
      <c r="N601" s="206">
        <f t="shared" si="168"/>
        <v>0</v>
      </c>
      <c r="O601" s="206">
        <f t="shared" si="169"/>
        <v>0</v>
      </c>
      <c r="P601" s="206">
        <f t="shared" si="170"/>
        <v>0</v>
      </c>
      <c r="Q601" s="206">
        <f t="shared" si="171"/>
        <v>0</v>
      </c>
    </row>
    <row r="602" spans="1:17" x14ac:dyDescent="0.3">
      <c r="A602" s="204"/>
      <c r="B602" s="205"/>
      <c r="C602" s="205"/>
      <c r="D602" s="205"/>
      <c r="E602" s="205"/>
      <c r="F602" s="204"/>
      <c r="G602" s="204"/>
      <c r="H602" s="204"/>
      <c r="I602" s="204" t="str">
        <f t="shared" si="163"/>
        <v/>
      </c>
      <c r="J602" s="204" t="str">
        <f t="shared" si="164"/>
        <v/>
      </c>
      <c r="K602" s="204" t="str">
        <f t="shared" si="165"/>
        <v/>
      </c>
      <c r="L602" s="204" t="str">
        <f t="shared" si="166"/>
        <v/>
      </c>
      <c r="M602" s="76" t="str">
        <f t="shared" si="167"/>
        <v/>
      </c>
      <c r="N602" s="206">
        <f t="shared" si="168"/>
        <v>0</v>
      </c>
      <c r="O602" s="206">
        <f t="shared" si="169"/>
        <v>0</v>
      </c>
      <c r="P602" s="206">
        <f t="shared" si="170"/>
        <v>0</v>
      </c>
      <c r="Q602" s="206">
        <f t="shared" si="171"/>
        <v>0</v>
      </c>
    </row>
    <row r="603" spans="1:17" x14ac:dyDescent="0.3">
      <c r="A603" s="204"/>
      <c r="B603" s="205"/>
      <c r="C603" s="205"/>
      <c r="D603" s="205"/>
      <c r="E603" s="205"/>
      <c r="F603" s="204"/>
      <c r="G603" s="204"/>
      <c r="H603" s="204"/>
      <c r="I603" s="204" t="str">
        <f t="shared" si="163"/>
        <v/>
      </c>
      <c r="J603" s="204" t="str">
        <f t="shared" si="164"/>
        <v/>
      </c>
      <c r="K603" s="204" t="str">
        <f t="shared" si="165"/>
        <v/>
      </c>
      <c r="L603" s="204" t="str">
        <f t="shared" si="166"/>
        <v/>
      </c>
      <c r="M603" s="76" t="str">
        <f t="shared" si="167"/>
        <v/>
      </c>
      <c r="N603" s="206">
        <f t="shared" si="168"/>
        <v>0</v>
      </c>
      <c r="O603" s="206">
        <f t="shared" si="169"/>
        <v>0</v>
      </c>
      <c r="P603" s="206">
        <f t="shared" si="170"/>
        <v>0</v>
      </c>
      <c r="Q603" s="206">
        <f t="shared" si="171"/>
        <v>0</v>
      </c>
    </row>
    <row r="604" spans="1:17" x14ac:dyDescent="0.3">
      <c r="A604" s="204"/>
      <c r="B604" s="205"/>
      <c r="C604" s="205"/>
      <c r="D604" s="205"/>
      <c r="E604" s="205"/>
      <c r="F604" s="204"/>
      <c r="G604" s="204"/>
      <c r="H604" s="204"/>
      <c r="I604" s="204" t="str">
        <f t="shared" si="163"/>
        <v/>
      </c>
      <c r="J604" s="204" t="str">
        <f t="shared" si="164"/>
        <v/>
      </c>
      <c r="K604" s="204" t="str">
        <f t="shared" si="165"/>
        <v/>
      </c>
      <c r="L604" s="204" t="str">
        <f t="shared" si="166"/>
        <v/>
      </c>
      <c r="M604" s="76" t="str">
        <f t="shared" si="167"/>
        <v/>
      </c>
      <c r="N604" s="206">
        <f t="shared" si="168"/>
        <v>0</v>
      </c>
      <c r="O604" s="206">
        <f t="shared" si="169"/>
        <v>0</v>
      </c>
      <c r="P604" s="206">
        <f t="shared" si="170"/>
        <v>0</v>
      </c>
      <c r="Q604" s="206">
        <f t="shared" si="171"/>
        <v>0</v>
      </c>
    </row>
    <row r="605" spans="1:17" x14ac:dyDescent="0.3">
      <c r="A605" s="204"/>
      <c r="B605" s="205"/>
      <c r="C605" s="205"/>
      <c r="D605" s="205"/>
      <c r="E605" s="205"/>
      <c r="F605" s="204"/>
      <c r="G605" s="204"/>
      <c r="H605" s="204"/>
      <c r="I605" s="204" t="str">
        <f t="shared" si="163"/>
        <v/>
      </c>
      <c r="J605" s="204" t="str">
        <f t="shared" si="164"/>
        <v/>
      </c>
      <c r="K605" s="204" t="str">
        <f t="shared" si="165"/>
        <v/>
      </c>
      <c r="L605" s="204" t="str">
        <f t="shared" si="166"/>
        <v/>
      </c>
      <c r="M605" s="76" t="str">
        <f t="shared" si="167"/>
        <v/>
      </c>
      <c r="N605" s="206">
        <f t="shared" si="168"/>
        <v>0</v>
      </c>
      <c r="O605" s="206">
        <f t="shared" si="169"/>
        <v>0</v>
      </c>
      <c r="P605" s="206">
        <f t="shared" si="170"/>
        <v>0</v>
      </c>
      <c r="Q605" s="206">
        <f t="shared" si="171"/>
        <v>0</v>
      </c>
    </row>
    <row r="606" spans="1:17" x14ac:dyDescent="0.3">
      <c r="A606" s="204"/>
      <c r="B606" s="205"/>
      <c r="C606" s="205"/>
      <c r="D606" s="205"/>
      <c r="E606" s="205"/>
      <c r="F606" s="204"/>
      <c r="G606" s="204"/>
      <c r="H606" s="204"/>
      <c r="I606" s="204" t="str">
        <f t="shared" si="163"/>
        <v/>
      </c>
      <c r="J606" s="204" t="str">
        <f t="shared" si="164"/>
        <v/>
      </c>
      <c r="K606" s="204" t="str">
        <f t="shared" si="165"/>
        <v/>
      </c>
      <c r="L606" s="204" t="str">
        <f t="shared" si="166"/>
        <v/>
      </c>
      <c r="M606" s="76" t="str">
        <f t="shared" si="167"/>
        <v/>
      </c>
      <c r="N606" s="206">
        <f t="shared" si="168"/>
        <v>0</v>
      </c>
      <c r="O606" s="206">
        <f t="shared" si="169"/>
        <v>0</v>
      </c>
      <c r="P606" s="206">
        <f t="shared" si="170"/>
        <v>0</v>
      </c>
      <c r="Q606" s="206">
        <f t="shared" si="171"/>
        <v>0</v>
      </c>
    </row>
    <row r="607" spans="1:17" x14ac:dyDescent="0.3">
      <c r="A607" s="204"/>
      <c r="B607" s="205"/>
      <c r="C607" s="205"/>
      <c r="D607" s="205"/>
      <c r="E607" s="205"/>
      <c r="F607" s="204"/>
      <c r="G607" s="204"/>
      <c r="H607" s="204"/>
      <c r="I607" s="204" t="str">
        <f t="shared" si="163"/>
        <v/>
      </c>
      <c r="J607" s="204" t="str">
        <f t="shared" si="164"/>
        <v/>
      </c>
      <c r="K607" s="204" t="str">
        <f t="shared" si="165"/>
        <v/>
      </c>
      <c r="L607" s="204" t="str">
        <f t="shared" si="166"/>
        <v/>
      </c>
      <c r="M607" s="76" t="str">
        <f t="shared" si="167"/>
        <v/>
      </c>
      <c r="N607" s="206">
        <f t="shared" si="168"/>
        <v>0</v>
      </c>
      <c r="O607" s="206">
        <f t="shared" si="169"/>
        <v>0</v>
      </c>
      <c r="P607" s="206">
        <f t="shared" si="170"/>
        <v>0</v>
      </c>
      <c r="Q607" s="206">
        <f t="shared" si="171"/>
        <v>0</v>
      </c>
    </row>
    <row r="608" spans="1:17" x14ac:dyDescent="0.3">
      <c r="A608" s="204"/>
      <c r="B608" s="205"/>
      <c r="C608" s="205"/>
      <c r="D608" s="205"/>
      <c r="E608" s="205"/>
      <c r="F608" s="204"/>
      <c r="G608" s="204"/>
      <c r="H608" s="204"/>
      <c r="I608" s="204" t="str">
        <f t="shared" si="163"/>
        <v/>
      </c>
      <c r="J608" s="204" t="str">
        <f t="shared" si="164"/>
        <v/>
      </c>
      <c r="K608" s="204" t="str">
        <f t="shared" si="165"/>
        <v/>
      </c>
      <c r="L608" s="204" t="str">
        <f t="shared" si="166"/>
        <v/>
      </c>
      <c r="M608" s="76" t="str">
        <f t="shared" si="167"/>
        <v/>
      </c>
      <c r="N608" s="206">
        <f t="shared" si="168"/>
        <v>0</v>
      </c>
      <c r="O608" s="206">
        <f t="shared" si="169"/>
        <v>0</v>
      </c>
      <c r="P608" s="206">
        <f t="shared" si="170"/>
        <v>0</v>
      </c>
      <c r="Q608" s="206">
        <f t="shared" si="171"/>
        <v>0</v>
      </c>
    </row>
    <row r="609" spans="1:17" x14ac:dyDescent="0.3">
      <c r="A609" s="204"/>
      <c r="B609" s="205"/>
      <c r="C609" s="205"/>
      <c r="D609" s="205"/>
      <c r="E609" s="205"/>
      <c r="F609" s="204"/>
      <c r="G609" s="204"/>
      <c r="H609" s="204"/>
      <c r="I609" s="204" t="str">
        <f t="shared" si="163"/>
        <v/>
      </c>
      <c r="J609" s="204" t="str">
        <f t="shared" si="164"/>
        <v/>
      </c>
      <c r="K609" s="204" t="str">
        <f t="shared" si="165"/>
        <v/>
      </c>
      <c r="L609" s="204" t="str">
        <f t="shared" si="166"/>
        <v/>
      </c>
      <c r="M609" s="76" t="str">
        <f t="shared" si="167"/>
        <v/>
      </c>
      <c r="N609" s="206">
        <f t="shared" si="168"/>
        <v>0</v>
      </c>
      <c r="O609" s="206">
        <f t="shared" si="169"/>
        <v>0</v>
      </c>
      <c r="P609" s="206">
        <f t="shared" si="170"/>
        <v>0</v>
      </c>
      <c r="Q609" s="206">
        <f t="shared" si="171"/>
        <v>0</v>
      </c>
    </row>
    <row r="610" spans="1:17" x14ac:dyDescent="0.3">
      <c r="A610" s="204"/>
      <c r="B610" s="205"/>
      <c r="C610" s="205"/>
      <c r="D610" s="205"/>
      <c r="E610" s="205"/>
      <c r="F610" s="204"/>
      <c r="G610" s="204"/>
      <c r="H610" s="204"/>
      <c r="I610" s="204" t="str">
        <f t="shared" si="163"/>
        <v/>
      </c>
      <c r="J610" s="204" t="str">
        <f t="shared" si="164"/>
        <v/>
      </c>
      <c r="K610" s="204" t="str">
        <f t="shared" si="165"/>
        <v/>
      </c>
      <c r="L610" s="204" t="str">
        <f t="shared" si="166"/>
        <v/>
      </c>
      <c r="M610" s="76" t="str">
        <f t="shared" si="167"/>
        <v/>
      </c>
      <c r="N610" s="206">
        <f t="shared" si="168"/>
        <v>0</v>
      </c>
      <c r="O610" s="206">
        <f t="shared" si="169"/>
        <v>0</v>
      </c>
      <c r="P610" s="206">
        <f t="shared" si="170"/>
        <v>0</v>
      </c>
      <c r="Q610" s="206">
        <f t="shared" si="171"/>
        <v>0</v>
      </c>
    </row>
    <row r="611" spans="1:17" x14ac:dyDescent="0.3">
      <c r="A611" s="204"/>
      <c r="B611" s="205"/>
      <c r="C611" s="205"/>
      <c r="D611" s="205"/>
      <c r="E611" s="205"/>
      <c r="F611" s="204"/>
      <c r="G611" s="204"/>
      <c r="H611" s="204"/>
      <c r="I611" s="204" t="str">
        <f t="shared" si="163"/>
        <v/>
      </c>
      <c r="J611" s="204" t="str">
        <f t="shared" si="164"/>
        <v/>
      </c>
      <c r="K611" s="204" t="str">
        <f t="shared" si="165"/>
        <v/>
      </c>
      <c r="L611" s="204" t="str">
        <f t="shared" si="166"/>
        <v/>
      </c>
      <c r="M611" s="76" t="str">
        <f t="shared" si="167"/>
        <v/>
      </c>
      <c r="N611" s="206">
        <f t="shared" si="168"/>
        <v>0</v>
      </c>
      <c r="O611" s="206">
        <f t="shared" si="169"/>
        <v>0</v>
      </c>
      <c r="P611" s="206">
        <f t="shared" si="170"/>
        <v>0</v>
      </c>
      <c r="Q611" s="206">
        <f t="shared" si="171"/>
        <v>0</v>
      </c>
    </row>
    <row r="612" spans="1:17" x14ac:dyDescent="0.3">
      <c r="A612" s="204"/>
      <c r="B612" s="205"/>
      <c r="C612" s="205"/>
      <c r="D612" s="205"/>
      <c r="E612" s="205"/>
      <c r="F612" s="204"/>
      <c r="G612" s="204"/>
      <c r="H612" s="204"/>
      <c r="I612" s="204" t="str">
        <f t="shared" si="163"/>
        <v/>
      </c>
      <c r="J612" s="204" t="str">
        <f t="shared" si="164"/>
        <v/>
      </c>
      <c r="K612" s="204" t="str">
        <f t="shared" si="165"/>
        <v/>
      </c>
      <c r="L612" s="204" t="str">
        <f t="shared" si="166"/>
        <v/>
      </c>
      <c r="M612" s="76" t="str">
        <f t="shared" si="167"/>
        <v/>
      </c>
      <c r="N612" s="206">
        <f t="shared" si="168"/>
        <v>0</v>
      </c>
      <c r="O612" s="206">
        <f t="shared" si="169"/>
        <v>0</v>
      </c>
      <c r="P612" s="206">
        <f t="shared" si="170"/>
        <v>0</v>
      </c>
      <c r="Q612" s="206">
        <f t="shared" si="171"/>
        <v>0</v>
      </c>
    </row>
    <row r="613" spans="1:17" x14ac:dyDescent="0.3">
      <c r="A613" s="204"/>
      <c r="B613" s="205"/>
      <c r="C613" s="205"/>
      <c r="D613" s="205"/>
      <c r="E613" s="205"/>
      <c r="F613" s="204"/>
      <c r="G613" s="204"/>
      <c r="H613" s="204"/>
      <c r="I613" s="204" t="str">
        <f t="shared" si="163"/>
        <v/>
      </c>
      <c r="J613" s="204" t="str">
        <f t="shared" si="164"/>
        <v/>
      </c>
      <c r="K613" s="204" t="str">
        <f t="shared" si="165"/>
        <v/>
      </c>
      <c r="L613" s="204" t="str">
        <f t="shared" si="166"/>
        <v/>
      </c>
      <c r="M613" s="76" t="str">
        <f t="shared" si="167"/>
        <v/>
      </c>
      <c r="N613" s="206">
        <f t="shared" si="168"/>
        <v>0</v>
      </c>
      <c r="O613" s="206">
        <f t="shared" si="169"/>
        <v>0</v>
      </c>
      <c r="P613" s="206">
        <f t="shared" si="170"/>
        <v>0</v>
      </c>
      <c r="Q613" s="206">
        <f t="shared" si="171"/>
        <v>0</v>
      </c>
    </row>
    <row r="614" spans="1:17" x14ac:dyDescent="0.3">
      <c r="A614" s="204"/>
      <c r="B614" s="205"/>
      <c r="C614" s="205"/>
      <c r="D614" s="205"/>
      <c r="E614" s="205"/>
      <c r="F614" s="204"/>
      <c r="G614" s="204"/>
      <c r="H614" s="204"/>
      <c r="I614" s="204" t="str">
        <f t="shared" si="163"/>
        <v/>
      </c>
      <c r="J614" s="204" t="str">
        <f t="shared" si="164"/>
        <v/>
      </c>
      <c r="K614" s="204" t="str">
        <f t="shared" si="165"/>
        <v/>
      </c>
      <c r="L614" s="204" t="str">
        <f t="shared" si="166"/>
        <v/>
      </c>
      <c r="M614" s="76" t="str">
        <f t="shared" si="167"/>
        <v/>
      </c>
      <c r="N614" s="206">
        <f t="shared" si="168"/>
        <v>0</v>
      </c>
      <c r="O614" s="206">
        <f t="shared" si="169"/>
        <v>0</v>
      </c>
      <c r="P614" s="206">
        <f t="shared" si="170"/>
        <v>0</v>
      </c>
      <c r="Q614" s="206">
        <f t="shared" si="171"/>
        <v>0</v>
      </c>
    </row>
    <row r="615" spans="1:17" x14ac:dyDescent="0.3">
      <c r="A615" s="204"/>
      <c r="B615" s="205"/>
      <c r="C615" s="205"/>
      <c r="D615" s="205"/>
      <c r="E615" s="205"/>
      <c r="F615" s="204"/>
      <c r="G615" s="204"/>
      <c r="H615" s="204"/>
      <c r="I615" s="204" t="str">
        <f t="shared" si="163"/>
        <v/>
      </c>
      <c r="J615" s="204" t="str">
        <f t="shared" si="164"/>
        <v/>
      </c>
      <c r="K615" s="204" t="str">
        <f t="shared" si="165"/>
        <v/>
      </c>
      <c r="L615" s="204" t="str">
        <f t="shared" si="166"/>
        <v/>
      </c>
      <c r="M615" s="76" t="str">
        <f t="shared" si="167"/>
        <v/>
      </c>
      <c r="N615" s="206">
        <f t="shared" si="168"/>
        <v>0</v>
      </c>
      <c r="O615" s="206">
        <f t="shared" si="169"/>
        <v>0</v>
      </c>
      <c r="P615" s="206">
        <f t="shared" si="170"/>
        <v>0</v>
      </c>
      <c r="Q615" s="206">
        <f t="shared" si="171"/>
        <v>0</v>
      </c>
    </row>
    <row r="616" spans="1:17" x14ac:dyDescent="0.3">
      <c r="A616" s="204"/>
      <c r="B616" s="205"/>
      <c r="C616" s="205"/>
      <c r="D616" s="205"/>
      <c r="E616" s="205"/>
      <c r="F616" s="204"/>
      <c r="G616" s="204"/>
      <c r="H616" s="204"/>
      <c r="I616" s="204" t="str">
        <f t="shared" si="163"/>
        <v/>
      </c>
      <c r="J616" s="204" t="str">
        <f t="shared" si="164"/>
        <v/>
      </c>
      <c r="K616" s="204" t="str">
        <f t="shared" si="165"/>
        <v/>
      </c>
      <c r="L616" s="204" t="str">
        <f t="shared" si="166"/>
        <v/>
      </c>
      <c r="M616" s="76" t="str">
        <f t="shared" si="167"/>
        <v/>
      </c>
      <c r="N616" s="206">
        <f t="shared" si="168"/>
        <v>0</v>
      </c>
      <c r="O616" s="206">
        <f t="shared" si="169"/>
        <v>0</v>
      </c>
      <c r="P616" s="206">
        <f t="shared" si="170"/>
        <v>0</v>
      </c>
      <c r="Q616" s="206">
        <f t="shared" si="171"/>
        <v>0</v>
      </c>
    </row>
    <row r="617" spans="1:17" x14ac:dyDescent="0.3">
      <c r="A617" s="204"/>
      <c r="B617" s="205"/>
      <c r="C617" s="205"/>
      <c r="D617" s="205"/>
      <c r="E617" s="205"/>
      <c r="F617" s="204"/>
      <c r="G617" s="204"/>
      <c r="H617" s="204"/>
      <c r="I617" s="204" t="str">
        <f t="shared" si="163"/>
        <v/>
      </c>
      <c r="J617" s="204" t="str">
        <f t="shared" si="164"/>
        <v/>
      </c>
      <c r="K617" s="204" t="str">
        <f t="shared" si="165"/>
        <v/>
      </c>
      <c r="L617" s="204" t="str">
        <f t="shared" si="166"/>
        <v/>
      </c>
      <c r="M617" s="76" t="str">
        <f t="shared" si="167"/>
        <v/>
      </c>
      <c r="N617" s="206">
        <f t="shared" si="168"/>
        <v>0</v>
      </c>
      <c r="O617" s="206">
        <f t="shared" si="169"/>
        <v>0</v>
      </c>
      <c r="P617" s="206">
        <f t="shared" si="170"/>
        <v>0</v>
      </c>
      <c r="Q617" s="206">
        <f t="shared" si="171"/>
        <v>0</v>
      </c>
    </row>
    <row r="618" spans="1:17" x14ac:dyDescent="0.3">
      <c r="A618" s="204"/>
      <c r="B618" s="205"/>
      <c r="C618" s="205"/>
      <c r="D618" s="205"/>
      <c r="E618" s="205"/>
      <c r="F618" s="204"/>
      <c r="G618" s="204"/>
      <c r="H618" s="204"/>
      <c r="I618" s="204" t="str">
        <f t="shared" si="163"/>
        <v/>
      </c>
      <c r="J618" s="204" t="str">
        <f t="shared" si="164"/>
        <v/>
      </c>
      <c r="K618" s="204" t="str">
        <f t="shared" si="165"/>
        <v/>
      </c>
      <c r="L618" s="204" t="str">
        <f t="shared" si="166"/>
        <v/>
      </c>
      <c r="M618" s="76" t="str">
        <f t="shared" si="167"/>
        <v/>
      </c>
      <c r="N618" s="206">
        <f t="shared" si="168"/>
        <v>0</v>
      </c>
      <c r="O618" s="206">
        <f t="shared" si="169"/>
        <v>0</v>
      </c>
      <c r="P618" s="206">
        <f t="shared" si="170"/>
        <v>0</v>
      </c>
      <c r="Q618" s="206">
        <f t="shared" si="171"/>
        <v>0</v>
      </c>
    </row>
    <row r="619" spans="1:17" x14ac:dyDescent="0.3">
      <c r="A619" s="204"/>
      <c r="B619" s="205"/>
      <c r="C619" s="205"/>
      <c r="D619" s="205"/>
      <c r="E619" s="205"/>
      <c r="F619" s="204"/>
      <c r="G619" s="204"/>
      <c r="H619" s="204"/>
      <c r="I619" s="204" t="str">
        <f t="shared" si="163"/>
        <v/>
      </c>
      <c r="J619" s="204" t="str">
        <f t="shared" si="164"/>
        <v/>
      </c>
      <c r="K619" s="204" t="str">
        <f t="shared" si="165"/>
        <v/>
      </c>
      <c r="L619" s="204" t="str">
        <f t="shared" si="166"/>
        <v/>
      </c>
      <c r="M619" s="76" t="str">
        <f t="shared" si="167"/>
        <v/>
      </c>
      <c r="N619" s="206">
        <f t="shared" si="168"/>
        <v>0</v>
      </c>
      <c r="O619" s="206">
        <f t="shared" si="169"/>
        <v>0</v>
      </c>
      <c r="P619" s="206">
        <f t="shared" si="170"/>
        <v>0</v>
      </c>
      <c r="Q619" s="206">
        <f t="shared" si="171"/>
        <v>0</v>
      </c>
    </row>
    <row r="620" spans="1:17" x14ac:dyDescent="0.3">
      <c r="A620" s="204"/>
      <c r="B620" s="205"/>
      <c r="C620" s="205"/>
      <c r="D620" s="205"/>
      <c r="E620" s="205"/>
      <c r="F620" s="204"/>
      <c r="G620" s="204"/>
      <c r="H620" s="204"/>
      <c r="I620" s="204" t="str">
        <f t="shared" si="163"/>
        <v/>
      </c>
      <c r="J620" s="204" t="str">
        <f t="shared" si="164"/>
        <v/>
      </c>
      <c r="K620" s="204" t="str">
        <f t="shared" si="165"/>
        <v/>
      </c>
      <c r="L620" s="204" t="str">
        <f t="shared" si="166"/>
        <v/>
      </c>
      <c r="M620" s="76" t="str">
        <f t="shared" si="167"/>
        <v/>
      </c>
      <c r="N620" s="206">
        <f t="shared" si="168"/>
        <v>0</v>
      </c>
      <c r="O620" s="206">
        <f t="shared" si="169"/>
        <v>0</v>
      </c>
      <c r="P620" s="206">
        <f t="shared" si="170"/>
        <v>0</v>
      </c>
      <c r="Q620" s="206">
        <f t="shared" si="171"/>
        <v>0</v>
      </c>
    </row>
    <row r="621" spans="1:17" x14ac:dyDescent="0.3">
      <c r="A621" s="204"/>
      <c r="B621" s="205"/>
      <c r="C621" s="205"/>
      <c r="D621" s="205"/>
      <c r="E621" s="205"/>
      <c r="F621" s="204"/>
      <c r="G621" s="204"/>
      <c r="H621" s="204"/>
      <c r="I621" s="204" t="str">
        <f t="shared" si="163"/>
        <v/>
      </c>
      <c r="J621" s="204" t="str">
        <f t="shared" si="164"/>
        <v/>
      </c>
      <c r="K621" s="204" t="str">
        <f t="shared" si="165"/>
        <v/>
      </c>
      <c r="L621" s="204" t="str">
        <f t="shared" si="166"/>
        <v/>
      </c>
      <c r="M621" s="76" t="str">
        <f t="shared" si="167"/>
        <v/>
      </c>
      <c r="N621" s="206">
        <f t="shared" si="168"/>
        <v>0</v>
      </c>
      <c r="O621" s="206">
        <f t="shared" si="169"/>
        <v>0</v>
      </c>
      <c r="P621" s="206">
        <f t="shared" si="170"/>
        <v>0</v>
      </c>
      <c r="Q621" s="206">
        <f t="shared" si="171"/>
        <v>0</v>
      </c>
    </row>
    <row r="622" spans="1:17" x14ac:dyDescent="0.3">
      <c r="A622" s="204"/>
      <c r="B622" s="205"/>
      <c r="C622" s="205"/>
      <c r="D622" s="205"/>
      <c r="E622" s="205"/>
      <c r="F622" s="204"/>
      <c r="G622" s="204"/>
      <c r="H622" s="204"/>
      <c r="I622" s="204" t="str">
        <f t="shared" si="163"/>
        <v/>
      </c>
      <c r="J622" s="204" t="str">
        <f t="shared" si="164"/>
        <v/>
      </c>
      <c r="K622" s="204" t="str">
        <f t="shared" si="165"/>
        <v/>
      </c>
      <c r="L622" s="204" t="str">
        <f t="shared" si="166"/>
        <v/>
      </c>
      <c r="M622" s="76" t="str">
        <f t="shared" si="167"/>
        <v/>
      </c>
      <c r="N622" s="206">
        <f t="shared" si="168"/>
        <v>0</v>
      </c>
      <c r="O622" s="206">
        <f t="shared" si="169"/>
        <v>0</v>
      </c>
      <c r="P622" s="206">
        <f t="shared" si="170"/>
        <v>0</v>
      </c>
      <c r="Q622" s="206">
        <f t="shared" si="171"/>
        <v>0</v>
      </c>
    </row>
    <row r="623" spans="1:17" x14ac:dyDescent="0.3">
      <c r="A623" s="204"/>
      <c r="B623" s="205"/>
      <c r="C623" s="205"/>
      <c r="D623" s="205"/>
      <c r="E623" s="205"/>
      <c r="F623" s="204"/>
      <c r="G623" s="204"/>
      <c r="H623" s="204"/>
      <c r="I623" s="204" t="str">
        <f t="shared" si="163"/>
        <v/>
      </c>
      <c r="J623" s="204" t="str">
        <f t="shared" si="164"/>
        <v/>
      </c>
      <c r="K623" s="204" t="str">
        <f t="shared" si="165"/>
        <v/>
      </c>
      <c r="L623" s="204" t="str">
        <f t="shared" si="166"/>
        <v/>
      </c>
      <c r="M623" s="76" t="str">
        <f t="shared" si="167"/>
        <v/>
      </c>
      <c r="N623" s="206">
        <f t="shared" si="168"/>
        <v>0</v>
      </c>
      <c r="O623" s="206">
        <f t="shared" si="169"/>
        <v>0</v>
      </c>
      <c r="P623" s="206">
        <f t="shared" si="170"/>
        <v>0</v>
      </c>
      <c r="Q623" s="206">
        <f t="shared" si="171"/>
        <v>0</v>
      </c>
    </row>
    <row r="624" spans="1:17" x14ac:dyDescent="0.3">
      <c r="A624" s="204"/>
      <c r="B624" s="205"/>
      <c r="C624" s="205"/>
      <c r="D624" s="205"/>
      <c r="E624" s="205"/>
      <c r="F624" s="204"/>
      <c r="G624" s="204"/>
      <c r="H624" s="204"/>
      <c r="I624" s="204" t="str">
        <f t="shared" si="163"/>
        <v/>
      </c>
      <c r="J624" s="204" t="str">
        <f t="shared" si="164"/>
        <v/>
      </c>
      <c r="K624" s="204" t="str">
        <f t="shared" si="165"/>
        <v/>
      </c>
      <c r="L624" s="204" t="str">
        <f t="shared" si="166"/>
        <v/>
      </c>
      <c r="M624" s="76" t="str">
        <f t="shared" si="167"/>
        <v/>
      </c>
      <c r="N624" s="206">
        <f t="shared" si="168"/>
        <v>0</v>
      </c>
      <c r="O624" s="206">
        <f t="shared" si="169"/>
        <v>0</v>
      </c>
      <c r="P624" s="206">
        <f t="shared" si="170"/>
        <v>0</v>
      </c>
      <c r="Q624" s="206">
        <f t="shared" si="171"/>
        <v>0</v>
      </c>
    </row>
    <row r="625" spans="1:17" x14ac:dyDescent="0.3">
      <c r="A625" s="204"/>
      <c r="B625" s="205"/>
      <c r="C625" s="205"/>
      <c r="D625" s="205"/>
      <c r="E625" s="205"/>
      <c r="F625" s="204"/>
      <c r="G625" s="204"/>
      <c r="H625" s="204"/>
      <c r="I625" s="204" t="str">
        <f t="shared" si="163"/>
        <v/>
      </c>
      <c r="J625" s="204" t="str">
        <f t="shared" si="164"/>
        <v/>
      </c>
      <c r="K625" s="204" t="str">
        <f t="shared" si="165"/>
        <v/>
      </c>
      <c r="L625" s="204" t="str">
        <f t="shared" si="166"/>
        <v/>
      </c>
      <c r="M625" s="76" t="str">
        <f t="shared" si="167"/>
        <v/>
      </c>
      <c r="N625" s="206">
        <f t="shared" si="168"/>
        <v>0</v>
      </c>
      <c r="O625" s="206">
        <f t="shared" si="169"/>
        <v>0</v>
      </c>
      <c r="P625" s="206">
        <f t="shared" si="170"/>
        <v>0</v>
      </c>
      <c r="Q625" s="206">
        <f t="shared" si="171"/>
        <v>0</v>
      </c>
    </row>
    <row r="626" spans="1:17" x14ac:dyDescent="0.3">
      <c r="A626" s="204"/>
      <c r="B626" s="205"/>
      <c r="C626" s="205"/>
      <c r="D626" s="205"/>
      <c r="E626" s="205"/>
      <c r="F626" s="204"/>
      <c r="G626" s="204"/>
      <c r="H626" s="204"/>
      <c r="I626" s="204" t="str">
        <f t="shared" si="163"/>
        <v/>
      </c>
      <c r="J626" s="204" t="str">
        <f t="shared" si="164"/>
        <v/>
      </c>
      <c r="K626" s="204" t="str">
        <f t="shared" si="165"/>
        <v/>
      </c>
      <c r="L626" s="204" t="str">
        <f t="shared" si="166"/>
        <v/>
      </c>
      <c r="M626" s="76" t="str">
        <f t="shared" si="167"/>
        <v/>
      </c>
      <c r="N626" s="206">
        <f t="shared" si="168"/>
        <v>0</v>
      </c>
      <c r="O626" s="206">
        <f t="shared" si="169"/>
        <v>0</v>
      </c>
      <c r="P626" s="206">
        <f t="shared" si="170"/>
        <v>0</v>
      </c>
      <c r="Q626" s="206">
        <f t="shared" si="171"/>
        <v>0</v>
      </c>
    </row>
    <row r="627" spans="1:17" x14ac:dyDescent="0.3">
      <c r="A627" s="204"/>
      <c r="B627" s="205"/>
      <c r="C627" s="205"/>
      <c r="D627" s="205"/>
      <c r="E627" s="205"/>
      <c r="F627" s="204"/>
      <c r="G627" s="204"/>
      <c r="H627" s="204"/>
      <c r="I627" s="204" t="str">
        <f t="shared" si="163"/>
        <v/>
      </c>
      <c r="J627" s="204" t="str">
        <f t="shared" si="164"/>
        <v/>
      </c>
      <c r="K627" s="204" t="str">
        <f t="shared" si="165"/>
        <v/>
      </c>
      <c r="L627" s="204" t="str">
        <f t="shared" si="166"/>
        <v/>
      </c>
      <c r="M627" s="76" t="str">
        <f t="shared" si="167"/>
        <v/>
      </c>
      <c r="N627" s="206">
        <f t="shared" si="168"/>
        <v>0</v>
      </c>
      <c r="O627" s="206">
        <f t="shared" si="169"/>
        <v>0</v>
      </c>
      <c r="P627" s="206">
        <f t="shared" si="170"/>
        <v>0</v>
      </c>
      <c r="Q627" s="206">
        <f t="shared" si="171"/>
        <v>0</v>
      </c>
    </row>
    <row r="628" spans="1:17" x14ac:dyDescent="0.3">
      <c r="A628" s="204"/>
      <c r="B628" s="205"/>
      <c r="C628" s="205"/>
      <c r="D628" s="205"/>
      <c r="E628" s="205"/>
      <c r="F628" s="204"/>
      <c r="G628" s="204"/>
      <c r="H628" s="204"/>
      <c r="I628" s="204" t="str">
        <f t="shared" si="163"/>
        <v/>
      </c>
      <c r="J628" s="204" t="str">
        <f t="shared" si="164"/>
        <v/>
      </c>
      <c r="K628" s="204" t="str">
        <f t="shared" si="165"/>
        <v/>
      </c>
      <c r="L628" s="204" t="str">
        <f t="shared" si="166"/>
        <v/>
      </c>
      <c r="M628" s="76" t="str">
        <f t="shared" si="167"/>
        <v/>
      </c>
      <c r="N628" s="206">
        <f t="shared" si="168"/>
        <v>0</v>
      </c>
      <c r="O628" s="206">
        <f t="shared" si="169"/>
        <v>0</v>
      </c>
      <c r="P628" s="206">
        <f t="shared" si="170"/>
        <v>0</v>
      </c>
      <c r="Q628" s="206">
        <f t="shared" si="171"/>
        <v>0</v>
      </c>
    </row>
    <row r="629" spans="1:17" x14ac:dyDescent="0.3">
      <c r="A629" s="204"/>
      <c r="B629" s="205"/>
      <c r="C629" s="205"/>
      <c r="D629" s="205"/>
      <c r="E629" s="205"/>
      <c r="F629" s="204"/>
      <c r="G629" s="204"/>
      <c r="H629" s="204"/>
      <c r="I629" s="204" t="str">
        <f t="shared" si="163"/>
        <v/>
      </c>
      <c r="J629" s="204" t="str">
        <f t="shared" si="164"/>
        <v/>
      </c>
      <c r="K629" s="204" t="str">
        <f t="shared" si="165"/>
        <v/>
      </c>
      <c r="L629" s="204" t="str">
        <f t="shared" si="166"/>
        <v/>
      </c>
      <c r="M629" s="76" t="str">
        <f t="shared" si="167"/>
        <v/>
      </c>
      <c r="N629" s="206">
        <f t="shared" si="168"/>
        <v>0</v>
      </c>
      <c r="O629" s="206">
        <f t="shared" si="169"/>
        <v>0</v>
      </c>
      <c r="P629" s="206">
        <f t="shared" si="170"/>
        <v>0</v>
      </c>
      <c r="Q629" s="206">
        <f t="shared" si="171"/>
        <v>0</v>
      </c>
    </row>
    <row r="630" spans="1:17" x14ac:dyDescent="0.3">
      <c r="A630" s="204"/>
      <c r="B630" s="205"/>
      <c r="C630" s="205"/>
      <c r="D630" s="205"/>
      <c r="E630" s="205"/>
      <c r="F630" s="204"/>
      <c r="G630" s="204"/>
      <c r="H630" s="204"/>
      <c r="I630" s="204" t="str">
        <f t="shared" si="163"/>
        <v/>
      </c>
      <c r="J630" s="204" t="str">
        <f t="shared" si="164"/>
        <v/>
      </c>
      <c r="K630" s="204" t="str">
        <f t="shared" si="165"/>
        <v/>
      </c>
      <c r="L630" s="204" t="str">
        <f t="shared" si="166"/>
        <v/>
      </c>
      <c r="M630" s="76" t="str">
        <f t="shared" si="167"/>
        <v/>
      </c>
      <c r="N630" s="206">
        <f t="shared" si="168"/>
        <v>0</v>
      </c>
      <c r="O630" s="206">
        <f t="shared" si="169"/>
        <v>0</v>
      </c>
      <c r="P630" s="206">
        <f t="shared" si="170"/>
        <v>0</v>
      </c>
      <c r="Q630" s="206">
        <f t="shared" si="171"/>
        <v>0</v>
      </c>
    </row>
    <row r="631" spans="1:17" x14ac:dyDescent="0.3">
      <c r="A631" s="204"/>
      <c r="B631" s="205"/>
      <c r="C631" s="205"/>
      <c r="D631" s="205"/>
      <c r="E631" s="205"/>
      <c r="F631" s="204"/>
      <c r="G631" s="204"/>
      <c r="H631" s="204"/>
      <c r="I631" s="204" t="str">
        <f t="shared" si="163"/>
        <v/>
      </c>
      <c r="J631" s="204" t="str">
        <f t="shared" si="164"/>
        <v/>
      </c>
      <c r="K631" s="204" t="str">
        <f t="shared" si="165"/>
        <v/>
      </c>
      <c r="L631" s="204" t="str">
        <f t="shared" si="166"/>
        <v/>
      </c>
      <c r="M631" s="76" t="str">
        <f t="shared" si="167"/>
        <v/>
      </c>
      <c r="N631" s="206">
        <f t="shared" si="168"/>
        <v>0</v>
      </c>
      <c r="O631" s="206">
        <f t="shared" si="169"/>
        <v>0</v>
      </c>
      <c r="P631" s="206">
        <f t="shared" si="170"/>
        <v>0</v>
      </c>
      <c r="Q631" s="206">
        <f t="shared" si="171"/>
        <v>0</v>
      </c>
    </row>
    <row r="632" spans="1:17" x14ac:dyDescent="0.3">
      <c r="A632" s="204"/>
      <c r="B632" s="205"/>
      <c r="C632" s="205"/>
      <c r="D632" s="205"/>
      <c r="E632" s="205"/>
      <c r="F632" s="204"/>
      <c r="G632" s="204"/>
      <c r="H632" s="204"/>
      <c r="I632" s="204" t="str">
        <f t="shared" si="163"/>
        <v/>
      </c>
      <c r="J632" s="204" t="str">
        <f t="shared" si="164"/>
        <v/>
      </c>
      <c r="K632" s="204" t="str">
        <f t="shared" si="165"/>
        <v/>
      </c>
      <c r="L632" s="204" t="str">
        <f t="shared" si="166"/>
        <v/>
      </c>
      <c r="M632" s="76" t="str">
        <f t="shared" si="167"/>
        <v/>
      </c>
      <c r="N632" s="206">
        <f t="shared" si="168"/>
        <v>0</v>
      </c>
      <c r="O632" s="206">
        <f t="shared" si="169"/>
        <v>0</v>
      </c>
      <c r="P632" s="206">
        <f t="shared" si="170"/>
        <v>0</v>
      </c>
      <c r="Q632" s="206">
        <f t="shared" si="171"/>
        <v>0</v>
      </c>
    </row>
    <row r="633" spans="1:17" x14ac:dyDescent="0.3">
      <c r="A633" s="204"/>
      <c r="B633" s="205"/>
      <c r="C633" s="205"/>
      <c r="D633" s="205"/>
      <c r="E633" s="205"/>
      <c r="F633" s="204"/>
      <c r="G633" s="204"/>
      <c r="H633" s="204"/>
      <c r="I633" s="204" t="str">
        <f t="shared" si="163"/>
        <v/>
      </c>
      <c r="J633" s="204" t="str">
        <f t="shared" si="164"/>
        <v/>
      </c>
      <c r="K633" s="204" t="str">
        <f t="shared" si="165"/>
        <v/>
      </c>
      <c r="L633" s="204" t="str">
        <f t="shared" si="166"/>
        <v/>
      </c>
      <c r="M633" s="76" t="str">
        <f t="shared" si="167"/>
        <v/>
      </c>
      <c r="N633" s="206">
        <f t="shared" si="168"/>
        <v>0</v>
      </c>
      <c r="O633" s="206">
        <f t="shared" si="169"/>
        <v>0</v>
      </c>
      <c r="P633" s="206">
        <f t="shared" si="170"/>
        <v>0</v>
      </c>
      <c r="Q633" s="206">
        <f t="shared" si="171"/>
        <v>0</v>
      </c>
    </row>
    <row r="634" spans="1:17" x14ac:dyDescent="0.3">
      <c r="A634" s="204"/>
      <c r="B634" s="205"/>
      <c r="C634" s="205"/>
      <c r="D634" s="205"/>
      <c r="E634" s="205"/>
      <c r="F634" s="204"/>
      <c r="G634" s="204"/>
      <c r="H634" s="204"/>
      <c r="I634" s="204" t="str">
        <f t="shared" si="163"/>
        <v/>
      </c>
      <c r="J634" s="204" t="str">
        <f t="shared" si="164"/>
        <v/>
      </c>
      <c r="K634" s="204" t="str">
        <f t="shared" si="165"/>
        <v/>
      </c>
      <c r="L634" s="204" t="str">
        <f t="shared" si="166"/>
        <v/>
      </c>
      <c r="M634" s="76" t="str">
        <f t="shared" si="167"/>
        <v/>
      </c>
      <c r="N634" s="206">
        <f t="shared" si="168"/>
        <v>0</v>
      </c>
      <c r="O634" s="206">
        <f t="shared" si="169"/>
        <v>0</v>
      </c>
      <c r="P634" s="206">
        <f t="shared" si="170"/>
        <v>0</v>
      </c>
      <c r="Q634" s="206">
        <f t="shared" si="171"/>
        <v>0</v>
      </c>
    </row>
    <row r="635" spans="1:17" x14ac:dyDescent="0.3">
      <c r="A635" s="204"/>
      <c r="B635" s="205"/>
      <c r="C635" s="205"/>
      <c r="D635" s="205"/>
      <c r="E635" s="205"/>
      <c r="F635" s="204"/>
      <c r="G635" s="204"/>
      <c r="H635" s="204"/>
      <c r="I635" s="204" t="str">
        <f t="shared" si="163"/>
        <v/>
      </c>
      <c r="J635" s="204" t="str">
        <f t="shared" si="164"/>
        <v/>
      </c>
      <c r="K635" s="204" t="str">
        <f t="shared" si="165"/>
        <v/>
      </c>
      <c r="L635" s="204" t="str">
        <f t="shared" si="166"/>
        <v/>
      </c>
      <c r="M635" s="76" t="str">
        <f t="shared" si="167"/>
        <v/>
      </c>
      <c r="N635" s="206">
        <f t="shared" si="168"/>
        <v>0</v>
      </c>
      <c r="O635" s="206">
        <f t="shared" si="169"/>
        <v>0</v>
      </c>
      <c r="P635" s="206">
        <f t="shared" si="170"/>
        <v>0</v>
      </c>
      <c r="Q635" s="206">
        <f t="shared" si="171"/>
        <v>0</v>
      </c>
    </row>
    <row r="636" spans="1:17" x14ac:dyDescent="0.3">
      <c r="A636" s="204"/>
      <c r="B636" s="205"/>
      <c r="C636" s="205"/>
      <c r="D636" s="205"/>
      <c r="E636" s="205"/>
      <c r="F636" s="204"/>
      <c r="G636" s="204"/>
      <c r="H636" s="204"/>
      <c r="I636" s="204" t="str">
        <f t="shared" si="163"/>
        <v/>
      </c>
      <c r="J636" s="204" t="str">
        <f t="shared" si="164"/>
        <v/>
      </c>
      <c r="K636" s="204" t="str">
        <f t="shared" si="165"/>
        <v/>
      </c>
      <c r="L636" s="204" t="str">
        <f t="shared" si="166"/>
        <v/>
      </c>
      <c r="M636" s="76" t="str">
        <f t="shared" si="167"/>
        <v/>
      </c>
      <c r="N636" s="206">
        <f t="shared" si="168"/>
        <v>0</v>
      </c>
      <c r="O636" s="206">
        <f t="shared" si="169"/>
        <v>0</v>
      </c>
      <c r="P636" s="206">
        <f t="shared" si="170"/>
        <v>0</v>
      </c>
      <c r="Q636" s="206">
        <f t="shared" si="171"/>
        <v>0</v>
      </c>
    </row>
    <row r="637" spans="1:17" x14ac:dyDescent="0.3">
      <c r="A637" s="204"/>
      <c r="B637" s="205"/>
      <c r="C637" s="205"/>
      <c r="D637" s="205"/>
      <c r="E637" s="205"/>
      <c r="F637" s="204"/>
      <c r="G637" s="204"/>
      <c r="H637" s="204"/>
      <c r="I637" s="204" t="str">
        <f t="shared" si="163"/>
        <v/>
      </c>
      <c r="J637" s="204" t="str">
        <f t="shared" si="164"/>
        <v/>
      </c>
      <c r="K637" s="204" t="str">
        <f t="shared" si="165"/>
        <v/>
      </c>
      <c r="L637" s="204" t="str">
        <f t="shared" si="166"/>
        <v/>
      </c>
      <c r="M637" s="76" t="str">
        <f t="shared" si="167"/>
        <v/>
      </c>
      <c r="N637" s="206">
        <f t="shared" si="168"/>
        <v>0</v>
      </c>
      <c r="O637" s="206">
        <f t="shared" si="169"/>
        <v>0</v>
      </c>
      <c r="P637" s="206">
        <f t="shared" si="170"/>
        <v>0</v>
      </c>
      <c r="Q637" s="206">
        <f t="shared" si="171"/>
        <v>0</v>
      </c>
    </row>
    <row r="638" spans="1:17" x14ac:dyDescent="0.3">
      <c r="A638" s="204"/>
      <c r="B638" s="205"/>
      <c r="C638" s="205"/>
      <c r="D638" s="205"/>
      <c r="E638" s="205"/>
      <c r="F638" s="204"/>
      <c r="G638" s="204"/>
      <c r="H638" s="204"/>
      <c r="I638" s="204" t="str">
        <f t="shared" si="163"/>
        <v/>
      </c>
      <c r="J638" s="204" t="str">
        <f t="shared" si="164"/>
        <v/>
      </c>
      <c r="K638" s="204" t="str">
        <f t="shared" si="165"/>
        <v/>
      </c>
      <c r="L638" s="204" t="str">
        <f t="shared" si="166"/>
        <v/>
      </c>
      <c r="M638" s="76" t="str">
        <f t="shared" si="167"/>
        <v/>
      </c>
      <c r="N638" s="206">
        <f t="shared" si="168"/>
        <v>0</v>
      </c>
      <c r="O638" s="206">
        <f t="shared" si="169"/>
        <v>0</v>
      </c>
      <c r="P638" s="206">
        <f t="shared" si="170"/>
        <v>0</v>
      </c>
      <c r="Q638" s="206">
        <f t="shared" si="171"/>
        <v>0</v>
      </c>
    </row>
    <row r="639" spans="1:17" x14ac:dyDescent="0.3">
      <c r="A639" s="204"/>
      <c r="B639" s="205"/>
      <c r="C639" s="205"/>
      <c r="D639" s="205"/>
      <c r="E639" s="205"/>
      <c r="F639" s="204"/>
      <c r="G639" s="204"/>
      <c r="H639" s="204"/>
      <c r="I639" s="204" t="str">
        <f t="shared" si="163"/>
        <v/>
      </c>
      <c r="J639" s="204" t="str">
        <f t="shared" si="164"/>
        <v/>
      </c>
      <c r="K639" s="204" t="str">
        <f t="shared" si="165"/>
        <v/>
      </c>
      <c r="L639" s="204" t="str">
        <f t="shared" si="166"/>
        <v/>
      </c>
      <c r="M639" s="76" t="str">
        <f t="shared" si="167"/>
        <v/>
      </c>
      <c r="N639" s="206">
        <f t="shared" si="168"/>
        <v>0</v>
      </c>
      <c r="O639" s="206">
        <f t="shared" si="169"/>
        <v>0</v>
      </c>
      <c r="P639" s="206">
        <f t="shared" si="170"/>
        <v>0</v>
      </c>
      <c r="Q639" s="206">
        <f t="shared" si="171"/>
        <v>0</v>
      </c>
    </row>
    <row r="640" spans="1:17" x14ac:dyDescent="0.3">
      <c r="A640" s="204"/>
      <c r="B640" s="205"/>
      <c r="C640" s="205"/>
      <c r="D640" s="205"/>
      <c r="E640" s="205"/>
      <c r="F640" s="204"/>
      <c r="G640" s="204"/>
      <c r="H640" s="204"/>
      <c r="I640" s="204" t="str">
        <f t="shared" si="163"/>
        <v/>
      </c>
      <c r="J640" s="204" t="str">
        <f t="shared" si="164"/>
        <v/>
      </c>
      <c r="K640" s="204" t="str">
        <f t="shared" si="165"/>
        <v/>
      </c>
      <c r="L640" s="204" t="str">
        <f t="shared" si="166"/>
        <v/>
      </c>
      <c r="M640" s="76" t="str">
        <f t="shared" si="167"/>
        <v/>
      </c>
      <c r="N640" s="206">
        <f t="shared" si="168"/>
        <v>0</v>
      </c>
      <c r="O640" s="206">
        <f t="shared" si="169"/>
        <v>0</v>
      </c>
      <c r="P640" s="206">
        <f t="shared" si="170"/>
        <v>0</v>
      </c>
      <c r="Q640" s="206">
        <f t="shared" si="171"/>
        <v>0</v>
      </c>
    </row>
    <row r="641" spans="1:17" x14ac:dyDescent="0.3">
      <c r="A641" s="204"/>
      <c r="B641" s="205"/>
      <c r="C641" s="205"/>
      <c r="D641" s="205"/>
      <c r="E641" s="205"/>
      <c r="F641" s="204"/>
      <c r="G641" s="204"/>
      <c r="H641" s="204"/>
      <c r="I641" s="204" t="str">
        <f t="shared" si="163"/>
        <v/>
      </c>
      <c r="J641" s="204" t="str">
        <f t="shared" si="164"/>
        <v/>
      </c>
      <c r="K641" s="204" t="str">
        <f t="shared" si="165"/>
        <v/>
      </c>
      <c r="L641" s="204" t="str">
        <f t="shared" si="166"/>
        <v/>
      </c>
      <c r="M641" s="76" t="str">
        <f t="shared" si="167"/>
        <v/>
      </c>
      <c r="N641" s="206">
        <f t="shared" si="168"/>
        <v>0</v>
      </c>
      <c r="O641" s="206">
        <f t="shared" si="169"/>
        <v>0</v>
      </c>
      <c r="P641" s="206">
        <f t="shared" si="170"/>
        <v>0</v>
      </c>
      <c r="Q641" s="206">
        <f t="shared" si="171"/>
        <v>0</v>
      </c>
    </row>
    <row r="642" spans="1:17" x14ac:dyDescent="0.3">
      <c r="A642" s="204"/>
      <c r="B642" s="205"/>
      <c r="C642" s="205"/>
      <c r="D642" s="205"/>
      <c r="E642" s="205"/>
      <c r="F642" s="204"/>
      <c r="G642" s="204"/>
      <c r="H642" s="204"/>
      <c r="I642" s="204" t="str">
        <f t="shared" si="163"/>
        <v/>
      </c>
      <c r="J642" s="204" t="str">
        <f t="shared" si="164"/>
        <v/>
      </c>
      <c r="K642" s="204" t="str">
        <f t="shared" si="165"/>
        <v/>
      </c>
      <c r="L642" s="204" t="str">
        <f t="shared" si="166"/>
        <v/>
      </c>
      <c r="M642" s="76" t="str">
        <f t="shared" si="167"/>
        <v/>
      </c>
      <c r="N642" s="206">
        <f t="shared" si="168"/>
        <v>0</v>
      </c>
      <c r="O642" s="206">
        <f t="shared" si="169"/>
        <v>0</v>
      </c>
      <c r="P642" s="206">
        <f t="shared" si="170"/>
        <v>0</v>
      </c>
      <c r="Q642" s="206">
        <f t="shared" si="171"/>
        <v>0</v>
      </c>
    </row>
    <row r="643" spans="1:17" x14ac:dyDescent="0.3">
      <c r="A643" s="204"/>
      <c r="B643" s="205"/>
      <c r="C643" s="205"/>
      <c r="D643" s="205"/>
      <c r="E643" s="205"/>
      <c r="F643" s="204"/>
      <c r="G643" s="204"/>
      <c r="H643" s="204"/>
      <c r="I643" s="204" t="str">
        <f t="shared" si="163"/>
        <v/>
      </c>
      <c r="J643" s="204" t="str">
        <f t="shared" si="164"/>
        <v/>
      </c>
      <c r="K643" s="204" t="str">
        <f t="shared" si="165"/>
        <v/>
      </c>
      <c r="L643" s="204" t="str">
        <f t="shared" si="166"/>
        <v/>
      </c>
      <c r="M643" s="76" t="str">
        <f t="shared" si="167"/>
        <v/>
      </c>
      <c r="N643" s="206">
        <f t="shared" si="168"/>
        <v>0</v>
      </c>
      <c r="O643" s="206">
        <f t="shared" si="169"/>
        <v>0</v>
      </c>
      <c r="P643" s="206">
        <f t="shared" si="170"/>
        <v>0</v>
      </c>
      <c r="Q643" s="206">
        <f t="shared" si="171"/>
        <v>0</v>
      </c>
    </row>
    <row r="644" spans="1:17" x14ac:dyDescent="0.3">
      <c r="A644" s="204"/>
      <c r="B644" s="205"/>
      <c r="C644" s="205"/>
      <c r="D644" s="205"/>
      <c r="E644" s="205"/>
      <c r="F644" s="204"/>
      <c r="G644" s="204"/>
      <c r="H644" s="204"/>
      <c r="I644" s="204" t="str">
        <f t="shared" si="163"/>
        <v/>
      </c>
      <c r="J644" s="204" t="str">
        <f t="shared" si="164"/>
        <v/>
      </c>
      <c r="K644" s="204" t="str">
        <f t="shared" si="165"/>
        <v/>
      </c>
      <c r="L644" s="204" t="str">
        <f t="shared" si="166"/>
        <v/>
      </c>
      <c r="M644" s="76" t="str">
        <f t="shared" si="167"/>
        <v/>
      </c>
      <c r="N644" s="206">
        <f t="shared" si="168"/>
        <v>0</v>
      </c>
      <c r="O644" s="206">
        <f t="shared" si="169"/>
        <v>0</v>
      </c>
      <c r="P644" s="206">
        <f t="shared" si="170"/>
        <v>0</v>
      </c>
      <c r="Q644" s="206">
        <f t="shared" si="171"/>
        <v>0</v>
      </c>
    </row>
    <row r="645" spans="1:17" x14ac:dyDescent="0.3">
      <c r="A645" s="204"/>
      <c r="B645" s="205"/>
      <c r="C645" s="205"/>
      <c r="D645" s="205"/>
      <c r="E645" s="205"/>
      <c r="F645" s="204"/>
      <c r="G645" s="204"/>
      <c r="H645" s="204"/>
      <c r="I645" s="204" t="str">
        <f t="shared" ref="I645:I708" si="172">IF(G645="Détail",LEN(A645),"")</f>
        <v/>
      </c>
      <c r="J645" s="204" t="str">
        <f t="shared" ref="J645:J708" si="173">IF(I645="","",LEFT(A645,3))</f>
        <v/>
      </c>
      <c r="K645" s="204" t="str">
        <f t="shared" ref="K645:K708" si="174">IF(J645&lt;&gt;"",MID(A645,5,3),"")</f>
        <v/>
      </c>
      <c r="L645" s="204" t="str">
        <f t="shared" ref="L645:L708" si="175">IF(J645&lt;&gt;"",RIGHT(A645,2),"")</f>
        <v/>
      </c>
      <c r="M645" s="76" t="str">
        <f t="shared" ref="M645:M708" si="176">IF(J645&lt;&gt;"",CONCATENATE(J645,"/",K645),"")</f>
        <v/>
      </c>
      <c r="N645" s="206">
        <f t="shared" ref="N645:N708" si="177">IFERROR(IF(A645&lt;&gt;"",IF(A646&lt;&gt;"",IF(FIND("Mode AM +Tarif actuel",A646),VALUE(LEFT(B646,LEN(B646)-2)),),0),0),0)</f>
        <v>0</v>
      </c>
      <c r="O645" s="206">
        <f t="shared" ref="O645:O708" si="178">IFERROR(IF(A645&lt;&gt;"",IF(A646&lt;&gt;"",IF(FIND("Mode AM +Tarif actuel",A646),VALUE(LEFT(C646,LEN(C646)-2)),),0),0),0)</f>
        <v>0</v>
      </c>
      <c r="P645" s="206">
        <f t="shared" ref="P645:P708" si="179">IFERROR(IF(A645&lt;&gt;"",IF(A646&lt;&gt;"",IF(FIND("Mode AM +Tarif actuel",A646),VALUE(LEFT(D646,LEN(D646)-2)),),0),0),0)</f>
        <v>0</v>
      </c>
      <c r="Q645" s="206">
        <f t="shared" ref="Q645:Q708" si="180">IFERROR(IF(A645&lt;&gt;"",IF(A646&lt;&gt;"",IF(FIND("Mode AM +Tarif actuel",A646),VALUE(LEFT(E646,LEN(E646)-2)),),0),0),0)</f>
        <v>0</v>
      </c>
    </row>
    <row r="646" spans="1:17" x14ac:dyDescent="0.3">
      <c r="A646" s="204"/>
      <c r="B646" s="205"/>
      <c r="C646" s="205"/>
      <c r="D646" s="205"/>
      <c r="E646" s="205"/>
      <c r="F646" s="204"/>
      <c r="G646" s="204"/>
      <c r="H646" s="204"/>
      <c r="I646" s="204" t="str">
        <f t="shared" si="172"/>
        <v/>
      </c>
      <c r="J646" s="204" t="str">
        <f t="shared" si="173"/>
        <v/>
      </c>
      <c r="K646" s="204" t="str">
        <f t="shared" si="174"/>
        <v/>
      </c>
      <c r="L646" s="204" t="str">
        <f t="shared" si="175"/>
        <v/>
      </c>
      <c r="M646" s="76" t="str">
        <f t="shared" si="176"/>
        <v/>
      </c>
      <c r="N646" s="206">
        <f t="shared" si="177"/>
        <v>0</v>
      </c>
      <c r="O646" s="206">
        <f t="shared" si="178"/>
        <v>0</v>
      </c>
      <c r="P646" s="206">
        <f t="shared" si="179"/>
        <v>0</v>
      </c>
      <c r="Q646" s="206">
        <f t="shared" si="180"/>
        <v>0</v>
      </c>
    </row>
    <row r="647" spans="1:17" x14ac:dyDescent="0.3">
      <c r="A647" s="204"/>
      <c r="B647" s="205"/>
      <c r="C647" s="205"/>
      <c r="D647" s="205"/>
      <c r="E647" s="205"/>
      <c r="F647" s="204"/>
      <c r="G647" s="204"/>
      <c r="H647" s="204"/>
      <c r="I647" s="204" t="str">
        <f t="shared" si="172"/>
        <v/>
      </c>
      <c r="J647" s="204" t="str">
        <f t="shared" si="173"/>
        <v/>
      </c>
      <c r="K647" s="204" t="str">
        <f t="shared" si="174"/>
        <v/>
      </c>
      <c r="L647" s="204" t="str">
        <f t="shared" si="175"/>
        <v/>
      </c>
      <c r="M647" s="76" t="str">
        <f t="shared" si="176"/>
        <v/>
      </c>
      <c r="N647" s="206">
        <f t="shared" si="177"/>
        <v>0</v>
      </c>
      <c r="O647" s="206">
        <f t="shared" si="178"/>
        <v>0</v>
      </c>
      <c r="P647" s="206">
        <f t="shared" si="179"/>
        <v>0</v>
      </c>
      <c r="Q647" s="206">
        <f t="shared" si="180"/>
        <v>0</v>
      </c>
    </row>
    <row r="648" spans="1:17" x14ac:dyDescent="0.3">
      <c r="A648" s="204"/>
      <c r="B648" s="205"/>
      <c r="C648" s="205"/>
      <c r="D648" s="205"/>
      <c r="E648" s="205"/>
      <c r="F648" s="204"/>
      <c r="G648" s="204"/>
      <c r="H648" s="204"/>
      <c r="I648" s="204" t="str">
        <f t="shared" si="172"/>
        <v/>
      </c>
      <c r="J648" s="204" t="str">
        <f t="shared" si="173"/>
        <v/>
      </c>
      <c r="K648" s="204" t="str">
        <f t="shared" si="174"/>
        <v/>
      </c>
      <c r="L648" s="204" t="str">
        <f t="shared" si="175"/>
        <v/>
      </c>
      <c r="M648" s="76" t="str">
        <f t="shared" si="176"/>
        <v/>
      </c>
      <c r="N648" s="206">
        <f t="shared" si="177"/>
        <v>0</v>
      </c>
      <c r="O648" s="206">
        <f t="shared" si="178"/>
        <v>0</v>
      </c>
      <c r="P648" s="206">
        <f t="shared" si="179"/>
        <v>0</v>
      </c>
      <c r="Q648" s="206">
        <f t="shared" si="180"/>
        <v>0</v>
      </c>
    </row>
    <row r="649" spans="1:17" x14ac:dyDescent="0.3">
      <c r="A649" s="204"/>
      <c r="B649" s="205"/>
      <c r="C649" s="205"/>
      <c r="D649" s="205"/>
      <c r="E649" s="205"/>
      <c r="F649" s="204"/>
      <c r="G649" s="204"/>
      <c r="H649" s="204"/>
      <c r="I649" s="204" t="str">
        <f t="shared" si="172"/>
        <v/>
      </c>
      <c r="J649" s="204" t="str">
        <f t="shared" si="173"/>
        <v/>
      </c>
      <c r="K649" s="204" t="str">
        <f t="shared" si="174"/>
        <v/>
      </c>
      <c r="L649" s="204" t="str">
        <f t="shared" si="175"/>
        <v/>
      </c>
      <c r="M649" s="76" t="str">
        <f t="shared" si="176"/>
        <v/>
      </c>
      <c r="N649" s="206">
        <f t="shared" si="177"/>
        <v>0</v>
      </c>
      <c r="O649" s="206">
        <f t="shared" si="178"/>
        <v>0</v>
      </c>
      <c r="P649" s="206">
        <f t="shared" si="179"/>
        <v>0</v>
      </c>
      <c r="Q649" s="206">
        <f t="shared" si="180"/>
        <v>0</v>
      </c>
    </row>
    <row r="650" spans="1:17" x14ac:dyDescent="0.3">
      <c r="A650" s="204"/>
      <c r="B650" s="205"/>
      <c r="C650" s="205"/>
      <c r="D650" s="205"/>
      <c r="E650" s="205"/>
      <c r="F650" s="204"/>
      <c r="G650" s="204"/>
      <c r="H650" s="204"/>
      <c r="I650" s="204" t="str">
        <f t="shared" si="172"/>
        <v/>
      </c>
      <c r="J650" s="204" t="str">
        <f t="shared" si="173"/>
        <v/>
      </c>
      <c r="K650" s="204" t="str">
        <f t="shared" si="174"/>
        <v/>
      </c>
      <c r="L650" s="204" t="str">
        <f t="shared" si="175"/>
        <v/>
      </c>
      <c r="M650" s="76" t="str">
        <f t="shared" si="176"/>
        <v/>
      </c>
      <c r="N650" s="206">
        <f t="shared" si="177"/>
        <v>0</v>
      </c>
      <c r="O650" s="206">
        <f t="shared" si="178"/>
        <v>0</v>
      </c>
      <c r="P650" s="206">
        <f t="shared" si="179"/>
        <v>0</v>
      </c>
      <c r="Q650" s="206">
        <f t="shared" si="180"/>
        <v>0</v>
      </c>
    </row>
    <row r="651" spans="1:17" x14ac:dyDescent="0.3">
      <c r="A651" s="204"/>
      <c r="B651" s="205"/>
      <c r="C651" s="205"/>
      <c r="D651" s="205"/>
      <c r="E651" s="205"/>
      <c r="F651" s="204"/>
      <c r="G651" s="204"/>
      <c r="H651" s="204"/>
      <c r="I651" s="204" t="str">
        <f t="shared" si="172"/>
        <v/>
      </c>
      <c r="J651" s="204" t="str">
        <f t="shared" si="173"/>
        <v/>
      </c>
      <c r="K651" s="204" t="str">
        <f t="shared" si="174"/>
        <v/>
      </c>
      <c r="L651" s="204" t="str">
        <f t="shared" si="175"/>
        <v/>
      </c>
      <c r="M651" s="76" t="str">
        <f t="shared" si="176"/>
        <v/>
      </c>
      <c r="N651" s="206">
        <f t="shared" si="177"/>
        <v>0</v>
      </c>
      <c r="O651" s="206">
        <f t="shared" si="178"/>
        <v>0</v>
      </c>
      <c r="P651" s="206">
        <f t="shared" si="179"/>
        <v>0</v>
      </c>
      <c r="Q651" s="206">
        <f t="shared" si="180"/>
        <v>0</v>
      </c>
    </row>
    <row r="652" spans="1:17" x14ac:dyDescent="0.3">
      <c r="A652" s="204"/>
      <c r="B652" s="205"/>
      <c r="C652" s="205"/>
      <c r="D652" s="205"/>
      <c r="E652" s="205"/>
      <c r="F652" s="204"/>
      <c r="G652" s="204"/>
      <c r="H652" s="204"/>
      <c r="I652" s="204" t="str">
        <f t="shared" si="172"/>
        <v/>
      </c>
      <c r="J652" s="204" t="str">
        <f t="shared" si="173"/>
        <v/>
      </c>
      <c r="K652" s="204" t="str">
        <f t="shared" si="174"/>
        <v/>
      </c>
      <c r="L652" s="204" t="str">
        <f t="shared" si="175"/>
        <v/>
      </c>
      <c r="M652" s="76" t="str">
        <f t="shared" si="176"/>
        <v/>
      </c>
      <c r="N652" s="206">
        <f t="shared" si="177"/>
        <v>0</v>
      </c>
      <c r="O652" s="206">
        <f t="shared" si="178"/>
        <v>0</v>
      </c>
      <c r="P652" s="206">
        <f t="shared" si="179"/>
        <v>0</v>
      </c>
      <c r="Q652" s="206">
        <f t="shared" si="180"/>
        <v>0</v>
      </c>
    </row>
    <row r="653" spans="1:17" x14ac:dyDescent="0.3">
      <c r="A653" s="204"/>
      <c r="B653" s="205"/>
      <c r="C653" s="205"/>
      <c r="D653" s="205"/>
      <c r="E653" s="205"/>
      <c r="F653" s="204"/>
      <c r="G653" s="204"/>
      <c r="H653" s="204"/>
      <c r="I653" s="204" t="str">
        <f t="shared" si="172"/>
        <v/>
      </c>
      <c r="J653" s="204" t="str">
        <f t="shared" si="173"/>
        <v/>
      </c>
      <c r="K653" s="204" t="str">
        <f t="shared" si="174"/>
        <v/>
      </c>
      <c r="L653" s="204" t="str">
        <f t="shared" si="175"/>
        <v/>
      </c>
      <c r="M653" s="76" t="str">
        <f t="shared" si="176"/>
        <v/>
      </c>
      <c r="N653" s="206">
        <f t="shared" si="177"/>
        <v>0</v>
      </c>
      <c r="O653" s="206">
        <f t="shared" si="178"/>
        <v>0</v>
      </c>
      <c r="P653" s="206">
        <f t="shared" si="179"/>
        <v>0</v>
      </c>
      <c r="Q653" s="206">
        <f t="shared" si="180"/>
        <v>0</v>
      </c>
    </row>
    <row r="654" spans="1:17" x14ac:dyDescent="0.3">
      <c r="A654" s="204"/>
      <c r="B654" s="205"/>
      <c r="C654" s="205"/>
      <c r="D654" s="205"/>
      <c r="E654" s="205"/>
      <c r="F654" s="204"/>
      <c r="G654" s="204"/>
      <c r="H654" s="204"/>
      <c r="I654" s="204" t="str">
        <f t="shared" si="172"/>
        <v/>
      </c>
      <c r="J654" s="204" t="str">
        <f t="shared" si="173"/>
        <v/>
      </c>
      <c r="K654" s="204" t="str">
        <f t="shared" si="174"/>
        <v/>
      </c>
      <c r="L654" s="204" t="str">
        <f t="shared" si="175"/>
        <v/>
      </c>
      <c r="M654" s="76" t="str">
        <f t="shared" si="176"/>
        <v/>
      </c>
      <c r="N654" s="206">
        <f t="shared" si="177"/>
        <v>0</v>
      </c>
      <c r="O654" s="206">
        <f t="shared" si="178"/>
        <v>0</v>
      </c>
      <c r="P654" s="206">
        <f t="shared" si="179"/>
        <v>0</v>
      </c>
      <c r="Q654" s="206">
        <f t="shared" si="180"/>
        <v>0</v>
      </c>
    </row>
    <row r="655" spans="1:17" x14ac:dyDescent="0.3">
      <c r="A655" s="204"/>
      <c r="B655" s="205"/>
      <c r="C655" s="205"/>
      <c r="D655" s="205"/>
      <c r="E655" s="205"/>
      <c r="F655" s="204"/>
      <c r="G655" s="204"/>
      <c r="H655" s="204"/>
      <c r="I655" s="204" t="str">
        <f t="shared" si="172"/>
        <v/>
      </c>
      <c r="J655" s="204" t="str">
        <f t="shared" si="173"/>
        <v/>
      </c>
      <c r="K655" s="204" t="str">
        <f t="shared" si="174"/>
        <v/>
      </c>
      <c r="L655" s="204" t="str">
        <f t="shared" si="175"/>
        <v/>
      </c>
      <c r="M655" s="76" t="str">
        <f t="shared" si="176"/>
        <v/>
      </c>
      <c r="N655" s="206">
        <f t="shared" si="177"/>
        <v>0</v>
      </c>
      <c r="O655" s="206">
        <f t="shared" si="178"/>
        <v>0</v>
      </c>
      <c r="P655" s="206">
        <f t="shared" si="179"/>
        <v>0</v>
      </c>
      <c r="Q655" s="206">
        <f t="shared" si="180"/>
        <v>0</v>
      </c>
    </row>
    <row r="656" spans="1:17" x14ac:dyDescent="0.3">
      <c r="A656" s="204"/>
      <c r="B656" s="205"/>
      <c r="C656" s="205"/>
      <c r="D656" s="205"/>
      <c r="E656" s="205"/>
      <c r="F656" s="204"/>
      <c r="G656" s="204"/>
      <c r="H656" s="204"/>
      <c r="I656" s="204" t="str">
        <f t="shared" si="172"/>
        <v/>
      </c>
      <c r="J656" s="204" t="str">
        <f t="shared" si="173"/>
        <v/>
      </c>
      <c r="K656" s="204" t="str">
        <f t="shared" si="174"/>
        <v/>
      </c>
      <c r="L656" s="204" t="str">
        <f t="shared" si="175"/>
        <v/>
      </c>
      <c r="M656" s="76" t="str">
        <f t="shared" si="176"/>
        <v/>
      </c>
      <c r="N656" s="206">
        <f t="shared" si="177"/>
        <v>0</v>
      </c>
      <c r="O656" s="206">
        <f t="shared" si="178"/>
        <v>0</v>
      </c>
      <c r="P656" s="206">
        <f t="shared" si="179"/>
        <v>0</v>
      </c>
      <c r="Q656" s="206">
        <f t="shared" si="180"/>
        <v>0</v>
      </c>
    </row>
    <row r="657" spans="1:17" x14ac:dyDescent="0.3">
      <c r="A657" s="204"/>
      <c r="B657" s="205"/>
      <c r="C657" s="205"/>
      <c r="D657" s="205"/>
      <c r="E657" s="205"/>
      <c r="F657" s="204"/>
      <c r="G657" s="204"/>
      <c r="H657" s="204"/>
      <c r="I657" s="204" t="str">
        <f t="shared" si="172"/>
        <v/>
      </c>
      <c r="J657" s="204" t="str">
        <f t="shared" si="173"/>
        <v/>
      </c>
      <c r="K657" s="204" t="str">
        <f t="shared" si="174"/>
        <v/>
      </c>
      <c r="L657" s="204" t="str">
        <f t="shared" si="175"/>
        <v/>
      </c>
      <c r="M657" s="76" t="str">
        <f t="shared" si="176"/>
        <v/>
      </c>
      <c r="N657" s="206">
        <f t="shared" si="177"/>
        <v>0</v>
      </c>
      <c r="O657" s="206">
        <f t="shared" si="178"/>
        <v>0</v>
      </c>
      <c r="P657" s="206">
        <f t="shared" si="179"/>
        <v>0</v>
      </c>
      <c r="Q657" s="206">
        <f t="shared" si="180"/>
        <v>0</v>
      </c>
    </row>
    <row r="658" spans="1:17" x14ac:dyDescent="0.3">
      <c r="A658" s="204"/>
      <c r="B658" s="205"/>
      <c r="C658" s="205"/>
      <c r="D658" s="205"/>
      <c r="E658" s="205"/>
      <c r="F658" s="204"/>
      <c r="G658" s="204"/>
      <c r="H658" s="204"/>
      <c r="I658" s="204" t="str">
        <f t="shared" si="172"/>
        <v/>
      </c>
      <c r="J658" s="204" t="str">
        <f t="shared" si="173"/>
        <v/>
      </c>
      <c r="K658" s="204" t="str">
        <f t="shared" si="174"/>
        <v/>
      </c>
      <c r="L658" s="204" t="str">
        <f t="shared" si="175"/>
        <v/>
      </c>
      <c r="M658" s="76" t="str">
        <f t="shared" si="176"/>
        <v/>
      </c>
      <c r="N658" s="206">
        <f t="shared" si="177"/>
        <v>0</v>
      </c>
      <c r="O658" s="206">
        <f t="shared" si="178"/>
        <v>0</v>
      </c>
      <c r="P658" s="206">
        <f t="shared" si="179"/>
        <v>0</v>
      </c>
      <c r="Q658" s="206">
        <f t="shared" si="180"/>
        <v>0</v>
      </c>
    </row>
    <row r="659" spans="1:17" x14ac:dyDescent="0.3">
      <c r="A659" s="204"/>
      <c r="B659" s="205"/>
      <c r="C659" s="205"/>
      <c r="D659" s="205"/>
      <c r="E659" s="205"/>
      <c r="F659" s="204"/>
      <c r="G659" s="204"/>
      <c r="H659" s="204"/>
      <c r="I659" s="204" t="str">
        <f t="shared" si="172"/>
        <v/>
      </c>
      <c r="J659" s="204" t="str">
        <f t="shared" si="173"/>
        <v/>
      </c>
      <c r="K659" s="204" t="str">
        <f t="shared" si="174"/>
        <v/>
      </c>
      <c r="L659" s="204" t="str">
        <f t="shared" si="175"/>
        <v/>
      </c>
      <c r="M659" s="76" t="str">
        <f t="shared" si="176"/>
        <v/>
      </c>
      <c r="N659" s="206">
        <f t="shared" si="177"/>
        <v>0</v>
      </c>
      <c r="O659" s="206">
        <f t="shared" si="178"/>
        <v>0</v>
      </c>
      <c r="P659" s="206">
        <f t="shared" si="179"/>
        <v>0</v>
      </c>
      <c r="Q659" s="206">
        <f t="shared" si="180"/>
        <v>0</v>
      </c>
    </row>
    <row r="660" spans="1:17" x14ac:dyDescent="0.3">
      <c r="A660" s="204"/>
      <c r="B660" s="205"/>
      <c r="C660" s="205"/>
      <c r="D660" s="205"/>
      <c r="E660" s="205"/>
      <c r="F660" s="204"/>
      <c r="G660" s="204"/>
      <c r="H660" s="204"/>
      <c r="I660" s="204" t="str">
        <f t="shared" si="172"/>
        <v/>
      </c>
      <c r="J660" s="204" t="str">
        <f t="shared" si="173"/>
        <v/>
      </c>
      <c r="K660" s="204" t="str">
        <f t="shared" si="174"/>
        <v/>
      </c>
      <c r="L660" s="204" t="str">
        <f t="shared" si="175"/>
        <v/>
      </c>
      <c r="M660" s="76" t="str">
        <f t="shared" si="176"/>
        <v/>
      </c>
      <c r="N660" s="206">
        <f t="shared" si="177"/>
        <v>0</v>
      </c>
      <c r="O660" s="206">
        <f t="shared" si="178"/>
        <v>0</v>
      </c>
      <c r="P660" s="206">
        <f t="shared" si="179"/>
        <v>0</v>
      </c>
      <c r="Q660" s="206">
        <f t="shared" si="180"/>
        <v>0</v>
      </c>
    </row>
    <row r="661" spans="1:17" x14ac:dyDescent="0.3">
      <c r="A661" s="204"/>
      <c r="B661" s="205"/>
      <c r="C661" s="205"/>
      <c r="D661" s="205"/>
      <c r="E661" s="205"/>
      <c r="F661" s="204"/>
      <c r="G661" s="204"/>
      <c r="H661" s="204"/>
      <c r="I661" s="204" t="str">
        <f t="shared" si="172"/>
        <v/>
      </c>
      <c r="J661" s="204" t="str">
        <f t="shared" si="173"/>
        <v/>
      </c>
      <c r="K661" s="204" t="str">
        <f t="shared" si="174"/>
        <v/>
      </c>
      <c r="L661" s="204" t="str">
        <f t="shared" si="175"/>
        <v/>
      </c>
      <c r="M661" s="76" t="str">
        <f t="shared" si="176"/>
        <v/>
      </c>
      <c r="N661" s="206">
        <f t="shared" si="177"/>
        <v>0</v>
      </c>
      <c r="O661" s="206">
        <f t="shared" si="178"/>
        <v>0</v>
      </c>
      <c r="P661" s="206">
        <f t="shared" si="179"/>
        <v>0</v>
      </c>
      <c r="Q661" s="206">
        <f t="shared" si="180"/>
        <v>0</v>
      </c>
    </row>
    <row r="662" spans="1:17" x14ac:dyDescent="0.3">
      <c r="A662" s="204"/>
      <c r="B662" s="205"/>
      <c r="C662" s="205"/>
      <c r="D662" s="205"/>
      <c r="E662" s="205"/>
      <c r="F662" s="204"/>
      <c r="G662" s="204"/>
      <c r="H662" s="204"/>
      <c r="I662" s="204" t="str">
        <f t="shared" si="172"/>
        <v/>
      </c>
      <c r="J662" s="204" t="str">
        <f t="shared" si="173"/>
        <v/>
      </c>
      <c r="K662" s="204" t="str">
        <f t="shared" si="174"/>
        <v/>
      </c>
      <c r="L662" s="204" t="str">
        <f t="shared" si="175"/>
        <v/>
      </c>
      <c r="M662" s="76" t="str">
        <f t="shared" si="176"/>
        <v/>
      </c>
      <c r="N662" s="206">
        <f t="shared" si="177"/>
        <v>0</v>
      </c>
      <c r="O662" s="206">
        <f t="shared" si="178"/>
        <v>0</v>
      </c>
      <c r="P662" s="206">
        <f t="shared" si="179"/>
        <v>0</v>
      </c>
      <c r="Q662" s="206">
        <f t="shared" si="180"/>
        <v>0</v>
      </c>
    </row>
    <row r="663" spans="1:17" x14ac:dyDescent="0.3">
      <c r="A663" s="204"/>
      <c r="B663" s="205"/>
      <c r="C663" s="205"/>
      <c r="D663" s="205"/>
      <c r="E663" s="205"/>
      <c r="F663" s="204"/>
      <c r="G663" s="204"/>
      <c r="H663" s="204"/>
      <c r="I663" s="204" t="str">
        <f t="shared" si="172"/>
        <v/>
      </c>
      <c r="J663" s="204" t="str">
        <f t="shared" si="173"/>
        <v/>
      </c>
      <c r="K663" s="204" t="str">
        <f t="shared" si="174"/>
        <v/>
      </c>
      <c r="L663" s="204" t="str">
        <f t="shared" si="175"/>
        <v/>
      </c>
      <c r="M663" s="76" t="str">
        <f t="shared" si="176"/>
        <v/>
      </c>
      <c r="N663" s="206">
        <f t="shared" si="177"/>
        <v>0</v>
      </c>
      <c r="O663" s="206">
        <f t="shared" si="178"/>
        <v>0</v>
      </c>
      <c r="P663" s="206">
        <f t="shared" si="179"/>
        <v>0</v>
      </c>
      <c r="Q663" s="206">
        <f t="shared" si="180"/>
        <v>0</v>
      </c>
    </row>
    <row r="664" spans="1:17" x14ac:dyDescent="0.3">
      <c r="A664" s="204"/>
      <c r="B664" s="205"/>
      <c r="C664" s="205"/>
      <c r="D664" s="205"/>
      <c r="E664" s="205"/>
      <c r="F664" s="204"/>
      <c r="G664" s="204"/>
      <c r="H664" s="204"/>
      <c r="I664" s="204" t="str">
        <f t="shared" si="172"/>
        <v/>
      </c>
      <c r="J664" s="204" t="str">
        <f t="shared" si="173"/>
        <v/>
      </c>
      <c r="K664" s="204" t="str">
        <f t="shared" si="174"/>
        <v/>
      </c>
      <c r="L664" s="204" t="str">
        <f t="shared" si="175"/>
        <v/>
      </c>
      <c r="M664" s="76" t="str">
        <f t="shared" si="176"/>
        <v/>
      </c>
      <c r="N664" s="206">
        <f t="shared" si="177"/>
        <v>0</v>
      </c>
      <c r="O664" s="206">
        <f t="shared" si="178"/>
        <v>0</v>
      </c>
      <c r="P664" s="206">
        <f t="shared" si="179"/>
        <v>0</v>
      </c>
      <c r="Q664" s="206">
        <f t="shared" si="180"/>
        <v>0</v>
      </c>
    </row>
    <row r="665" spans="1:17" x14ac:dyDescent="0.3">
      <c r="A665" s="204"/>
      <c r="B665" s="205"/>
      <c r="C665" s="205"/>
      <c r="D665" s="205"/>
      <c r="E665" s="205"/>
      <c r="F665" s="204"/>
      <c r="G665" s="204"/>
      <c r="H665" s="204"/>
      <c r="I665" s="204" t="str">
        <f t="shared" si="172"/>
        <v/>
      </c>
      <c r="J665" s="204" t="str">
        <f t="shared" si="173"/>
        <v/>
      </c>
      <c r="K665" s="204" t="str">
        <f t="shared" si="174"/>
        <v/>
      </c>
      <c r="L665" s="204" t="str">
        <f t="shared" si="175"/>
        <v/>
      </c>
      <c r="M665" s="76" t="str">
        <f t="shared" si="176"/>
        <v/>
      </c>
      <c r="N665" s="206">
        <f t="shared" si="177"/>
        <v>0</v>
      </c>
      <c r="O665" s="206">
        <f t="shared" si="178"/>
        <v>0</v>
      </c>
      <c r="P665" s="206">
        <f t="shared" si="179"/>
        <v>0</v>
      </c>
      <c r="Q665" s="206">
        <f t="shared" si="180"/>
        <v>0</v>
      </c>
    </row>
    <row r="666" spans="1:17" x14ac:dyDescent="0.3">
      <c r="A666" s="204"/>
      <c r="B666" s="205"/>
      <c r="C666" s="205"/>
      <c r="D666" s="205"/>
      <c r="E666" s="205"/>
      <c r="F666" s="204"/>
      <c r="G666" s="204"/>
      <c r="H666" s="204"/>
      <c r="I666" s="204" t="str">
        <f t="shared" si="172"/>
        <v/>
      </c>
      <c r="J666" s="204" t="str">
        <f t="shared" si="173"/>
        <v/>
      </c>
      <c r="K666" s="204" t="str">
        <f t="shared" si="174"/>
        <v/>
      </c>
      <c r="L666" s="204" t="str">
        <f t="shared" si="175"/>
        <v/>
      </c>
      <c r="M666" s="76" t="str">
        <f t="shared" si="176"/>
        <v/>
      </c>
      <c r="N666" s="206">
        <f t="shared" si="177"/>
        <v>0</v>
      </c>
      <c r="O666" s="206">
        <f t="shared" si="178"/>
        <v>0</v>
      </c>
      <c r="P666" s="206">
        <f t="shared" si="179"/>
        <v>0</v>
      </c>
      <c r="Q666" s="206">
        <f t="shared" si="180"/>
        <v>0</v>
      </c>
    </row>
    <row r="667" spans="1:17" x14ac:dyDescent="0.3">
      <c r="A667" s="204"/>
      <c r="B667" s="205"/>
      <c r="C667" s="205"/>
      <c r="D667" s="205"/>
      <c r="E667" s="205"/>
      <c r="F667" s="204"/>
      <c r="G667" s="204"/>
      <c r="H667" s="204"/>
      <c r="I667" s="204" t="str">
        <f t="shared" si="172"/>
        <v/>
      </c>
      <c r="J667" s="204" t="str">
        <f t="shared" si="173"/>
        <v/>
      </c>
      <c r="K667" s="204" t="str">
        <f t="shared" si="174"/>
        <v/>
      </c>
      <c r="L667" s="204" t="str">
        <f t="shared" si="175"/>
        <v/>
      </c>
      <c r="M667" s="76" t="str">
        <f t="shared" si="176"/>
        <v/>
      </c>
      <c r="N667" s="206">
        <f t="shared" si="177"/>
        <v>0</v>
      </c>
      <c r="O667" s="206">
        <f t="shared" si="178"/>
        <v>0</v>
      </c>
      <c r="P667" s="206">
        <f t="shared" si="179"/>
        <v>0</v>
      </c>
      <c r="Q667" s="206">
        <f t="shared" si="180"/>
        <v>0</v>
      </c>
    </row>
    <row r="668" spans="1:17" x14ac:dyDescent="0.3">
      <c r="A668" s="204"/>
      <c r="B668" s="205"/>
      <c r="C668" s="205"/>
      <c r="D668" s="205"/>
      <c r="E668" s="205"/>
      <c r="F668" s="204"/>
      <c r="G668" s="204"/>
      <c r="H668" s="204"/>
      <c r="I668" s="204" t="str">
        <f t="shared" si="172"/>
        <v/>
      </c>
      <c r="J668" s="204" t="str">
        <f t="shared" si="173"/>
        <v/>
      </c>
      <c r="K668" s="204" t="str">
        <f t="shared" si="174"/>
        <v/>
      </c>
      <c r="L668" s="204" t="str">
        <f t="shared" si="175"/>
        <v/>
      </c>
      <c r="M668" s="76" t="str">
        <f t="shared" si="176"/>
        <v/>
      </c>
      <c r="N668" s="206">
        <f t="shared" si="177"/>
        <v>0</v>
      </c>
      <c r="O668" s="206">
        <f t="shared" si="178"/>
        <v>0</v>
      </c>
      <c r="P668" s="206">
        <f t="shared" si="179"/>
        <v>0</v>
      </c>
      <c r="Q668" s="206">
        <f t="shared" si="180"/>
        <v>0</v>
      </c>
    </row>
    <row r="669" spans="1:17" x14ac:dyDescent="0.3">
      <c r="A669" s="204"/>
      <c r="B669" s="205"/>
      <c r="C669" s="205"/>
      <c r="D669" s="205"/>
      <c r="E669" s="205"/>
      <c r="F669" s="204"/>
      <c r="G669" s="204"/>
      <c r="H669" s="204"/>
      <c r="I669" s="204" t="str">
        <f t="shared" si="172"/>
        <v/>
      </c>
      <c r="J669" s="204" t="str">
        <f t="shared" si="173"/>
        <v/>
      </c>
      <c r="K669" s="204" t="str">
        <f t="shared" si="174"/>
        <v/>
      </c>
      <c r="L669" s="204" t="str">
        <f t="shared" si="175"/>
        <v/>
      </c>
      <c r="M669" s="76" t="str">
        <f t="shared" si="176"/>
        <v/>
      </c>
      <c r="N669" s="206">
        <f t="shared" si="177"/>
        <v>0</v>
      </c>
      <c r="O669" s="206">
        <f t="shared" si="178"/>
        <v>0</v>
      </c>
      <c r="P669" s="206">
        <f t="shared" si="179"/>
        <v>0</v>
      </c>
      <c r="Q669" s="206">
        <f t="shared" si="180"/>
        <v>0</v>
      </c>
    </row>
    <row r="670" spans="1:17" x14ac:dyDescent="0.3">
      <c r="A670" s="204"/>
      <c r="B670" s="205"/>
      <c r="C670" s="205"/>
      <c r="D670" s="205"/>
      <c r="E670" s="205"/>
      <c r="F670" s="204"/>
      <c r="G670" s="204"/>
      <c r="H670" s="204"/>
      <c r="I670" s="204" t="str">
        <f t="shared" si="172"/>
        <v/>
      </c>
      <c r="J670" s="204" t="str">
        <f t="shared" si="173"/>
        <v/>
      </c>
      <c r="K670" s="204" t="str">
        <f t="shared" si="174"/>
        <v/>
      </c>
      <c r="L670" s="204" t="str">
        <f t="shared" si="175"/>
        <v/>
      </c>
      <c r="M670" s="76" t="str">
        <f t="shared" si="176"/>
        <v/>
      </c>
      <c r="N670" s="206">
        <f t="shared" si="177"/>
        <v>0</v>
      </c>
      <c r="O670" s="206">
        <f t="shared" si="178"/>
        <v>0</v>
      </c>
      <c r="P670" s="206">
        <f t="shared" si="179"/>
        <v>0</v>
      </c>
      <c r="Q670" s="206">
        <f t="shared" si="180"/>
        <v>0</v>
      </c>
    </row>
    <row r="671" spans="1:17" x14ac:dyDescent="0.3">
      <c r="A671" s="204"/>
      <c r="B671" s="205"/>
      <c r="C671" s="205"/>
      <c r="D671" s="205"/>
      <c r="E671" s="205"/>
      <c r="F671" s="204"/>
      <c r="G671" s="204"/>
      <c r="H671" s="204"/>
      <c r="I671" s="204" t="str">
        <f t="shared" si="172"/>
        <v/>
      </c>
      <c r="J671" s="204" t="str">
        <f t="shared" si="173"/>
        <v/>
      </c>
      <c r="K671" s="204" t="str">
        <f t="shared" si="174"/>
        <v/>
      </c>
      <c r="L671" s="204" t="str">
        <f t="shared" si="175"/>
        <v/>
      </c>
      <c r="M671" s="76" t="str">
        <f t="shared" si="176"/>
        <v/>
      </c>
      <c r="N671" s="206">
        <f t="shared" si="177"/>
        <v>0</v>
      </c>
      <c r="O671" s="206">
        <f t="shared" si="178"/>
        <v>0</v>
      </c>
      <c r="P671" s="206">
        <f t="shared" si="179"/>
        <v>0</v>
      </c>
      <c r="Q671" s="206">
        <f t="shared" si="180"/>
        <v>0</v>
      </c>
    </row>
    <row r="672" spans="1:17" x14ac:dyDescent="0.3">
      <c r="A672" s="204"/>
      <c r="B672" s="205"/>
      <c r="C672" s="205"/>
      <c r="D672" s="205"/>
      <c r="E672" s="205"/>
      <c r="F672" s="204"/>
      <c r="G672" s="204"/>
      <c r="H672" s="204"/>
      <c r="I672" s="204" t="str">
        <f t="shared" si="172"/>
        <v/>
      </c>
      <c r="J672" s="204" t="str">
        <f t="shared" si="173"/>
        <v/>
      </c>
      <c r="K672" s="204" t="str">
        <f t="shared" si="174"/>
        <v/>
      </c>
      <c r="L672" s="204" t="str">
        <f t="shared" si="175"/>
        <v/>
      </c>
      <c r="M672" s="76" t="str">
        <f t="shared" si="176"/>
        <v/>
      </c>
      <c r="N672" s="206">
        <f t="shared" si="177"/>
        <v>0</v>
      </c>
      <c r="O672" s="206">
        <f t="shared" si="178"/>
        <v>0</v>
      </c>
      <c r="P672" s="206">
        <f t="shared" si="179"/>
        <v>0</v>
      </c>
      <c r="Q672" s="206">
        <f t="shared" si="180"/>
        <v>0</v>
      </c>
    </row>
    <row r="673" spans="1:17" x14ac:dyDescent="0.3">
      <c r="A673" s="204"/>
      <c r="B673" s="205"/>
      <c r="C673" s="205"/>
      <c r="D673" s="205"/>
      <c r="E673" s="205"/>
      <c r="F673" s="204"/>
      <c r="G673" s="204"/>
      <c r="H673" s="204"/>
      <c r="I673" s="204" t="str">
        <f t="shared" si="172"/>
        <v/>
      </c>
      <c r="J673" s="204" t="str">
        <f t="shared" si="173"/>
        <v/>
      </c>
      <c r="K673" s="204" t="str">
        <f t="shared" si="174"/>
        <v/>
      </c>
      <c r="L673" s="204" t="str">
        <f t="shared" si="175"/>
        <v/>
      </c>
      <c r="M673" s="76" t="str">
        <f t="shared" si="176"/>
        <v/>
      </c>
      <c r="N673" s="206">
        <f t="shared" si="177"/>
        <v>0</v>
      </c>
      <c r="O673" s="206">
        <f t="shared" si="178"/>
        <v>0</v>
      </c>
      <c r="P673" s="206">
        <f t="shared" si="179"/>
        <v>0</v>
      </c>
      <c r="Q673" s="206">
        <f t="shared" si="180"/>
        <v>0</v>
      </c>
    </row>
    <row r="674" spans="1:17" x14ac:dyDescent="0.3">
      <c r="A674" s="204"/>
      <c r="B674" s="205"/>
      <c r="C674" s="205"/>
      <c r="D674" s="205"/>
      <c r="E674" s="205"/>
      <c r="F674" s="204"/>
      <c r="G674" s="204"/>
      <c r="H674" s="204"/>
      <c r="I674" s="204" t="str">
        <f t="shared" si="172"/>
        <v/>
      </c>
      <c r="J674" s="204" t="str">
        <f t="shared" si="173"/>
        <v/>
      </c>
      <c r="K674" s="204" t="str">
        <f t="shared" si="174"/>
        <v/>
      </c>
      <c r="L674" s="204" t="str">
        <f t="shared" si="175"/>
        <v/>
      </c>
      <c r="M674" s="76" t="str">
        <f t="shared" si="176"/>
        <v/>
      </c>
      <c r="N674" s="206">
        <f t="shared" si="177"/>
        <v>0</v>
      </c>
      <c r="O674" s="206">
        <f t="shared" si="178"/>
        <v>0</v>
      </c>
      <c r="P674" s="206">
        <f t="shared" si="179"/>
        <v>0</v>
      </c>
      <c r="Q674" s="206">
        <f t="shared" si="180"/>
        <v>0</v>
      </c>
    </row>
    <row r="675" spans="1:17" x14ac:dyDescent="0.3">
      <c r="A675" s="204"/>
      <c r="B675" s="205"/>
      <c r="C675" s="205"/>
      <c r="D675" s="205"/>
      <c r="E675" s="205"/>
      <c r="F675" s="204"/>
      <c r="G675" s="204"/>
      <c r="H675" s="204"/>
      <c r="I675" s="204" t="str">
        <f t="shared" si="172"/>
        <v/>
      </c>
      <c r="J675" s="204" t="str">
        <f t="shared" si="173"/>
        <v/>
      </c>
      <c r="K675" s="204" t="str">
        <f t="shared" si="174"/>
        <v/>
      </c>
      <c r="L675" s="204" t="str">
        <f t="shared" si="175"/>
        <v/>
      </c>
      <c r="M675" s="76" t="str">
        <f t="shared" si="176"/>
        <v/>
      </c>
      <c r="N675" s="206">
        <f t="shared" si="177"/>
        <v>0</v>
      </c>
      <c r="O675" s="206">
        <f t="shared" si="178"/>
        <v>0</v>
      </c>
      <c r="P675" s="206">
        <f t="shared" si="179"/>
        <v>0</v>
      </c>
      <c r="Q675" s="206">
        <f t="shared" si="180"/>
        <v>0</v>
      </c>
    </row>
    <row r="676" spans="1:17" x14ac:dyDescent="0.3">
      <c r="A676" s="204"/>
      <c r="B676" s="205"/>
      <c r="C676" s="205"/>
      <c r="D676" s="205"/>
      <c r="E676" s="205"/>
      <c r="F676" s="204"/>
      <c r="G676" s="204"/>
      <c r="H676" s="204"/>
      <c r="I676" s="204" t="str">
        <f t="shared" si="172"/>
        <v/>
      </c>
      <c r="J676" s="204" t="str">
        <f t="shared" si="173"/>
        <v/>
      </c>
      <c r="K676" s="204" t="str">
        <f t="shared" si="174"/>
        <v/>
      </c>
      <c r="L676" s="204" t="str">
        <f t="shared" si="175"/>
        <v/>
      </c>
      <c r="M676" s="76" t="str">
        <f t="shared" si="176"/>
        <v/>
      </c>
      <c r="N676" s="206">
        <f t="shared" si="177"/>
        <v>0</v>
      </c>
      <c r="O676" s="206">
        <f t="shared" si="178"/>
        <v>0</v>
      </c>
      <c r="P676" s="206">
        <f t="shared" si="179"/>
        <v>0</v>
      </c>
      <c r="Q676" s="206">
        <f t="shared" si="180"/>
        <v>0</v>
      </c>
    </row>
    <row r="677" spans="1:17" x14ac:dyDescent="0.3">
      <c r="A677" s="204"/>
      <c r="B677" s="205"/>
      <c r="C677" s="205"/>
      <c r="D677" s="205"/>
      <c r="E677" s="205"/>
      <c r="F677" s="204"/>
      <c r="G677" s="204"/>
      <c r="H677" s="204"/>
      <c r="I677" s="204" t="str">
        <f t="shared" si="172"/>
        <v/>
      </c>
      <c r="J677" s="204" t="str">
        <f t="shared" si="173"/>
        <v/>
      </c>
      <c r="K677" s="204" t="str">
        <f t="shared" si="174"/>
        <v/>
      </c>
      <c r="L677" s="204" t="str">
        <f t="shared" si="175"/>
        <v/>
      </c>
      <c r="M677" s="76" t="str">
        <f t="shared" si="176"/>
        <v/>
      </c>
      <c r="N677" s="206">
        <f t="shared" si="177"/>
        <v>0</v>
      </c>
      <c r="O677" s="206">
        <f t="shared" si="178"/>
        <v>0</v>
      </c>
      <c r="P677" s="206">
        <f t="shared" si="179"/>
        <v>0</v>
      </c>
      <c r="Q677" s="206">
        <f t="shared" si="180"/>
        <v>0</v>
      </c>
    </row>
    <row r="678" spans="1:17" x14ac:dyDescent="0.3">
      <c r="A678" s="204"/>
      <c r="B678" s="205"/>
      <c r="C678" s="205"/>
      <c r="D678" s="205"/>
      <c r="E678" s="205"/>
      <c r="F678" s="204"/>
      <c r="G678" s="204"/>
      <c r="H678" s="204"/>
      <c r="I678" s="204" t="str">
        <f t="shared" si="172"/>
        <v/>
      </c>
      <c r="J678" s="204" t="str">
        <f t="shared" si="173"/>
        <v/>
      </c>
      <c r="K678" s="204" t="str">
        <f t="shared" si="174"/>
        <v/>
      </c>
      <c r="L678" s="204" t="str">
        <f t="shared" si="175"/>
        <v/>
      </c>
      <c r="M678" s="76" t="str">
        <f t="shared" si="176"/>
        <v/>
      </c>
      <c r="N678" s="206">
        <f t="shared" si="177"/>
        <v>0</v>
      </c>
      <c r="O678" s="206">
        <f t="shared" si="178"/>
        <v>0</v>
      </c>
      <c r="P678" s="206">
        <f t="shared" si="179"/>
        <v>0</v>
      </c>
      <c r="Q678" s="206">
        <f t="shared" si="180"/>
        <v>0</v>
      </c>
    </row>
    <row r="679" spans="1:17" x14ac:dyDescent="0.3">
      <c r="A679" s="204"/>
      <c r="B679" s="205"/>
      <c r="C679" s="205"/>
      <c r="D679" s="205"/>
      <c r="E679" s="205"/>
      <c r="F679" s="204"/>
      <c r="G679" s="204"/>
      <c r="H679" s="204"/>
      <c r="I679" s="204" t="str">
        <f t="shared" si="172"/>
        <v/>
      </c>
      <c r="J679" s="204" t="str">
        <f t="shared" si="173"/>
        <v/>
      </c>
      <c r="K679" s="204" t="str">
        <f t="shared" si="174"/>
        <v/>
      </c>
      <c r="L679" s="204" t="str">
        <f t="shared" si="175"/>
        <v/>
      </c>
      <c r="M679" s="76" t="str">
        <f t="shared" si="176"/>
        <v/>
      </c>
      <c r="N679" s="206">
        <f t="shared" si="177"/>
        <v>0</v>
      </c>
      <c r="O679" s="206">
        <f t="shared" si="178"/>
        <v>0</v>
      </c>
      <c r="P679" s="206">
        <f t="shared" si="179"/>
        <v>0</v>
      </c>
      <c r="Q679" s="206">
        <f t="shared" si="180"/>
        <v>0</v>
      </c>
    </row>
    <row r="680" spans="1:17" x14ac:dyDescent="0.3">
      <c r="A680" s="204"/>
      <c r="B680" s="205"/>
      <c r="C680" s="205"/>
      <c r="D680" s="205"/>
      <c r="E680" s="205"/>
      <c r="F680" s="204"/>
      <c r="G680" s="204"/>
      <c r="H680" s="204"/>
      <c r="I680" s="204" t="str">
        <f t="shared" si="172"/>
        <v/>
      </c>
      <c r="J680" s="204" t="str">
        <f t="shared" si="173"/>
        <v/>
      </c>
      <c r="K680" s="204" t="str">
        <f t="shared" si="174"/>
        <v/>
      </c>
      <c r="L680" s="204" t="str">
        <f t="shared" si="175"/>
        <v/>
      </c>
      <c r="M680" s="76" t="str">
        <f t="shared" si="176"/>
        <v/>
      </c>
      <c r="N680" s="206">
        <f t="shared" si="177"/>
        <v>0</v>
      </c>
      <c r="O680" s="206">
        <f t="shared" si="178"/>
        <v>0</v>
      </c>
      <c r="P680" s="206">
        <f t="shared" si="179"/>
        <v>0</v>
      </c>
      <c r="Q680" s="206">
        <f t="shared" si="180"/>
        <v>0</v>
      </c>
    </row>
    <row r="681" spans="1:17" x14ac:dyDescent="0.3">
      <c r="A681" s="204"/>
      <c r="B681" s="205"/>
      <c r="C681" s="205"/>
      <c r="D681" s="205"/>
      <c r="E681" s="205"/>
      <c r="F681" s="204"/>
      <c r="G681" s="204"/>
      <c r="H681" s="204"/>
      <c r="I681" s="204" t="str">
        <f t="shared" si="172"/>
        <v/>
      </c>
      <c r="J681" s="204" t="str">
        <f t="shared" si="173"/>
        <v/>
      </c>
      <c r="K681" s="204" t="str">
        <f t="shared" si="174"/>
        <v/>
      </c>
      <c r="L681" s="204" t="str">
        <f t="shared" si="175"/>
        <v/>
      </c>
      <c r="M681" s="76" t="str">
        <f t="shared" si="176"/>
        <v/>
      </c>
      <c r="N681" s="206">
        <f t="shared" si="177"/>
        <v>0</v>
      </c>
      <c r="O681" s="206">
        <f t="shared" si="178"/>
        <v>0</v>
      </c>
      <c r="P681" s="206">
        <f t="shared" si="179"/>
        <v>0</v>
      </c>
      <c r="Q681" s="206">
        <f t="shared" si="180"/>
        <v>0</v>
      </c>
    </row>
    <row r="682" spans="1:17" x14ac:dyDescent="0.3">
      <c r="A682" s="204"/>
      <c r="B682" s="205"/>
      <c r="C682" s="205"/>
      <c r="D682" s="205"/>
      <c r="E682" s="205"/>
      <c r="F682" s="204"/>
      <c r="G682" s="204"/>
      <c r="H682" s="204"/>
      <c r="I682" s="204" t="str">
        <f t="shared" si="172"/>
        <v/>
      </c>
      <c r="J682" s="204" t="str">
        <f t="shared" si="173"/>
        <v/>
      </c>
      <c r="K682" s="204" t="str">
        <f t="shared" si="174"/>
        <v/>
      </c>
      <c r="L682" s="204" t="str">
        <f t="shared" si="175"/>
        <v/>
      </c>
      <c r="M682" s="76" t="str">
        <f t="shared" si="176"/>
        <v/>
      </c>
      <c r="N682" s="206">
        <f t="shared" si="177"/>
        <v>0</v>
      </c>
      <c r="O682" s="206">
        <f t="shared" si="178"/>
        <v>0</v>
      </c>
      <c r="P682" s="206">
        <f t="shared" si="179"/>
        <v>0</v>
      </c>
      <c r="Q682" s="206">
        <f t="shared" si="180"/>
        <v>0</v>
      </c>
    </row>
    <row r="683" spans="1:17" x14ac:dyDescent="0.3">
      <c r="A683" s="204"/>
      <c r="B683" s="205"/>
      <c r="C683" s="205"/>
      <c r="D683" s="205"/>
      <c r="E683" s="205"/>
      <c r="F683" s="204"/>
      <c r="G683" s="204"/>
      <c r="H683" s="204"/>
      <c r="I683" s="204" t="str">
        <f t="shared" si="172"/>
        <v/>
      </c>
      <c r="J683" s="204" t="str">
        <f t="shared" si="173"/>
        <v/>
      </c>
      <c r="K683" s="204" t="str">
        <f t="shared" si="174"/>
        <v/>
      </c>
      <c r="L683" s="204" t="str">
        <f t="shared" si="175"/>
        <v/>
      </c>
      <c r="M683" s="76" t="str">
        <f t="shared" si="176"/>
        <v/>
      </c>
      <c r="N683" s="206">
        <f t="shared" si="177"/>
        <v>0</v>
      </c>
      <c r="O683" s="206">
        <f t="shared" si="178"/>
        <v>0</v>
      </c>
      <c r="P683" s="206">
        <f t="shared" si="179"/>
        <v>0</v>
      </c>
      <c r="Q683" s="206">
        <f t="shared" si="180"/>
        <v>0</v>
      </c>
    </row>
    <row r="684" spans="1:17" x14ac:dyDescent="0.3">
      <c r="A684" s="204"/>
      <c r="B684" s="205"/>
      <c r="C684" s="205"/>
      <c r="D684" s="205"/>
      <c r="E684" s="205"/>
      <c r="F684" s="204"/>
      <c r="G684" s="204"/>
      <c r="H684" s="204"/>
      <c r="I684" s="204" t="str">
        <f t="shared" si="172"/>
        <v/>
      </c>
      <c r="J684" s="204" t="str">
        <f t="shared" si="173"/>
        <v/>
      </c>
      <c r="K684" s="204" t="str">
        <f t="shared" si="174"/>
        <v/>
      </c>
      <c r="L684" s="204" t="str">
        <f t="shared" si="175"/>
        <v/>
      </c>
      <c r="M684" s="76" t="str">
        <f t="shared" si="176"/>
        <v/>
      </c>
      <c r="N684" s="206">
        <f t="shared" si="177"/>
        <v>0</v>
      </c>
      <c r="O684" s="206">
        <f t="shared" si="178"/>
        <v>0</v>
      </c>
      <c r="P684" s="206">
        <f t="shared" si="179"/>
        <v>0</v>
      </c>
      <c r="Q684" s="206">
        <f t="shared" si="180"/>
        <v>0</v>
      </c>
    </row>
    <row r="685" spans="1:17" x14ac:dyDescent="0.3">
      <c r="A685" s="204"/>
      <c r="B685" s="205"/>
      <c r="C685" s="205"/>
      <c r="D685" s="205"/>
      <c r="E685" s="205"/>
      <c r="F685" s="204"/>
      <c r="G685" s="204"/>
      <c r="H685" s="204"/>
      <c r="I685" s="204" t="str">
        <f t="shared" si="172"/>
        <v/>
      </c>
      <c r="J685" s="204" t="str">
        <f t="shared" si="173"/>
        <v/>
      </c>
      <c r="K685" s="204" t="str">
        <f t="shared" si="174"/>
        <v/>
      </c>
      <c r="L685" s="204" t="str">
        <f t="shared" si="175"/>
        <v/>
      </c>
      <c r="M685" s="76" t="str">
        <f t="shared" si="176"/>
        <v/>
      </c>
      <c r="N685" s="206">
        <f t="shared" si="177"/>
        <v>0</v>
      </c>
      <c r="O685" s="206">
        <f t="shared" si="178"/>
        <v>0</v>
      </c>
      <c r="P685" s="206">
        <f t="shared" si="179"/>
        <v>0</v>
      </c>
      <c r="Q685" s="206">
        <f t="shared" si="180"/>
        <v>0</v>
      </c>
    </row>
    <row r="686" spans="1:17" x14ac:dyDescent="0.3">
      <c r="A686" s="204"/>
      <c r="B686" s="205"/>
      <c r="C686" s="205"/>
      <c r="D686" s="205"/>
      <c r="E686" s="205"/>
      <c r="F686" s="204"/>
      <c r="G686" s="204"/>
      <c r="H686" s="204"/>
      <c r="I686" s="204" t="str">
        <f t="shared" si="172"/>
        <v/>
      </c>
      <c r="J686" s="204" t="str">
        <f t="shared" si="173"/>
        <v/>
      </c>
      <c r="K686" s="204" t="str">
        <f t="shared" si="174"/>
        <v/>
      </c>
      <c r="L686" s="204" t="str">
        <f t="shared" si="175"/>
        <v/>
      </c>
      <c r="M686" s="76" t="str">
        <f t="shared" si="176"/>
        <v/>
      </c>
      <c r="N686" s="206">
        <f t="shared" si="177"/>
        <v>0</v>
      </c>
      <c r="O686" s="206">
        <f t="shared" si="178"/>
        <v>0</v>
      </c>
      <c r="P686" s="206">
        <f t="shared" si="179"/>
        <v>0</v>
      </c>
      <c r="Q686" s="206">
        <f t="shared" si="180"/>
        <v>0</v>
      </c>
    </row>
    <row r="687" spans="1:17" x14ac:dyDescent="0.3">
      <c r="A687" s="204"/>
      <c r="B687" s="205"/>
      <c r="C687" s="205"/>
      <c r="D687" s="205"/>
      <c r="E687" s="205"/>
      <c r="F687" s="204"/>
      <c r="G687" s="204"/>
      <c r="H687" s="204"/>
      <c r="I687" s="204" t="str">
        <f t="shared" si="172"/>
        <v/>
      </c>
      <c r="J687" s="204" t="str">
        <f t="shared" si="173"/>
        <v/>
      </c>
      <c r="K687" s="204" t="str">
        <f t="shared" si="174"/>
        <v/>
      </c>
      <c r="L687" s="204" t="str">
        <f t="shared" si="175"/>
        <v/>
      </c>
      <c r="M687" s="76" t="str">
        <f t="shared" si="176"/>
        <v/>
      </c>
      <c r="N687" s="206">
        <f t="shared" si="177"/>
        <v>0</v>
      </c>
      <c r="O687" s="206">
        <f t="shared" si="178"/>
        <v>0</v>
      </c>
      <c r="P687" s="206">
        <f t="shared" si="179"/>
        <v>0</v>
      </c>
      <c r="Q687" s="206">
        <f t="shared" si="180"/>
        <v>0</v>
      </c>
    </row>
    <row r="688" spans="1:17" x14ac:dyDescent="0.3">
      <c r="A688" s="204"/>
      <c r="B688" s="205"/>
      <c r="C688" s="205"/>
      <c r="D688" s="205"/>
      <c r="E688" s="205"/>
      <c r="F688" s="204"/>
      <c r="G688" s="204"/>
      <c r="H688" s="204"/>
      <c r="I688" s="204" t="str">
        <f t="shared" si="172"/>
        <v/>
      </c>
      <c r="J688" s="204" t="str">
        <f t="shared" si="173"/>
        <v/>
      </c>
      <c r="K688" s="204" t="str">
        <f t="shared" si="174"/>
        <v/>
      </c>
      <c r="L688" s="204" t="str">
        <f t="shared" si="175"/>
        <v/>
      </c>
      <c r="M688" s="76" t="str">
        <f t="shared" si="176"/>
        <v/>
      </c>
      <c r="N688" s="206">
        <f t="shared" si="177"/>
        <v>0</v>
      </c>
      <c r="O688" s="206">
        <f t="shared" si="178"/>
        <v>0</v>
      </c>
      <c r="P688" s="206">
        <f t="shared" si="179"/>
        <v>0</v>
      </c>
      <c r="Q688" s="206">
        <f t="shared" si="180"/>
        <v>0</v>
      </c>
    </row>
    <row r="689" spans="9:17" x14ac:dyDescent="0.3">
      <c r="I689" s="204" t="str">
        <f t="shared" si="172"/>
        <v/>
      </c>
      <c r="J689" s="204" t="str">
        <f t="shared" si="173"/>
        <v/>
      </c>
      <c r="K689" s="204" t="str">
        <f t="shared" si="174"/>
        <v/>
      </c>
      <c r="L689" s="204" t="str">
        <f t="shared" si="175"/>
        <v/>
      </c>
      <c r="M689" s="76" t="str">
        <f t="shared" si="176"/>
        <v/>
      </c>
      <c r="N689" s="206">
        <f t="shared" si="177"/>
        <v>0</v>
      </c>
      <c r="O689" s="206">
        <f t="shared" si="178"/>
        <v>0</v>
      </c>
      <c r="P689" s="206">
        <f t="shared" si="179"/>
        <v>0</v>
      </c>
      <c r="Q689" s="206">
        <f t="shared" si="180"/>
        <v>0</v>
      </c>
    </row>
    <row r="690" spans="9:17" x14ac:dyDescent="0.3">
      <c r="I690" s="204" t="str">
        <f t="shared" si="172"/>
        <v/>
      </c>
      <c r="J690" s="204" t="str">
        <f t="shared" si="173"/>
        <v/>
      </c>
      <c r="K690" s="204" t="str">
        <f t="shared" si="174"/>
        <v/>
      </c>
      <c r="L690" s="204" t="str">
        <f t="shared" si="175"/>
        <v/>
      </c>
      <c r="M690" s="76" t="str">
        <f t="shared" si="176"/>
        <v/>
      </c>
      <c r="N690" s="206">
        <f t="shared" si="177"/>
        <v>0</v>
      </c>
      <c r="O690" s="206">
        <f t="shared" si="178"/>
        <v>0</v>
      </c>
      <c r="P690" s="206">
        <f t="shared" si="179"/>
        <v>0</v>
      </c>
      <c r="Q690" s="206">
        <f t="shared" si="180"/>
        <v>0</v>
      </c>
    </row>
    <row r="691" spans="9:17" x14ac:dyDescent="0.3">
      <c r="I691" s="204" t="str">
        <f t="shared" si="172"/>
        <v/>
      </c>
      <c r="J691" s="204" t="str">
        <f t="shared" si="173"/>
        <v/>
      </c>
      <c r="K691" s="204" t="str">
        <f t="shared" si="174"/>
        <v/>
      </c>
      <c r="L691" s="204" t="str">
        <f t="shared" si="175"/>
        <v/>
      </c>
      <c r="M691" s="76" t="str">
        <f t="shared" si="176"/>
        <v/>
      </c>
      <c r="N691" s="206">
        <f t="shared" si="177"/>
        <v>0</v>
      </c>
      <c r="O691" s="206">
        <f t="shared" si="178"/>
        <v>0</v>
      </c>
      <c r="P691" s="206">
        <f t="shared" si="179"/>
        <v>0</v>
      </c>
      <c r="Q691" s="206">
        <f t="shared" si="180"/>
        <v>0</v>
      </c>
    </row>
    <row r="692" spans="9:17" x14ac:dyDescent="0.3">
      <c r="I692" s="204" t="str">
        <f t="shared" si="172"/>
        <v/>
      </c>
      <c r="J692" s="204" t="str">
        <f t="shared" si="173"/>
        <v/>
      </c>
      <c r="K692" s="204" t="str">
        <f t="shared" si="174"/>
        <v/>
      </c>
      <c r="L692" s="204" t="str">
        <f t="shared" si="175"/>
        <v/>
      </c>
      <c r="M692" s="76" t="str">
        <f t="shared" si="176"/>
        <v/>
      </c>
      <c r="N692" s="206">
        <f t="shared" si="177"/>
        <v>0</v>
      </c>
      <c r="O692" s="206">
        <f t="shared" si="178"/>
        <v>0</v>
      </c>
      <c r="P692" s="206">
        <f t="shared" si="179"/>
        <v>0</v>
      </c>
      <c r="Q692" s="206">
        <f t="shared" si="180"/>
        <v>0</v>
      </c>
    </row>
    <row r="693" spans="9:17" x14ac:dyDescent="0.3">
      <c r="I693" s="204" t="str">
        <f t="shared" si="172"/>
        <v/>
      </c>
      <c r="J693" s="204" t="str">
        <f t="shared" si="173"/>
        <v/>
      </c>
      <c r="K693" s="204" t="str">
        <f t="shared" si="174"/>
        <v/>
      </c>
      <c r="L693" s="204" t="str">
        <f t="shared" si="175"/>
        <v/>
      </c>
      <c r="M693" s="76" t="str">
        <f t="shared" si="176"/>
        <v/>
      </c>
      <c r="N693" s="206">
        <f t="shared" si="177"/>
        <v>0</v>
      </c>
      <c r="O693" s="206">
        <f t="shared" si="178"/>
        <v>0</v>
      </c>
      <c r="P693" s="206">
        <f t="shared" si="179"/>
        <v>0</v>
      </c>
      <c r="Q693" s="206">
        <f t="shared" si="180"/>
        <v>0</v>
      </c>
    </row>
    <row r="694" spans="9:17" x14ac:dyDescent="0.3">
      <c r="I694" s="204" t="str">
        <f t="shared" si="172"/>
        <v/>
      </c>
      <c r="J694" s="204" t="str">
        <f t="shared" si="173"/>
        <v/>
      </c>
      <c r="K694" s="204" t="str">
        <f t="shared" si="174"/>
        <v/>
      </c>
      <c r="L694" s="204" t="str">
        <f t="shared" si="175"/>
        <v/>
      </c>
      <c r="M694" s="76" t="str">
        <f t="shared" si="176"/>
        <v/>
      </c>
      <c r="N694" s="206">
        <f t="shared" si="177"/>
        <v>0</v>
      </c>
      <c r="O694" s="206">
        <f t="shared" si="178"/>
        <v>0</v>
      </c>
      <c r="P694" s="206">
        <f t="shared" si="179"/>
        <v>0</v>
      </c>
      <c r="Q694" s="206">
        <f t="shared" si="180"/>
        <v>0</v>
      </c>
    </row>
    <row r="695" spans="9:17" x14ac:dyDescent="0.3">
      <c r="I695" s="204" t="str">
        <f t="shared" si="172"/>
        <v/>
      </c>
      <c r="J695" s="204" t="str">
        <f t="shared" si="173"/>
        <v/>
      </c>
      <c r="K695" s="204" t="str">
        <f t="shared" si="174"/>
        <v/>
      </c>
      <c r="L695" s="204" t="str">
        <f t="shared" si="175"/>
        <v/>
      </c>
      <c r="M695" s="76" t="str">
        <f t="shared" si="176"/>
        <v/>
      </c>
      <c r="N695" s="206">
        <f t="shared" si="177"/>
        <v>0</v>
      </c>
      <c r="O695" s="206">
        <f t="shared" si="178"/>
        <v>0</v>
      </c>
      <c r="P695" s="206">
        <f t="shared" si="179"/>
        <v>0</v>
      </c>
      <c r="Q695" s="206">
        <f t="shared" si="180"/>
        <v>0</v>
      </c>
    </row>
    <row r="696" spans="9:17" x14ac:dyDescent="0.3">
      <c r="I696" s="204" t="str">
        <f t="shared" si="172"/>
        <v/>
      </c>
      <c r="J696" s="204" t="str">
        <f t="shared" si="173"/>
        <v/>
      </c>
      <c r="K696" s="204" t="str">
        <f t="shared" si="174"/>
        <v/>
      </c>
      <c r="L696" s="204" t="str">
        <f t="shared" si="175"/>
        <v/>
      </c>
      <c r="M696" s="76" t="str">
        <f t="shared" si="176"/>
        <v/>
      </c>
      <c r="N696" s="206">
        <f t="shared" si="177"/>
        <v>0</v>
      </c>
      <c r="O696" s="206">
        <f t="shared" si="178"/>
        <v>0</v>
      </c>
      <c r="P696" s="206">
        <f t="shared" si="179"/>
        <v>0</v>
      </c>
      <c r="Q696" s="206">
        <f t="shared" si="180"/>
        <v>0</v>
      </c>
    </row>
    <row r="697" spans="9:17" x14ac:dyDescent="0.3">
      <c r="I697" s="204" t="str">
        <f t="shared" si="172"/>
        <v/>
      </c>
      <c r="J697" s="204" t="str">
        <f t="shared" si="173"/>
        <v/>
      </c>
      <c r="K697" s="204" t="str">
        <f t="shared" si="174"/>
        <v/>
      </c>
      <c r="L697" s="204" t="str">
        <f t="shared" si="175"/>
        <v/>
      </c>
      <c r="M697" s="76" t="str">
        <f t="shared" si="176"/>
        <v/>
      </c>
      <c r="N697" s="206">
        <f t="shared" si="177"/>
        <v>0</v>
      </c>
      <c r="O697" s="206">
        <f t="shared" si="178"/>
        <v>0</v>
      </c>
      <c r="P697" s="206">
        <f t="shared" si="179"/>
        <v>0</v>
      </c>
      <c r="Q697" s="206">
        <f t="shared" si="180"/>
        <v>0</v>
      </c>
    </row>
    <row r="698" spans="9:17" x14ac:dyDescent="0.3">
      <c r="I698" s="204" t="str">
        <f t="shared" si="172"/>
        <v/>
      </c>
      <c r="J698" s="204" t="str">
        <f t="shared" si="173"/>
        <v/>
      </c>
      <c r="K698" s="204" t="str">
        <f t="shared" si="174"/>
        <v/>
      </c>
      <c r="L698" s="204" t="str">
        <f t="shared" si="175"/>
        <v/>
      </c>
      <c r="M698" s="76" t="str">
        <f t="shared" si="176"/>
        <v/>
      </c>
      <c r="N698" s="206">
        <f t="shared" si="177"/>
        <v>0</v>
      </c>
      <c r="O698" s="206">
        <f t="shared" si="178"/>
        <v>0</v>
      </c>
      <c r="P698" s="206">
        <f t="shared" si="179"/>
        <v>0</v>
      </c>
      <c r="Q698" s="206">
        <f t="shared" si="180"/>
        <v>0</v>
      </c>
    </row>
    <row r="699" spans="9:17" x14ac:dyDescent="0.3">
      <c r="I699" s="204" t="str">
        <f t="shared" si="172"/>
        <v/>
      </c>
      <c r="J699" s="204" t="str">
        <f t="shared" si="173"/>
        <v/>
      </c>
      <c r="K699" s="204" t="str">
        <f t="shared" si="174"/>
        <v/>
      </c>
      <c r="L699" s="204" t="str">
        <f t="shared" si="175"/>
        <v/>
      </c>
      <c r="M699" s="76" t="str">
        <f t="shared" si="176"/>
        <v/>
      </c>
      <c r="N699" s="206">
        <f t="shared" si="177"/>
        <v>0</v>
      </c>
      <c r="O699" s="206">
        <f t="shared" si="178"/>
        <v>0</v>
      </c>
      <c r="P699" s="206">
        <f t="shared" si="179"/>
        <v>0</v>
      </c>
      <c r="Q699" s="206">
        <f t="shared" si="180"/>
        <v>0</v>
      </c>
    </row>
    <row r="700" spans="9:17" x14ac:dyDescent="0.3">
      <c r="I700" s="204" t="str">
        <f t="shared" si="172"/>
        <v/>
      </c>
      <c r="J700" s="204" t="str">
        <f t="shared" si="173"/>
        <v/>
      </c>
      <c r="K700" s="204" t="str">
        <f t="shared" si="174"/>
        <v/>
      </c>
      <c r="L700" s="204" t="str">
        <f t="shared" si="175"/>
        <v/>
      </c>
      <c r="M700" s="76" t="str">
        <f t="shared" si="176"/>
        <v/>
      </c>
      <c r="N700" s="206">
        <f t="shared" si="177"/>
        <v>0</v>
      </c>
      <c r="O700" s="206">
        <f t="shared" si="178"/>
        <v>0</v>
      </c>
      <c r="P700" s="206">
        <f t="shared" si="179"/>
        <v>0</v>
      </c>
      <c r="Q700" s="206">
        <f t="shared" si="180"/>
        <v>0</v>
      </c>
    </row>
    <row r="701" spans="9:17" x14ac:dyDescent="0.3">
      <c r="I701" s="204" t="str">
        <f t="shared" si="172"/>
        <v/>
      </c>
      <c r="J701" s="204" t="str">
        <f t="shared" si="173"/>
        <v/>
      </c>
      <c r="K701" s="204" t="str">
        <f t="shared" si="174"/>
        <v/>
      </c>
      <c r="L701" s="204" t="str">
        <f t="shared" si="175"/>
        <v/>
      </c>
      <c r="M701" s="76" t="str">
        <f t="shared" si="176"/>
        <v/>
      </c>
      <c r="N701" s="206">
        <f t="shared" si="177"/>
        <v>0</v>
      </c>
      <c r="O701" s="206">
        <f t="shared" si="178"/>
        <v>0</v>
      </c>
      <c r="P701" s="206">
        <f t="shared" si="179"/>
        <v>0</v>
      </c>
      <c r="Q701" s="206">
        <f t="shared" si="180"/>
        <v>0</v>
      </c>
    </row>
    <row r="702" spans="9:17" x14ac:dyDescent="0.3">
      <c r="I702" s="204" t="str">
        <f t="shared" si="172"/>
        <v/>
      </c>
      <c r="J702" s="204" t="str">
        <f t="shared" si="173"/>
        <v/>
      </c>
      <c r="K702" s="204" t="str">
        <f t="shared" si="174"/>
        <v/>
      </c>
      <c r="L702" s="204" t="str">
        <f t="shared" si="175"/>
        <v/>
      </c>
      <c r="M702" s="76" t="str">
        <f t="shared" si="176"/>
        <v/>
      </c>
      <c r="N702" s="206">
        <f t="shared" si="177"/>
        <v>0</v>
      </c>
      <c r="O702" s="206">
        <f t="shared" si="178"/>
        <v>0</v>
      </c>
      <c r="P702" s="206">
        <f t="shared" si="179"/>
        <v>0</v>
      </c>
      <c r="Q702" s="206">
        <f t="shared" si="180"/>
        <v>0</v>
      </c>
    </row>
    <row r="703" spans="9:17" x14ac:dyDescent="0.3">
      <c r="I703" s="204" t="str">
        <f t="shared" si="172"/>
        <v/>
      </c>
      <c r="J703" s="204" t="str">
        <f t="shared" si="173"/>
        <v/>
      </c>
      <c r="K703" s="204" t="str">
        <f t="shared" si="174"/>
        <v/>
      </c>
      <c r="L703" s="204" t="str">
        <f t="shared" si="175"/>
        <v/>
      </c>
      <c r="M703" s="76" t="str">
        <f t="shared" si="176"/>
        <v/>
      </c>
      <c r="N703" s="206">
        <f t="shared" si="177"/>
        <v>0</v>
      </c>
      <c r="O703" s="206">
        <f t="shared" si="178"/>
        <v>0</v>
      </c>
      <c r="P703" s="206">
        <f t="shared" si="179"/>
        <v>0</v>
      </c>
      <c r="Q703" s="206">
        <f t="shared" si="180"/>
        <v>0</v>
      </c>
    </row>
    <row r="704" spans="9:17" x14ac:dyDescent="0.3">
      <c r="I704" s="204" t="str">
        <f t="shared" si="172"/>
        <v/>
      </c>
      <c r="J704" s="204" t="str">
        <f t="shared" si="173"/>
        <v/>
      </c>
      <c r="K704" s="204" t="str">
        <f t="shared" si="174"/>
        <v/>
      </c>
      <c r="L704" s="204" t="str">
        <f t="shared" si="175"/>
        <v/>
      </c>
      <c r="M704" s="76" t="str">
        <f t="shared" si="176"/>
        <v/>
      </c>
      <c r="N704" s="206">
        <f t="shared" si="177"/>
        <v>0</v>
      </c>
      <c r="O704" s="206">
        <f t="shared" si="178"/>
        <v>0</v>
      </c>
      <c r="P704" s="206">
        <f t="shared" si="179"/>
        <v>0</v>
      </c>
      <c r="Q704" s="206">
        <f t="shared" si="180"/>
        <v>0</v>
      </c>
    </row>
    <row r="705" spans="9:17" x14ac:dyDescent="0.3">
      <c r="I705" s="204" t="str">
        <f t="shared" si="172"/>
        <v/>
      </c>
      <c r="J705" s="204" t="str">
        <f t="shared" si="173"/>
        <v/>
      </c>
      <c r="K705" s="204" t="str">
        <f t="shared" si="174"/>
        <v/>
      </c>
      <c r="L705" s="204" t="str">
        <f t="shared" si="175"/>
        <v/>
      </c>
      <c r="M705" s="76" t="str">
        <f t="shared" si="176"/>
        <v/>
      </c>
      <c r="N705" s="206">
        <f t="shared" si="177"/>
        <v>0</v>
      </c>
      <c r="O705" s="206">
        <f t="shared" si="178"/>
        <v>0</v>
      </c>
      <c r="P705" s="206">
        <f t="shared" si="179"/>
        <v>0</v>
      </c>
      <c r="Q705" s="206">
        <f t="shared" si="180"/>
        <v>0</v>
      </c>
    </row>
    <row r="706" spans="9:17" x14ac:dyDescent="0.3">
      <c r="I706" s="204" t="str">
        <f t="shared" si="172"/>
        <v/>
      </c>
      <c r="J706" s="204" t="str">
        <f t="shared" si="173"/>
        <v/>
      </c>
      <c r="K706" s="204" t="str">
        <f t="shared" si="174"/>
        <v/>
      </c>
      <c r="L706" s="204" t="str">
        <f t="shared" si="175"/>
        <v/>
      </c>
      <c r="M706" s="76" t="str">
        <f t="shared" si="176"/>
        <v/>
      </c>
      <c r="N706" s="206">
        <f t="shared" si="177"/>
        <v>0</v>
      </c>
      <c r="O706" s="206">
        <f t="shared" si="178"/>
        <v>0</v>
      </c>
      <c r="P706" s="206">
        <f t="shared" si="179"/>
        <v>0</v>
      </c>
      <c r="Q706" s="206">
        <f t="shared" si="180"/>
        <v>0</v>
      </c>
    </row>
    <row r="707" spans="9:17" x14ac:dyDescent="0.3">
      <c r="I707" s="204" t="str">
        <f t="shared" si="172"/>
        <v/>
      </c>
      <c r="J707" s="204" t="str">
        <f t="shared" si="173"/>
        <v/>
      </c>
      <c r="K707" s="204" t="str">
        <f t="shared" si="174"/>
        <v/>
      </c>
      <c r="L707" s="204" t="str">
        <f t="shared" si="175"/>
        <v/>
      </c>
      <c r="M707" s="76" t="str">
        <f t="shared" si="176"/>
        <v/>
      </c>
      <c r="N707" s="206">
        <f t="shared" si="177"/>
        <v>0</v>
      </c>
      <c r="O707" s="206">
        <f t="shared" si="178"/>
        <v>0</v>
      </c>
      <c r="P707" s="206">
        <f t="shared" si="179"/>
        <v>0</v>
      </c>
      <c r="Q707" s="206">
        <f t="shared" si="180"/>
        <v>0</v>
      </c>
    </row>
    <row r="708" spans="9:17" x14ac:dyDescent="0.3">
      <c r="I708" s="204" t="str">
        <f t="shared" si="172"/>
        <v/>
      </c>
      <c r="J708" s="204" t="str">
        <f t="shared" si="173"/>
        <v/>
      </c>
      <c r="K708" s="204" t="str">
        <f t="shared" si="174"/>
        <v/>
      </c>
      <c r="L708" s="204" t="str">
        <f t="shared" si="175"/>
        <v/>
      </c>
      <c r="M708" s="76" t="str">
        <f t="shared" si="176"/>
        <v/>
      </c>
      <c r="N708" s="206">
        <f t="shared" si="177"/>
        <v>0</v>
      </c>
      <c r="O708" s="206">
        <f t="shared" si="178"/>
        <v>0</v>
      </c>
      <c r="P708" s="206">
        <f t="shared" si="179"/>
        <v>0</v>
      </c>
      <c r="Q708" s="206">
        <f t="shared" si="180"/>
        <v>0</v>
      </c>
    </row>
    <row r="709" spans="9:17" x14ac:dyDescent="0.3">
      <c r="I709" s="204" t="str">
        <f t="shared" ref="I709:I750" si="181">IF(G709="Détail",LEN(A709),"")</f>
        <v/>
      </c>
      <c r="J709" s="204" t="str">
        <f t="shared" ref="J709:J750" si="182">IF(I709="","",LEFT(A709,3))</f>
        <v/>
      </c>
      <c r="K709" s="204" t="str">
        <f t="shared" ref="K709:K750" si="183">IF(J709&lt;&gt;"",MID(A709,5,3),"")</f>
        <v/>
      </c>
      <c r="L709" s="204" t="str">
        <f t="shared" ref="L709:L750" si="184">IF(J709&lt;&gt;"",RIGHT(A709,2),"")</f>
        <v/>
      </c>
      <c r="M709" s="76" t="str">
        <f t="shared" ref="M709:M750" si="185">IF(J709&lt;&gt;"",CONCATENATE(J709,"/",K709),"")</f>
        <v/>
      </c>
      <c r="N709" s="206">
        <f t="shared" ref="N709:N750" si="186">IFERROR(IF(A709&lt;&gt;"",IF(A710&lt;&gt;"",IF(FIND("Mode AM +Tarif actuel",A710),VALUE(LEFT(B710,LEN(B710)-2)),),0),0),0)</f>
        <v>0</v>
      </c>
      <c r="O709" s="206">
        <f t="shared" ref="O709:O750" si="187">IFERROR(IF(A709&lt;&gt;"",IF(A710&lt;&gt;"",IF(FIND("Mode AM +Tarif actuel",A710),VALUE(LEFT(C710,LEN(C710)-2)),),0),0),0)</f>
        <v>0</v>
      </c>
      <c r="P709" s="206">
        <f t="shared" ref="P709:P750" si="188">IFERROR(IF(A709&lt;&gt;"",IF(A710&lt;&gt;"",IF(FIND("Mode AM +Tarif actuel",A710),VALUE(LEFT(D710,LEN(D710)-2)),),0),0),0)</f>
        <v>0</v>
      </c>
      <c r="Q709" s="206">
        <f t="shared" ref="Q709:Q750" si="189">IFERROR(IF(A709&lt;&gt;"",IF(A710&lt;&gt;"",IF(FIND("Mode AM +Tarif actuel",A710),VALUE(LEFT(E710,LEN(E710)-2)),),0),0),0)</f>
        <v>0</v>
      </c>
    </row>
    <row r="710" spans="9:17" x14ac:dyDescent="0.3">
      <c r="I710" s="204" t="str">
        <f t="shared" si="181"/>
        <v/>
      </c>
      <c r="J710" s="204" t="str">
        <f t="shared" si="182"/>
        <v/>
      </c>
      <c r="K710" s="204" t="str">
        <f t="shared" si="183"/>
        <v/>
      </c>
      <c r="L710" s="204" t="str">
        <f t="shared" si="184"/>
        <v/>
      </c>
      <c r="M710" s="76" t="str">
        <f t="shared" si="185"/>
        <v/>
      </c>
      <c r="N710" s="206">
        <f t="shared" si="186"/>
        <v>0</v>
      </c>
      <c r="O710" s="206">
        <f t="shared" si="187"/>
        <v>0</v>
      </c>
      <c r="P710" s="206">
        <f t="shared" si="188"/>
        <v>0</v>
      </c>
      <c r="Q710" s="206">
        <f t="shared" si="189"/>
        <v>0</v>
      </c>
    </row>
    <row r="711" spans="9:17" x14ac:dyDescent="0.3">
      <c r="I711" s="204" t="str">
        <f t="shared" si="181"/>
        <v/>
      </c>
      <c r="J711" s="204" t="str">
        <f t="shared" si="182"/>
        <v/>
      </c>
      <c r="K711" s="204" t="str">
        <f t="shared" si="183"/>
        <v/>
      </c>
      <c r="L711" s="204" t="str">
        <f t="shared" si="184"/>
        <v/>
      </c>
      <c r="M711" s="76" t="str">
        <f t="shared" si="185"/>
        <v/>
      </c>
      <c r="N711" s="206">
        <f t="shared" si="186"/>
        <v>0</v>
      </c>
      <c r="O711" s="206">
        <f t="shared" si="187"/>
        <v>0</v>
      </c>
      <c r="P711" s="206">
        <f t="shared" si="188"/>
        <v>0</v>
      </c>
      <c r="Q711" s="206">
        <f t="shared" si="189"/>
        <v>0</v>
      </c>
    </row>
    <row r="712" spans="9:17" x14ac:dyDescent="0.3">
      <c r="I712" s="204" t="str">
        <f t="shared" si="181"/>
        <v/>
      </c>
      <c r="J712" s="204" t="str">
        <f t="shared" si="182"/>
        <v/>
      </c>
      <c r="K712" s="204" t="str">
        <f t="shared" si="183"/>
        <v/>
      </c>
      <c r="L712" s="204" t="str">
        <f t="shared" si="184"/>
        <v/>
      </c>
      <c r="M712" s="76" t="str">
        <f t="shared" si="185"/>
        <v/>
      </c>
      <c r="N712" s="206">
        <f t="shared" si="186"/>
        <v>0</v>
      </c>
      <c r="O712" s="206">
        <f t="shared" si="187"/>
        <v>0</v>
      </c>
      <c r="P712" s="206">
        <f t="shared" si="188"/>
        <v>0</v>
      </c>
      <c r="Q712" s="206">
        <f t="shared" si="189"/>
        <v>0</v>
      </c>
    </row>
    <row r="713" spans="9:17" x14ac:dyDescent="0.3">
      <c r="I713" s="204" t="str">
        <f t="shared" si="181"/>
        <v/>
      </c>
      <c r="J713" s="204" t="str">
        <f t="shared" si="182"/>
        <v/>
      </c>
      <c r="K713" s="204" t="str">
        <f t="shared" si="183"/>
        <v/>
      </c>
      <c r="L713" s="204" t="str">
        <f t="shared" si="184"/>
        <v/>
      </c>
      <c r="M713" s="76" t="str">
        <f t="shared" si="185"/>
        <v/>
      </c>
      <c r="N713" s="206">
        <f t="shared" si="186"/>
        <v>0</v>
      </c>
      <c r="O713" s="206">
        <f t="shared" si="187"/>
        <v>0</v>
      </c>
      <c r="P713" s="206">
        <f t="shared" si="188"/>
        <v>0</v>
      </c>
      <c r="Q713" s="206">
        <f t="shared" si="189"/>
        <v>0</v>
      </c>
    </row>
    <row r="714" spans="9:17" x14ac:dyDescent="0.3">
      <c r="I714" s="204" t="str">
        <f t="shared" si="181"/>
        <v/>
      </c>
      <c r="J714" s="204" t="str">
        <f t="shared" si="182"/>
        <v/>
      </c>
      <c r="K714" s="204" t="str">
        <f t="shared" si="183"/>
        <v/>
      </c>
      <c r="L714" s="204" t="str">
        <f t="shared" si="184"/>
        <v/>
      </c>
      <c r="M714" s="76" t="str">
        <f t="shared" si="185"/>
        <v/>
      </c>
      <c r="N714" s="206">
        <f t="shared" si="186"/>
        <v>0</v>
      </c>
      <c r="O714" s="206">
        <f t="shared" si="187"/>
        <v>0</v>
      </c>
      <c r="P714" s="206">
        <f t="shared" si="188"/>
        <v>0</v>
      </c>
      <c r="Q714" s="206">
        <f t="shared" si="189"/>
        <v>0</v>
      </c>
    </row>
    <row r="715" spans="9:17" x14ac:dyDescent="0.3">
      <c r="I715" s="204" t="str">
        <f t="shared" si="181"/>
        <v/>
      </c>
      <c r="J715" s="204" t="str">
        <f t="shared" si="182"/>
        <v/>
      </c>
      <c r="K715" s="204" t="str">
        <f t="shared" si="183"/>
        <v/>
      </c>
      <c r="L715" s="204" t="str">
        <f t="shared" si="184"/>
        <v/>
      </c>
      <c r="M715" s="76" t="str">
        <f t="shared" si="185"/>
        <v/>
      </c>
      <c r="N715" s="206">
        <f t="shared" si="186"/>
        <v>0</v>
      </c>
      <c r="O715" s="206">
        <f t="shared" si="187"/>
        <v>0</v>
      </c>
      <c r="P715" s="206">
        <f t="shared" si="188"/>
        <v>0</v>
      </c>
      <c r="Q715" s="206">
        <f t="shared" si="189"/>
        <v>0</v>
      </c>
    </row>
    <row r="716" spans="9:17" x14ac:dyDescent="0.3">
      <c r="I716" s="204" t="str">
        <f t="shared" si="181"/>
        <v/>
      </c>
      <c r="J716" s="204" t="str">
        <f t="shared" si="182"/>
        <v/>
      </c>
      <c r="K716" s="204" t="str">
        <f t="shared" si="183"/>
        <v/>
      </c>
      <c r="L716" s="204" t="str">
        <f t="shared" si="184"/>
        <v/>
      </c>
      <c r="M716" s="76" t="str">
        <f t="shared" si="185"/>
        <v/>
      </c>
      <c r="N716" s="206">
        <f t="shared" si="186"/>
        <v>0</v>
      </c>
      <c r="O716" s="206">
        <f t="shared" si="187"/>
        <v>0</v>
      </c>
      <c r="P716" s="206">
        <f t="shared" si="188"/>
        <v>0</v>
      </c>
      <c r="Q716" s="206">
        <f t="shared" si="189"/>
        <v>0</v>
      </c>
    </row>
    <row r="717" spans="9:17" x14ac:dyDescent="0.3">
      <c r="I717" s="204" t="str">
        <f t="shared" si="181"/>
        <v/>
      </c>
      <c r="J717" s="204" t="str">
        <f t="shared" si="182"/>
        <v/>
      </c>
      <c r="K717" s="204" t="str">
        <f t="shared" si="183"/>
        <v/>
      </c>
      <c r="L717" s="204" t="str">
        <f t="shared" si="184"/>
        <v/>
      </c>
      <c r="M717" s="76" t="str">
        <f t="shared" si="185"/>
        <v/>
      </c>
      <c r="N717" s="206">
        <f t="shared" si="186"/>
        <v>0</v>
      </c>
      <c r="O717" s="206">
        <f t="shared" si="187"/>
        <v>0</v>
      </c>
      <c r="P717" s="206">
        <f t="shared" si="188"/>
        <v>0</v>
      </c>
      <c r="Q717" s="206">
        <f t="shared" si="189"/>
        <v>0</v>
      </c>
    </row>
    <row r="718" spans="9:17" x14ac:dyDescent="0.3">
      <c r="I718" s="204" t="str">
        <f t="shared" si="181"/>
        <v/>
      </c>
      <c r="J718" s="204" t="str">
        <f t="shared" si="182"/>
        <v/>
      </c>
      <c r="K718" s="204" t="str">
        <f t="shared" si="183"/>
        <v/>
      </c>
      <c r="L718" s="204" t="str">
        <f t="shared" si="184"/>
        <v/>
      </c>
      <c r="M718" s="76" t="str">
        <f t="shared" si="185"/>
        <v/>
      </c>
      <c r="N718" s="206">
        <f t="shared" si="186"/>
        <v>0</v>
      </c>
      <c r="O718" s="206">
        <f t="shared" si="187"/>
        <v>0</v>
      </c>
      <c r="P718" s="206">
        <f t="shared" si="188"/>
        <v>0</v>
      </c>
      <c r="Q718" s="206">
        <f t="shared" si="189"/>
        <v>0</v>
      </c>
    </row>
    <row r="719" spans="9:17" x14ac:dyDescent="0.3">
      <c r="I719" s="204" t="str">
        <f t="shared" si="181"/>
        <v/>
      </c>
      <c r="J719" s="204" t="str">
        <f t="shared" si="182"/>
        <v/>
      </c>
      <c r="K719" s="204" t="str">
        <f t="shared" si="183"/>
        <v/>
      </c>
      <c r="L719" s="204" t="str">
        <f t="shared" si="184"/>
        <v/>
      </c>
      <c r="M719" s="76" t="str">
        <f t="shared" si="185"/>
        <v/>
      </c>
      <c r="N719" s="206">
        <f t="shared" si="186"/>
        <v>0</v>
      </c>
      <c r="O719" s="206">
        <f t="shared" si="187"/>
        <v>0</v>
      </c>
      <c r="P719" s="206">
        <f t="shared" si="188"/>
        <v>0</v>
      </c>
      <c r="Q719" s="206">
        <f t="shared" si="189"/>
        <v>0</v>
      </c>
    </row>
    <row r="720" spans="9:17" x14ac:dyDescent="0.3">
      <c r="I720" s="204" t="str">
        <f t="shared" si="181"/>
        <v/>
      </c>
      <c r="J720" s="204" t="str">
        <f t="shared" si="182"/>
        <v/>
      </c>
      <c r="K720" s="204" t="str">
        <f t="shared" si="183"/>
        <v/>
      </c>
      <c r="L720" s="204" t="str">
        <f t="shared" si="184"/>
        <v/>
      </c>
      <c r="M720" s="76" t="str">
        <f t="shared" si="185"/>
        <v/>
      </c>
      <c r="N720" s="206">
        <f t="shared" si="186"/>
        <v>0</v>
      </c>
      <c r="O720" s="206">
        <f t="shared" si="187"/>
        <v>0</v>
      </c>
      <c r="P720" s="206">
        <f t="shared" si="188"/>
        <v>0</v>
      </c>
      <c r="Q720" s="206">
        <f t="shared" si="189"/>
        <v>0</v>
      </c>
    </row>
    <row r="721" spans="9:17" x14ac:dyDescent="0.3">
      <c r="I721" s="204" t="str">
        <f t="shared" si="181"/>
        <v/>
      </c>
      <c r="J721" s="204" t="str">
        <f t="shared" si="182"/>
        <v/>
      </c>
      <c r="K721" s="204" t="str">
        <f t="shared" si="183"/>
        <v/>
      </c>
      <c r="L721" s="204" t="str">
        <f t="shared" si="184"/>
        <v/>
      </c>
      <c r="M721" s="76" t="str">
        <f t="shared" si="185"/>
        <v/>
      </c>
      <c r="N721" s="206">
        <f t="shared" si="186"/>
        <v>0</v>
      </c>
      <c r="O721" s="206">
        <f t="shared" si="187"/>
        <v>0</v>
      </c>
      <c r="P721" s="206">
        <f t="shared" si="188"/>
        <v>0</v>
      </c>
      <c r="Q721" s="206">
        <f t="shared" si="189"/>
        <v>0</v>
      </c>
    </row>
    <row r="722" spans="9:17" x14ac:dyDescent="0.3">
      <c r="I722" s="204" t="str">
        <f t="shared" si="181"/>
        <v/>
      </c>
      <c r="J722" s="204" t="str">
        <f t="shared" si="182"/>
        <v/>
      </c>
      <c r="K722" s="204" t="str">
        <f t="shared" si="183"/>
        <v/>
      </c>
      <c r="L722" s="204" t="str">
        <f t="shared" si="184"/>
        <v/>
      </c>
      <c r="M722" s="76" t="str">
        <f t="shared" si="185"/>
        <v/>
      </c>
      <c r="N722" s="206">
        <f t="shared" si="186"/>
        <v>0</v>
      </c>
      <c r="O722" s="206">
        <f t="shared" si="187"/>
        <v>0</v>
      </c>
      <c r="P722" s="206">
        <f t="shared" si="188"/>
        <v>0</v>
      </c>
      <c r="Q722" s="206">
        <f t="shared" si="189"/>
        <v>0</v>
      </c>
    </row>
    <row r="723" spans="9:17" x14ac:dyDescent="0.3">
      <c r="I723" s="204" t="str">
        <f t="shared" si="181"/>
        <v/>
      </c>
      <c r="J723" s="204" t="str">
        <f t="shared" si="182"/>
        <v/>
      </c>
      <c r="K723" s="204" t="str">
        <f t="shared" si="183"/>
        <v/>
      </c>
      <c r="L723" s="204" t="str">
        <f t="shared" si="184"/>
        <v/>
      </c>
      <c r="M723" s="76" t="str">
        <f t="shared" si="185"/>
        <v/>
      </c>
      <c r="N723" s="206">
        <f t="shared" si="186"/>
        <v>0</v>
      </c>
      <c r="O723" s="206">
        <f t="shared" si="187"/>
        <v>0</v>
      </c>
      <c r="P723" s="206">
        <f t="shared" si="188"/>
        <v>0</v>
      </c>
      <c r="Q723" s="206">
        <f t="shared" si="189"/>
        <v>0</v>
      </c>
    </row>
    <row r="724" spans="9:17" x14ac:dyDescent="0.3">
      <c r="I724" s="204" t="str">
        <f t="shared" si="181"/>
        <v/>
      </c>
      <c r="J724" s="204" t="str">
        <f t="shared" si="182"/>
        <v/>
      </c>
      <c r="K724" s="204" t="str">
        <f t="shared" si="183"/>
        <v/>
      </c>
      <c r="L724" s="204" t="str">
        <f t="shared" si="184"/>
        <v/>
      </c>
      <c r="M724" s="76" t="str">
        <f t="shared" si="185"/>
        <v/>
      </c>
      <c r="N724" s="206">
        <f t="shared" si="186"/>
        <v>0</v>
      </c>
      <c r="O724" s="206">
        <f t="shared" si="187"/>
        <v>0</v>
      </c>
      <c r="P724" s="206">
        <f t="shared" si="188"/>
        <v>0</v>
      </c>
      <c r="Q724" s="206">
        <f t="shared" si="189"/>
        <v>0</v>
      </c>
    </row>
    <row r="725" spans="9:17" x14ac:dyDescent="0.3">
      <c r="I725" s="204" t="str">
        <f t="shared" si="181"/>
        <v/>
      </c>
      <c r="J725" s="204" t="str">
        <f t="shared" si="182"/>
        <v/>
      </c>
      <c r="K725" s="204" t="str">
        <f t="shared" si="183"/>
        <v/>
      </c>
      <c r="L725" s="204" t="str">
        <f t="shared" si="184"/>
        <v/>
      </c>
      <c r="M725" s="76" t="str">
        <f t="shared" si="185"/>
        <v/>
      </c>
      <c r="N725" s="206">
        <f t="shared" si="186"/>
        <v>0</v>
      </c>
      <c r="O725" s="206">
        <f t="shared" si="187"/>
        <v>0</v>
      </c>
      <c r="P725" s="206">
        <f t="shared" si="188"/>
        <v>0</v>
      </c>
      <c r="Q725" s="206">
        <f t="shared" si="189"/>
        <v>0</v>
      </c>
    </row>
    <row r="726" spans="9:17" x14ac:dyDescent="0.3">
      <c r="I726" s="204" t="str">
        <f t="shared" si="181"/>
        <v/>
      </c>
      <c r="J726" s="204" t="str">
        <f t="shared" si="182"/>
        <v/>
      </c>
      <c r="K726" s="204" t="str">
        <f t="shared" si="183"/>
        <v/>
      </c>
      <c r="L726" s="204" t="str">
        <f t="shared" si="184"/>
        <v/>
      </c>
      <c r="M726" s="76" t="str">
        <f t="shared" si="185"/>
        <v/>
      </c>
      <c r="N726" s="206">
        <f t="shared" si="186"/>
        <v>0</v>
      </c>
      <c r="O726" s="206">
        <f t="shared" si="187"/>
        <v>0</v>
      </c>
      <c r="P726" s="206">
        <f t="shared" si="188"/>
        <v>0</v>
      </c>
      <c r="Q726" s="206">
        <f t="shared" si="189"/>
        <v>0</v>
      </c>
    </row>
    <row r="727" spans="9:17" x14ac:dyDescent="0.3">
      <c r="I727" s="204" t="str">
        <f t="shared" si="181"/>
        <v/>
      </c>
      <c r="J727" s="204" t="str">
        <f t="shared" si="182"/>
        <v/>
      </c>
      <c r="K727" s="204" t="str">
        <f t="shared" si="183"/>
        <v/>
      </c>
      <c r="L727" s="204" t="str">
        <f t="shared" si="184"/>
        <v/>
      </c>
      <c r="M727" s="76" t="str">
        <f t="shared" si="185"/>
        <v/>
      </c>
      <c r="N727" s="206">
        <f t="shared" si="186"/>
        <v>0</v>
      </c>
      <c r="O727" s="206">
        <f t="shared" si="187"/>
        <v>0</v>
      </c>
      <c r="P727" s="206">
        <f t="shared" si="188"/>
        <v>0</v>
      </c>
      <c r="Q727" s="206">
        <f t="shared" si="189"/>
        <v>0</v>
      </c>
    </row>
    <row r="728" spans="9:17" x14ac:dyDescent="0.3">
      <c r="I728" s="204" t="str">
        <f t="shared" si="181"/>
        <v/>
      </c>
      <c r="J728" s="204" t="str">
        <f t="shared" si="182"/>
        <v/>
      </c>
      <c r="K728" s="204" t="str">
        <f t="shared" si="183"/>
        <v/>
      </c>
      <c r="L728" s="204" t="str">
        <f t="shared" si="184"/>
        <v/>
      </c>
      <c r="M728" s="76" t="str">
        <f t="shared" si="185"/>
        <v/>
      </c>
      <c r="N728" s="206">
        <f t="shared" si="186"/>
        <v>0</v>
      </c>
      <c r="O728" s="206">
        <f t="shared" si="187"/>
        <v>0</v>
      </c>
      <c r="P728" s="206">
        <f t="shared" si="188"/>
        <v>0</v>
      </c>
      <c r="Q728" s="206">
        <f t="shared" si="189"/>
        <v>0</v>
      </c>
    </row>
    <row r="729" spans="9:17" x14ac:dyDescent="0.3">
      <c r="I729" s="204" t="str">
        <f t="shared" si="181"/>
        <v/>
      </c>
      <c r="J729" s="204" t="str">
        <f t="shared" si="182"/>
        <v/>
      </c>
      <c r="K729" s="204" t="str">
        <f t="shared" si="183"/>
        <v/>
      </c>
      <c r="L729" s="204" t="str">
        <f t="shared" si="184"/>
        <v/>
      </c>
      <c r="M729" s="76" t="str">
        <f t="shared" si="185"/>
        <v/>
      </c>
      <c r="N729" s="206">
        <f t="shared" si="186"/>
        <v>0</v>
      </c>
      <c r="O729" s="206">
        <f t="shared" si="187"/>
        <v>0</v>
      </c>
      <c r="P729" s="206">
        <f t="shared" si="188"/>
        <v>0</v>
      </c>
      <c r="Q729" s="206">
        <f t="shared" si="189"/>
        <v>0</v>
      </c>
    </row>
    <row r="730" spans="9:17" x14ac:dyDescent="0.3">
      <c r="I730" s="204" t="str">
        <f t="shared" si="181"/>
        <v/>
      </c>
      <c r="J730" s="204" t="str">
        <f t="shared" si="182"/>
        <v/>
      </c>
      <c r="K730" s="204" t="str">
        <f t="shared" si="183"/>
        <v/>
      </c>
      <c r="L730" s="204" t="str">
        <f t="shared" si="184"/>
        <v/>
      </c>
      <c r="M730" s="76" t="str">
        <f t="shared" si="185"/>
        <v/>
      </c>
      <c r="N730" s="206">
        <f t="shared" si="186"/>
        <v>0</v>
      </c>
      <c r="O730" s="206">
        <f t="shared" si="187"/>
        <v>0</v>
      </c>
      <c r="P730" s="206">
        <f t="shared" si="188"/>
        <v>0</v>
      </c>
      <c r="Q730" s="206">
        <f t="shared" si="189"/>
        <v>0</v>
      </c>
    </row>
    <row r="731" spans="9:17" x14ac:dyDescent="0.3">
      <c r="I731" s="204" t="str">
        <f t="shared" si="181"/>
        <v/>
      </c>
      <c r="J731" s="204" t="str">
        <f t="shared" si="182"/>
        <v/>
      </c>
      <c r="K731" s="204" t="str">
        <f t="shared" si="183"/>
        <v/>
      </c>
      <c r="L731" s="204" t="str">
        <f t="shared" si="184"/>
        <v/>
      </c>
      <c r="M731" s="76" t="str">
        <f t="shared" si="185"/>
        <v/>
      </c>
      <c r="N731" s="206">
        <f t="shared" si="186"/>
        <v>0</v>
      </c>
      <c r="O731" s="206">
        <f t="shared" si="187"/>
        <v>0</v>
      </c>
      <c r="P731" s="206">
        <f t="shared" si="188"/>
        <v>0</v>
      </c>
      <c r="Q731" s="206">
        <f t="shared" si="189"/>
        <v>0</v>
      </c>
    </row>
    <row r="732" spans="9:17" x14ac:dyDescent="0.3">
      <c r="I732" s="204" t="str">
        <f t="shared" si="181"/>
        <v/>
      </c>
      <c r="J732" s="204" t="str">
        <f t="shared" si="182"/>
        <v/>
      </c>
      <c r="K732" s="204" t="str">
        <f t="shared" si="183"/>
        <v/>
      </c>
      <c r="L732" s="204" t="str">
        <f t="shared" si="184"/>
        <v/>
      </c>
      <c r="M732" s="76" t="str">
        <f t="shared" si="185"/>
        <v/>
      </c>
      <c r="N732" s="206">
        <f t="shared" si="186"/>
        <v>0</v>
      </c>
      <c r="O732" s="206">
        <f t="shared" si="187"/>
        <v>0</v>
      </c>
      <c r="P732" s="206">
        <f t="shared" si="188"/>
        <v>0</v>
      </c>
      <c r="Q732" s="206">
        <f t="shared" si="189"/>
        <v>0</v>
      </c>
    </row>
    <row r="733" spans="9:17" x14ac:dyDescent="0.3">
      <c r="I733" s="204" t="str">
        <f t="shared" si="181"/>
        <v/>
      </c>
      <c r="J733" s="204" t="str">
        <f t="shared" si="182"/>
        <v/>
      </c>
      <c r="K733" s="204" t="str">
        <f t="shared" si="183"/>
        <v/>
      </c>
      <c r="L733" s="204" t="str">
        <f t="shared" si="184"/>
        <v/>
      </c>
      <c r="M733" s="76" t="str">
        <f t="shared" si="185"/>
        <v/>
      </c>
      <c r="N733" s="206">
        <f t="shared" si="186"/>
        <v>0</v>
      </c>
      <c r="O733" s="206">
        <f t="shared" si="187"/>
        <v>0</v>
      </c>
      <c r="P733" s="206">
        <f t="shared" si="188"/>
        <v>0</v>
      </c>
      <c r="Q733" s="206">
        <f t="shared" si="189"/>
        <v>0</v>
      </c>
    </row>
    <row r="734" spans="9:17" x14ac:dyDescent="0.3">
      <c r="I734" s="204" t="str">
        <f t="shared" si="181"/>
        <v/>
      </c>
      <c r="J734" s="204" t="str">
        <f t="shared" si="182"/>
        <v/>
      </c>
      <c r="K734" s="204" t="str">
        <f t="shared" si="183"/>
        <v/>
      </c>
      <c r="L734" s="204" t="str">
        <f t="shared" si="184"/>
        <v/>
      </c>
      <c r="M734" s="76" t="str">
        <f t="shared" si="185"/>
        <v/>
      </c>
      <c r="N734" s="206">
        <f t="shared" si="186"/>
        <v>0</v>
      </c>
      <c r="O734" s="206">
        <f t="shared" si="187"/>
        <v>0</v>
      </c>
      <c r="P734" s="206">
        <f t="shared" si="188"/>
        <v>0</v>
      </c>
      <c r="Q734" s="206">
        <f t="shared" si="189"/>
        <v>0</v>
      </c>
    </row>
    <row r="735" spans="9:17" x14ac:dyDescent="0.3">
      <c r="I735" s="204" t="str">
        <f t="shared" si="181"/>
        <v/>
      </c>
      <c r="J735" s="204" t="str">
        <f t="shared" si="182"/>
        <v/>
      </c>
      <c r="K735" s="204" t="str">
        <f t="shared" si="183"/>
        <v/>
      </c>
      <c r="L735" s="204" t="str">
        <f t="shared" si="184"/>
        <v/>
      </c>
      <c r="M735" s="76" t="str">
        <f t="shared" si="185"/>
        <v/>
      </c>
      <c r="N735" s="206">
        <f t="shared" si="186"/>
        <v>0</v>
      </c>
      <c r="O735" s="206">
        <f t="shared" si="187"/>
        <v>0</v>
      </c>
      <c r="P735" s="206">
        <f t="shared" si="188"/>
        <v>0</v>
      </c>
      <c r="Q735" s="206">
        <f t="shared" si="189"/>
        <v>0</v>
      </c>
    </row>
    <row r="736" spans="9:17" x14ac:dyDescent="0.3">
      <c r="I736" s="204" t="str">
        <f t="shared" si="181"/>
        <v/>
      </c>
      <c r="J736" s="204" t="str">
        <f t="shared" si="182"/>
        <v/>
      </c>
      <c r="K736" s="204" t="str">
        <f t="shared" si="183"/>
        <v/>
      </c>
      <c r="L736" s="204" t="str">
        <f t="shared" si="184"/>
        <v/>
      </c>
      <c r="M736" s="76" t="str">
        <f t="shared" si="185"/>
        <v/>
      </c>
      <c r="N736" s="206">
        <f t="shared" si="186"/>
        <v>0</v>
      </c>
      <c r="O736" s="206">
        <f t="shared" si="187"/>
        <v>0</v>
      </c>
      <c r="P736" s="206">
        <f t="shared" si="188"/>
        <v>0</v>
      </c>
      <c r="Q736" s="206">
        <f t="shared" si="189"/>
        <v>0</v>
      </c>
    </row>
    <row r="737" spans="9:17" x14ac:dyDescent="0.3">
      <c r="I737" s="204" t="str">
        <f t="shared" si="181"/>
        <v/>
      </c>
      <c r="J737" s="204" t="str">
        <f t="shared" si="182"/>
        <v/>
      </c>
      <c r="K737" s="204" t="str">
        <f t="shared" si="183"/>
        <v/>
      </c>
      <c r="L737" s="204" t="str">
        <f t="shared" si="184"/>
        <v/>
      </c>
      <c r="M737" s="76" t="str">
        <f t="shared" si="185"/>
        <v/>
      </c>
      <c r="N737" s="206">
        <f t="shared" si="186"/>
        <v>0</v>
      </c>
      <c r="O737" s="206">
        <f t="shared" si="187"/>
        <v>0</v>
      </c>
      <c r="P737" s="206">
        <f t="shared" si="188"/>
        <v>0</v>
      </c>
      <c r="Q737" s="206">
        <f t="shared" si="189"/>
        <v>0</v>
      </c>
    </row>
    <row r="738" spans="9:17" x14ac:dyDescent="0.3">
      <c r="I738" s="204" t="str">
        <f t="shared" si="181"/>
        <v/>
      </c>
      <c r="J738" s="204" t="str">
        <f t="shared" si="182"/>
        <v/>
      </c>
      <c r="K738" s="204" t="str">
        <f t="shared" si="183"/>
        <v/>
      </c>
      <c r="L738" s="204" t="str">
        <f t="shared" si="184"/>
        <v/>
      </c>
      <c r="M738" s="76" t="str">
        <f t="shared" si="185"/>
        <v/>
      </c>
      <c r="N738" s="206">
        <f t="shared" si="186"/>
        <v>0</v>
      </c>
      <c r="O738" s="206">
        <f t="shared" si="187"/>
        <v>0</v>
      </c>
      <c r="P738" s="206">
        <f t="shared" si="188"/>
        <v>0</v>
      </c>
      <c r="Q738" s="206">
        <f t="shared" si="189"/>
        <v>0</v>
      </c>
    </row>
    <row r="739" spans="9:17" x14ac:dyDescent="0.3">
      <c r="I739" s="204" t="str">
        <f t="shared" si="181"/>
        <v/>
      </c>
      <c r="J739" s="204" t="str">
        <f t="shared" si="182"/>
        <v/>
      </c>
      <c r="K739" s="204" t="str">
        <f t="shared" si="183"/>
        <v/>
      </c>
      <c r="L739" s="204" t="str">
        <f t="shared" si="184"/>
        <v/>
      </c>
      <c r="M739" s="76" t="str">
        <f t="shared" si="185"/>
        <v/>
      </c>
      <c r="N739" s="206">
        <f t="shared" si="186"/>
        <v>0</v>
      </c>
      <c r="O739" s="206">
        <f t="shared" si="187"/>
        <v>0</v>
      </c>
      <c r="P739" s="206">
        <f t="shared" si="188"/>
        <v>0</v>
      </c>
      <c r="Q739" s="206">
        <f t="shared" si="189"/>
        <v>0</v>
      </c>
    </row>
    <row r="740" spans="9:17" x14ac:dyDescent="0.3">
      <c r="I740" s="204" t="str">
        <f t="shared" si="181"/>
        <v/>
      </c>
      <c r="J740" s="204" t="str">
        <f t="shared" si="182"/>
        <v/>
      </c>
      <c r="K740" s="204" t="str">
        <f t="shared" si="183"/>
        <v/>
      </c>
      <c r="L740" s="204" t="str">
        <f t="shared" si="184"/>
        <v/>
      </c>
      <c r="M740" s="76" t="str">
        <f t="shared" si="185"/>
        <v/>
      </c>
      <c r="N740" s="206">
        <f t="shared" si="186"/>
        <v>0</v>
      </c>
      <c r="O740" s="206">
        <f t="shared" si="187"/>
        <v>0</v>
      </c>
      <c r="P740" s="206">
        <f t="shared" si="188"/>
        <v>0</v>
      </c>
      <c r="Q740" s="206">
        <f t="shared" si="189"/>
        <v>0</v>
      </c>
    </row>
    <row r="741" spans="9:17" x14ac:dyDescent="0.3">
      <c r="I741" s="204" t="str">
        <f t="shared" si="181"/>
        <v/>
      </c>
      <c r="J741" s="204" t="str">
        <f t="shared" si="182"/>
        <v/>
      </c>
      <c r="K741" s="204" t="str">
        <f t="shared" si="183"/>
        <v/>
      </c>
      <c r="L741" s="204" t="str">
        <f t="shared" si="184"/>
        <v/>
      </c>
      <c r="M741" s="76" t="str">
        <f t="shared" si="185"/>
        <v/>
      </c>
      <c r="N741" s="206">
        <f t="shared" si="186"/>
        <v>0</v>
      </c>
      <c r="O741" s="206">
        <f t="shared" si="187"/>
        <v>0</v>
      </c>
      <c r="P741" s="206">
        <f t="shared" si="188"/>
        <v>0</v>
      </c>
      <c r="Q741" s="206">
        <f t="shared" si="189"/>
        <v>0</v>
      </c>
    </row>
    <row r="742" spans="9:17" x14ac:dyDescent="0.3">
      <c r="I742" s="204" t="str">
        <f t="shared" si="181"/>
        <v/>
      </c>
      <c r="J742" s="204" t="str">
        <f t="shared" si="182"/>
        <v/>
      </c>
      <c r="K742" s="204" t="str">
        <f t="shared" si="183"/>
        <v/>
      </c>
      <c r="L742" s="204" t="str">
        <f t="shared" si="184"/>
        <v/>
      </c>
      <c r="M742" s="76" t="str">
        <f t="shared" si="185"/>
        <v/>
      </c>
      <c r="N742" s="206">
        <f t="shared" si="186"/>
        <v>0</v>
      </c>
      <c r="O742" s="206">
        <f t="shared" si="187"/>
        <v>0</v>
      </c>
      <c r="P742" s="206">
        <f t="shared" si="188"/>
        <v>0</v>
      </c>
      <c r="Q742" s="206">
        <f t="shared" si="189"/>
        <v>0</v>
      </c>
    </row>
    <row r="743" spans="9:17" x14ac:dyDescent="0.3">
      <c r="I743" s="204" t="str">
        <f t="shared" si="181"/>
        <v/>
      </c>
      <c r="J743" s="204" t="str">
        <f t="shared" si="182"/>
        <v/>
      </c>
      <c r="K743" s="204" t="str">
        <f t="shared" si="183"/>
        <v/>
      </c>
      <c r="L743" s="204" t="str">
        <f t="shared" si="184"/>
        <v/>
      </c>
      <c r="M743" s="76" t="str">
        <f t="shared" si="185"/>
        <v/>
      </c>
      <c r="N743" s="206">
        <f t="shared" si="186"/>
        <v>0</v>
      </c>
      <c r="O743" s="206">
        <f t="shared" si="187"/>
        <v>0</v>
      </c>
      <c r="P743" s="206">
        <f t="shared" si="188"/>
        <v>0</v>
      </c>
      <c r="Q743" s="206">
        <f t="shared" si="189"/>
        <v>0</v>
      </c>
    </row>
    <row r="744" spans="9:17" x14ac:dyDescent="0.3">
      <c r="I744" s="204" t="str">
        <f t="shared" si="181"/>
        <v/>
      </c>
      <c r="J744" s="204" t="str">
        <f t="shared" si="182"/>
        <v/>
      </c>
      <c r="K744" s="204" t="str">
        <f t="shared" si="183"/>
        <v/>
      </c>
      <c r="L744" s="204" t="str">
        <f t="shared" si="184"/>
        <v/>
      </c>
      <c r="M744" s="76" t="str">
        <f t="shared" si="185"/>
        <v/>
      </c>
      <c r="N744" s="206">
        <f t="shared" si="186"/>
        <v>0</v>
      </c>
      <c r="O744" s="206">
        <f t="shared" si="187"/>
        <v>0</v>
      </c>
      <c r="P744" s="206">
        <f t="shared" si="188"/>
        <v>0</v>
      </c>
      <c r="Q744" s="206">
        <f t="shared" si="189"/>
        <v>0</v>
      </c>
    </row>
    <row r="745" spans="9:17" x14ac:dyDescent="0.3">
      <c r="I745" s="204" t="str">
        <f t="shared" si="181"/>
        <v/>
      </c>
      <c r="J745" s="204" t="str">
        <f t="shared" si="182"/>
        <v/>
      </c>
      <c r="K745" s="204" t="str">
        <f t="shared" si="183"/>
        <v/>
      </c>
      <c r="L745" s="204" t="str">
        <f t="shared" si="184"/>
        <v/>
      </c>
      <c r="M745" s="76" t="str">
        <f t="shared" si="185"/>
        <v/>
      </c>
      <c r="N745" s="206">
        <f t="shared" si="186"/>
        <v>0</v>
      </c>
      <c r="O745" s="206">
        <f t="shared" si="187"/>
        <v>0</v>
      </c>
      <c r="P745" s="206">
        <f t="shared" si="188"/>
        <v>0</v>
      </c>
      <c r="Q745" s="206">
        <f t="shared" si="189"/>
        <v>0</v>
      </c>
    </row>
    <row r="746" spans="9:17" x14ac:dyDescent="0.3">
      <c r="I746" s="204" t="str">
        <f t="shared" si="181"/>
        <v/>
      </c>
      <c r="J746" s="204" t="str">
        <f t="shared" si="182"/>
        <v/>
      </c>
      <c r="K746" s="204" t="str">
        <f t="shared" si="183"/>
        <v/>
      </c>
      <c r="L746" s="204" t="str">
        <f t="shared" si="184"/>
        <v/>
      </c>
      <c r="M746" s="76" t="str">
        <f t="shared" si="185"/>
        <v/>
      </c>
      <c r="N746" s="206">
        <f t="shared" si="186"/>
        <v>0</v>
      </c>
      <c r="O746" s="206">
        <f t="shared" si="187"/>
        <v>0</v>
      </c>
      <c r="P746" s="206">
        <f t="shared" si="188"/>
        <v>0</v>
      </c>
      <c r="Q746" s="206">
        <f t="shared" si="189"/>
        <v>0</v>
      </c>
    </row>
    <row r="747" spans="9:17" x14ac:dyDescent="0.3">
      <c r="I747" s="204" t="str">
        <f t="shared" si="181"/>
        <v/>
      </c>
      <c r="J747" s="204" t="str">
        <f t="shared" si="182"/>
        <v/>
      </c>
      <c r="K747" s="204" t="str">
        <f t="shared" si="183"/>
        <v/>
      </c>
      <c r="L747" s="204" t="str">
        <f t="shared" si="184"/>
        <v/>
      </c>
      <c r="M747" s="76" t="str">
        <f t="shared" si="185"/>
        <v/>
      </c>
      <c r="N747" s="206">
        <f t="shared" si="186"/>
        <v>0</v>
      </c>
      <c r="O747" s="206">
        <f t="shared" si="187"/>
        <v>0</v>
      </c>
      <c r="P747" s="206">
        <f t="shared" si="188"/>
        <v>0</v>
      </c>
      <c r="Q747" s="206">
        <f t="shared" si="189"/>
        <v>0</v>
      </c>
    </row>
    <row r="748" spans="9:17" x14ac:dyDescent="0.3">
      <c r="I748" s="204" t="str">
        <f t="shared" si="181"/>
        <v/>
      </c>
      <c r="J748" s="204" t="str">
        <f t="shared" si="182"/>
        <v/>
      </c>
      <c r="K748" s="204" t="str">
        <f t="shared" si="183"/>
        <v/>
      </c>
      <c r="L748" s="204" t="str">
        <f t="shared" si="184"/>
        <v/>
      </c>
      <c r="M748" s="76" t="str">
        <f t="shared" si="185"/>
        <v/>
      </c>
      <c r="N748" s="206">
        <f t="shared" si="186"/>
        <v>0</v>
      </c>
      <c r="O748" s="206">
        <f t="shared" si="187"/>
        <v>0</v>
      </c>
      <c r="P748" s="206">
        <f t="shared" si="188"/>
        <v>0</v>
      </c>
      <c r="Q748" s="206">
        <f t="shared" si="189"/>
        <v>0</v>
      </c>
    </row>
    <row r="749" spans="9:17" x14ac:dyDescent="0.3">
      <c r="I749" s="204" t="str">
        <f t="shared" si="181"/>
        <v/>
      </c>
      <c r="J749" s="204" t="str">
        <f t="shared" si="182"/>
        <v/>
      </c>
      <c r="K749" s="204" t="str">
        <f t="shared" si="183"/>
        <v/>
      </c>
      <c r="L749" s="204" t="str">
        <f t="shared" si="184"/>
        <v/>
      </c>
      <c r="M749" s="76" t="str">
        <f t="shared" si="185"/>
        <v/>
      </c>
      <c r="N749" s="206">
        <f t="shared" si="186"/>
        <v>0</v>
      </c>
      <c r="O749" s="206">
        <f t="shared" si="187"/>
        <v>0</v>
      </c>
      <c r="P749" s="206">
        <f t="shared" si="188"/>
        <v>0</v>
      </c>
      <c r="Q749" s="206">
        <f t="shared" si="189"/>
        <v>0</v>
      </c>
    </row>
    <row r="750" spans="9:17" x14ac:dyDescent="0.3">
      <c r="I750" s="204" t="str">
        <f t="shared" si="181"/>
        <v/>
      </c>
      <c r="J750" s="204" t="str">
        <f t="shared" si="182"/>
        <v/>
      </c>
      <c r="K750" s="204" t="str">
        <f t="shared" si="183"/>
        <v/>
      </c>
      <c r="L750" s="204" t="str">
        <f t="shared" si="184"/>
        <v/>
      </c>
      <c r="M750" s="76" t="str">
        <f t="shared" si="185"/>
        <v/>
      </c>
      <c r="N750" s="206">
        <f t="shared" si="186"/>
        <v>0</v>
      </c>
      <c r="O750" s="206">
        <f t="shared" si="187"/>
        <v>0</v>
      </c>
      <c r="P750" s="206">
        <f t="shared" si="188"/>
        <v>0</v>
      </c>
      <c r="Q750" s="206">
        <f t="shared" si="189"/>
        <v>0</v>
      </c>
    </row>
  </sheetData>
  <mergeCells count="1">
    <mergeCell ref="AD59:AG59"/>
  </mergeCells>
  <conditionalFormatting sqref="H1:I39 H751:I1048576 H41:H750">
    <cfRule type="cellIs" dxfId="146" priority="5" operator="equal">
      <formula>14</formula>
    </cfRule>
  </conditionalFormatting>
  <conditionalFormatting sqref="H40:H97 H130:H144">
    <cfRule type="cellIs" dxfId="145" priority="4" operator="equal">
      <formula>14</formula>
    </cfRule>
  </conditionalFormatting>
  <conditionalFormatting sqref="I40:I750">
    <cfRule type="cellIs" dxfId="144" priority="2" operator="equal">
      <formula>14</formula>
    </cfRule>
  </conditionalFormatting>
  <conditionalFormatting sqref="Y1:AB1048576">
    <cfRule type="cellIs" dxfId="143" priority="1" operator="greaterThan">
      <formula>0</formula>
    </cfRule>
  </conditionalFormatting>
  <pageMargins left="0.7" right="0.7" top="0.75" bottom="0.75" header="0.3" footer="0.3"/>
  <pageSetup paperSize="9" orientation="portrait" horizontalDpi="360" verticalDpi="360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2"/>
  <dimension ref="A1:AT874"/>
  <sheetViews>
    <sheetView tabSelected="1" topLeftCell="A49" zoomScale="70" zoomScaleNormal="70" workbookViewId="0">
      <selection activeCell="S65" sqref="S65"/>
    </sheetView>
  </sheetViews>
  <sheetFormatPr baseColWidth="10" defaultColWidth="11.44140625" defaultRowHeight="21" x14ac:dyDescent="0.4"/>
  <cols>
    <col min="1" max="1" width="29.109375" customWidth="1"/>
    <col min="2" max="2" width="16.44140625" customWidth="1"/>
    <col min="3" max="3" width="14.88671875" customWidth="1"/>
    <col min="4" max="4" width="17.109375" customWidth="1"/>
    <col min="5" max="5" width="14.88671875" customWidth="1"/>
    <col min="6" max="6" width="16.6640625" customWidth="1"/>
    <col min="7" max="7" width="15.44140625" customWidth="1"/>
    <col min="8" max="8" width="14.88671875" customWidth="1"/>
    <col min="15" max="15" width="11.44140625" style="20"/>
    <col min="21" max="21" width="27.33203125" customWidth="1"/>
    <col min="22" max="22" width="25.6640625" customWidth="1"/>
    <col min="23" max="23" width="18.33203125" customWidth="1"/>
    <col min="24" max="24" width="21.6640625" customWidth="1"/>
    <col min="25" max="25" width="24" customWidth="1"/>
    <col min="26" max="26" width="21" customWidth="1"/>
    <col min="27" max="32" width="23.88671875" bestFit="1" customWidth="1"/>
    <col min="33" max="33" width="23.88671875" style="189" customWidth="1"/>
    <col min="34" max="40" width="23.88671875" bestFit="1" customWidth="1"/>
    <col min="41" max="41" width="23.88671875" style="194" bestFit="1" customWidth="1"/>
    <col min="42" max="44" width="23.88671875" bestFit="1" customWidth="1"/>
    <col min="45" max="45" width="23.88671875" style="189" customWidth="1"/>
    <col min="46" max="58" width="23.88671875" bestFit="1" customWidth="1"/>
    <col min="59" max="59" width="12.5546875" bestFit="1" customWidth="1"/>
  </cols>
  <sheetData>
    <row r="1" spans="1:1" x14ac:dyDescent="0.4">
      <c r="A1" t="s">
        <v>377</v>
      </c>
    </row>
    <row r="3" spans="1:1" x14ac:dyDescent="0.4">
      <c r="A3" s="113">
        <v>42615.624108796299</v>
      </c>
    </row>
    <row r="5" spans="1:1" x14ac:dyDescent="0.4">
      <c r="A5" t="s">
        <v>378</v>
      </c>
    </row>
    <row r="7" spans="1:1" x14ac:dyDescent="0.4">
      <c r="A7" t="s">
        <v>68</v>
      </c>
    </row>
    <row r="9" spans="1:1" x14ac:dyDescent="0.4">
      <c r="A9" t="s">
        <v>379</v>
      </c>
    </row>
    <row r="10" spans="1:1" x14ac:dyDescent="0.4">
      <c r="A10" t="s">
        <v>1160</v>
      </c>
    </row>
    <row r="11" spans="1:1" x14ac:dyDescent="0.4">
      <c r="A11" t="s">
        <v>380</v>
      </c>
    </row>
    <row r="12" spans="1:1" x14ac:dyDescent="0.4">
      <c r="A12" t="s">
        <v>1099</v>
      </c>
    </row>
    <row r="13" spans="1:1" x14ac:dyDescent="0.4">
      <c r="A13" t="s">
        <v>381</v>
      </c>
    </row>
    <row r="14" spans="1:1" x14ac:dyDescent="0.4">
      <c r="A14" t="s">
        <v>382</v>
      </c>
    </row>
    <row r="15" spans="1:1" x14ac:dyDescent="0.4">
      <c r="A15" t="s">
        <v>383</v>
      </c>
    </row>
    <row r="16" spans="1:1" x14ac:dyDescent="0.4">
      <c r="A16" t="s">
        <v>1161</v>
      </c>
    </row>
    <row r="17" spans="1:1" x14ac:dyDescent="0.4">
      <c r="A17" t="s">
        <v>1484</v>
      </c>
    </row>
    <row r="18" spans="1:1" x14ac:dyDescent="0.4">
      <c r="A18" t="s">
        <v>1584</v>
      </c>
    </row>
    <row r="19" spans="1:1" x14ac:dyDescent="0.4">
      <c r="A19" t="s">
        <v>384</v>
      </c>
    </row>
    <row r="20" spans="1:1" x14ac:dyDescent="0.4">
      <c r="A20" t="s">
        <v>443</v>
      </c>
    </row>
    <row r="21" spans="1:1" x14ac:dyDescent="0.4">
      <c r="A21" t="s">
        <v>1550</v>
      </c>
    </row>
    <row r="22" spans="1:1" x14ac:dyDescent="0.4">
      <c r="A22" t="s">
        <v>444</v>
      </c>
    </row>
    <row r="23" spans="1:1" x14ac:dyDescent="0.4">
      <c r="A23" t="s">
        <v>426</v>
      </c>
    </row>
    <row r="24" spans="1:1" x14ac:dyDescent="0.4">
      <c r="A24" t="s">
        <v>315</v>
      </c>
    </row>
    <row r="25" spans="1:1" x14ac:dyDescent="0.4">
      <c r="A25" t="s">
        <v>426</v>
      </c>
    </row>
    <row r="26" spans="1:1" x14ac:dyDescent="0.4">
      <c r="A26" t="s">
        <v>428</v>
      </c>
    </row>
    <row r="27" spans="1:1" x14ac:dyDescent="0.4">
      <c r="A27" t="s">
        <v>426</v>
      </c>
    </row>
    <row r="28" spans="1:1" x14ac:dyDescent="0.4">
      <c r="A28" t="s">
        <v>427</v>
      </c>
    </row>
    <row r="29" spans="1:1" x14ac:dyDescent="0.4">
      <c r="A29" t="s">
        <v>426</v>
      </c>
    </row>
    <row r="30" spans="1:1" x14ac:dyDescent="0.4">
      <c r="A30" t="s">
        <v>733</v>
      </c>
    </row>
    <row r="31" spans="1:1" x14ac:dyDescent="0.4">
      <c r="A31" t="s">
        <v>426</v>
      </c>
    </row>
    <row r="32" spans="1:1" x14ac:dyDescent="0.4">
      <c r="A32" t="s">
        <v>732</v>
      </c>
    </row>
    <row r="33" spans="1:46" x14ac:dyDescent="0.4">
      <c r="A33" t="s">
        <v>426</v>
      </c>
    </row>
    <row r="34" spans="1:46" x14ac:dyDescent="0.4">
      <c r="A34" t="s">
        <v>731</v>
      </c>
      <c r="U34" s="74" t="s">
        <v>431</v>
      </c>
      <c r="V34" s="204" t="s">
        <v>1031</v>
      </c>
      <c r="AB34" t="s">
        <v>738</v>
      </c>
      <c r="AF34">
        <v>1</v>
      </c>
      <c r="AG34" s="189">
        <v>2</v>
      </c>
      <c r="AH34">
        <v>2</v>
      </c>
      <c r="AI34">
        <v>3</v>
      </c>
      <c r="AJ34">
        <v>4</v>
      </c>
      <c r="AK34">
        <v>5</v>
      </c>
      <c r="AQ34" t="s">
        <v>1027</v>
      </c>
      <c r="AR34" s="45">
        <v>0</v>
      </c>
      <c r="AS34" s="45">
        <v>0</v>
      </c>
    </row>
    <row r="35" spans="1:46" x14ac:dyDescent="0.4">
      <c r="A35" t="s">
        <v>426</v>
      </c>
      <c r="AH35" t="s">
        <v>1018</v>
      </c>
    </row>
    <row r="36" spans="1:46" x14ac:dyDescent="0.4">
      <c r="A36" s="189" t="s">
        <v>730</v>
      </c>
      <c r="B36" s="189"/>
      <c r="C36" s="189"/>
      <c r="D36" s="189"/>
      <c r="E36" s="189"/>
      <c r="F36" s="189"/>
      <c r="G36" s="189"/>
      <c r="H36" s="189"/>
      <c r="K36" t="s">
        <v>398</v>
      </c>
      <c r="L36" t="s">
        <v>399</v>
      </c>
      <c r="M36" t="s">
        <v>431</v>
      </c>
      <c r="N36" s="76" t="s">
        <v>30</v>
      </c>
      <c r="O36" s="20" t="s">
        <v>31</v>
      </c>
      <c r="P36" s="76" t="s">
        <v>445</v>
      </c>
      <c r="Q36" s="73" t="s">
        <v>32</v>
      </c>
      <c r="R36" s="73" t="s">
        <v>33</v>
      </c>
      <c r="S36" s="73" t="s">
        <v>34</v>
      </c>
      <c r="T36" s="73" t="s">
        <v>35</v>
      </c>
      <c r="U36" s="74" t="s">
        <v>401</v>
      </c>
      <c r="V36" s="204" t="s">
        <v>446</v>
      </c>
      <c r="W36" s="204" t="s">
        <v>432</v>
      </c>
      <c r="X36" s="204" t="s">
        <v>433</v>
      </c>
      <c r="Y36" s="204" t="s">
        <v>434</v>
      </c>
      <c r="Z36" s="204" t="s">
        <v>435</v>
      </c>
      <c r="AB36" t="s">
        <v>32</v>
      </c>
      <c r="AC36" t="s">
        <v>710</v>
      </c>
      <c r="AD36" t="s">
        <v>711</v>
      </c>
      <c r="AE36" t="s">
        <v>35</v>
      </c>
      <c r="AH36" t="str">
        <f>AB36</f>
        <v>Eco</v>
      </c>
      <c r="AI36" s="189" t="str">
        <f t="shared" ref="AI36:AK36" si="0">AC36</f>
        <v>Business</v>
      </c>
      <c r="AJ36" s="189" t="str">
        <f t="shared" si="0"/>
        <v>First</v>
      </c>
      <c r="AK36" s="189" t="str">
        <f t="shared" si="0"/>
        <v>Cargo</v>
      </c>
      <c r="AL36" t="s">
        <v>1019</v>
      </c>
      <c r="AN36" t="s">
        <v>1022</v>
      </c>
      <c r="AO36" s="194" t="s">
        <v>1025</v>
      </c>
      <c r="AP36" t="s">
        <v>709</v>
      </c>
      <c r="AQ36" t="s">
        <v>1026</v>
      </c>
      <c r="AR36" t="s">
        <v>1028</v>
      </c>
      <c r="AS36" s="189" t="s">
        <v>1029</v>
      </c>
      <c r="AT36" t="s">
        <v>309</v>
      </c>
    </row>
    <row r="37" spans="1:46" x14ac:dyDescent="0.4">
      <c r="A37" s="189" t="s">
        <v>426</v>
      </c>
      <c r="B37" s="189"/>
      <c r="C37" s="189"/>
      <c r="D37" s="189"/>
      <c r="E37" s="189"/>
      <c r="F37" s="189"/>
      <c r="G37" s="189"/>
      <c r="H37" s="189"/>
      <c r="J37" t="str">
        <f t="shared" ref="J37" si="1">IF(G37="Détail des tarifs",LEN(A37),"")</f>
        <v/>
      </c>
      <c r="K37" t="str">
        <f t="shared" ref="K37" si="2">IF(J37="","",LEFT(A37,3))</f>
        <v/>
      </c>
      <c r="L37" t="str">
        <f t="shared" ref="L37" si="3">IF(K37&lt;&gt;"",MID(A37,7,3),"")</f>
        <v/>
      </c>
      <c r="M37" t="str">
        <f t="shared" ref="M37" si="4">IF(K37&lt;&gt;"",RIGHT(A37,2),"")</f>
        <v/>
      </c>
      <c r="N37" s="76" t="str">
        <f t="shared" ref="N37" si="5">IF(K37&lt;&gt;"",CONCATENATE(K37,"/",L37),"")</f>
        <v/>
      </c>
      <c r="O37" s="20">
        <f t="shared" ref="O37" si="6">IF(J37&lt;&gt;"",LEFT(B37,LEN(B37)-3),0)</f>
        <v>0</v>
      </c>
      <c r="P37" s="76">
        <f t="shared" ref="P37" si="7">IF(O37&lt;&gt;"",VALUE(O37),"")</f>
        <v>0</v>
      </c>
      <c r="Q37" s="206">
        <f t="shared" ref="Q37" si="8">IF(P37=0,0,VALUE(LEFT(C37,LEN(C37)-4)))</f>
        <v>0</v>
      </c>
      <c r="R37" s="206">
        <f t="shared" ref="R37" si="9">IF(Q37=0,0,VALUE(LEFT(D37,LEN(D37)-4)))</f>
        <v>0</v>
      </c>
      <c r="S37" s="206">
        <f t="shared" ref="S37" si="10">IF(R37=0,0,VALUE(LEFT(E37,LEN(E37)-4)))</f>
        <v>0</v>
      </c>
      <c r="T37" s="206">
        <f t="shared" ref="T37" si="11">IF(S37=0,0,VALUE(LEFT(F37,LEN(F37)-7)))</f>
        <v>0</v>
      </c>
      <c r="U37" s="75" t="s">
        <v>736</v>
      </c>
      <c r="V37" s="39">
        <v>9516</v>
      </c>
      <c r="W37" s="39">
        <v>5849</v>
      </c>
      <c r="X37" s="39">
        <v>149</v>
      </c>
      <c r="Y37" s="39">
        <v>10</v>
      </c>
      <c r="Z37" s="39">
        <v>64</v>
      </c>
      <c r="AF37" t="str">
        <f>IFERROR(VLOOKUP($U37,$AA:$AE,AF$34,FALSE),"")</f>
        <v>BOM/DKR</v>
      </c>
      <c r="AG37" s="189" t="str">
        <f>IFERROR(VLOOKUP($AF37,$N:$O,2,FALSE),"")</f>
        <v>9 516</v>
      </c>
      <c r="AH37" s="189">
        <f t="shared" ref="AH37:AK52" si="12">IFERROR(VLOOKUP($U37,$AA:$AE,AH$34,FALSE),"")</f>
        <v>4</v>
      </c>
      <c r="AI37" s="189">
        <f t="shared" si="12"/>
        <v>-66</v>
      </c>
      <c r="AJ37" s="189">
        <f t="shared" si="12"/>
        <v>0</v>
      </c>
      <c r="AK37" s="189">
        <f t="shared" si="12"/>
        <v>1</v>
      </c>
      <c r="AN37" t="s">
        <v>756</v>
      </c>
      <c r="AO37" s="194">
        <f t="shared" ref="AO37:AO42" si="13">COUNTIF($AL$37:$AL$61,AN37)</f>
        <v>0</v>
      </c>
      <c r="AP37" s="73" t="e">
        <f>VLOOKUP($AN37,AvionsLoc!$E$4:$R$8,13,FALSE)</f>
        <v>#N/A</v>
      </c>
      <c r="AQ37" s="73" t="e">
        <f>VLOOKUP($AN37,AvionsLoc!$E$4:$R$8,12,FALSE)</f>
        <v>#N/A</v>
      </c>
      <c r="AR37" s="73" t="e">
        <f>$AR$34*AP37</f>
        <v>#N/A</v>
      </c>
      <c r="AS37" s="73" t="e">
        <f>$AS$34*AQ37</f>
        <v>#N/A</v>
      </c>
      <c r="AT37" s="73" t="e">
        <f>(AP37-AR37+AQ37-AS37)*AO37</f>
        <v>#N/A</v>
      </c>
    </row>
    <row r="38" spans="1:46" x14ac:dyDescent="0.4">
      <c r="A38" s="189" t="s">
        <v>729</v>
      </c>
      <c r="B38" s="189"/>
      <c r="C38" s="189"/>
      <c r="D38" s="189"/>
      <c r="E38" s="189"/>
      <c r="F38" s="189"/>
      <c r="G38" s="189"/>
      <c r="H38" s="189"/>
      <c r="J38" t="str">
        <f t="shared" ref="J38:J63" si="14">IF(G38="Détail des tarifs",LEN(A38),"")</f>
        <v/>
      </c>
      <c r="K38" t="str">
        <f t="shared" ref="K38:K63" si="15">IF(J38="","",LEFT(A38,3))</f>
        <v/>
      </c>
      <c r="L38" t="str">
        <f t="shared" ref="L38:L63" si="16">IF(K38&lt;&gt;"",MID(A38,7,3),"")</f>
        <v/>
      </c>
      <c r="M38" t="str">
        <f t="shared" ref="M38:M63" si="17">IF(K38&lt;&gt;"",RIGHT(A38,2),"")</f>
        <v/>
      </c>
      <c r="N38" s="76" t="str">
        <f t="shared" ref="N38:N63" si="18">IF(K38&lt;&gt;"",CONCATENATE(K38,"/",L38),"")</f>
        <v/>
      </c>
      <c r="O38" s="20">
        <f t="shared" ref="O38:O63" si="19">IF(J38&lt;&gt;"",LEFT(B38,LEN(B38)-3),0)</f>
        <v>0</v>
      </c>
      <c r="P38" s="76">
        <f t="shared" ref="P38:P63" si="20">IF(O38&lt;&gt;"",VALUE(O38),"")</f>
        <v>0</v>
      </c>
      <c r="Q38" s="206">
        <f t="shared" ref="Q38:Q101" si="21">IF(P38=0,0,VALUE(LEFT(C38,LEN(C38)-4)))</f>
        <v>0</v>
      </c>
      <c r="R38" s="206">
        <f t="shared" ref="R38:R101" si="22">IF(Q38=0,0,VALUE(LEFT(D38,LEN(D38)-4)))</f>
        <v>0</v>
      </c>
      <c r="S38" s="206">
        <f t="shared" ref="S38:S101" si="23">IF(R38=0,0,VALUE(LEFT(E38,LEN(E38)-4)))</f>
        <v>0</v>
      </c>
      <c r="T38" s="206">
        <f t="shared" ref="T38:T101" si="24">IF(S38=0,0,VALUE(LEFT(F38,LEN(F38)-7)))</f>
        <v>0</v>
      </c>
      <c r="AF38" s="189" t="str">
        <f t="shared" ref="AF38:AK61" si="25">IFERROR(VLOOKUP($U38,$AA:$AE,AF$34,FALSE),"")</f>
        <v/>
      </c>
      <c r="AG38" s="189">
        <f t="shared" ref="AG38:AG62" si="26">IFERROR(VLOOKUP($AF38,$N:$O,2,FALSE),"")</f>
        <v>0</v>
      </c>
      <c r="AH38" s="189" t="str">
        <f t="shared" si="12"/>
        <v/>
      </c>
      <c r="AI38" s="189" t="str">
        <f t="shared" si="12"/>
        <v/>
      </c>
      <c r="AJ38" s="189" t="str">
        <f t="shared" si="12"/>
        <v/>
      </c>
      <c r="AK38" s="189" t="str">
        <f t="shared" si="12"/>
        <v/>
      </c>
      <c r="AN38" t="s">
        <v>1023</v>
      </c>
      <c r="AO38" s="194">
        <f t="shared" si="13"/>
        <v>0</v>
      </c>
      <c r="AP38" s="73" t="e">
        <f>VLOOKUP($AN38,AvionsLoc!$E$4:$R$8,13,FALSE)</f>
        <v>#N/A</v>
      </c>
      <c r="AQ38" s="73" t="e">
        <f>VLOOKUP($AN38,AvionsLoc!$E$4:$R$8,12,FALSE)</f>
        <v>#N/A</v>
      </c>
      <c r="AR38" s="73" t="e">
        <f t="shared" ref="AR38:AR41" si="27">$AR$34*AP38</f>
        <v>#N/A</v>
      </c>
      <c r="AS38" s="73" t="e">
        <f t="shared" ref="AS38:AS41" si="28">$AS$34*AQ38</f>
        <v>#N/A</v>
      </c>
      <c r="AT38" s="73" t="e">
        <f t="shared" ref="AT38:AT41" si="29">(AP38-AR38+AQ38-AS38)*AO38</f>
        <v>#N/A</v>
      </c>
    </row>
    <row r="39" spans="1:46" x14ac:dyDescent="0.4">
      <c r="A39" s="189" t="s">
        <v>426</v>
      </c>
      <c r="B39" s="189"/>
      <c r="C39" s="189"/>
      <c r="D39" s="189"/>
      <c r="E39" s="189"/>
      <c r="F39" s="189"/>
      <c r="G39" s="189"/>
      <c r="H39" s="189"/>
      <c r="J39" t="str">
        <f t="shared" si="14"/>
        <v/>
      </c>
      <c r="K39" t="str">
        <f t="shared" si="15"/>
        <v/>
      </c>
      <c r="L39" t="str">
        <f t="shared" si="16"/>
        <v/>
      </c>
      <c r="M39" t="str">
        <f t="shared" si="17"/>
        <v/>
      </c>
      <c r="N39" s="76" t="str">
        <f t="shared" si="18"/>
        <v/>
      </c>
      <c r="O39" s="20">
        <f t="shared" si="19"/>
        <v>0</v>
      </c>
      <c r="P39" s="76">
        <f t="shared" si="20"/>
        <v>0</v>
      </c>
      <c r="Q39" s="206">
        <f t="shared" si="21"/>
        <v>0</v>
      </c>
      <c r="R39" s="206">
        <f t="shared" si="22"/>
        <v>0</v>
      </c>
      <c r="S39" s="206">
        <f t="shared" si="23"/>
        <v>0</v>
      </c>
      <c r="T39" s="206">
        <f t="shared" si="24"/>
        <v>0</v>
      </c>
      <c r="AF39" s="189" t="str">
        <f t="shared" si="25"/>
        <v/>
      </c>
      <c r="AG39" s="189">
        <f t="shared" si="26"/>
        <v>0</v>
      </c>
      <c r="AH39" s="189" t="str">
        <f t="shared" si="12"/>
        <v/>
      </c>
      <c r="AI39" s="189" t="str">
        <f t="shared" si="12"/>
        <v/>
      </c>
      <c r="AJ39" s="189" t="str">
        <f t="shared" si="12"/>
        <v/>
      </c>
      <c r="AK39" s="189" t="str">
        <f t="shared" si="12"/>
        <v/>
      </c>
      <c r="AN39" t="s">
        <v>1021</v>
      </c>
      <c r="AO39" s="194">
        <f t="shared" si="13"/>
        <v>0</v>
      </c>
      <c r="AP39" s="73" t="e">
        <f>VLOOKUP($AN39,AvionsLoc!$E$4:$R$8,13,FALSE)</f>
        <v>#N/A</v>
      </c>
      <c r="AQ39" s="73" t="e">
        <f>VLOOKUP($AN39,AvionsLoc!$E$4:$R$8,12,FALSE)</f>
        <v>#N/A</v>
      </c>
      <c r="AR39" s="73" t="e">
        <f t="shared" si="27"/>
        <v>#N/A</v>
      </c>
      <c r="AS39" s="73" t="e">
        <f t="shared" si="28"/>
        <v>#N/A</v>
      </c>
      <c r="AT39" s="73" t="e">
        <f t="shared" si="29"/>
        <v>#N/A</v>
      </c>
    </row>
    <row r="40" spans="1:46" x14ac:dyDescent="0.4">
      <c r="A40" s="189" t="s">
        <v>728</v>
      </c>
      <c r="B40" s="189"/>
      <c r="C40" s="189"/>
      <c r="D40" s="189"/>
      <c r="E40" s="189"/>
      <c r="F40" s="189"/>
      <c r="G40" s="189"/>
      <c r="H40" s="189"/>
      <c r="J40" t="str">
        <f t="shared" si="14"/>
        <v/>
      </c>
      <c r="K40" t="str">
        <f t="shared" si="15"/>
        <v/>
      </c>
      <c r="L40" t="str">
        <f t="shared" si="16"/>
        <v/>
      </c>
      <c r="M40" t="str">
        <f t="shared" si="17"/>
        <v/>
      </c>
      <c r="N40" s="76" t="str">
        <f t="shared" si="18"/>
        <v/>
      </c>
      <c r="O40" s="20">
        <f t="shared" si="19"/>
        <v>0</v>
      </c>
      <c r="P40" s="76">
        <f t="shared" si="20"/>
        <v>0</v>
      </c>
      <c r="Q40" s="206">
        <f t="shared" si="21"/>
        <v>0</v>
      </c>
      <c r="R40" s="206">
        <f t="shared" si="22"/>
        <v>0</v>
      </c>
      <c r="S40" s="206">
        <f t="shared" si="23"/>
        <v>0</v>
      </c>
      <c r="T40" s="206">
        <f t="shared" si="24"/>
        <v>0</v>
      </c>
      <c r="AF40" s="189" t="str">
        <f t="shared" si="25"/>
        <v/>
      </c>
      <c r="AG40" s="189">
        <f t="shared" si="26"/>
        <v>0</v>
      </c>
      <c r="AH40" s="189" t="str">
        <f t="shared" si="12"/>
        <v/>
      </c>
      <c r="AI40" s="189" t="str">
        <f t="shared" si="12"/>
        <v/>
      </c>
      <c r="AJ40" s="189" t="str">
        <f t="shared" si="12"/>
        <v/>
      </c>
      <c r="AK40" s="189" t="str">
        <f t="shared" si="12"/>
        <v/>
      </c>
      <c r="AN40" t="s">
        <v>1020</v>
      </c>
      <c r="AO40" s="194">
        <f t="shared" si="13"/>
        <v>0</v>
      </c>
      <c r="AP40" s="73" t="e">
        <f>VLOOKUP($AN40,AvionsLoc!$E$4:$R$8,13,FALSE)</f>
        <v>#N/A</v>
      </c>
      <c r="AQ40" s="73" t="e">
        <f>VLOOKUP($AN40,AvionsLoc!$E$4:$R$8,12,FALSE)</f>
        <v>#N/A</v>
      </c>
      <c r="AR40" s="73" t="e">
        <f t="shared" si="27"/>
        <v>#N/A</v>
      </c>
      <c r="AS40" s="73" t="e">
        <f t="shared" si="28"/>
        <v>#N/A</v>
      </c>
      <c r="AT40" s="73" t="e">
        <f t="shared" si="29"/>
        <v>#N/A</v>
      </c>
    </row>
    <row r="41" spans="1:46" x14ac:dyDescent="0.4">
      <c r="A41" s="189" t="s">
        <v>426</v>
      </c>
      <c r="B41" s="189"/>
      <c r="C41" s="189"/>
      <c r="D41" s="189"/>
      <c r="E41" s="189"/>
      <c r="F41" s="189"/>
      <c r="G41" s="189"/>
      <c r="H41" s="189"/>
      <c r="J41" t="str">
        <f t="shared" si="14"/>
        <v/>
      </c>
      <c r="K41" t="str">
        <f t="shared" si="15"/>
        <v/>
      </c>
      <c r="L41" t="str">
        <f t="shared" si="16"/>
        <v/>
      </c>
      <c r="M41" t="str">
        <f t="shared" si="17"/>
        <v/>
      </c>
      <c r="N41" s="76" t="str">
        <f t="shared" si="18"/>
        <v/>
      </c>
      <c r="O41" s="20">
        <f t="shared" si="19"/>
        <v>0</v>
      </c>
      <c r="P41" s="76">
        <f t="shared" si="20"/>
        <v>0</v>
      </c>
      <c r="Q41" s="206">
        <f t="shared" si="21"/>
        <v>0</v>
      </c>
      <c r="R41" s="206">
        <f t="shared" si="22"/>
        <v>0</v>
      </c>
      <c r="S41" s="206">
        <f t="shared" si="23"/>
        <v>0</v>
      </c>
      <c r="T41" s="206">
        <f t="shared" si="24"/>
        <v>0</v>
      </c>
      <c r="AF41" s="189" t="str">
        <f t="shared" si="25"/>
        <v/>
      </c>
      <c r="AG41" s="189">
        <f t="shared" si="26"/>
        <v>0</v>
      </c>
      <c r="AH41" s="189" t="str">
        <f t="shared" si="12"/>
        <v/>
      </c>
      <c r="AI41" s="189" t="str">
        <f t="shared" si="12"/>
        <v/>
      </c>
      <c r="AJ41" s="189" t="str">
        <f t="shared" si="12"/>
        <v/>
      </c>
      <c r="AK41" s="189" t="str">
        <f t="shared" si="12"/>
        <v/>
      </c>
      <c r="AN41" t="s">
        <v>1024</v>
      </c>
      <c r="AO41" s="194">
        <f t="shared" si="13"/>
        <v>0</v>
      </c>
      <c r="AP41" s="73" t="e">
        <f>VLOOKUP($AN41,AvionsLoc!$E$4:$R$8,13,FALSE)</f>
        <v>#N/A</v>
      </c>
      <c r="AQ41" s="73" t="e">
        <f>VLOOKUP($AN41,AvionsLoc!$E$4:$R$8,12,FALSE)</f>
        <v>#N/A</v>
      </c>
      <c r="AR41" s="73" t="e">
        <f t="shared" si="27"/>
        <v>#N/A</v>
      </c>
      <c r="AS41" s="73" t="e">
        <f t="shared" si="28"/>
        <v>#N/A</v>
      </c>
      <c r="AT41" s="73" t="e">
        <f t="shared" si="29"/>
        <v>#N/A</v>
      </c>
    </row>
    <row r="42" spans="1:46" x14ac:dyDescent="0.4">
      <c r="A42" s="189" t="s">
        <v>727</v>
      </c>
      <c r="B42" s="189"/>
      <c r="C42" s="189"/>
      <c r="D42" s="189"/>
      <c r="E42" s="189"/>
      <c r="F42" s="189"/>
      <c r="G42" s="189"/>
      <c r="H42" s="189"/>
      <c r="J42" t="str">
        <f t="shared" si="14"/>
        <v/>
      </c>
      <c r="K42" t="str">
        <f t="shared" si="15"/>
        <v/>
      </c>
      <c r="L42" t="str">
        <f t="shared" si="16"/>
        <v/>
      </c>
      <c r="M42" t="str">
        <f t="shared" si="17"/>
        <v/>
      </c>
      <c r="N42" s="76" t="str">
        <f t="shared" si="18"/>
        <v/>
      </c>
      <c r="O42" s="20">
        <f t="shared" si="19"/>
        <v>0</v>
      </c>
      <c r="P42" s="76">
        <f t="shared" si="20"/>
        <v>0</v>
      </c>
      <c r="Q42" s="206">
        <f t="shared" si="21"/>
        <v>0</v>
      </c>
      <c r="R42" s="206">
        <f t="shared" si="22"/>
        <v>0</v>
      </c>
      <c r="S42" s="206">
        <f t="shared" si="23"/>
        <v>0</v>
      </c>
      <c r="T42" s="206">
        <f t="shared" si="24"/>
        <v>0</v>
      </c>
      <c r="AF42" s="189" t="str">
        <f t="shared" si="25"/>
        <v/>
      </c>
      <c r="AG42" s="189">
        <f t="shared" si="26"/>
        <v>0</v>
      </c>
      <c r="AH42" s="189" t="str">
        <f t="shared" si="12"/>
        <v/>
      </c>
      <c r="AI42" s="189" t="str">
        <f t="shared" si="12"/>
        <v/>
      </c>
      <c r="AJ42" s="189" t="str">
        <f t="shared" si="12"/>
        <v/>
      </c>
      <c r="AK42" s="189" t="str">
        <f t="shared" si="12"/>
        <v/>
      </c>
      <c r="AL42" s="189"/>
      <c r="AO42" s="194">
        <f t="shared" si="13"/>
        <v>0</v>
      </c>
      <c r="AR42" s="73"/>
      <c r="AS42" s="73"/>
      <c r="AT42" s="73"/>
    </row>
    <row r="43" spans="1:46" ht="18" x14ac:dyDescent="0.35">
      <c r="A43" s="189" t="s">
        <v>426</v>
      </c>
      <c r="B43" s="189"/>
      <c r="C43" s="189"/>
      <c r="D43" s="189"/>
      <c r="E43" s="189"/>
      <c r="F43" s="189"/>
      <c r="G43" s="189"/>
      <c r="H43" s="189"/>
      <c r="J43" t="str">
        <f t="shared" si="14"/>
        <v/>
      </c>
      <c r="K43" t="str">
        <f t="shared" si="15"/>
        <v/>
      </c>
      <c r="L43" t="str">
        <f t="shared" si="16"/>
        <v/>
      </c>
      <c r="M43" t="str">
        <f t="shared" si="17"/>
        <v/>
      </c>
      <c r="N43" s="76" t="str">
        <f t="shared" si="18"/>
        <v/>
      </c>
      <c r="O43" s="20">
        <f t="shared" si="19"/>
        <v>0</v>
      </c>
      <c r="P43" s="76">
        <f t="shared" si="20"/>
        <v>0</v>
      </c>
      <c r="Q43" s="206">
        <f t="shared" si="21"/>
        <v>0</v>
      </c>
      <c r="R43" s="206">
        <f t="shared" si="22"/>
        <v>0</v>
      </c>
      <c r="S43" s="206">
        <f t="shared" si="23"/>
        <v>0</v>
      </c>
      <c r="T43" s="206">
        <f t="shared" si="24"/>
        <v>0</v>
      </c>
      <c r="AF43" s="189" t="str">
        <f t="shared" si="25"/>
        <v/>
      </c>
      <c r="AG43" s="189">
        <f t="shared" si="26"/>
        <v>0</v>
      </c>
      <c r="AH43" s="189" t="str">
        <f t="shared" si="12"/>
        <v/>
      </c>
      <c r="AI43" s="189" t="str">
        <f t="shared" si="12"/>
        <v/>
      </c>
      <c r="AJ43" s="189" t="str">
        <f t="shared" si="12"/>
        <v/>
      </c>
      <c r="AK43" s="189" t="str">
        <f t="shared" si="12"/>
        <v/>
      </c>
      <c r="AN43" s="193" t="s">
        <v>20</v>
      </c>
      <c r="AO43" s="193">
        <f>SUM(AO37:AO41)</f>
        <v>0</v>
      </c>
      <c r="AP43" s="193"/>
      <c r="AQ43" s="193"/>
      <c r="AR43" s="195" t="e">
        <f t="shared" ref="AR43:AT43" si="30">SUM(AR37:AR41)</f>
        <v>#N/A</v>
      </c>
      <c r="AS43" s="195" t="e">
        <f t="shared" si="30"/>
        <v>#N/A</v>
      </c>
      <c r="AT43" s="195" t="e">
        <f t="shared" si="30"/>
        <v>#N/A</v>
      </c>
    </row>
    <row r="44" spans="1:46" x14ac:dyDescent="0.4">
      <c r="A44" s="189" t="s">
        <v>726</v>
      </c>
      <c r="B44" s="189"/>
      <c r="C44" s="189"/>
      <c r="D44" s="189"/>
      <c r="E44" s="189"/>
      <c r="F44" s="189"/>
      <c r="G44" s="189"/>
      <c r="H44" s="189"/>
      <c r="J44" t="str">
        <f t="shared" si="14"/>
        <v/>
      </c>
      <c r="K44" t="str">
        <f t="shared" si="15"/>
        <v/>
      </c>
      <c r="L44" t="str">
        <f t="shared" si="16"/>
        <v/>
      </c>
      <c r="M44" t="str">
        <f t="shared" si="17"/>
        <v/>
      </c>
      <c r="N44" s="76" t="str">
        <f t="shared" si="18"/>
        <v/>
      </c>
      <c r="O44" s="20">
        <f t="shared" si="19"/>
        <v>0</v>
      </c>
      <c r="P44" s="76">
        <f t="shared" si="20"/>
        <v>0</v>
      </c>
      <c r="Q44" s="206">
        <f t="shared" si="21"/>
        <v>0</v>
      </c>
      <c r="R44" s="206">
        <f t="shared" si="22"/>
        <v>0</v>
      </c>
      <c r="S44" s="206">
        <f t="shared" si="23"/>
        <v>0</v>
      </c>
      <c r="T44" s="206">
        <f t="shared" si="24"/>
        <v>0</v>
      </c>
      <c r="AF44" s="189" t="str">
        <f t="shared" si="25"/>
        <v/>
      </c>
      <c r="AG44" s="189">
        <f t="shared" si="26"/>
        <v>0</v>
      </c>
      <c r="AH44" s="189" t="str">
        <f t="shared" si="12"/>
        <v/>
      </c>
      <c r="AI44" s="189" t="str">
        <f t="shared" si="12"/>
        <v/>
      </c>
      <c r="AJ44" s="189" t="str">
        <f t="shared" si="12"/>
        <v/>
      </c>
      <c r="AK44" s="189" t="str">
        <f t="shared" si="12"/>
        <v/>
      </c>
      <c r="AL44" s="189"/>
    </row>
    <row r="45" spans="1:46" x14ac:dyDescent="0.4">
      <c r="A45" s="189" t="s">
        <v>426</v>
      </c>
      <c r="B45" s="189"/>
      <c r="C45" s="189"/>
      <c r="D45" s="189"/>
      <c r="E45" s="189"/>
      <c r="F45" s="189"/>
      <c r="G45" s="189"/>
      <c r="H45" s="189"/>
      <c r="J45" t="str">
        <f t="shared" si="14"/>
        <v/>
      </c>
      <c r="K45" t="str">
        <f t="shared" si="15"/>
        <v/>
      </c>
      <c r="L45" t="str">
        <f t="shared" si="16"/>
        <v/>
      </c>
      <c r="M45" t="str">
        <f t="shared" si="17"/>
        <v/>
      </c>
      <c r="N45" s="76" t="str">
        <f t="shared" si="18"/>
        <v/>
      </c>
      <c r="O45" s="20">
        <f t="shared" si="19"/>
        <v>0</v>
      </c>
      <c r="P45" s="76">
        <f t="shared" si="20"/>
        <v>0</v>
      </c>
      <c r="Q45" s="206">
        <f t="shared" si="21"/>
        <v>0</v>
      </c>
      <c r="R45" s="206">
        <f t="shared" si="22"/>
        <v>0</v>
      </c>
      <c r="S45" s="206">
        <f t="shared" si="23"/>
        <v>0</v>
      </c>
      <c r="T45" s="206">
        <f t="shared" si="24"/>
        <v>0</v>
      </c>
      <c r="AF45" s="189" t="str">
        <f t="shared" si="25"/>
        <v/>
      </c>
      <c r="AG45" s="189">
        <f t="shared" si="26"/>
        <v>0</v>
      </c>
      <c r="AH45" s="189" t="str">
        <f t="shared" si="12"/>
        <v/>
      </c>
      <c r="AI45" s="189" t="str">
        <f t="shared" si="12"/>
        <v/>
      </c>
      <c r="AJ45" s="189" t="str">
        <f t="shared" si="12"/>
        <v/>
      </c>
      <c r="AK45" s="189" t="str">
        <f t="shared" si="12"/>
        <v/>
      </c>
      <c r="AL45" s="189"/>
      <c r="AR45" s="196" t="s">
        <v>1030</v>
      </c>
      <c r="AS45" s="196"/>
      <c r="AT45" s="197" t="e">
        <f>SUM(AT37:AT42)-SUM(AQ37:AQ42)-SUM(AS37:AS42)</f>
        <v>#N/A</v>
      </c>
    </row>
    <row r="46" spans="1:46" x14ac:dyDescent="0.4">
      <c r="A46" s="189" t="s">
        <v>725</v>
      </c>
      <c r="B46" s="189"/>
      <c r="C46" s="189"/>
      <c r="D46" s="189"/>
      <c r="E46" s="189"/>
      <c r="F46" s="189"/>
      <c r="G46" s="189"/>
      <c r="H46" s="189"/>
      <c r="J46" t="str">
        <f t="shared" si="14"/>
        <v/>
      </c>
      <c r="K46" t="str">
        <f t="shared" si="15"/>
        <v/>
      </c>
      <c r="L46" t="str">
        <f t="shared" si="16"/>
        <v/>
      </c>
      <c r="M46" t="str">
        <f t="shared" si="17"/>
        <v/>
      </c>
      <c r="N46" s="76" t="str">
        <f t="shared" si="18"/>
        <v/>
      </c>
      <c r="O46" s="20">
        <f t="shared" si="19"/>
        <v>0</v>
      </c>
      <c r="P46" s="76">
        <f t="shared" si="20"/>
        <v>0</v>
      </c>
      <c r="Q46" s="206">
        <f t="shared" si="21"/>
        <v>0</v>
      </c>
      <c r="R46" s="206">
        <f t="shared" si="22"/>
        <v>0</v>
      </c>
      <c r="S46" s="206">
        <f t="shared" si="23"/>
        <v>0</v>
      </c>
      <c r="T46" s="206">
        <f t="shared" si="24"/>
        <v>0</v>
      </c>
      <c r="AF46" s="189" t="str">
        <f t="shared" si="25"/>
        <v/>
      </c>
      <c r="AG46" s="189">
        <f t="shared" si="26"/>
        <v>0</v>
      </c>
      <c r="AH46" s="189" t="str">
        <f t="shared" si="12"/>
        <v/>
      </c>
      <c r="AI46" s="189" t="str">
        <f t="shared" si="12"/>
        <v/>
      </c>
      <c r="AJ46" s="189" t="str">
        <f t="shared" si="12"/>
        <v/>
      </c>
      <c r="AK46" s="189" t="str">
        <f t="shared" si="12"/>
        <v/>
      </c>
      <c r="AL46" s="189"/>
    </row>
    <row r="47" spans="1:46" x14ac:dyDescent="0.4">
      <c r="A47" s="189" t="s">
        <v>426</v>
      </c>
      <c r="B47" s="189"/>
      <c r="C47" s="189"/>
      <c r="D47" s="189"/>
      <c r="E47" s="189"/>
      <c r="F47" s="189"/>
      <c r="G47" s="189"/>
      <c r="H47" s="189"/>
      <c r="J47" t="str">
        <f t="shared" si="14"/>
        <v/>
      </c>
      <c r="K47" t="str">
        <f t="shared" si="15"/>
        <v/>
      </c>
      <c r="L47" t="str">
        <f t="shared" si="16"/>
        <v/>
      </c>
      <c r="M47" t="str">
        <f t="shared" si="17"/>
        <v/>
      </c>
      <c r="N47" s="76" t="str">
        <f t="shared" si="18"/>
        <v/>
      </c>
      <c r="O47" s="20">
        <f t="shared" si="19"/>
        <v>0</v>
      </c>
      <c r="P47" s="76">
        <f t="shared" si="20"/>
        <v>0</v>
      </c>
      <c r="Q47" s="206">
        <f t="shared" si="21"/>
        <v>0</v>
      </c>
      <c r="R47" s="206">
        <f t="shared" si="22"/>
        <v>0</v>
      </c>
      <c r="S47" s="206">
        <f t="shared" si="23"/>
        <v>0</v>
      </c>
      <c r="T47" s="206">
        <f t="shared" si="24"/>
        <v>0</v>
      </c>
      <c r="AF47" s="189" t="str">
        <f t="shared" si="25"/>
        <v/>
      </c>
      <c r="AG47" s="189">
        <f t="shared" si="26"/>
        <v>0</v>
      </c>
      <c r="AH47" s="189" t="str">
        <f t="shared" si="12"/>
        <v/>
      </c>
      <c r="AI47" s="189" t="str">
        <f t="shared" si="12"/>
        <v/>
      </c>
      <c r="AJ47" s="189" t="str">
        <f t="shared" si="12"/>
        <v/>
      </c>
      <c r="AK47" s="189" t="str">
        <f t="shared" si="12"/>
        <v/>
      </c>
      <c r="AL47" s="189"/>
    </row>
    <row r="48" spans="1:46" x14ac:dyDescent="0.4">
      <c r="A48" s="189" t="s">
        <v>724</v>
      </c>
      <c r="B48" s="189"/>
      <c r="C48" s="189"/>
      <c r="D48" s="189"/>
      <c r="E48" s="189"/>
      <c r="F48" s="189"/>
      <c r="G48" s="189"/>
      <c r="H48" s="189"/>
      <c r="J48" t="str">
        <f t="shared" si="14"/>
        <v/>
      </c>
      <c r="K48" t="str">
        <f t="shared" si="15"/>
        <v/>
      </c>
      <c r="L48" t="str">
        <f t="shared" si="16"/>
        <v/>
      </c>
      <c r="M48" t="str">
        <f t="shared" si="17"/>
        <v/>
      </c>
      <c r="N48" s="76" t="str">
        <f t="shared" si="18"/>
        <v/>
      </c>
      <c r="O48" s="20">
        <f t="shared" si="19"/>
        <v>0</v>
      </c>
      <c r="P48" s="76">
        <f t="shared" si="20"/>
        <v>0</v>
      </c>
      <c r="Q48" s="206">
        <f t="shared" si="21"/>
        <v>0</v>
      </c>
      <c r="R48" s="206">
        <f t="shared" si="22"/>
        <v>0</v>
      </c>
      <c r="S48" s="206">
        <f t="shared" si="23"/>
        <v>0</v>
      </c>
      <c r="T48" s="206">
        <f t="shared" si="24"/>
        <v>0</v>
      </c>
      <c r="AF48" s="189" t="str">
        <f t="shared" si="25"/>
        <v/>
      </c>
      <c r="AG48" s="189">
        <f t="shared" si="26"/>
        <v>0</v>
      </c>
      <c r="AH48" s="189" t="str">
        <f t="shared" si="12"/>
        <v/>
      </c>
      <c r="AI48" s="189" t="str">
        <f t="shared" si="12"/>
        <v/>
      </c>
      <c r="AJ48" s="189" t="str">
        <f t="shared" si="12"/>
        <v/>
      </c>
      <c r="AK48" s="189" t="str">
        <f t="shared" si="12"/>
        <v/>
      </c>
      <c r="AL48" s="189"/>
      <c r="AT48" s="38"/>
    </row>
    <row r="49" spans="1:38" x14ac:dyDescent="0.4">
      <c r="A49" s="189" t="s">
        <v>426</v>
      </c>
      <c r="B49" s="189"/>
      <c r="C49" s="189"/>
      <c r="D49" s="189"/>
      <c r="E49" s="189"/>
      <c r="F49" s="189"/>
      <c r="G49" s="189"/>
      <c r="H49" s="189"/>
      <c r="J49" t="str">
        <f t="shared" si="14"/>
        <v/>
      </c>
      <c r="K49" t="str">
        <f t="shared" si="15"/>
        <v/>
      </c>
      <c r="L49" t="str">
        <f t="shared" si="16"/>
        <v/>
      </c>
      <c r="M49" t="str">
        <f t="shared" si="17"/>
        <v/>
      </c>
      <c r="N49" s="76" t="str">
        <f t="shared" si="18"/>
        <v/>
      </c>
      <c r="O49" s="20">
        <f t="shared" si="19"/>
        <v>0</v>
      </c>
      <c r="P49" s="76">
        <f t="shared" si="20"/>
        <v>0</v>
      </c>
      <c r="Q49" s="206">
        <f t="shared" si="21"/>
        <v>0</v>
      </c>
      <c r="R49" s="206">
        <f t="shared" si="22"/>
        <v>0</v>
      </c>
      <c r="S49" s="206">
        <f t="shared" si="23"/>
        <v>0</v>
      </c>
      <c r="T49" s="206">
        <f t="shared" si="24"/>
        <v>0</v>
      </c>
      <c r="AF49" s="189" t="str">
        <f t="shared" si="25"/>
        <v/>
      </c>
      <c r="AG49" s="189">
        <f t="shared" si="26"/>
        <v>0</v>
      </c>
      <c r="AH49" s="189" t="str">
        <f t="shared" si="12"/>
        <v/>
      </c>
      <c r="AI49" s="189" t="str">
        <f t="shared" si="12"/>
        <v/>
      </c>
      <c r="AJ49" s="189" t="str">
        <f t="shared" si="12"/>
        <v/>
      </c>
      <c r="AK49" s="189" t="str">
        <f t="shared" si="12"/>
        <v/>
      </c>
      <c r="AL49" s="189"/>
    </row>
    <row r="50" spans="1:38" x14ac:dyDescent="0.4">
      <c r="A50" s="189" t="s">
        <v>342</v>
      </c>
      <c r="B50" s="189"/>
      <c r="C50" s="189"/>
      <c r="D50" s="189"/>
      <c r="E50" s="189"/>
      <c r="F50" s="189"/>
      <c r="G50" s="189"/>
      <c r="H50" s="189"/>
      <c r="J50" t="str">
        <f t="shared" si="14"/>
        <v/>
      </c>
      <c r="K50" t="str">
        <f t="shared" si="15"/>
        <v/>
      </c>
      <c r="L50" t="str">
        <f t="shared" si="16"/>
        <v/>
      </c>
      <c r="M50" t="str">
        <f t="shared" si="17"/>
        <v/>
      </c>
      <c r="N50" s="76" t="str">
        <f t="shared" si="18"/>
        <v/>
      </c>
      <c r="O50" s="20">
        <f t="shared" si="19"/>
        <v>0</v>
      </c>
      <c r="P50" s="76">
        <f t="shared" si="20"/>
        <v>0</v>
      </c>
      <c r="Q50" s="206">
        <f t="shared" si="21"/>
        <v>0</v>
      </c>
      <c r="R50" s="206">
        <f t="shared" si="22"/>
        <v>0</v>
      </c>
      <c r="S50" s="206">
        <f t="shared" si="23"/>
        <v>0</v>
      </c>
      <c r="T50" s="206">
        <f t="shared" si="24"/>
        <v>0</v>
      </c>
      <c r="AF50" s="189" t="str">
        <f t="shared" si="25"/>
        <v/>
      </c>
      <c r="AG50" s="189">
        <f t="shared" si="26"/>
        <v>0</v>
      </c>
      <c r="AH50" s="189" t="str">
        <f t="shared" si="12"/>
        <v/>
      </c>
      <c r="AI50" s="189" t="str">
        <f t="shared" si="12"/>
        <v/>
      </c>
      <c r="AJ50" s="189" t="str">
        <f t="shared" si="12"/>
        <v/>
      </c>
      <c r="AK50" s="189" t="str">
        <f t="shared" si="12"/>
        <v/>
      </c>
      <c r="AL50" s="189"/>
    </row>
    <row r="51" spans="1:38" x14ac:dyDescent="0.4">
      <c r="A51" s="189" t="s">
        <v>426</v>
      </c>
      <c r="B51" s="189"/>
      <c r="C51" s="189"/>
      <c r="D51" s="189"/>
      <c r="E51" s="189"/>
      <c r="F51" s="189"/>
      <c r="G51" s="189"/>
      <c r="H51" s="189"/>
      <c r="J51" t="str">
        <f t="shared" si="14"/>
        <v/>
      </c>
      <c r="K51" t="str">
        <f t="shared" si="15"/>
        <v/>
      </c>
      <c r="L51" t="str">
        <f t="shared" si="16"/>
        <v/>
      </c>
      <c r="M51" t="str">
        <f t="shared" si="17"/>
        <v/>
      </c>
      <c r="N51" s="76" t="str">
        <f t="shared" si="18"/>
        <v/>
      </c>
      <c r="O51" s="20">
        <f t="shared" si="19"/>
        <v>0</v>
      </c>
      <c r="P51" s="76">
        <f t="shared" si="20"/>
        <v>0</v>
      </c>
      <c r="Q51" s="206">
        <f t="shared" si="21"/>
        <v>0</v>
      </c>
      <c r="R51" s="206">
        <f t="shared" si="22"/>
        <v>0</v>
      </c>
      <c r="S51" s="206">
        <f t="shared" si="23"/>
        <v>0</v>
      </c>
      <c r="T51" s="206">
        <f t="shared" si="24"/>
        <v>0</v>
      </c>
      <c r="AF51" s="189" t="str">
        <f t="shared" si="25"/>
        <v/>
      </c>
      <c r="AG51" s="189">
        <f t="shared" si="26"/>
        <v>0</v>
      </c>
      <c r="AH51" s="189" t="str">
        <f t="shared" si="12"/>
        <v/>
      </c>
      <c r="AI51" s="189" t="str">
        <f t="shared" si="12"/>
        <v/>
      </c>
      <c r="AJ51" s="189" t="str">
        <f t="shared" si="12"/>
        <v/>
      </c>
      <c r="AK51" s="189" t="str">
        <f t="shared" si="12"/>
        <v/>
      </c>
    </row>
    <row r="52" spans="1:38" x14ac:dyDescent="0.4">
      <c r="A52" s="189" t="s">
        <v>1138</v>
      </c>
      <c r="B52" s="189"/>
      <c r="C52" s="189"/>
      <c r="D52" s="189"/>
      <c r="E52" s="189"/>
      <c r="F52" s="189"/>
      <c r="G52" s="189"/>
      <c r="H52" s="189"/>
      <c r="J52" t="str">
        <f t="shared" si="14"/>
        <v/>
      </c>
      <c r="K52" t="str">
        <f t="shared" si="15"/>
        <v/>
      </c>
      <c r="L52" t="str">
        <f t="shared" si="16"/>
        <v/>
      </c>
      <c r="M52" t="str">
        <f t="shared" si="17"/>
        <v/>
      </c>
      <c r="N52" s="76" t="str">
        <f t="shared" si="18"/>
        <v/>
      </c>
      <c r="O52" s="20">
        <f t="shared" si="19"/>
        <v>0</v>
      </c>
      <c r="P52" s="76">
        <f t="shared" si="20"/>
        <v>0</v>
      </c>
      <c r="Q52" s="206">
        <f t="shared" si="21"/>
        <v>0</v>
      </c>
      <c r="R52" s="206">
        <f t="shared" si="22"/>
        <v>0</v>
      </c>
      <c r="S52" s="206">
        <f t="shared" si="23"/>
        <v>0</v>
      </c>
      <c r="T52" s="206">
        <f t="shared" si="24"/>
        <v>0</v>
      </c>
      <c r="AF52" s="189" t="str">
        <f t="shared" si="25"/>
        <v/>
      </c>
      <c r="AG52" s="189">
        <f t="shared" si="26"/>
        <v>0</v>
      </c>
      <c r="AH52" s="189" t="str">
        <f t="shared" si="12"/>
        <v/>
      </c>
      <c r="AI52" s="189" t="str">
        <f t="shared" si="12"/>
        <v/>
      </c>
      <c r="AJ52" s="189" t="str">
        <f t="shared" si="12"/>
        <v/>
      </c>
      <c r="AK52" s="189" t="str">
        <f t="shared" si="12"/>
        <v/>
      </c>
    </row>
    <row r="53" spans="1:38" x14ac:dyDescent="0.4">
      <c r="A53" s="189" t="s">
        <v>426</v>
      </c>
      <c r="B53" s="189"/>
      <c r="C53" s="189"/>
      <c r="D53" s="189"/>
      <c r="E53" s="189"/>
      <c r="F53" s="189"/>
      <c r="G53" s="189"/>
      <c r="H53" s="189"/>
      <c r="J53" t="str">
        <f t="shared" si="14"/>
        <v/>
      </c>
      <c r="K53" t="str">
        <f t="shared" si="15"/>
        <v/>
      </c>
      <c r="L53" t="str">
        <f t="shared" si="16"/>
        <v/>
      </c>
      <c r="M53" t="str">
        <f t="shared" si="17"/>
        <v/>
      </c>
      <c r="N53" s="76" t="str">
        <f t="shared" si="18"/>
        <v/>
      </c>
      <c r="O53" s="20">
        <f t="shared" si="19"/>
        <v>0</v>
      </c>
      <c r="P53" s="76">
        <f t="shared" si="20"/>
        <v>0</v>
      </c>
      <c r="Q53" s="206">
        <f t="shared" si="21"/>
        <v>0</v>
      </c>
      <c r="R53" s="206">
        <f t="shared" si="22"/>
        <v>0</v>
      </c>
      <c r="S53" s="206">
        <f t="shared" si="23"/>
        <v>0</v>
      </c>
      <c r="T53" s="206">
        <f t="shared" si="24"/>
        <v>0</v>
      </c>
      <c r="AF53" s="189" t="str">
        <f t="shared" si="25"/>
        <v/>
      </c>
      <c r="AG53" s="189">
        <f t="shared" si="26"/>
        <v>0</v>
      </c>
      <c r="AH53" s="189" t="str">
        <f t="shared" si="25"/>
        <v/>
      </c>
      <c r="AI53" s="189" t="str">
        <f t="shared" si="25"/>
        <v/>
      </c>
      <c r="AJ53" s="189" t="str">
        <f t="shared" si="25"/>
        <v/>
      </c>
      <c r="AK53" s="189" t="str">
        <f t="shared" si="25"/>
        <v/>
      </c>
    </row>
    <row r="54" spans="1:38" x14ac:dyDescent="0.4">
      <c r="A54" s="189" t="s">
        <v>1137</v>
      </c>
      <c r="B54" s="189"/>
      <c r="C54" s="189"/>
      <c r="D54" s="189"/>
      <c r="E54" s="189"/>
      <c r="F54" s="189"/>
      <c r="G54" s="189"/>
      <c r="H54" s="189"/>
      <c r="J54" t="str">
        <f t="shared" si="14"/>
        <v/>
      </c>
      <c r="K54" t="str">
        <f t="shared" si="15"/>
        <v/>
      </c>
      <c r="L54" t="str">
        <f t="shared" si="16"/>
        <v/>
      </c>
      <c r="M54" t="str">
        <f t="shared" si="17"/>
        <v/>
      </c>
      <c r="N54" s="76" t="str">
        <f t="shared" si="18"/>
        <v/>
      </c>
      <c r="O54" s="20">
        <f t="shared" si="19"/>
        <v>0</v>
      </c>
      <c r="P54" s="76">
        <f t="shared" si="20"/>
        <v>0</v>
      </c>
      <c r="Q54" s="206">
        <f t="shared" si="21"/>
        <v>0</v>
      </c>
      <c r="R54" s="206">
        <f t="shared" si="22"/>
        <v>0</v>
      </c>
      <c r="S54" s="206">
        <f t="shared" si="23"/>
        <v>0</v>
      </c>
      <c r="T54" s="206">
        <f t="shared" si="24"/>
        <v>0</v>
      </c>
      <c r="AF54" s="189" t="str">
        <f t="shared" si="25"/>
        <v/>
      </c>
      <c r="AG54" s="189">
        <f t="shared" si="26"/>
        <v>0</v>
      </c>
      <c r="AH54" s="189" t="str">
        <f t="shared" si="25"/>
        <v/>
      </c>
      <c r="AI54" s="189" t="str">
        <f t="shared" si="25"/>
        <v/>
      </c>
      <c r="AJ54" s="189" t="str">
        <f t="shared" si="25"/>
        <v/>
      </c>
      <c r="AK54" s="189" t="str">
        <f t="shared" si="25"/>
        <v/>
      </c>
    </row>
    <row r="55" spans="1:38" x14ac:dyDescent="0.4">
      <c r="A55" s="189" t="s">
        <v>426</v>
      </c>
      <c r="B55" s="189"/>
      <c r="C55" s="189"/>
      <c r="D55" s="189"/>
      <c r="E55" s="189"/>
      <c r="F55" s="189"/>
      <c r="G55" s="189"/>
      <c r="H55" s="189"/>
      <c r="J55" t="str">
        <f t="shared" si="14"/>
        <v/>
      </c>
      <c r="K55" t="str">
        <f t="shared" si="15"/>
        <v/>
      </c>
      <c r="L55" t="str">
        <f t="shared" si="16"/>
        <v/>
      </c>
      <c r="M55" t="str">
        <f t="shared" si="17"/>
        <v/>
      </c>
      <c r="N55" s="76" t="str">
        <f t="shared" si="18"/>
        <v/>
      </c>
      <c r="O55" s="20">
        <f t="shared" si="19"/>
        <v>0</v>
      </c>
      <c r="P55" s="76">
        <f t="shared" si="20"/>
        <v>0</v>
      </c>
      <c r="Q55" s="206">
        <f t="shared" si="21"/>
        <v>0</v>
      </c>
      <c r="R55" s="206">
        <f t="shared" si="22"/>
        <v>0</v>
      </c>
      <c r="S55" s="206">
        <f t="shared" si="23"/>
        <v>0</v>
      </c>
      <c r="T55" s="206">
        <f t="shared" si="24"/>
        <v>0</v>
      </c>
      <c r="AF55" s="189" t="str">
        <f t="shared" si="25"/>
        <v/>
      </c>
      <c r="AG55" s="189">
        <f t="shared" si="26"/>
        <v>0</v>
      </c>
      <c r="AH55" s="189" t="str">
        <f t="shared" si="25"/>
        <v/>
      </c>
      <c r="AI55" s="189" t="str">
        <f t="shared" si="25"/>
        <v/>
      </c>
      <c r="AJ55" s="189" t="str">
        <f t="shared" si="25"/>
        <v/>
      </c>
      <c r="AK55" s="189" t="str">
        <f t="shared" si="25"/>
        <v/>
      </c>
    </row>
    <row r="56" spans="1:38" x14ac:dyDescent="0.4">
      <c r="A56" s="189" t="s">
        <v>1136</v>
      </c>
      <c r="B56" s="189"/>
      <c r="C56" s="189"/>
      <c r="D56" s="189"/>
      <c r="E56" s="189"/>
      <c r="F56" s="189"/>
      <c r="G56" s="189"/>
      <c r="H56" s="189"/>
      <c r="J56" t="str">
        <f t="shared" si="14"/>
        <v/>
      </c>
      <c r="K56" t="str">
        <f t="shared" si="15"/>
        <v/>
      </c>
      <c r="L56" t="str">
        <f t="shared" si="16"/>
        <v/>
      </c>
      <c r="M56" t="str">
        <f t="shared" si="17"/>
        <v/>
      </c>
      <c r="N56" s="76" t="str">
        <f t="shared" si="18"/>
        <v/>
      </c>
      <c r="O56" s="20">
        <f t="shared" si="19"/>
        <v>0</v>
      </c>
      <c r="P56" s="76">
        <f t="shared" si="20"/>
        <v>0</v>
      </c>
      <c r="Q56" s="206">
        <f t="shared" si="21"/>
        <v>0</v>
      </c>
      <c r="R56" s="206">
        <f t="shared" si="22"/>
        <v>0</v>
      </c>
      <c r="S56" s="206">
        <f t="shared" si="23"/>
        <v>0</v>
      </c>
      <c r="T56" s="206">
        <f t="shared" si="24"/>
        <v>0</v>
      </c>
      <c r="AF56" s="189" t="str">
        <f t="shared" si="25"/>
        <v/>
      </c>
      <c r="AG56" s="189">
        <f t="shared" si="26"/>
        <v>0</v>
      </c>
      <c r="AH56" s="189" t="str">
        <f t="shared" si="25"/>
        <v/>
      </c>
      <c r="AI56" s="189" t="str">
        <f t="shared" si="25"/>
        <v/>
      </c>
      <c r="AJ56" s="189" t="str">
        <f t="shared" si="25"/>
        <v/>
      </c>
      <c r="AK56" s="189" t="str">
        <f t="shared" si="25"/>
        <v/>
      </c>
    </row>
    <row r="57" spans="1:38" x14ac:dyDescent="0.4">
      <c r="A57" s="189" t="s">
        <v>429</v>
      </c>
      <c r="B57" s="189"/>
      <c r="C57" s="189"/>
      <c r="D57" s="189"/>
      <c r="E57" s="189"/>
      <c r="F57" s="189"/>
      <c r="G57" s="189"/>
      <c r="H57" s="189"/>
      <c r="J57" t="str">
        <f t="shared" si="14"/>
        <v/>
      </c>
      <c r="K57" t="str">
        <f t="shared" si="15"/>
        <v/>
      </c>
      <c r="L57" t="str">
        <f t="shared" si="16"/>
        <v/>
      </c>
      <c r="M57" t="str">
        <f t="shared" si="17"/>
        <v/>
      </c>
      <c r="N57" s="76" t="str">
        <f t="shared" si="18"/>
        <v/>
      </c>
      <c r="O57" s="20">
        <f t="shared" si="19"/>
        <v>0</v>
      </c>
      <c r="P57" s="76">
        <f t="shared" si="20"/>
        <v>0</v>
      </c>
      <c r="Q57" s="206">
        <f t="shared" si="21"/>
        <v>0</v>
      </c>
      <c r="R57" s="206">
        <f t="shared" si="22"/>
        <v>0</v>
      </c>
      <c r="S57" s="206">
        <f t="shared" si="23"/>
        <v>0</v>
      </c>
      <c r="T57" s="206">
        <f t="shared" si="24"/>
        <v>0</v>
      </c>
      <c r="AF57" s="189" t="str">
        <f t="shared" si="25"/>
        <v/>
      </c>
      <c r="AG57" s="189">
        <f t="shared" si="26"/>
        <v>0</v>
      </c>
      <c r="AH57" s="189" t="str">
        <f t="shared" si="25"/>
        <v/>
      </c>
      <c r="AI57" s="189" t="str">
        <f t="shared" si="25"/>
        <v/>
      </c>
      <c r="AJ57" s="189" t="str">
        <f t="shared" si="25"/>
        <v/>
      </c>
      <c r="AK57" s="189" t="str">
        <f t="shared" si="25"/>
        <v/>
      </c>
    </row>
    <row r="58" spans="1:38" x14ac:dyDescent="0.4">
      <c r="A58" s="189" t="s">
        <v>430</v>
      </c>
      <c r="B58" s="189"/>
      <c r="C58" s="189"/>
      <c r="D58" s="189"/>
      <c r="E58" s="189"/>
      <c r="F58" s="189"/>
      <c r="G58" s="189"/>
      <c r="H58" s="189"/>
      <c r="J58" t="str">
        <f t="shared" si="14"/>
        <v/>
      </c>
      <c r="K58" t="str">
        <f t="shared" si="15"/>
        <v/>
      </c>
      <c r="L58" t="str">
        <f t="shared" si="16"/>
        <v/>
      </c>
      <c r="M58" t="str">
        <f t="shared" si="17"/>
        <v/>
      </c>
      <c r="N58" s="76" t="str">
        <f t="shared" si="18"/>
        <v/>
      </c>
      <c r="O58" s="20">
        <f t="shared" si="19"/>
        <v>0</v>
      </c>
      <c r="P58" s="76">
        <f t="shared" si="20"/>
        <v>0</v>
      </c>
      <c r="Q58" s="206">
        <f t="shared" si="21"/>
        <v>0</v>
      </c>
      <c r="R58" s="206">
        <f t="shared" si="22"/>
        <v>0</v>
      </c>
      <c r="S58" s="206">
        <f t="shared" si="23"/>
        <v>0</v>
      </c>
      <c r="T58" s="206">
        <f t="shared" si="24"/>
        <v>0</v>
      </c>
      <c r="AF58" s="189" t="str">
        <f t="shared" si="25"/>
        <v/>
      </c>
      <c r="AG58" s="189">
        <f t="shared" si="26"/>
        <v>0</v>
      </c>
      <c r="AH58" s="189" t="str">
        <f t="shared" si="25"/>
        <v/>
      </c>
      <c r="AI58" s="189" t="str">
        <f t="shared" si="25"/>
        <v/>
      </c>
      <c r="AJ58" s="189" t="str">
        <f t="shared" si="25"/>
        <v/>
      </c>
      <c r="AK58" s="189" t="str">
        <f t="shared" si="25"/>
        <v/>
      </c>
    </row>
    <row r="59" spans="1:38" x14ac:dyDescent="0.4">
      <c r="A59" s="189" t="s">
        <v>447</v>
      </c>
      <c r="B59" s="189"/>
      <c r="C59" s="189"/>
      <c r="D59" s="189"/>
      <c r="E59" s="189"/>
      <c r="F59" s="189"/>
      <c r="G59" s="189"/>
      <c r="H59" s="189"/>
      <c r="J59" t="str">
        <f t="shared" si="14"/>
        <v/>
      </c>
      <c r="K59" t="str">
        <f t="shared" si="15"/>
        <v/>
      </c>
      <c r="L59" t="str">
        <f t="shared" si="16"/>
        <v/>
      </c>
      <c r="M59" t="str">
        <f t="shared" si="17"/>
        <v/>
      </c>
      <c r="N59" s="76" t="str">
        <f t="shared" si="18"/>
        <v/>
      </c>
      <c r="O59" s="20">
        <f t="shared" si="19"/>
        <v>0</v>
      </c>
      <c r="P59" s="76">
        <f t="shared" si="20"/>
        <v>0</v>
      </c>
      <c r="Q59" s="206">
        <f t="shared" si="21"/>
        <v>0</v>
      </c>
      <c r="R59" s="206">
        <f t="shared" si="22"/>
        <v>0</v>
      </c>
      <c r="S59" s="206">
        <f t="shared" si="23"/>
        <v>0</v>
      </c>
      <c r="T59" s="206">
        <f t="shared" si="24"/>
        <v>0</v>
      </c>
      <c r="AF59" s="189" t="str">
        <f t="shared" si="25"/>
        <v/>
      </c>
      <c r="AG59" s="189">
        <f t="shared" si="26"/>
        <v>0</v>
      </c>
      <c r="AH59" s="189" t="str">
        <f t="shared" si="25"/>
        <v/>
      </c>
      <c r="AI59" s="189" t="str">
        <f t="shared" si="25"/>
        <v/>
      </c>
      <c r="AJ59" s="189" t="str">
        <f t="shared" si="25"/>
        <v/>
      </c>
      <c r="AK59" s="189" t="str">
        <f t="shared" si="25"/>
        <v/>
      </c>
    </row>
    <row r="60" spans="1:38" x14ac:dyDescent="0.4">
      <c r="A60" s="189" t="s">
        <v>436</v>
      </c>
      <c r="B60" s="189"/>
      <c r="C60" s="189"/>
      <c r="D60" s="189"/>
      <c r="E60" s="189"/>
      <c r="F60" s="189"/>
      <c r="G60" s="189"/>
      <c r="H60" s="189"/>
      <c r="J60" t="str">
        <f t="shared" si="14"/>
        <v/>
      </c>
      <c r="K60" t="str">
        <f t="shared" si="15"/>
        <v/>
      </c>
      <c r="L60" t="str">
        <f t="shared" si="16"/>
        <v/>
      </c>
      <c r="M60" t="str">
        <f t="shared" si="17"/>
        <v/>
      </c>
      <c r="N60" s="76" t="str">
        <f t="shared" si="18"/>
        <v/>
      </c>
      <c r="O60" s="20">
        <f t="shared" si="19"/>
        <v>0</v>
      </c>
      <c r="P60" s="76">
        <f t="shared" si="20"/>
        <v>0</v>
      </c>
      <c r="Q60" s="206">
        <f t="shared" si="21"/>
        <v>0</v>
      </c>
      <c r="R60" s="206">
        <f t="shared" si="22"/>
        <v>0</v>
      </c>
      <c r="S60" s="206">
        <f t="shared" si="23"/>
        <v>0</v>
      </c>
      <c r="T60" s="206">
        <f t="shared" si="24"/>
        <v>0</v>
      </c>
      <c r="AF60" s="189" t="str">
        <f t="shared" si="25"/>
        <v/>
      </c>
      <c r="AG60" s="189">
        <f t="shared" si="26"/>
        <v>0</v>
      </c>
      <c r="AH60" s="189" t="str">
        <f t="shared" si="25"/>
        <v/>
      </c>
      <c r="AI60" s="189" t="str">
        <f t="shared" si="25"/>
        <v/>
      </c>
      <c r="AJ60" s="189" t="str">
        <f t="shared" si="25"/>
        <v/>
      </c>
      <c r="AK60" s="189" t="str">
        <f t="shared" si="25"/>
        <v/>
      </c>
    </row>
    <row r="61" spans="1:38" x14ac:dyDescent="0.4">
      <c r="A61" s="189" t="s">
        <v>448</v>
      </c>
      <c r="B61" s="189"/>
      <c r="C61" s="189"/>
      <c r="D61" s="189"/>
      <c r="E61" s="189"/>
      <c r="F61" s="189"/>
      <c r="G61" s="189"/>
      <c r="H61" s="189"/>
      <c r="J61" t="str">
        <f t="shared" si="14"/>
        <v/>
      </c>
      <c r="K61" t="str">
        <f t="shared" si="15"/>
        <v/>
      </c>
      <c r="L61" t="str">
        <f t="shared" si="16"/>
        <v/>
      </c>
      <c r="M61" t="str">
        <f t="shared" si="17"/>
        <v/>
      </c>
      <c r="N61" s="76" t="str">
        <f t="shared" si="18"/>
        <v/>
      </c>
      <c r="O61" s="20">
        <f t="shared" si="19"/>
        <v>0</v>
      </c>
      <c r="P61" s="76">
        <f t="shared" si="20"/>
        <v>0</v>
      </c>
      <c r="Q61" s="206">
        <f t="shared" si="21"/>
        <v>0</v>
      </c>
      <c r="R61" s="206">
        <f t="shared" si="22"/>
        <v>0</v>
      </c>
      <c r="S61" s="206">
        <f t="shared" si="23"/>
        <v>0</v>
      </c>
      <c r="T61" s="206">
        <f t="shared" si="24"/>
        <v>0</v>
      </c>
      <c r="AF61" s="189" t="str">
        <f t="shared" si="25"/>
        <v/>
      </c>
      <c r="AG61" s="189">
        <f t="shared" si="26"/>
        <v>0</v>
      </c>
      <c r="AH61" s="189" t="str">
        <f t="shared" si="25"/>
        <v/>
      </c>
      <c r="AI61" s="189" t="str">
        <f t="shared" si="25"/>
        <v/>
      </c>
      <c r="AJ61" s="189" t="str">
        <f t="shared" si="25"/>
        <v/>
      </c>
      <c r="AK61" s="189" t="str">
        <f t="shared" si="25"/>
        <v/>
      </c>
    </row>
    <row r="62" spans="1:38" x14ac:dyDescent="0.4">
      <c r="A62" s="189" t="s">
        <v>437</v>
      </c>
      <c r="B62" s="189"/>
      <c r="C62" s="189"/>
      <c r="D62" s="189"/>
      <c r="E62" s="189"/>
      <c r="F62" s="189"/>
      <c r="G62" s="189"/>
      <c r="H62" s="189"/>
      <c r="J62" t="str">
        <f t="shared" si="14"/>
        <v/>
      </c>
      <c r="K62" t="str">
        <f t="shared" si="15"/>
        <v/>
      </c>
      <c r="L62" t="str">
        <f t="shared" si="16"/>
        <v/>
      </c>
      <c r="M62" t="str">
        <f t="shared" si="17"/>
        <v/>
      </c>
      <c r="N62" s="76" t="str">
        <f t="shared" si="18"/>
        <v/>
      </c>
      <c r="O62" s="20">
        <f t="shared" si="19"/>
        <v>0</v>
      </c>
      <c r="P62" s="76">
        <f t="shared" si="20"/>
        <v>0</v>
      </c>
      <c r="Q62" s="206">
        <f t="shared" si="21"/>
        <v>0</v>
      </c>
      <c r="R62" s="206">
        <f t="shared" si="22"/>
        <v>0</v>
      </c>
      <c r="S62" s="206">
        <f t="shared" si="23"/>
        <v>0</v>
      </c>
      <c r="T62" s="206">
        <f t="shared" si="24"/>
        <v>0</v>
      </c>
      <c r="AG62" s="189" t="str">
        <f t="shared" si="26"/>
        <v/>
      </c>
    </row>
    <row r="63" spans="1:38" x14ac:dyDescent="0.4">
      <c r="A63" s="189" t="s">
        <v>438</v>
      </c>
      <c r="B63" s="189"/>
      <c r="C63" s="189"/>
      <c r="D63" s="189"/>
      <c r="E63" s="189"/>
      <c r="F63" s="189"/>
      <c r="G63" s="189"/>
      <c r="H63" s="189"/>
      <c r="J63" t="str">
        <f t="shared" si="14"/>
        <v/>
      </c>
      <c r="K63" t="str">
        <f t="shared" si="15"/>
        <v/>
      </c>
      <c r="L63" t="str">
        <f t="shared" si="16"/>
        <v/>
      </c>
      <c r="M63" t="str">
        <f t="shared" si="17"/>
        <v/>
      </c>
      <c r="N63" s="76" t="str">
        <f t="shared" si="18"/>
        <v/>
      </c>
      <c r="O63" s="20">
        <f t="shared" si="19"/>
        <v>0</v>
      </c>
      <c r="P63" s="76">
        <f t="shared" si="20"/>
        <v>0</v>
      </c>
      <c r="Q63" s="206">
        <f t="shared" si="21"/>
        <v>0</v>
      </c>
      <c r="R63" s="206">
        <f t="shared" si="22"/>
        <v>0</v>
      </c>
      <c r="S63" s="206">
        <f t="shared" si="23"/>
        <v>0</v>
      </c>
      <c r="T63" s="206">
        <f t="shared" si="24"/>
        <v>0</v>
      </c>
      <c r="AA63" s="71" t="str">
        <f>N63</f>
        <v/>
      </c>
      <c r="AB63">
        <f>IFERROR(IF(FIND("Km",$B63),IF($B64="",IF(FIND("Pax",C64),VALUE((LEFT(C64,LEN(C64)-4))),))),0)</f>
        <v>0</v>
      </c>
      <c r="AC63">
        <f>IFERROR(IF(FIND("Km",$B63),IF($B64="",IF(FIND("Pax",D64),VALUE((LEFT(D64,LEN(D64)-4))),))),0)</f>
        <v>0</v>
      </c>
      <c r="AD63">
        <f>IFERROR(IF(FIND("Km",$B63),IF($B64="",IF(FIND("Pax",E64),VALUE((LEFT(E64,LEN(E64)-4))),))),0)</f>
        <v>0</v>
      </c>
      <c r="AE63">
        <f>IFERROR(IF($J63&lt;&gt;"",VALUE(LEFT(F64,LEN(F64)-7)),0),1)</f>
        <v>0</v>
      </c>
      <c r="AF63" t="str">
        <f>IF(SUM(AB63:AE63)&gt;0,"A revoir","")</f>
        <v/>
      </c>
    </row>
    <row r="64" spans="1:38" x14ac:dyDescent="0.4">
      <c r="A64" s="189" t="s">
        <v>30</v>
      </c>
      <c r="B64" s="189" t="s">
        <v>31</v>
      </c>
      <c r="C64" s="189" t="s">
        <v>449</v>
      </c>
      <c r="D64" s="189" t="s">
        <v>450</v>
      </c>
      <c r="E64" s="189" t="s">
        <v>451</v>
      </c>
      <c r="F64" s="189" t="s">
        <v>452</v>
      </c>
      <c r="G64" s="189"/>
      <c r="H64" s="189"/>
      <c r="J64" t="str">
        <f t="shared" ref="J64:J127" si="31">IF(G64="Détail des tarifs",LEN(A64),"")</f>
        <v/>
      </c>
      <c r="K64" t="str">
        <f t="shared" ref="K64:K127" si="32">IF(J64="","",LEFT(A64,3))</f>
        <v/>
      </c>
      <c r="L64" t="str">
        <f t="shared" ref="L64:L127" si="33">IF(K64&lt;&gt;"",MID(A64,7,3),"")</f>
        <v/>
      </c>
      <c r="M64" t="str">
        <f t="shared" ref="M64:M127" si="34">IF(K64&lt;&gt;"",RIGHT(A64,2),"")</f>
        <v/>
      </c>
      <c r="N64" s="76" t="str">
        <f t="shared" ref="N64:N127" si="35">IF(K64&lt;&gt;"",CONCATENATE(K64,"/",L64),"")</f>
        <v/>
      </c>
      <c r="O64" s="20">
        <f t="shared" ref="O64:O127" si="36">IF(J64&lt;&gt;"",LEFT(B64,LEN(B64)-3),0)</f>
        <v>0</v>
      </c>
      <c r="P64" s="76">
        <f t="shared" ref="P64:P127" si="37">IF(O64&lt;&gt;"",VALUE(O64),"")</f>
        <v>0</v>
      </c>
      <c r="Q64" s="206">
        <f t="shared" si="21"/>
        <v>0</v>
      </c>
      <c r="R64" s="206">
        <f t="shared" si="22"/>
        <v>0</v>
      </c>
      <c r="S64" s="206">
        <f t="shared" si="23"/>
        <v>0</v>
      </c>
      <c r="T64" s="206">
        <f t="shared" si="24"/>
        <v>0</v>
      </c>
      <c r="AA64" s="71" t="str">
        <f t="shared" ref="AA64:AA127" si="38">N64</f>
        <v/>
      </c>
      <c r="AB64">
        <f t="shared" ref="AB64:AB127" si="39">IFERROR(IF(FIND("Km",$B64),IF($B65="",IF(FIND("Pax",C65),VALUE((LEFT(C65,LEN(C65)-4))),))),0)</f>
        <v>0</v>
      </c>
      <c r="AC64">
        <f t="shared" ref="AC64:AC127" si="40">IFERROR(IF(FIND("Km",$B64),IF($B65="",IF(FIND("Pax",D65),VALUE((LEFT(D65,LEN(D65)-4))),))),0)</f>
        <v>0</v>
      </c>
      <c r="AD64">
        <f t="shared" ref="AD64:AD127" si="41">IFERROR(IF(FIND("Km",$B64),IF($B65="",IF(FIND("Pax",E65),VALUE((LEFT(E65,LEN(E65)-4))),))),0)</f>
        <v>0</v>
      </c>
      <c r="AE64">
        <f t="shared" ref="AE64:AE127" si="42">IFERROR(IF($J64&lt;&gt;"",VALUE(LEFT(F65,LEN(F65)-7)),0),1)</f>
        <v>0</v>
      </c>
      <c r="AF64" t="str">
        <f t="shared" ref="AF64:AF127" si="43">IF(SUM(AB64:AE64)&gt;0,"A revoir","")</f>
        <v/>
      </c>
    </row>
    <row r="65" spans="1:32" x14ac:dyDescent="0.4">
      <c r="A65" s="189" t="s">
        <v>1329</v>
      </c>
      <c r="B65" s="189" t="s">
        <v>1330</v>
      </c>
      <c r="C65" s="189" t="s">
        <v>1551</v>
      </c>
      <c r="D65" s="189" t="s">
        <v>1331</v>
      </c>
      <c r="E65" s="189" t="s">
        <v>1238</v>
      </c>
      <c r="F65" s="189" t="s">
        <v>1332</v>
      </c>
      <c r="G65" s="189" t="s">
        <v>454</v>
      </c>
      <c r="H65" s="189"/>
      <c r="J65">
        <f t="shared" si="31"/>
        <v>14</v>
      </c>
      <c r="K65" t="str">
        <f t="shared" si="32"/>
        <v>DEL</v>
      </c>
      <c r="L65" t="str">
        <f t="shared" si="33"/>
        <v>ROB</v>
      </c>
      <c r="M65" t="str">
        <f t="shared" si="34"/>
        <v>in</v>
      </c>
      <c r="N65" s="76" t="str">
        <f t="shared" si="35"/>
        <v>DEL/ROB</v>
      </c>
      <c r="O65" s="20" t="str">
        <f t="shared" si="36"/>
        <v>9 432</v>
      </c>
      <c r="P65" s="76">
        <f t="shared" si="37"/>
        <v>9432</v>
      </c>
      <c r="Q65" s="206">
        <f>IF(P65=0,0,VALUE(LEFT(C65,LEN(C65)-4)))</f>
        <v>4986</v>
      </c>
      <c r="R65" s="206">
        <f t="shared" si="22"/>
        <v>118</v>
      </c>
      <c r="S65" s="206">
        <f t="shared" si="23"/>
        <v>7</v>
      </c>
      <c r="T65" s="206">
        <f t="shared" si="24"/>
        <v>13</v>
      </c>
      <c r="AA65" s="71" t="str">
        <f t="shared" si="38"/>
        <v>DEL/ROB</v>
      </c>
      <c r="AB65">
        <f t="shared" si="39"/>
        <v>-132</v>
      </c>
      <c r="AC65">
        <f t="shared" si="40"/>
        <v>118</v>
      </c>
      <c r="AD65">
        <f t="shared" si="41"/>
        <v>7</v>
      </c>
      <c r="AE65">
        <f t="shared" si="42"/>
        <v>-5</v>
      </c>
      <c r="AF65" t="str">
        <f t="shared" si="43"/>
        <v/>
      </c>
    </row>
    <row r="66" spans="1:32" x14ac:dyDescent="0.4">
      <c r="A66" s="189" t="s">
        <v>455</v>
      </c>
      <c r="B66" s="189"/>
      <c r="C66" s="189" t="s">
        <v>1552</v>
      </c>
      <c r="D66" s="189" t="s">
        <v>1331</v>
      </c>
      <c r="E66" s="189" t="s">
        <v>1238</v>
      </c>
      <c r="F66" s="189" t="s">
        <v>1333</v>
      </c>
      <c r="G66" s="189"/>
      <c r="H66" s="189"/>
      <c r="J66" t="str">
        <f t="shared" si="31"/>
        <v/>
      </c>
      <c r="K66" t="str">
        <f t="shared" si="32"/>
        <v/>
      </c>
      <c r="L66" t="str">
        <f t="shared" si="33"/>
        <v/>
      </c>
      <c r="M66" t="str">
        <f t="shared" si="34"/>
        <v/>
      </c>
      <c r="N66" s="76" t="str">
        <f t="shared" si="35"/>
        <v/>
      </c>
      <c r="O66" s="20">
        <f t="shared" si="36"/>
        <v>0</v>
      </c>
      <c r="P66" s="76">
        <f t="shared" si="37"/>
        <v>0</v>
      </c>
      <c r="Q66" s="206">
        <f t="shared" si="21"/>
        <v>0</v>
      </c>
      <c r="R66" s="206">
        <f t="shared" si="22"/>
        <v>0</v>
      </c>
      <c r="S66" s="206">
        <f t="shared" si="23"/>
        <v>0</v>
      </c>
      <c r="T66" s="206">
        <f t="shared" si="24"/>
        <v>0</v>
      </c>
      <c r="AA66" s="71" t="str">
        <f t="shared" si="38"/>
        <v/>
      </c>
      <c r="AB66">
        <f t="shared" si="39"/>
        <v>0</v>
      </c>
      <c r="AC66">
        <f t="shared" si="40"/>
        <v>0</v>
      </c>
      <c r="AD66">
        <f t="shared" si="41"/>
        <v>0</v>
      </c>
      <c r="AE66">
        <f t="shared" si="42"/>
        <v>0</v>
      </c>
      <c r="AF66" t="str">
        <f t="shared" si="43"/>
        <v/>
      </c>
    </row>
    <row r="67" spans="1:32" x14ac:dyDescent="0.4">
      <c r="A67" s="189" t="s">
        <v>1325</v>
      </c>
      <c r="B67" s="189" t="s">
        <v>1326</v>
      </c>
      <c r="C67" s="189" t="s">
        <v>1553</v>
      </c>
      <c r="D67" s="189" t="s">
        <v>1327</v>
      </c>
      <c r="E67" s="189" t="s">
        <v>1244</v>
      </c>
      <c r="F67" s="189" t="s">
        <v>1267</v>
      </c>
      <c r="G67" s="189" t="s">
        <v>454</v>
      </c>
      <c r="H67" s="189"/>
      <c r="J67">
        <f t="shared" si="31"/>
        <v>14</v>
      </c>
      <c r="K67" t="str">
        <f t="shared" si="32"/>
        <v>DEL</v>
      </c>
      <c r="L67" t="str">
        <f t="shared" si="33"/>
        <v>FNA</v>
      </c>
      <c r="M67" t="str">
        <f t="shared" si="34"/>
        <v>in</v>
      </c>
      <c r="N67" s="76" t="str">
        <f t="shared" si="35"/>
        <v>DEL/FNA</v>
      </c>
      <c r="O67" s="20" t="str">
        <f t="shared" si="36"/>
        <v>9 582</v>
      </c>
      <c r="P67" s="76">
        <f t="shared" si="37"/>
        <v>9582</v>
      </c>
      <c r="Q67" s="206">
        <f t="shared" si="21"/>
        <v>5120</v>
      </c>
      <c r="R67" s="206">
        <f t="shared" si="22"/>
        <v>91</v>
      </c>
      <c r="S67" s="206">
        <f t="shared" si="23"/>
        <v>3</v>
      </c>
      <c r="T67" s="206">
        <f t="shared" si="24"/>
        <v>16</v>
      </c>
      <c r="AA67" s="71" t="str">
        <f t="shared" si="38"/>
        <v>DEL/FNA</v>
      </c>
      <c r="AB67">
        <f t="shared" si="39"/>
        <v>2</v>
      </c>
      <c r="AC67">
        <f t="shared" si="40"/>
        <v>91</v>
      </c>
      <c r="AD67">
        <f t="shared" si="41"/>
        <v>3</v>
      </c>
      <c r="AE67">
        <f t="shared" si="42"/>
        <v>-2</v>
      </c>
      <c r="AF67" t="str">
        <f t="shared" si="43"/>
        <v>A revoir</v>
      </c>
    </row>
    <row r="68" spans="1:32" x14ac:dyDescent="0.4">
      <c r="A68" s="189" t="s">
        <v>455</v>
      </c>
      <c r="B68" s="189"/>
      <c r="C68" s="189" t="s">
        <v>1461</v>
      </c>
      <c r="D68" s="189" t="s">
        <v>1327</v>
      </c>
      <c r="E68" s="189" t="s">
        <v>1244</v>
      </c>
      <c r="F68" s="189" t="s">
        <v>1268</v>
      </c>
      <c r="G68" s="189"/>
      <c r="H68" s="189"/>
      <c r="J68" t="str">
        <f t="shared" si="31"/>
        <v/>
      </c>
      <c r="K68" t="str">
        <f t="shared" si="32"/>
        <v/>
      </c>
      <c r="L68" t="str">
        <f t="shared" si="33"/>
        <v/>
      </c>
      <c r="M68" t="str">
        <f t="shared" si="34"/>
        <v/>
      </c>
      <c r="N68" s="76" t="str">
        <f t="shared" si="35"/>
        <v/>
      </c>
      <c r="O68" s="20">
        <f t="shared" si="36"/>
        <v>0</v>
      </c>
      <c r="P68" s="76">
        <f t="shared" si="37"/>
        <v>0</v>
      </c>
      <c r="Q68" s="206">
        <f t="shared" si="21"/>
        <v>0</v>
      </c>
      <c r="R68" s="206">
        <f t="shared" si="22"/>
        <v>0</v>
      </c>
      <c r="S68" s="206">
        <f t="shared" si="23"/>
        <v>0</v>
      </c>
      <c r="T68" s="206">
        <f t="shared" si="24"/>
        <v>0</v>
      </c>
      <c r="AA68" s="71" t="str">
        <f t="shared" si="38"/>
        <v/>
      </c>
      <c r="AB68">
        <f t="shared" si="39"/>
        <v>0</v>
      </c>
      <c r="AC68">
        <f t="shared" si="40"/>
        <v>0</v>
      </c>
      <c r="AD68">
        <f t="shared" si="41"/>
        <v>0</v>
      </c>
      <c r="AE68">
        <f t="shared" si="42"/>
        <v>0</v>
      </c>
      <c r="AF68" t="str">
        <f t="shared" si="43"/>
        <v/>
      </c>
    </row>
    <row r="69" spans="1:32" x14ac:dyDescent="0.4">
      <c r="A69" s="189" t="s">
        <v>1459</v>
      </c>
      <c r="B69" s="189" t="s">
        <v>1460</v>
      </c>
      <c r="C69" s="189" t="s">
        <v>1554</v>
      </c>
      <c r="D69" s="189" t="s">
        <v>1464</v>
      </c>
      <c r="E69" s="189" t="s">
        <v>1461</v>
      </c>
      <c r="F69" s="189" t="s">
        <v>1443</v>
      </c>
      <c r="G69" s="189" t="s">
        <v>454</v>
      </c>
      <c r="H69" s="189"/>
      <c r="J69">
        <f t="shared" si="31"/>
        <v>14</v>
      </c>
      <c r="K69" t="str">
        <f t="shared" si="32"/>
        <v>FNA</v>
      </c>
      <c r="L69" t="str">
        <f t="shared" si="33"/>
        <v>HYD</v>
      </c>
      <c r="M69" t="str">
        <f t="shared" si="34"/>
        <v>sl</v>
      </c>
      <c r="N69" s="76" t="str">
        <f t="shared" si="35"/>
        <v>FNA/HYD</v>
      </c>
      <c r="O69" s="20" t="str">
        <f t="shared" si="36"/>
        <v>9 897</v>
      </c>
      <c r="P69" s="76">
        <f t="shared" si="37"/>
        <v>9897</v>
      </c>
      <c r="Q69" s="206">
        <f t="shared" si="21"/>
        <v>4121</v>
      </c>
      <c r="R69" s="206">
        <f t="shared" si="22"/>
        <v>69</v>
      </c>
      <c r="S69" s="206">
        <f t="shared" si="23"/>
        <v>2</v>
      </c>
      <c r="T69" s="206">
        <f t="shared" si="24"/>
        <v>12</v>
      </c>
      <c r="AA69" s="71" t="str">
        <f t="shared" si="38"/>
        <v>FNA/HYD</v>
      </c>
      <c r="AB69">
        <f t="shared" si="39"/>
        <v>-131</v>
      </c>
      <c r="AC69">
        <f t="shared" si="40"/>
        <v>69</v>
      </c>
      <c r="AD69">
        <f t="shared" si="41"/>
        <v>2</v>
      </c>
      <c r="AE69">
        <f t="shared" si="42"/>
        <v>1</v>
      </c>
      <c r="AF69" t="str">
        <f t="shared" si="43"/>
        <v/>
      </c>
    </row>
    <row r="70" spans="1:32" x14ac:dyDescent="0.4">
      <c r="A70" s="189" t="s">
        <v>455</v>
      </c>
      <c r="B70" s="189"/>
      <c r="C70" s="189" t="s">
        <v>1458</v>
      </c>
      <c r="D70" s="189" t="s">
        <v>1464</v>
      </c>
      <c r="E70" s="189" t="s">
        <v>1461</v>
      </c>
      <c r="F70" s="189" t="s">
        <v>1215</v>
      </c>
      <c r="G70" s="189"/>
      <c r="H70" s="189"/>
      <c r="J70" t="str">
        <f t="shared" si="31"/>
        <v/>
      </c>
      <c r="K70" t="str">
        <f t="shared" si="32"/>
        <v/>
      </c>
      <c r="L70" t="str">
        <f t="shared" si="33"/>
        <v/>
      </c>
      <c r="M70" t="str">
        <f t="shared" si="34"/>
        <v/>
      </c>
      <c r="N70" s="76" t="str">
        <f t="shared" si="35"/>
        <v/>
      </c>
      <c r="O70" s="20">
        <f t="shared" si="36"/>
        <v>0</v>
      </c>
      <c r="P70" s="76">
        <f t="shared" si="37"/>
        <v>0</v>
      </c>
      <c r="Q70" s="206">
        <f t="shared" si="21"/>
        <v>0</v>
      </c>
      <c r="R70" s="206">
        <f t="shared" si="22"/>
        <v>0</v>
      </c>
      <c r="S70" s="206">
        <f t="shared" si="23"/>
        <v>0</v>
      </c>
      <c r="T70" s="206">
        <f t="shared" si="24"/>
        <v>0</v>
      </c>
      <c r="AA70" s="71" t="str">
        <f t="shared" si="38"/>
        <v/>
      </c>
      <c r="AB70">
        <f t="shared" si="39"/>
        <v>0</v>
      </c>
      <c r="AC70">
        <f t="shared" si="40"/>
        <v>0</v>
      </c>
      <c r="AD70">
        <f t="shared" si="41"/>
        <v>0</v>
      </c>
      <c r="AE70">
        <f t="shared" si="42"/>
        <v>0</v>
      </c>
      <c r="AF70" t="str">
        <f t="shared" si="43"/>
        <v/>
      </c>
    </row>
    <row r="71" spans="1:32" x14ac:dyDescent="0.4">
      <c r="A71" s="189" t="s">
        <v>1421</v>
      </c>
      <c r="B71" s="189" t="s">
        <v>1422</v>
      </c>
      <c r="C71" s="189" t="s">
        <v>1555</v>
      </c>
      <c r="D71" s="189" t="s">
        <v>1556</v>
      </c>
      <c r="E71" s="189" t="s">
        <v>1260</v>
      </c>
      <c r="F71" s="189" t="s">
        <v>1240</v>
      </c>
      <c r="G71" s="189" t="s">
        <v>454</v>
      </c>
      <c r="H71" s="189"/>
      <c r="J71">
        <f t="shared" si="31"/>
        <v>14</v>
      </c>
      <c r="K71" t="str">
        <f t="shared" si="32"/>
        <v>LOS</v>
      </c>
      <c r="L71" t="str">
        <f t="shared" si="33"/>
        <v>CCU</v>
      </c>
      <c r="M71" t="str">
        <f t="shared" si="34"/>
        <v>ng</v>
      </c>
      <c r="N71" s="76" t="str">
        <f t="shared" si="35"/>
        <v>LOS/CCU</v>
      </c>
      <c r="O71" s="20" t="str">
        <f t="shared" si="36"/>
        <v>9 230</v>
      </c>
      <c r="P71" s="76">
        <f t="shared" si="37"/>
        <v>9230</v>
      </c>
      <c r="Q71" s="206">
        <f t="shared" si="21"/>
        <v>5121</v>
      </c>
      <c r="R71" s="206">
        <f t="shared" si="22"/>
        <v>150</v>
      </c>
      <c r="S71" s="206">
        <f t="shared" si="23"/>
        <v>12</v>
      </c>
      <c r="T71" s="206">
        <f t="shared" si="24"/>
        <v>17</v>
      </c>
      <c r="AA71" s="71" t="str">
        <f t="shared" si="38"/>
        <v>LOS/CCU</v>
      </c>
      <c r="AB71">
        <f t="shared" si="39"/>
        <v>3</v>
      </c>
      <c r="AC71">
        <f t="shared" si="40"/>
        <v>150</v>
      </c>
      <c r="AD71">
        <f t="shared" si="41"/>
        <v>12</v>
      </c>
      <c r="AE71">
        <f t="shared" si="42"/>
        <v>-1</v>
      </c>
      <c r="AF71" t="str">
        <f t="shared" si="43"/>
        <v>A revoir</v>
      </c>
    </row>
    <row r="72" spans="1:32" x14ac:dyDescent="0.4">
      <c r="A72" s="189" t="s">
        <v>455</v>
      </c>
      <c r="B72" s="189"/>
      <c r="C72" s="189" t="s">
        <v>1244</v>
      </c>
      <c r="D72" s="189" t="s">
        <v>1556</v>
      </c>
      <c r="E72" s="189" t="s">
        <v>1260</v>
      </c>
      <c r="F72" s="189" t="s">
        <v>1241</v>
      </c>
      <c r="G72" s="189"/>
      <c r="H72" s="189"/>
      <c r="J72" t="str">
        <f t="shared" si="31"/>
        <v/>
      </c>
      <c r="K72" t="str">
        <f t="shared" si="32"/>
        <v/>
      </c>
      <c r="L72" t="str">
        <f t="shared" si="33"/>
        <v/>
      </c>
      <c r="M72" t="str">
        <f t="shared" si="34"/>
        <v/>
      </c>
      <c r="N72" s="76" t="str">
        <f t="shared" si="35"/>
        <v/>
      </c>
      <c r="O72" s="20">
        <f t="shared" si="36"/>
        <v>0</v>
      </c>
      <c r="P72" s="76">
        <f t="shared" si="37"/>
        <v>0</v>
      </c>
      <c r="Q72" s="206">
        <f t="shared" si="21"/>
        <v>0</v>
      </c>
      <c r="R72" s="206">
        <f t="shared" si="22"/>
        <v>0</v>
      </c>
      <c r="S72" s="206">
        <f t="shared" si="23"/>
        <v>0</v>
      </c>
      <c r="T72" s="206">
        <f t="shared" si="24"/>
        <v>0</v>
      </c>
      <c r="AA72" s="71" t="str">
        <f t="shared" si="38"/>
        <v/>
      </c>
      <c r="AB72">
        <f t="shared" si="39"/>
        <v>0</v>
      </c>
      <c r="AC72">
        <f t="shared" si="40"/>
        <v>0</v>
      </c>
      <c r="AD72">
        <f t="shared" si="41"/>
        <v>0</v>
      </c>
      <c r="AE72">
        <f t="shared" si="42"/>
        <v>0</v>
      </c>
      <c r="AF72" t="str">
        <f t="shared" si="43"/>
        <v/>
      </c>
    </row>
    <row r="73" spans="1:32" x14ac:dyDescent="0.4">
      <c r="A73" s="189" t="s">
        <v>1383</v>
      </c>
      <c r="B73" s="189" t="s">
        <v>1384</v>
      </c>
      <c r="C73" s="189" t="s">
        <v>1557</v>
      </c>
      <c r="D73" s="189" t="s">
        <v>1406</v>
      </c>
      <c r="E73" s="189" t="s">
        <v>1407</v>
      </c>
      <c r="F73" s="189" t="s">
        <v>1246</v>
      </c>
      <c r="G73" s="189" t="s">
        <v>454</v>
      </c>
      <c r="H73" s="189"/>
      <c r="J73">
        <f t="shared" si="31"/>
        <v>14</v>
      </c>
      <c r="K73" t="str">
        <f t="shared" si="32"/>
        <v>WDH</v>
      </c>
      <c r="L73" t="str">
        <f t="shared" si="33"/>
        <v>BKK</v>
      </c>
      <c r="M73" t="str">
        <f t="shared" si="34"/>
        <v>na</v>
      </c>
      <c r="N73" s="76" t="str">
        <f t="shared" si="35"/>
        <v>WDH/BKK</v>
      </c>
      <c r="O73" s="20" t="str">
        <f t="shared" si="36"/>
        <v>9 917</v>
      </c>
      <c r="P73" s="76">
        <f t="shared" si="37"/>
        <v>9917</v>
      </c>
      <c r="Q73" s="206">
        <f t="shared" si="21"/>
        <v>4251</v>
      </c>
      <c r="R73" s="206">
        <f t="shared" si="22"/>
        <v>227</v>
      </c>
      <c r="S73" s="206">
        <f t="shared" si="23"/>
        <v>37</v>
      </c>
      <c r="T73" s="206">
        <f t="shared" si="24"/>
        <v>18</v>
      </c>
      <c r="AA73" s="71" t="str">
        <f t="shared" si="38"/>
        <v>WDH/BKK</v>
      </c>
      <c r="AB73">
        <f t="shared" si="39"/>
        <v>-167</v>
      </c>
      <c r="AC73">
        <f t="shared" si="40"/>
        <v>53</v>
      </c>
      <c r="AD73">
        <f t="shared" si="41"/>
        <v>37</v>
      </c>
      <c r="AE73">
        <f t="shared" si="42"/>
        <v>1</v>
      </c>
      <c r="AF73" t="str">
        <f t="shared" si="43"/>
        <v/>
      </c>
    </row>
    <row r="74" spans="1:32" x14ac:dyDescent="0.4">
      <c r="A74" s="189" t="s">
        <v>455</v>
      </c>
      <c r="B74" s="189"/>
      <c r="C74" s="189" t="s">
        <v>1558</v>
      </c>
      <c r="D74" s="189" t="s">
        <v>1408</v>
      </c>
      <c r="E74" s="189" t="s">
        <v>1407</v>
      </c>
      <c r="F74" s="189" t="s">
        <v>1215</v>
      </c>
      <c r="G74" s="189"/>
      <c r="H74" s="189"/>
      <c r="J74" t="str">
        <f t="shared" si="31"/>
        <v/>
      </c>
      <c r="K74" t="str">
        <f t="shared" si="32"/>
        <v/>
      </c>
      <c r="L74" t="str">
        <f t="shared" si="33"/>
        <v/>
      </c>
      <c r="M74" t="str">
        <f t="shared" si="34"/>
        <v/>
      </c>
      <c r="N74" s="76" t="str">
        <f t="shared" si="35"/>
        <v/>
      </c>
      <c r="O74" s="20">
        <f t="shared" si="36"/>
        <v>0</v>
      </c>
      <c r="P74" s="76">
        <f t="shared" si="37"/>
        <v>0</v>
      </c>
      <c r="Q74" s="206">
        <f t="shared" si="21"/>
        <v>0</v>
      </c>
      <c r="R74" s="206">
        <f t="shared" si="22"/>
        <v>0</v>
      </c>
      <c r="S74" s="206">
        <f t="shared" si="23"/>
        <v>0</v>
      </c>
      <c r="T74" s="206">
        <f t="shared" si="24"/>
        <v>0</v>
      </c>
      <c r="AA74" s="71" t="str">
        <f t="shared" si="38"/>
        <v/>
      </c>
      <c r="AB74">
        <f t="shared" si="39"/>
        <v>0</v>
      </c>
      <c r="AC74">
        <f t="shared" si="40"/>
        <v>0</v>
      </c>
      <c r="AD74">
        <f t="shared" si="41"/>
        <v>0</v>
      </c>
      <c r="AE74">
        <f t="shared" si="42"/>
        <v>0</v>
      </c>
      <c r="AF74" t="str">
        <f t="shared" si="43"/>
        <v/>
      </c>
    </row>
    <row r="75" spans="1:32" x14ac:dyDescent="0.4">
      <c r="A75" s="189" t="s">
        <v>1385</v>
      </c>
      <c r="B75" s="189" t="s">
        <v>1386</v>
      </c>
      <c r="C75" s="189" t="s">
        <v>1559</v>
      </c>
      <c r="D75" s="189" t="s">
        <v>1403</v>
      </c>
      <c r="E75" s="189" t="s">
        <v>1380</v>
      </c>
      <c r="F75" s="189" t="s">
        <v>1404</v>
      </c>
      <c r="G75" s="189" t="s">
        <v>454</v>
      </c>
      <c r="H75" s="189"/>
      <c r="J75">
        <f t="shared" si="31"/>
        <v>14</v>
      </c>
      <c r="K75" t="str">
        <f t="shared" si="32"/>
        <v>WDH</v>
      </c>
      <c r="L75" t="str">
        <f t="shared" si="33"/>
        <v>DMK</v>
      </c>
      <c r="M75" t="str">
        <f t="shared" si="34"/>
        <v>na</v>
      </c>
      <c r="N75" s="76" t="str">
        <f t="shared" si="35"/>
        <v>WDH/DMK</v>
      </c>
      <c r="O75" s="20" t="str">
        <f t="shared" si="36"/>
        <v>9 914</v>
      </c>
      <c r="P75" s="76">
        <f t="shared" si="37"/>
        <v>9914</v>
      </c>
      <c r="Q75" s="206">
        <f t="shared" si="21"/>
        <v>4178</v>
      </c>
      <c r="R75" s="206">
        <f t="shared" si="22"/>
        <v>223</v>
      </c>
      <c r="S75" s="206">
        <f t="shared" si="23"/>
        <v>36</v>
      </c>
      <c r="T75" s="206">
        <f t="shared" si="24"/>
        <v>26</v>
      </c>
      <c r="AA75" s="71" t="str">
        <f t="shared" si="38"/>
        <v>WDH/DMK</v>
      </c>
      <c r="AB75">
        <f t="shared" si="39"/>
        <v>-192</v>
      </c>
      <c r="AC75">
        <f t="shared" si="40"/>
        <v>23</v>
      </c>
      <c r="AD75">
        <f t="shared" si="41"/>
        <v>36</v>
      </c>
      <c r="AE75">
        <f t="shared" si="42"/>
        <v>1</v>
      </c>
      <c r="AF75" t="str">
        <f t="shared" si="43"/>
        <v/>
      </c>
    </row>
    <row r="76" spans="1:32" x14ac:dyDescent="0.4">
      <c r="A76" s="189" t="s">
        <v>455</v>
      </c>
      <c r="B76" s="189"/>
      <c r="C76" s="189" t="s">
        <v>1560</v>
      </c>
      <c r="D76" s="189" t="s">
        <v>1405</v>
      </c>
      <c r="E76" s="189" t="s">
        <v>1380</v>
      </c>
      <c r="F76" s="189" t="s">
        <v>1215</v>
      </c>
      <c r="G76" s="189"/>
      <c r="H76" s="189"/>
      <c r="J76" t="str">
        <f t="shared" si="31"/>
        <v/>
      </c>
      <c r="K76" t="str">
        <f t="shared" si="32"/>
        <v/>
      </c>
      <c r="L76" t="str">
        <f t="shared" si="33"/>
        <v/>
      </c>
      <c r="M76" t="str">
        <f t="shared" si="34"/>
        <v/>
      </c>
      <c r="N76" s="76" t="str">
        <f t="shared" si="35"/>
        <v/>
      </c>
      <c r="O76" s="20">
        <f t="shared" si="36"/>
        <v>0</v>
      </c>
      <c r="P76" s="76">
        <f t="shared" si="37"/>
        <v>0</v>
      </c>
      <c r="Q76" s="206">
        <f t="shared" si="21"/>
        <v>0</v>
      </c>
      <c r="R76" s="206">
        <f t="shared" si="22"/>
        <v>0</v>
      </c>
      <c r="S76" s="206">
        <f t="shared" si="23"/>
        <v>0</v>
      </c>
      <c r="T76" s="206">
        <f t="shared" si="24"/>
        <v>0</v>
      </c>
      <c r="AA76" s="71" t="str">
        <f t="shared" si="38"/>
        <v/>
      </c>
      <c r="AB76">
        <f t="shared" si="39"/>
        <v>0</v>
      </c>
      <c r="AC76">
        <f t="shared" si="40"/>
        <v>0</v>
      </c>
      <c r="AD76">
        <f t="shared" si="41"/>
        <v>0</v>
      </c>
      <c r="AE76">
        <f t="shared" si="42"/>
        <v>0</v>
      </c>
      <c r="AF76" t="str">
        <f t="shared" si="43"/>
        <v/>
      </c>
    </row>
    <row r="77" spans="1:32" x14ac:dyDescent="0.4">
      <c r="A77" s="189" t="s">
        <v>734</v>
      </c>
      <c r="B77" s="189" t="s">
        <v>453</v>
      </c>
      <c r="C77" s="189" t="s">
        <v>1561</v>
      </c>
      <c r="D77" s="189" t="s">
        <v>1556</v>
      </c>
      <c r="E77" s="189" t="s">
        <v>1212</v>
      </c>
      <c r="F77" s="189" t="s">
        <v>1213</v>
      </c>
      <c r="G77" s="189" t="s">
        <v>454</v>
      </c>
      <c r="H77" s="189"/>
      <c r="J77">
        <f t="shared" si="31"/>
        <v>14</v>
      </c>
      <c r="K77" t="str">
        <f t="shared" si="32"/>
        <v>BOM</v>
      </c>
      <c r="L77" t="str">
        <f t="shared" si="33"/>
        <v>DKR</v>
      </c>
      <c r="M77" t="str">
        <f t="shared" si="34"/>
        <v>in</v>
      </c>
      <c r="N77" s="76" t="str">
        <f t="shared" si="35"/>
        <v>BOM/DKR</v>
      </c>
      <c r="O77" s="20" t="str">
        <f t="shared" si="36"/>
        <v>9 516</v>
      </c>
      <c r="P77" s="76">
        <f t="shared" si="37"/>
        <v>9516</v>
      </c>
      <c r="Q77" s="206">
        <f t="shared" si="21"/>
        <v>5794</v>
      </c>
      <c r="R77" s="206">
        <f t="shared" si="22"/>
        <v>150</v>
      </c>
      <c r="S77" s="206">
        <f t="shared" si="23"/>
        <v>6</v>
      </c>
      <c r="T77" s="206">
        <f t="shared" si="24"/>
        <v>62</v>
      </c>
      <c r="AA77" s="71" t="str">
        <f t="shared" si="38"/>
        <v>BOM/DKR</v>
      </c>
      <c r="AB77">
        <f t="shared" si="39"/>
        <v>4</v>
      </c>
      <c r="AC77">
        <f t="shared" si="40"/>
        <v>-66</v>
      </c>
      <c r="AD77">
        <f t="shared" si="41"/>
        <v>0</v>
      </c>
      <c r="AE77">
        <f t="shared" si="42"/>
        <v>1</v>
      </c>
      <c r="AF77" t="str">
        <f t="shared" si="43"/>
        <v/>
      </c>
    </row>
    <row r="78" spans="1:32" x14ac:dyDescent="0.4">
      <c r="A78" s="189" t="s">
        <v>455</v>
      </c>
      <c r="B78" s="189"/>
      <c r="C78" s="189" t="s">
        <v>1562</v>
      </c>
      <c r="D78" s="189" t="s">
        <v>1563</v>
      </c>
      <c r="E78" s="189" t="s">
        <v>1214</v>
      </c>
      <c r="F78" s="189" t="s">
        <v>1215</v>
      </c>
      <c r="G78" s="189"/>
      <c r="H78" s="189"/>
      <c r="J78" t="str">
        <f t="shared" si="31"/>
        <v/>
      </c>
      <c r="K78" t="str">
        <f t="shared" si="32"/>
        <v/>
      </c>
      <c r="L78" t="str">
        <f t="shared" si="33"/>
        <v/>
      </c>
      <c r="M78" t="str">
        <f t="shared" si="34"/>
        <v/>
      </c>
      <c r="N78" s="76" t="str">
        <f t="shared" si="35"/>
        <v/>
      </c>
      <c r="O78" s="20">
        <f t="shared" si="36"/>
        <v>0</v>
      </c>
      <c r="P78" s="76">
        <f t="shared" si="37"/>
        <v>0</v>
      </c>
      <c r="Q78" s="206">
        <f t="shared" si="21"/>
        <v>0</v>
      </c>
      <c r="R78" s="206">
        <f t="shared" si="22"/>
        <v>0</v>
      </c>
      <c r="S78" s="206">
        <f t="shared" si="23"/>
        <v>0</v>
      </c>
      <c r="T78" s="206">
        <f t="shared" si="24"/>
        <v>0</v>
      </c>
      <c r="AA78" s="71" t="str">
        <f t="shared" si="38"/>
        <v/>
      </c>
      <c r="AB78">
        <f t="shared" si="39"/>
        <v>0</v>
      </c>
      <c r="AC78">
        <f t="shared" si="40"/>
        <v>0</v>
      </c>
      <c r="AD78">
        <f t="shared" si="41"/>
        <v>0</v>
      </c>
      <c r="AE78">
        <f t="shared" si="42"/>
        <v>0</v>
      </c>
      <c r="AF78" t="str">
        <f t="shared" si="43"/>
        <v/>
      </c>
    </row>
    <row r="79" spans="1:32" x14ac:dyDescent="0.4">
      <c r="A79" s="189" t="s">
        <v>1462</v>
      </c>
      <c r="B79" s="189" t="s">
        <v>1463</v>
      </c>
      <c r="C79" s="189" t="s">
        <v>1564</v>
      </c>
      <c r="D79" s="189" t="s">
        <v>1465</v>
      </c>
      <c r="E79" s="189" t="s">
        <v>1461</v>
      </c>
      <c r="F79" s="189" t="s">
        <v>1443</v>
      </c>
      <c r="G79" s="189" t="s">
        <v>454</v>
      </c>
      <c r="H79" s="189"/>
      <c r="J79">
        <f t="shared" si="31"/>
        <v>14</v>
      </c>
      <c r="K79" t="str">
        <f t="shared" si="32"/>
        <v>FNA</v>
      </c>
      <c r="L79" t="str">
        <f t="shared" si="33"/>
        <v>BLR</v>
      </c>
      <c r="M79" t="str">
        <f t="shared" si="34"/>
        <v>sl</v>
      </c>
      <c r="N79" s="76" t="str">
        <f t="shared" si="35"/>
        <v>FNA/BLR</v>
      </c>
      <c r="O79" s="20" t="str">
        <f t="shared" si="36"/>
        <v>9 888</v>
      </c>
      <c r="P79" s="76">
        <f t="shared" si="37"/>
        <v>9888</v>
      </c>
      <c r="Q79" s="206">
        <f t="shared" si="21"/>
        <v>4462</v>
      </c>
      <c r="R79" s="206">
        <f t="shared" si="22"/>
        <v>75</v>
      </c>
      <c r="S79" s="206">
        <f t="shared" si="23"/>
        <v>2</v>
      </c>
      <c r="T79" s="206">
        <f t="shared" si="24"/>
        <v>12</v>
      </c>
      <c r="AA79" s="71" t="str">
        <f t="shared" si="38"/>
        <v>FNA/BLR</v>
      </c>
      <c r="AB79">
        <f t="shared" si="39"/>
        <v>210</v>
      </c>
      <c r="AC79">
        <f t="shared" si="40"/>
        <v>75</v>
      </c>
      <c r="AD79">
        <f t="shared" si="41"/>
        <v>2</v>
      </c>
      <c r="AE79">
        <f t="shared" si="42"/>
        <v>1</v>
      </c>
      <c r="AF79" t="str">
        <f t="shared" si="43"/>
        <v>A revoir</v>
      </c>
    </row>
    <row r="80" spans="1:32" x14ac:dyDescent="0.4">
      <c r="A80" s="189" t="s">
        <v>455</v>
      </c>
      <c r="B80" s="189"/>
      <c r="C80" s="189" t="s">
        <v>1565</v>
      </c>
      <c r="D80" s="189" t="s">
        <v>1465</v>
      </c>
      <c r="E80" s="189" t="s">
        <v>1461</v>
      </c>
      <c r="F80" s="189" t="s">
        <v>1215</v>
      </c>
      <c r="G80" s="189"/>
      <c r="H80" s="189"/>
      <c r="J80" t="str">
        <f t="shared" si="31"/>
        <v/>
      </c>
      <c r="K80" t="str">
        <f t="shared" si="32"/>
        <v/>
      </c>
      <c r="L80" t="str">
        <f t="shared" si="33"/>
        <v/>
      </c>
      <c r="M80" t="str">
        <f t="shared" si="34"/>
        <v/>
      </c>
      <c r="N80" s="76" t="str">
        <f t="shared" si="35"/>
        <v/>
      </c>
      <c r="O80" s="20">
        <f t="shared" si="36"/>
        <v>0</v>
      </c>
      <c r="P80" s="76">
        <f t="shared" si="37"/>
        <v>0</v>
      </c>
      <c r="Q80" s="206">
        <f t="shared" si="21"/>
        <v>0</v>
      </c>
      <c r="R80" s="206">
        <f t="shared" si="22"/>
        <v>0</v>
      </c>
      <c r="S80" s="206">
        <f t="shared" si="23"/>
        <v>0</v>
      </c>
      <c r="T80" s="206">
        <f t="shared" si="24"/>
        <v>0</v>
      </c>
      <c r="AA80" s="71" t="str">
        <f t="shared" si="38"/>
        <v/>
      </c>
      <c r="AB80">
        <f t="shared" si="39"/>
        <v>0</v>
      </c>
      <c r="AC80">
        <f t="shared" si="40"/>
        <v>0</v>
      </c>
      <c r="AD80">
        <f t="shared" si="41"/>
        <v>0</v>
      </c>
      <c r="AE80">
        <f t="shared" si="42"/>
        <v>0</v>
      </c>
      <c r="AF80" t="str">
        <f t="shared" si="43"/>
        <v/>
      </c>
    </row>
    <row r="81" spans="1:32" x14ac:dyDescent="0.4">
      <c r="A81" s="189" t="s">
        <v>1225</v>
      </c>
      <c r="B81" s="189" t="s">
        <v>1224</v>
      </c>
      <c r="C81" s="189" t="s">
        <v>1566</v>
      </c>
      <c r="D81" s="189" t="s">
        <v>1226</v>
      </c>
      <c r="E81" s="189" t="s">
        <v>1212</v>
      </c>
      <c r="F81" s="189" t="s">
        <v>1227</v>
      </c>
      <c r="G81" s="189" t="s">
        <v>454</v>
      </c>
      <c r="H81" s="189"/>
      <c r="J81">
        <f t="shared" si="31"/>
        <v>14</v>
      </c>
      <c r="K81" t="str">
        <f t="shared" si="32"/>
        <v>BOM</v>
      </c>
      <c r="L81" t="str">
        <f t="shared" si="33"/>
        <v>OXB</v>
      </c>
      <c r="M81" t="str">
        <f t="shared" si="34"/>
        <v>in</v>
      </c>
      <c r="N81" s="76" t="str">
        <f t="shared" si="35"/>
        <v>BOM/OXB</v>
      </c>
      <c r="O81" s="20" t="str">
        <f t="shared" si="36"/>
        <v>9 427</v>
      </c>
      <c r="P81" s="76">
        <f t="shared" si="37"/>
        <v>9427</v>
      </c>
      <c r="Q81" s="206">
        <f t="shared" si="21"/>
        <v>4528</v>
      </c>
      <c r="R81" s="206">
        <f t="shared" si="22"/>
        <v>102</v>
      </c>
      <c r="S81" s="206">
        <f t="shared" si="23"/>
        <v>6</v>
      </c>
      <c r="T81" s="206">
        <f t="shared" si="24"/>
        <v>44</v>
      </c>
      <c r="AA81" s="71" t="str">
        <f t="shared" si="38"/>
        <v>BOM/OXB</v>
      </c>
      <c r="AB81">
        <f t="shared" si="39"/>
        <v>4</v>
      </c>
      <c r="AC81">
        <f t="shared" si="40"/>
        <v>0</v>
      </c>
      <c r="AD81">
        <f t="shared" si="41"/>
        <v>0</v>
      </c>
      <c r="AE81">
        <f t="shared" si="42"/>
        <v>1</v>
      </c>
      <c r="AF81" t="str">
        <f t="shared" si="43"/>
        <v>A revoir</v>
      </c>
    </row>
    <row r="82" spans="1:32" x14ac:dyDescent="0.4">
      <c r="A82" s="189" t="s">
        <v>455</v>
      </c>
      <c r="B82" s="189"/>
      <c r="C82" s="189" t="s">
        <v>1562</v>
      </c>
      <c r="D82" s="189" t="s">
        <v>1214</v>
      </c>
      <c r="E82" s="189" t="s">
        <v>1214</v>
      </c>
      <c r="F82" s="189" t="s">
        <v>1215</v>
      </c>
      <c r="G82" s="189"/>
      <c r="H82" s="189"/>
      <c r="J82" t="str">
        <f t="shared" si="31"/>
        <v/>
      </c>
      <c r="K82" t="str">
        <f t="shared" si="32"/>
        <v/>
      </c>
      <c r="L82" t="str">
        <f t="shared" si="33"/>
        <v/>
      </c>
      <c r="M82" t="str">
        <f t="shared" si="34"/>
        <v/>
      </c>
      <c r="N82" s="76" t="str">
        <f t="shared" si="35"/>
        <v/>
      </c>
      <c r="O82" s="20">
        <f t="shared" si="36"/>
        <v>0</v>
      </c>
      <c r="P82" s="76">
        <f t="shared" si="37"/>
        <v>0</v>
      </c>
      <c r="Q82" s="206">
        <f t="shared" si="21"/>
        <v>0</v>
      </c>
      <c r="R82" s="206">
        <f t="shared" si="22"/>
        <v>0</v>
      </c>
      <c r="S82" s="206">
        <f t="shared" si="23"/>
        <v>0</v>
      </c>
      <c r="T82" s="206">
        <f t="shared" si="24"/>
        <v>0</v>
      </c>
      <c r="AA82" s="71" t="str">
        <f t="shared" si="38"/>
        <v/>
      </c>
      <c r="AB82">
        <f t="shared" si="39"/>
        <v>0</v>
      </c>
      <c r="AC82">
        <f t="shared" si="40"/>
        <v>0</v>
      </c>
      <c r="AD82">
        <f t="shared" si="41"/>
        <v>0</v>
      </c>
      <c r="AE82">
        <f t="shared" si="42"/>
        <v>0</v>
      </c>
      <c r="AF82" t="str">
        <f t="shared" si="43"/>
        <v/>
      </c>
    </row>
    <row r="83" spans="1:32" x14ac:dyDescent="0.4">
      <c r="A83" s="189" t="s">
        <v>1264</v>
      </c>
      <c r="B83" s="189" t="s">
        <v>1265</v>
      </c>
      <c r="C83" s="189" t="s">
        <v>1567</v>
      </c>
      <c r="D83" s="189" t="s">
        <v>1266</v>
      </c>
      <c r="E83" s="189" t="s">
        <v>1238</v>
      </c>
      <c r="F83" s="189" t="s">
        <v>1267</v>
      </c>
      <c r="G83" s="189" t="s">
        <v>454</v>
      </c>
      <c r="H83" s="189"/>
      <c r="J83">
        <f t="shared" si="31"/>
        <v>14</v>
      </c>
      <c r="K83" t="str">
        <f t="shared" si="32"/>
        <v>BOM</v>
      </c>
      <c r="L83" t="str">
        <f t="shared" si="33"/>
        <v>ROB</v>
      </c>
      <c r="M83" t="str">
        <f t="shared" si="34"/>
        <v>in</v>
      </c>
      <c r="N83" s="76" t="str">
        <f t="shared" si="35"/>
        <v>BOM/ROB</v>
      </c>
      <c r="O83" s="20" t="str">
        <f t="shared" si="36"/>
        <v>9 075</v>
      </c>
      <c r="P83" s="76">
        <f t="shared" si="37"/>
        <v>9075</v>
      </c>
      <c r="Q83" s="206">
        <f t="shared" si="21"/>
        <v>4957</v>
      </c>
      <c r="R83" s="206">
        <f t="shared" si="22"/>
        <v>117</v>
      </c>
      <c r="S83" s="206">
        <f t="shared" si="23"/>
        <v>7</v>
      </c>
      <c r="T83" s="206">
        <f t="shared" si="24"/>
        <v>16</v>
      </c>
      <c r="AA83" s="71" t="str">
        <f t="shared" si="38"/>
        <v>BOM/ROB</v>
      </c>
      <c r="AB83">
        <f t="shared" si="39"/>
        <v>-161</v>
      </c>
      <c r="AC83">
        <f t="shared" si="40"/>
        <v>117</v>
      </c>
      <c r="AD83">
        <f t="shared" si="41"/>
        <v>7</v>
      </c>
      <c r="AE83">
        <f t="shared" si="42"/>
        <v>-2</v>
      </c>
      <c r="AF83" t="str">
        <f t="shared" si="43"/>
        <v/>
      </c>
    </row>
    <row r="84" spans="1:32" x14ac:dyDescent="0.4">
      <c r="A84" s="189" t="s">
        <v>455</v>
      </c>
      <c r="B84" s="189"/>
      <c r="C84" s="189" t="s">
        <v>1568</v>
      </c>
      <c r="D84" s="189" t="s">
        <v>1266</v>
      </c>
      <c r="E84" s="189" t="s">
        <v>1238</v>
      </c>
      <c r="F84" s="189" t="s">
        <v>1268</v>
      </c>
      <c r="G84" s="189"/>
      <c r="H84" s="189"/>
      <c r="J84" t="str">
        <f t="shared" si="31"/>
        <v/>
      </c>
      <c r="K84" t="str">
        <f t="shared" si="32"/>
        <v/>
      </c>
      <c r="L84" t="str">
        <f t="shared" si="33"/>
        <v/>
      </c>
      <c r="M84" t="str">
        <f t="shared" si="34"/>
        <v/>
      </c>
      <c r="N84" s="76" t="str">
        <f t="shared" si="35"/>
        <v/>
      </c>
      <c r="O84" s="20">
        <f t="shared" si="36"/>
        <v>0</v>
      </c>
      <c r="P84" s="76">
        <f t="shared" si="37"/>
        <v>0</v>
      </c>
      <c r="Q84" s="206">
        <f t="shared" si="21"/>
        <v>0</v>
      </c>
      <c r="R84" s="206">
        <f t="shared" si="22"/>
        <v>0</v>
      </c>
      <c r="S84" s="206">
        <f t="shared" si="23"/>
        <v>0</v>
      </c>
      <c r="T84" s="206">
        <f t="shared" si="24"/>
        <v>0</v>
      </c>
      <c r="AA84" s="71" t="str">
        <f t="shared" si="38"/>
        <v/>
      </c>
      <c r="AB84">
        <f t="shared" si="39"/>
        <v>0</v>
      </c>
      <c r="AC84">
        <f t="shared" si="40"/>
        <v>0</v>
      </c>
      <c r="AD84">
        <f t="shared" si="41"/>
        <v>0</v>
      </c>
      <c r="AE84">
        <f t="shared" si="42"/>
        <v>0</v>
      </c>
      <c r="AF84" t="str">
        <f t="shared" si="43"/>
        <v/>
      </c>
    </row>
    <row r="85" spans="1:32" x14ac:dyDescent="0.4">
      <c r="A85" s="189" t="s">
        <v>1258</v>
      </c>
      <c r="B85" s="189" t="s">
        <v>1259</v>
      </c>
      <c r="C85" s="189" t="s">
        <v>1252</v>
      </c>
      <c r="D85" s="189" t="s">
        <v>1261</v>
      </c>
      <c r="E85" s="189" t="s">
        <v>1260</v>
      </c>
      <c r="F85" s="189" t="s">
        <v>1262</v>
      </c>
      <c r="G85" s="189" t="s">
        <v>454</v>
      </c>
      <c r="H85" s="189"/>
      <c r="J85">
        <f t="shared" si="31"/>
        <v>14</v>
      </c>
      <c r="K85" t="str">
        <f t="shared" si="32"/>
        <v>BOM</v>
      </c>
      <c r="L85" t="str">
        <f t="shared" si="33"/>
        <v>NKC</v>
      </c>
      <c r="M85" t="str">
        <f t="shared" si="34"/>
        <v>in</v>
      </c>
      <c r="N85" s="76" t="str">
        <f t="shared" si="35"/>
        <v>BOM/NKC</v>
      </c>
      <c r="O85" s="20" t="str">
        <f t="shared" si="36"/>
        <v>9 242</v>
      </c>
      <c r="P85" s="76">
        <f t="shared" si="37"/>
        <v>9242</v>
      </c>
      <c r="Q85" s="206">
        <f t="shared" si="21"/>
        <v>5117</v>
      </c>
      <c r="R85" s="206">
        <f t="shared" si="22"/>
        <v>162</v>
      </c>
      <c r="S85" s="206">
        <f t="shared" si="23"/>
        <v>12</v>
      </c>
      <c r="T85" s="206">
        <f t="shared" si="24"/>
        <v>11</v>
      </c>
      <c r="AA85" s="71" t="str">
        <f t="shared" si="38"/>
        <v>BOM/NKC</v>
      </c>
      <c r="AB85">
        <f t="shared" si="39"/>
        <v>-1</v>
      </c>
      <c r="AC85">
        <f t="shared" si="40"/>
        <v>162</v>
      </c>
      <c r="AD85">
        <f t="shared" si="41"/>
        <v>12</v>
      </c>
      <c r="AE85">
        <f t="shared" si="42"/>
        <v>-7</v>
      </c>
      <c r="AF85" t="str">
        <f t="shared" si="43"/>
        <v>A revoir</v>
      </c>
    </row>
    <row r="86" spans="1:32" x14ac:dyDescent="0.4">
      <c r="A86" s="189" t="s">
        <v>455</v>
      </c>
      <c r="B86" s="189"/>
      <c r="C86" s="189" t="s">
        <v>1254</v>
      </c>
      <c r="D86" s="189" t="s">
        <v>1261</v>
      </c>
      <c r="E86" s="189" t="s">
        <v>1260</v>
      </c>
      <c r="F86" s="189" t="s">
        <v>1263</v>
      </c>
      <c r="G86" s="189"/>
      <c r="H86" s="189"/>
      <c r="J86" t="str">
        <f t="shared" si="31"/>
        <v/>
      </c>
      <c r="K86" t="str">
        <f t="shared" si="32"/>
        <v/>
      </c>
      <c r="L86" t="str">
        <f t="shared" si="33"/>
        <v/>
      </c>
      <c r="M86" t="str">
        <f t="shared" si="34"/>
        <v/>
      </c>
      <c r="N86" s="76" t="str">
        <f t="shared" si="35"/>
        <v/>
      </c>
      <c r="O86" s="20">
        <f t="shared" si="36"/>
        <v>0</v>
      </c>
      <c r="P86" s="76">
        <f t="shared" si="37"/>
        <v>0</v>
      </c>
      <c r="Q86" s="206">
        <f t="shared" si="21"/>
        <v>0</v>
      </c>
      <c r="R86" s="206">
        <f t="shared" si="22"/>
        <v>0</v>
      </c>
      <c r="S86" s="206">
        <f t="shared" si="23"/>
        <v>0</v>
      </c>
      <c r="T86" s="206">
        <f t="shared" si="24"/>
        <v>0</v>
      </c>
      <c r="AA86" s="71" t="str">
        <f t="shared" si="38"/>
        <v/>
      </c>
      <c r="AB86">
        <f t="shared" si="39"/>
        <v>0</v>
      </c>
      <c r="AC86">
        <f t="shared" si="40"/>
        <v>0</v>
      </c>
      <c r="AD86">
        <f t="shared" si="41"/>
        <v>0</v>
      </c>
      <c r="AE86">
        <f t="shared" si="42"/>
        <v>0</v>
      </c>
      <c r="AF86" t="str">
        <f t="shared" si="43"/>
        <v/>
      </c>
    </row>
    <row r="87" spans="1:32" x14ac:dyDescent="0.4">
      <c r="A87" s="189" t="s">
        <v>1445</v>
      </c>
      <c r="B87" s="189" t="s">
        <v>1446</v>
      </c>
      <c r="C87" s="189" t="s">
        <v>1569</v>
      </c>
      <c r="D87" s="189" t="s">
        <v>1454</v>
      </c>
      <c r="E87" s="189" t="s">
        <v>1449</v>
      </c>
      <c r="F87" s="189" t="s">
        <v>1279</v>
      </c>
      <c r="G87" s="189" t="s">
        <v>454</v>
      </c>
      <c r="H87" s="189"/>
      <c r="J87">
        <f t="shared" si="31"/>
        <v>14</v>
      </c>
      <c r="K87" t="str">
        <f t="shared" si="32"/>
        <v>BOG</v>
      </c>
      <c r="L87" t="str">
        <f t="shared" si="33"/>
        <v>LOS</v>
      </c>
      <c r="M87" t="str">
        <f t="shared" si="34"/>
        <v>co</v>
      </c>
      <c r="N87" s="76" t="str">
        <f t="shared" si="35"/>
        <v>BOG/LOS</v>
      </c>
      <c r="O87" s="20" t="str">
        <f t="shared" si="36"/>
        <v>8 569</v>
      </c>
      <c r="P87" s="76">
        <f t="shared" si="37"/>
        <v>8569</v>
      </c>
      <c r="Q87" s="206">
        <f t="shared" si="21"/>
        <v>4593</v>
      </c>
      <c r="R87" s="206">
        <f t="shared" si="22"/>
        <v>226</v>
      </c>
      <c r="S87" s="206">
        <f t="shared" si="23"/>
        <v>28</v>
      </c>
      <c r="T87" s="206">
        <f t="shared" si="24"/>
        <v>14</v>
      </c>
      <c r="AA87" s="71" t="str">
        <f t="shared" si="38"/>
        <v>BOG/LOS</v>
      </c>
      <c r="AB87">
        <f t="shared" si="39"/>
        <v>-139</v>
      </c>
      <c r="AC87">
        <f t="shared" si="40"/>
        <v>226</v>
      </c>
      <c r="AD87">
        <f t="shared" si="41"/>
        <v>28</v>
      </c>
      <c r="AE87">
        <f t="shared" si="42"/>
        <v>1</v>
      </c>
      <c r="AF87" t="str">
        <f t="shared" si="43"/>
        <v>A revoir</v>
      </c>
    </row>
    <row r="88" spans="1:32" x14ac:dyDescent="0.4">
      <c r="A88" s="204" t="s">
        <v>455</v>
      </c>
      <c r="B88" s="204"/>
      <c r="C88" s="204" t="s">
        <v>1570</v>
      </c>
      <c r="D88" s="204" t="s">
        <v>1454</v>
      </c>
      <c r="E88" s="204" t="s">
        <v>1449</v>
      </c>
      <c r="F88" s="204" t="s">
        <v>1215</v>
      </c>
      <c r="G88" s="204"/>
      <c r="H88" s="204"/>
      <c r="J88" t="str">
        <f t="shared" si="31"/>
        <v/>
      </c>
      <c r="K88" t="str">
        <f t="shared" si="32"/>
        <v/>
      </c>
      <c r="L88" t="str">
        <f t="shared" si="33"/>
        <v/>
      </c>
      <c r="M88" t="str">
        <f t="shared" si="34"/>
        <v/>
      </c>
      <c r="N88" s="76" t="str">
        <f t="shared" si="35"/>
        <v/>
      </c>
      <c r="O88" s="20">
        <f t="shared" si="36"/>
        <v>0</v>
      </c>
      <c r="P88" s="76">
        <f t="shared" si="37"/>
        <v>0</v>
      </c>
      <c r="Q88" s="206">
        <f t="shared" si="21"/>
        <v>0</v>
      </c>
      <c r="R88" s="206">
        <f t="shared" si="22"/>
        <v>0</v>
      </c>
      <c r="S88" s="206">
        <f t="shared" si="23"/>
        <v>0</v>
      </c>
      <c r="T88" s="206">
        <f t="shared" si="24"/>
        <v>0</v>
      </c>
      <c r="AA88" s="71" t="str">
        <f t="shared" si="38"/>
        <v/>
      </c>
      <c r="AB88">
        <f t="shared" si="39"/>
        <v>0</v>
      </c>
      <c r="AC88">
        <f t="shared" si="40"/>
        <v>0</v>
      </c>
      <c r="AD88">
        <f t="shared" si="41"/>
        <v>0</v>
      </c>
      <c r="AE88">
        <f t="shared" si="42"/>
        <v>0</v>
      </c>
      <c r="AF88" t="str">
        <f t="shared" si="43"/>
        <v/>
      </c>
    </row>
    <row r="89" spans="1:32" x14ac:dyDescent="0.4">
      <c r="A89" s="204" t="s">
        <v>1450</v>
      </c>
      <c r="B89" s="204" t="s">
        <v>1451</v>
      </c>
      <c r="C89" s="204" t="s">
        <v>1571</v>
      </c>
      <c r="D89" s="204" t="s">
        <v>1433</v>
      </c>
      <c r="E89" s="204" t="s">
        <v>1449</v>
      </c>
      <c r="F89" s="204" t="s">
        <v>1279</v>
      </c>
      <c r="G89" s="204" t="s">
        <v>454</v>
      </c>
      <c r="H89" s="204"/>
      <c r="J89">
        <f t="shared" si="31"/>
        <v>14</v>
      </c>
      <c r="K89" t="str">
        <f t="shared" si="32"/>
        <v>BOG</v>
      </c>
      <c r="L89" t="str">
        <f t="shared" si="33"/>
        <v>ABV</v>
      </c>
      <c r="M89" t="str">
        <f t="shared" si="34"/>
        <v>co</v>
      </c>
      <c r="N89" s="76" t="str">
        <f t="shared" si="35"/>
        <v>BOG/ABV</v>
      </c>
      <c r="O89" s="20" t="str">
        <f t="shared" si="36"/>
        <v>8 987</v>
      </c>
      <c r="P89" s="76">
        <f t="shared" si="37"/>
        <v>8987</v>
      </c>
      <c r="Q89" s="206">
        <f t="shared" si="21"/>
        <v>4386</v>
      </c>
      <c r="R89" s="206">
        <f t="shared" si="22"/>
        <v>216</v>
      </c>
      <c r="S89" s="206">
        <f t="shared" si="23"/>
        <v>28</v>
      </c>
      <c r="T89" s="206">
        <f t="shared" si="24"/>
        <v>14</v>
      </c>
      <c r="AA89" s="71" t="str">
        <f t="shared" si="38"/>
        <v>BOG/ABV</v>
      </c>
      <c r="AB89">
        <f t="shared" si="39"/>
        <v>-346</v>
      </c>
      <c r="AC89">
        <f t="shared" si="40"/>
        <v>216</v>
      </c>
      <c r="AD89">
        <f t="shared" si="41"/>
        <v>28</v>
      </c>
      <c r="AE89">
        <f t="shared" si="42"/>
        <v>1</v>
      </c>
      <c r="AF89" t="str">
        <f t="shared" si="43"/>
        <v/>
      </c>
    </row>
    <row r="90" spans="1:32" x14ac:dyDescent="0.4">
      <c r="A90" s="204" t="s">
        <v>455</v>
      </c>
      <c r="B90" s="204"/>
      <c r="C90" s="204" t="s">
        <v>1572</v>
      </c>
      <c r="D90" s="204" t="s">
        <v>1433</v>
      </c>
      <c r="E90" s="204" t="s">
        <v>1449</v>
      </c>
      <c r="F90" s="204" t="s">
        <v>1215</v>
      </c>
      <c r="G90" s="204"/>
      <c r="H90" s="204"/>
      <c r="J90" t="str">
        <f t="shared" si="31"/>
        <v/>
      </c>
      <c r="K90" t="str">
        <f t="shared" si="32"/>
        <v/>
      </c>
      <c r="L90" t="str">
        <f t="shared" si="33"/>
        <v/>
      </c>
      <c r="M90" t="str">
        <f t="shared" si="34"/>
        <v/>
      </c>
      <c r="N90" s="76" t="str">
        <f t="shared" si="35"/>
        <v/>
      </c>
      <c r="O90" s="20">
        <f t="shared" si="36"/>
        <v>0</v>
      </c>
      <c r="P90" s="76">
        <f t="shared" si="37"/>
        <v>0</v>
      </c>
      <c r="Q90" s="206">
        <f t="shared" si="21"/>
        <v>0</v>
      </c>
      <c r="R90" s="206">
        <f t="shared" si="22"/>
        <v>0</v>
      </c>
      <c r="S90" s="206">
        <f t="shared" si="23"/>
        <v>0</v>
      </c>
      <c r="T90" s="206">
        <f t="shared" si="24"/>
        <v>0</v>
      </c>
      <c r="AA90" s="71" t="str">
        <f t="shared" si="38"/>
        <v/>
      </c>
      <c r="AB90">
        <f t="shared" si="39"/>
        <v>0</v>
      </c>
      <c r="AC90">
        <f t="shared" si="40"/>
        <v>0</v>
      </c>
      <c r="AD90">
        <f t="shared" si="41"/>
        <v>0</v>
      </c>
      <c r="AE90">
        <f t="shared" si="42"/>
        <v>0</v>
      </c>
      <c r="AF90" t="str">
        <f t="shared" si="43"/>
        <v/>
      </c>
    </row>
    <row r="91" spans="1:32" x14ac:dyDescent="0.4">
      <c r="A91" s="204" t="s">
        <v>1382</v>
      </c>
      <c r="B91" s="204" t="s">
        <v>1361</v>
      </c>
      <c r="C91" s="204" t="s">
        <v>1555</v>
      </c>
      <c r="D91" s="204" t="s">
        <v>1261</v>
      </c>
      <c r="E91" s="204" t="s">
        <v>1260</v>
      </c>
      <c r="F91" s="204" t="s">
        <v>1279</v>
      </c>
      <c r="G91" s="204" t="s">
        <v>454</v>
      </c>
      <c r="H91" s="204"/>
      <c r="J91">
        <f t="shared" si="31"/>
        <v>14</v>
      </c>
      <c r="K91" t="str">
        <f t="shared" si="32"/>
        <v>DEL</v>
      </c>
      <c r="L91" t="str">
        <f t="shared" si="33"/>
        <v>NKC</v>
      </c>
      <c r="M91" t="str">
        <f t="shared" si="34"/>
        <v>in</v>
      </c>
      <c r="N91" s="76" t="str">
        <f t="shared" si="35"/>
        <v>DEL/NKC</v>
      </c>
      <c r="O91" s="20" t="str">
        <f t="shared" si="36"/>
        <v>9 345</v>
      </c>
      <c r="P91" s="76">
        <f t="shared" si="37"/>
        <v>9345</v>
      </c>
      <c r="Q91" s="206">
        <f t="shared" si="21"/>
        <v>5121</v>
      </c>
      <c r="R91" s="206">
        <f t="shared" si="22"/>
        <v>162</v>
      </c>
      <c r="S91" s="206">
        <f t="shared" si="23"/>
        <v>12</v>
      </c>
      <c r="T91" s="206">
        <f t="shared" si="24"/>
        <v>14</v>
      </c>
      <c r="AA91" s="71" t="str">
        <f t="shared" si="38"/>
        <v>DEL/NKC</v>
      </c>
      <c r="AB91">
        <f t="shared" si="39"/>
        <v>3</v>
      </c>
      <c r="AC91">
        <f t="shared" si="40"/>
        <v>162</v>
      </c>
      <c r="AD91">
        <f t="shared" si="41"/>
        <v>12</v>
      </c>
      <c r="AE91">
        <f t="shared" si="42"/>
        <v>-4</v>
      </c>
      <c r="AF91" t="str">
        <f t="shared" si="43"/>
        <v>A revoir</v>
      </c>
    </row>
    <row r="92" spans="1:32" x14ac:dyDescent="0.4">
      <c r="A92" s="204" t="s">
        <v>455</v>
      </c>
      <c r="B92" s="204"/>
      <c r="C92" s="204" t="s">
        <v>1244</v>
      </c>
      <c r="D92" s="204" t="s">
        <v>1261</v>
      </c>
      <c r="E92" s="204" t="s">
        <v>1260</v>
      </c>
      <c r="F92" s="204" t="s">
        <v>1381</v>
      </c>
      <c r="G92" s="204"/>
      <c r="H92" s="204"/>
      <c r="J92" t="str">
        <f t="shared" si="31"/>
        <v/>
      </c>
      <c r="K92" t="str">
        <f t="shared" si="32"/>
        <v/>
      </c>
      <c r="L92" t="str">
        <f t="shared" si="33"/>
        <v/>
      </c>
      <c r="M92" t="str">
        <f t="shared" si="34"/>
        <v/>
      </c>
      <c r="N92" s="76" t="str">
        <f t="shared" si="35"/>
        <v/>
      </c>
      <c r="O92" s="20">
        <f t="shared" si="36"/>
        <v>0</v>
      </c>
      <c r="P92" s="76">
        <f t="shared" si="37"/>
        <v>0</v>
      </c>
      <c r="Q92" s="206">
        <f t="shared" si="21"/>
        <v>0</v>
      </c>
      <c r="R92" s="206">
        <f t="shared" si="22"/>
        <v>0</v>
      </c>
      <c r="S92" s="206">
        <f t="shared" si="23"/>
        <v>0</v>
      </c>
      <c r="T92" s="206">
        <f t="shared" si="24"/>
        <v>0</v>
      </c>
      <c r="AA92" s="71" t="str">
        <f t="shared" si="38"/>
        <v/>
      </c>
      <c r="AB92">
        <f t="shared" si="39"/>
        <v>0</v>
      </c>
      <c r="AC92">
        <f t="shared" si="40"/>
        <v>0</v>
      </c>
      <c r="AD92">
        <f t="shared" si="41"/>
        <v>0</v>
      </c>
      <c r="AE92">
        <f t="shared" si="42"/>
        <v>0</v>
      </c>
      <c r="AF92" t="str">
        <f t="shared" si="43"/>
        <v/>
      </c>
    </row>
    <row r="93" spans="1:32" x14ac:dyDescent="0.4">
      <c r="A93" s="204" t="s">
        <v>1378</v>
      </c>
      <c r="B93" s="204" t="s">
        <v>1377</v>
      </c>
      <c r="C93" s="204" t="s">
        <v>1289</v>
      </c>
      <c r="D93" s="204" t="s">
        <v>1379</v>
      </c>
      <c r="E93" s="204" t="s">
        <v>1380</v>
      </c>
      <c r="F93" s="204" t="s">
        <v>1279</v>
      </c>
      <c r="G93" s="204" t="s">
        <v>454</v>
      </c>
      <c r="H93" s="204"/>
      <c r="J93">
        <f t="shared" si="31"/>
        <v>14</v>
      </c>
      <c r="K93" t="str">
        <f t="shared" si="32"/>
        <v>DEL</v>
      </c>
      <c r="L93" t="str">
        <f t="shared" si="33"/>
        <v>CPT</v>
      </c>
      <c r="M93" t="str">
        <f t="shared" si="34"/>
        <v>in</v>
      </c>
      <c r="N93" s="76" t="str">
        <f t="shared" si="35"/>
        <v>DEL/CPT</v>
      </c>
      <c r="O93" s="20" t="str">
        <f t="shared" si="36"/>
        <v>9 286</v>
      </c>
      <c r="P93" s="76">
        <f t="shared" si="37"/>
        <v>9286</v>
      </c>
      <c r="Q93" s="206">
        <f t="shared" si="21"/>
        <v>5118</v>
      </c>
      <c r="R93" s="206">
        <f t="shared" si="22"/>
        <v>247</v>
      </c>
      <c r="S93" s="206">
        <f t="shared" si="23"/>
        <v>36</v>
      </c>
      <c r="T93" s="206">
        <f t="shared" si="24"/>
        <v>14</v>
      </c>
      <c r="AA93" s="71" t="str">
        <f t="shared" si="38"/>
        <v>DEL/CPT</v>
      </c>
      <c r="AB93">
        <f t="shared" si="39"/>
        <v>0</v>
      </c>
      <c r="AC93">
        <f t="shared" si="40"/>
        <v>247</v>
      </c>
      <c r="AD93">
        <f t="shared" si="41"/>
        <v>36</v>
      </c>
      <c r="AE93">
        <f t="shared" si="42"/>
        <v>-4</v>
      </c>
      <c r="AF93" t="str">
        <f t="shared" si="43"/>
        <v>A revoir</v>
      </c>
    </row>
    <row r="94" spans="1:32" x14ac:dyDescent="0.4">
      <c r="A94" s="204" t="s">
        <v>455</v>
      </c>
      <c r="B94" s="204"/>
      <c r="C94" s="204" t="s">
        <v>1214</v>
      </c>
      <c r="D94" s="204" t="s">
        <v>1379</v>
      </c>
      <c r="E94" s="204" t="s">
        <v>1380</v>
      </c>
      <c r="F94" s="204" t="s">
        <v>1381</v>
      </c>
      <c r="G94" s="204"/>
      <c r="H94" s="204"/>
      <c r="J94" t="str">
        <f t="shared" si="31"/>
        <v/>
      </c>
      <c r="K94" t="str">
        <f t="shared" si="32"/>
        <v/>
      </c>
      <c r="L94" t="str">
        <f t="shared" si="33"/>
        <v/>
      </c>
      <c r="M94" t="str">
        <f t="shared" si="34"/>
        <v/>
      </c>
      <c r="N94" s="76" t="str">
        <f t="shared" si="35"/>
        <v/>
      </c>
      <c r="O94" s="20">
        <f t="shared" si="36"/>
        <v>0</v>
      </c>
      <c r="P94" s="76">
        <f t="shared" si="37"/>
        <v>0</v>
      </c>
      <c r="Q94" s="206">
        <f t="shared" si="21"/>
        <v>0</v>
      </c>
      <c r="R94" s="206">
        <f t="shared" si="22"/>
        <v>0</v>
      </c>
      <c r="S94" s="206">
        <f t="shared" si="23"/>
        <v>0</v>
      </c>
      <c r="T94" s="206">
        <f t="shared" si="24"/>
        <v>0</v>
      </c>
      <c r="AA94" s="71" t="str">
        <f t="shared" si="38"/>
        <v/>
      </c>
      <c r="AB94">
        <f t="shared" si="39"/>
        <v>0</v>
      </c>
      <c r="AC94">
        <f t="shared" si="40"/>
        <v>0</v>
      </c>
      <c r="AD94">
        <f t="shared" si="41"/>
        <v>0</v>
      </c>
      <c r="AE94">
        <f t="shared" si="42"/>
        <v>0</v>
      </c>
      <c r="AF94" t="str">
        <f t="shared" si="43"/>
        <v/>
      </c>
    </row>
    <row r="95" spans="1:32" x14ac:dyDescent="0.4">
      <c r="A95" s="204" t="s">
        <v>1287</v>
      </c>
      <c r="B95" s="204" t="s">
        <v>1288</v>
      </c>
      <c r="C95" s="204" t="s">
        <v>1573</v>
      </c>
      <c r="D95" s="204" t="s">
        <v>1290</v>
      </c>
      <c r="E95" s="204" t="s">
        <v>1212</v>
      </c>
      <c r="F95" s="204" t="s">
        <v>1240</v>
      </c>
      <c r="G95" s="204" t="s">
        <v>454</v>
      </c>
      <c r="H95" s="204"/>
      <c r="J95">
        <f t="shared" si="31"/>
        <v>14</v>
      </c>
      <c r="K95" t="str">
        <f t="shared" si="32"/>
        <v>DEL</v>
      </c>
      <c r="L95" t="str">
        <f t="shared" si="33"/>
        <v>CKY</v>
      </c>
      <c r="M95" t="str">
        <f t="shared" si="34"/>
        <v>in</v>
      </c>
      <c r="N95" s="76" t="str">
        <f t="shared" si="35"/>
        <v>DEL/CKY</v>
      </c>
      <c r="O95" s="20" t="str">
        <f t="shared" si="36"/>
        <v>9 571</v>
      </c>
      <c r="P95" s="76">
        <f t="shared" si="37"/>
        <v>9571</v>
      </c>
      <c r="Q95" s="206">
        <f t="shared" si="21"/>
        <v>5122</v>
      </c>
      <c r="R95" s="206">
        <f t="shared" si="22"/>
        <v>114</v>
      </c>
      <c r="S95" s="206">
        <f t="shared" si="23"/>
        <v>6</v>
      </c>
      <c r="T95" s="206">
        <f t="shared" si="24"/>
        <v>17</v>
      </c>
      <c r="AA95" s="71" t="str">
        <f t="shared" si="38"/>
        <v>DEL/CKY</v>
      </c>
      <c r="AB95">
        <f t="shared" si="39"/>
        <v>4</v>
      </c>
      <c r="AC95">
        <f t="shared" si="40"/>
        <v>114</v>
      </c>
      <c r="AD95">
        <f t="shared" si="41"/>
        <v>6</v>
      </c>
      <c r="AE95">
        <f t="shared" si="42"/>
        <v>5</v>
      </c>
      <c r="AF95" t="str">
        <f t="shared" si="43"/>
        <v>A revoir</v>
      </c>
    </row>
    <row r="96" spans="1:32" x14ac:dyDescent="0.4">
      <c r="A96" s="204" t="s">
        <v>455</v>
      </c>
      <c r="B96" s="204"/>
      <c r="C96" s="204" t="s">
        <v>1562</v>
      </c>
      <c r="D96" s="204" t="s">
        <v>1290</v>
      </c>
      <c r="E96" s="204" t="s">
        <v>1212</v>
      </c>
      <c r="F96" s="204" t="s">
        <v>1291</v>
      </c>
      <c r="G96" s="204"/>
      <c r="H96" s="204"/>
      <c r="J96" t="str">
        <f t="shared" si="31"/>
        <v/>
      </c>
      <c r="K96" t="str">
        <f t="shared" si="32"/>
        <v/>
      </c>
      <c r="L96" t="str">
        <f t="shared" si="33"/>
        <v/>
      </c>
      <c r="M96" t="str">
        <f t="shared" si="34"/>
        <v/>
      </c>
      <c r="N96" s="76" t="str">
        <f t="shared" si="35"/>
        <v/>
      </c>
      <c r="O96" s="20">
        <f t="shared" si="36"/>
        <v>0</v>
      </c>
      <c r="P96" s="76">
        <f t="shared" si="37"/>
        <v>0</v>
      </c>
      <c r="Q96" s="206">
        <f t="shared" si="21"/>
        <v>0</v>
      </c>
      <c r="R96" s="206">
        <f t="shared" si="22"/>
        <v>0</v>
      </c>
      <c r="S96" s="206">
        <f t="shared" si="23"/>
        <v>0</v>
      </c>
      <c r="T96" s="206">
        <f t="shared" si="24"/>
        <v>0</v>
      </c>
      <c r="AA96" s="71" t="str">
        <f t="shared" si="38"/>
        <v/>
      </c>
      <c r="AB96">
        <f t="shared" si="39"/>
        <v>0</v>
      </c>
      <c r="AC96">
        <f t="shared" si="40"/>
        <v>0</v>
      </c>
      <c r="AD96">
        <f t="shared" si="41"/>
        <v>0</v>
      </c>
      <c r="AE96">
        <f t="shared" si="42"/>
        <v>0</v>
      </c>
      <c r="AF96" t="str">
        <f t="shared" si="43"/>
        <v/>
      </c>
    </row>
    <row r="97" spans="1:32" x14ac:dyDescent="0.4">
      <c r="A97" s="204" t="s">
        <v>1283</v>
      </c>
      <c r="B97" s="204" t="s">
        <v>1284</v>
      </c>
      <c r="C97" s="204" t="s">
        <v>1289</v>
      </c>
      <c r="D97" s="204" t="s">
        <v>1285</v>
      </c>
      <c r="E97" s="204" t="s">
        <v>1286</v>
      </c>
      <c r="F97" s="204" t="s">
        <v>1246</v>
      </c>
      <c r="G97" s="204" t="s">
        <v>454</v>
      </c>
      <c r="H97" s="204"/>
      <c r="J97">
        <f t="shared" si="31"/>
        <v>14</v>
      </c>
      <c r="K97" t="str">
        <f t="shared" si="32"/>
        <v>DEL</v>
      </c>
      <c r="L97" t="str">
        <f t="shared" si="33"/>
        <v>DKR</v>
      </c>
      <c r="M97" t="str">
        <f t="shared" si="34"/>
        <v>in</v>
      </c>
      <c r="N97" s="76" t="str">
        <f t="shared" si="35"/>
        <v>DEL/DKR</v>
      </c>
      <c r="O97" s="20" t="str">
        <f t="shared" si="36"/>
        <v>9 668</v>
      </c>
      <c r="P97" s="76">
        <f t="shared" si="37"/>
        <v>9668</v>
      </c>
      <c r="Q97" s="206">
        <f t="shared" si="21"/>
        <v>5118</v>
      </c>
      <c r="R97" s="206">
        <f t="shared" si="22"/>
        <v>143</v>
      </c>
      <c r="S97" s="206">
        <f t="shared" si="23"/>
        <v>9</v>
      </c>
      <c r="T97" s="206">
        <f t="shared" si="24"/>
        <v>18</v>
      </c>
      <c r="AA97" s="71" t="str">
        <f t="shared" si="38"/>
        <v>DEL/DKR</v>
      </c>
      <c r="AB97">
        <f t="shared" si="39"/>
        <v>0</v>
      </c>
      <c r="AC97">
        <f t="shared" si="40"/>
        <v>143</v>
      </c>
      <c r="AD97">
        <f t="shared" si="41"/>
        <v>9</v>
      </c>
      <c r="AE97">
        <f t="shared" si="42"/>
        <v>1</v>
      </c>
      <c r="AF97" t="str">
        <f t="shared" si="43"/>
        <v>A revoir</v>
      </c>
    </row>
    <row r="98" spans="1:32" x14ac:dyDescent="0.4">
      <c r="A98" s="204" t="s">
        <v>455</v>
      </c>
      <c r="B98" s="204"/>
      <c r="C98" s="204" t="s">
        <v>1214</v>
      </c>
      <c r="D98" s="204" t="s">
        <v>1285</v>
      </c>
      <c r="E98" s="204" t="s">
        <v>1286</v>
      </c>
      <c r="F98" s="204" t="s">
        <v>1215</v>
      </c>
      <c r="G98" s="204"/>
      <c r="H98" s="204"/>
      <c r="J98" t="str">
        <f t="shared" si="31"/>
        <v/>
      </c>
      <c r="K98" t="str">
        <f t="shared" si="32"/>
        <v/>
      </c>
      <c r="L98" t="str">
        <f t="shared" si="33"/>
        <v/>
      </c>
      <c r="M98" t="str">
        <f t="shared" si="34"/>
        <v/>
      </c>
      <c r="N98" s="76" t="str">
        <f t="shared" si="35"/>
        <v/>
      </c>
      <c r="O98" s="20">
        <f t="shared" si="36"/>
        <v>0</v>
      </c>
      <c r="P98" s="76">
        <f t="shared" si="37"/>
        <v>0</v>
      </c>
      <c r="Q98" s="206">
        <f t="shared" si="21"/>
        <v>0</v>
      </c>
      <c r="R98" s="206">
        <f t="shared" si="22"/>
        <v>0</v>
      </c>
      <c r="S98" s="206">
        <f t="shared" si="23"/>
        <v>0</v>
      </c>
      <c r="T98" s="206">
        <f t="shared" si="24"/>
        <v>0</v>
      </c>
      <c r="AA98" s="71" t="str">
        <f t="shared" si="38"/>
        <v/>
      </c>
      <c r="AB98">
        <f t="shared" si="39"/>
        <v>0</v>
      </c>
      <c r="AC98">
        <f t="shared" si="40"/>
        <v>0</v>
      </c>
      <c r="AD98">
        <f t="shared" si="41"/>
        <v>0</v>
      </c>
      <c r="AE98">
        <f t="shared" si="42"/>
        <v>0</v>
      </c>
      <c r="AF98" t="str">
        <f t="shared" si="43"/>
        <v/>
      </c>
    </row>
    <row r="99" spans="1:32" x14ac:dyDescent="0.4">
      <c r="A99" s="204" t="s">
        <v>1275</v>
      </c>
      <c r="B99" s="204" t="s">
        <v>1276</v>
      </c>
      <c r="C99" s="204" t="s">
        <v>1289</v>
      </c>
      <c r="D99" s="204" t="s">
        <v>1277</v>
      </c>
      <c r="E99" s="204" t="s">
        <v>1238</v>
      </c>
      <c r="F99" s="204" t="s">
        <v>1278</v>
      </c>
      <c r="G99" s="204" t="s">
        <v>454</v>
      </c>
      <c r="H99" s="204"/>
      <c r="J99">
        <f t="shared" si="31"/>
        <v>14</v>
      </c>
      <c r="K99" t="str">
        <f t="shared" si="32"/>
        <v>DEL</v>
      </c>
      <c r="L99" t="str">
        <f t="shared" si="33"/>
        <v>BJL</v>
      </c>
      <c r="M99" t="str">
        <f t="shared" si="34"/>
        <v>in</v>
      </c>
      <c r="N99" s="76" t="str">
        <f t="shared" si="35"/>
        <v>DEL/BJL</v>
      </c>
      <c r="O99" s="20" t="str">
        <f t="shared" si="36"/>
        <v>9 663</v>
      </c>
      <c r="P99" s="76">
        <f t="shared" si="37"/>
        <v>9663</v>
      </c>
      <c r="Q99" s="206">
        <f t="shared" si="21"/>
        <v>5118</v>
      </c>
      <c r="R99" s="206">
        <f t="shared" si="22"/>
        <v>116</v>
      </c>
      <c r="S99" s="206">
        <f t="shared" si="23"/>
        <v>7</v>
      </c>
      <c r="T99" s="206">
        <f t="shared" si="24"/>
        <v>32</v>
      </c>
      <c r="AA99" s="71" t="str">
        <f t="shared" si="38"/>
        <v>DEL/BJL</v>
      </c>
      <c r="AB99">
        <f t="shared" si="39"/>
        <v>0</v>
      </c>
      <c r="AC99">
        <f t="shared" si="40"/>
        <v>116</v>
      </c>
      <c r="AD99">
        <f t="shared" si="41"/>
        <v>7</v>
      </c>
      <c r="AE99">
        <f t="shared" si="42"/>
        <v>14</v>
      </c>
      <c r="AF99" t="str">
        <f t="shared" si="43"/>
        <v>A revoir</v>
      </c>
    </row>
    <row r="100" spans="1:32" x14ac:dyDescent="0.4">
      <c r="A100" s="204" t="s">
        <v>455</v>
      </c>
      <c r="B100" s="204"/>
      <c r="C100" s="204" t="s">
        <v>1214</v>
      </c>
      <c r="D100" s="204" t="s">
        <v>1277</v>
      </c>
      <c r="E100" s="204" t="s">
        <v>1238</v>
      </c>
      <c r="F100" s="204" t="s">
        <v>1279</v>
      </c>
      <c r="G100" s="204"/>
      <c r="H100" s="204"/>
      <c r="J100" t="str">
        <f t="shared" si="31"/>
        <v/>
      </c>
      <c r="K100" t="str">
        <f t="shared" si="32"/>
        <v/>
      </c>
      <c r="L100" t="str">
        <f t="shared" si="33"/>
        <v/>
      </c>
      <c r="M100" t="str">
        <f t="shared" si="34"/>
        <v/>
      </c>
      <c r="N100" s="76" t="str">
        <f t="shared" si="35"/>
        <v/>
      </c>
      <c r="O100" s="20">
        <f t="shared" si="36"/>
        <v>0</v>
      </c>
      <c r="P100" s="76">
        <f t="shared" si="37"/>
        <v>0</v>
      </c>
      <c r="Q100" s="206">
        <f t="shared" si="21"/>
        <v>0</v>
      </c>
      <c r="R100" s="206">
        <f t="shared" si="22"/>
        <v>0</v>
      </c>
      <c r="S100" s="206">
        <f t="shared" si="23"/>
        <v>0</v>
      </c>
      <c r="T100" s="206">
        <f t="shared" si="24"/>
        <v>0</v>
      </c>
      <c r="AA100" s="71" t="str">
        <f t="shared" si="38"/>
        <v/>
      </c>
      <c r="AB100">
        <f t="shared" si="39"/>
        <v>0</v>
      </c>
      <c r="AC100">
        <f t="shared" si="40"/>
        <v>0</v>
      </c>
      <c r="AD100">
        <f t="shared" si="41"/>
        <v>0</v>
      </c>
      <c r="AE100">
        <f t="shared" si="42"/>
        <v>0</v>
      </c>
      <c r="AF100" t="str">
        <f t="shared" si="43"/>
        <v/>
      </c>
    </row>
    <row r="101" spans="1:32" x14ac:dyDescent="0.4">
      <c r="A101" s="204" t="s">
        <v>1271</v>
      </c>
      <c r="B101" s="204" t="s">
        <v>1272</v>
      </c>
      <c r="C101" s="204" t="s">
        <v>1574</v>
      </c>
      <c r="D101" s="204" t="s">
        <v>1273</v>
      </c>
      <c r="E101" s="204" t="s">
        <v>1274</v>
      </c>
      <c r="F101" s="204" t="s">
        <v>1240</v>
      </c>
      <c r="G101" s="204" t="s">
        <v>454</v>
      </c>
      <c r="H101" s="204"/>
      <c r="J101">
        <f t="shared" si="31"/>
        <v>14</v>
      </c>
      <c r="K101" t="str">
        <f t="shared" si="32"/>
        <v>DEL</v>
      </c>
      <c r="L101" t="str">
        <f t="shared" si="33"/>
        <v>OXB</v>
      </c>
      <c r="M101" t="str">
        <f t="shared" si="34"/>
        <v>in</v>
      </c>
      <c r="N101" s="76" t="str">
        <f t="shared" si="35"/>
        <v>DEL/OXB</v>
      </c>
      <c r="O101" s="20" t="str">
        <f t="shared" si="36"/>
        <v>9 645</v>
      </c>
      <c r="P101" s="76">
        <f t="shared" si="37"/>
        <v>9645</v>
      </c>
      <c r="Q101" s="206">
        <f t="shared" si="21"/>
        <v>4908</v>
      </c>
      <c r="R101" s="206">
        <f t="shared" si="22"/>
        <v>97</v>
      </c>
      <c r="S101" s="206">
        <f t="shared" si="23"/>
        <v>5</v>
      </c>
      <c r="T101" s="206">
        <f t="shared" si="24"/>
        <v>17</v>
      </c>
      <c r="AA101" s="71" t="str">
        <f t="shared" si="38"/>
        <v>DEL/OXB</v>
      </c>
      <c r="AB101">
        <f t="shared" si="39"/>
        <v>-210</v>
      </c>
      <c r="AC101">
        <f t="shared" si="40"/>
        <v>97</v>
      </c>
      <c r="AD101">
        <f t="shared" si="41"/>
        <v>5</v>
      </c>
      <c r="AE101">
        <f t="shared" si="42"/>
        <v>-1</v>
      </c>
      <c r="AF101" t="str">
        <f t="shared" si="43"/>
        <v/>
      </c>
    </row>
    <row r="102" spans="1:32" x14ac:dyDescent="0.4">
      <c r="A102" s="204" t="s">
        <v>455</v>
      </c>
      <c r="B102" s="204"/>
      <c r="C102" s="204" t="s">
        <v>1575</v>
      </c>
      <c r="D102" s="204" t="s">
        <v>1273</v>
      </c>
      <c r="E102" s="204" t="s">
        <v>1274</v>
      </c>
      <c r="F102" s="204" t="s">
        <v>1241</v>
      </c>
      <c r="G102" s="204"/>
      <c r="H102" s="204"/>
      <c r="J102" t="str">
        <f t="shared" si="31"/>
        <v/>
      </c>
      <c r="K102" t="str">
        <f t="shared" si="32"/>
        <v/>
      </c>
      <c r="L102" t="str">
        <f t="shared" si="33"/>
        <v/>
      </c>
      <c r="M102" t="str">
        <f t="shared" si="34"/>
        <v/>
      </c>
      <c r="N102" s="76" t="str">
        <f t="shared" si="35"/>
        <v/>
      </c>
      <c r="O102" s="20">
        <f t="shared" si="36"/>
        <v>0</v>
      </c>
      <c r="P102" s="76">
        <f t="shared" si="37"/>
        <v>0</v>
      </c>
      <c r="Q102" s="206">
        <f t="shared" ref="Q102:Q165" si="44">IF(P102=0,0,VALUE(LEFT(C102,LEN(C102)-4)))</f>
        <v>0</v>
      </c>
      <c r="R102" s="206">
        <f t="shared" ref="R102:R165" si="45">IF(Q102=0,0,VALUE(LEFT(D102,LEN(D102)-4)))</f>
        <v>0</v>
      </c>
      <c r="S102" s="206">
        <f t="shared" ref="S102:S165" si="46">IF(R102=0,0,VALUE(LEFT(E102,LEN(E102)-4)))</f>
        <v>0</v>
      </c>
      <c r="T102" s="206">
        <f t="shared" ref="T102:T165" si="47">IF(S102=0,0,VALUE(LEFT(F102,LEN(F102)-7)))</f>
        <v>0</v>
      </c>
      <c r="AA102" s="71" t="str">
        <f t="shared" si="38"/>
        <v/>
      </c>
      <c r="AB102">
        <f t="shared" si="39"/>
        <v>0</v>
      </c>
      <c r="AC102">
        <f t="shared" si="40"/>
        <v>0</v>
      </c>
      <c r="AD102">
        <f t="shared" si="41"/>
        <v>0</v>
      </c>
      <c r="AE102">
        <f t="shared" si="42"/>
        <v>0</v>
      </c>
      <c r="AF102" t="str">
        <f t="shared" si="43"/>
        <v/>
      </c>
    </row>
    <row r="103" spans="1:32" x14ac:dyDescent="0.4">
      <c r="A103" s="204" t="s">
        <v>1447</v>
      </c>
      <c r="B103" s="204" t="s">
        <v>1448</v>
      </c>
      <c r="C103" s="204" t="s">
        <v>1576</v>
      </c>
      <c r="D103" s="204" t="s">
        <v>1455</v>
      </c>
      <c r="E103" s="204" t="s">
        <v>1456</v>
      </c>
      <c r="F103" s="204" t="s">
        <v>1240</v>
      </c>
      <c r="G103" s="204" t="s">
        <v>454</v>
      </c>
      <c r="H103" s="204"/>
      <c r="J103">
        <f t="shared" si="31"/>
        <v>14</v>
      </c>
      <c r="K103" t="str">
        <f t="shared" si="32"/>
        <v>BOG</v>
      </c>
      <c r="L103" t="str">
        <f t="shared" si="33"/>
        <v>PHC</v>
      </c>
      <c r="M103" t="str">
        <f t="shared" si="34"/>
        <v>co</v>
      </c>
      <c r="N103" s="76" t="str">
        <f t="shared" si="35"/>
        <v>BOG/PHC</v>
      </c>
      <c r="O103" s="20" t="str">
        <f t="shared" si="36"/>
        <v>8 980</v>
      </c>
      <c r="P103" s="76">
        <f t="shared" si="37"/>
        <v>8980</v>
      </c>
      <c r="Q103" s="206">
        <f t="shared" si="44"/>
        <v>3927</v>
      </c>
      <c r="R103" s="206">
        <f t="shared" si="45"/>
        <v>195</v>
      </c>
      <c r="S103" s="206">
        <f t="shared" si="46"/>
        <v>27</v>
      </c>
      <c r="T103" s="206">
        <f t="shared" si="47"/>
        <v>17</v>
      </c>
      <c r="AA103" s="71" t="str">
        <f t="shared" si="38"/>
        <v>BOG/PHC</v>
      </c>
      <c r="AB103">
        <f>IFERROR(IF(FIND("Km",$B103),IF($B104="",IF(FIND("Pax",C104),VALUE((LEFT(C104,LEN(C104)-4))),))),0)</f>
        <v>-325</v>
      </c>
      <c r="AC103">
        <f t="shared" si="40"/>
        <v>195</v>
      </c>
      <c r="AD103">
        <f t="shared" si="41"/>
        <v>27</v>
      </c>
      <c r="AE103">
        <f t="shared" si="42"/>
        <v>5</v>
      </c>
      <c r="AF103" t="str">
        <f t="shared" si="43"/>
        <v/>
      </c>
    </row>
    <row r="104" spans="1:32" x14ac:dyDescent="0.4">
      <c r="A104" s="204" t="s">
        <v>455</v>
      </c>
      <c r="B104" s="204"/>
      <c r="C104" s="204" t="s">
        <v>1577</v>
      </c>
      <c r="D104" s="204" t="s">
        <v>1455</v>
      </c>
      <c r="E104" s="204" t="s">
        <v>1456</v>
      </c>
      <c r="F104" s="204" t="s">
        <v>1291</v>
      </c>
      <c r="G104" s="204"/>
      <c r="H104" s="204"/>
      <c r="J104" t="str">
        <f t="shared" si="31"/>
        <v/>
      </c>
      <c r="K104" t="str">
        <f t="shared" si="32"/>
        <v/>
      </c>
      <c r="L104" t="str">
        <f t="shared" si="33"/>
        <v/>
      </c>
      <c r="M104" t="str">
        <f t="shared" si="34"/>
        <v/>
      </c>
      <c r="N104" s="76" t="str">
        <f t="shared" si="35"/>
        <v/>
      </c>
      <c r="O104" s="20">
        <f t="shared" si="36"/>
        <v>0</v>
      </c>
      <c r="P104" s="76">
        <f t="shared" si="37"/>
        <v>0</v>
      </c>
      <c r="Q104" s="206">
        <f t="shared" si="44"/>
        <v>0</v>
      </c>
      <c r="R104" s="206">
        <f t="shared" si="45"/>
        <v>0</v>
      </c>
      <c r="S104" s="206">
        <f t="shared" si="46"/>
        <v>0</v>
      </c>
      <c r="T104" s="206">
        <f t="shared" si="47"/>
        <v>0</v>
      </c>
      <c r="AA104" s="71" t="str">
        <f t="shared" si="38"/>
        <v/>
      </c>
      <c r="AB104">
        <f t="shared" si="39"/>
        <v>0</v>
      </c>
      <c r="AC104">
        <f t="shared" si="40"/>
        <v>0</v>
      </c>
      <c r="AD104">
        <f t="shared" si="41"/>
        <v>0</v>
      </c>
      <c r="AE104">
        <f t="shared" si="42"/>
        <v>0</v>
      </c>
      <c r="AF104" t="str">
        <f t="shared" si="43"/>
        <v/>
      </c>
    </row>
    <row r="105" spans="1:32" x14ac:dyDescent="0.4">
      <c r="A105" s="204" t="s">
        <v>1452</v>
      </c>
      <c r="B105" s="204" t="s">
        <v>1453</v>
      </c>
      <c r="C105" s="204" t="s">
        <v>1578</v>
      </c>
      <c r="D105" s="204" t="s">
        <v>1406</v>
      </c>
      <c r="E105" s="204" t="s">
        <v>1457</v>
      </c>
      <c r="F105" s="204" t="s">
        <v>1279</v>
      </c>
      <c r="G105" s="204" t="s">
        <v>454</v>
      </c>
      <c r="H105" s="204"/>
      <c r="J105">
        <f t="shared" si="31"/>
        <v>14</v>
      </c>
      <c r="K105" t="str">
        <f t="shared" si="32"/>
        <v>BOG</v>
      </c>
      <c r="L105" t="str">
        <f t="shared" si="33"/>
        <v>KAN</v>
      </c>
      <c r="M105" t="str">
        <f t="shared" si="34"/>
        <v>co</v>
      </c>
      <c r="N105" s="76" t="str">
        <f t="shared" si="35"/>
        <v>BOG/KAN</v>
      </c>
      <c r="O105" s="20" t="str">
        <f t="shared" si="36"/>
        <v>9 105</v>
      </c>
      <c r="P105" s="76">
        <f t="shared" si="37"/>
        <v>9105</v>
      </c>
      <c r="Q105" s="206">
        <f t="shared" si="44"/>
        <v>4604</v>
      </c>
      <c r="R105" s="206">
        <f t="shared" si="45"/>
        <v>227</v>
      </c>
      <c r="S105" s="206">
        <f t="shared" si="46"/>
        <v>29</v>
      </c>
      <c r="T105" s="206">
        <f t="shared" si="47"/>
        <v>14</v>
      </c>
      <c r="AA105" s="71" t="str">
        <f t="shared" si="38"/>
        <v>BOG/KAN</v>
      </c>
      <c r="AB105">
        <f t="shared" si="39"/>
        <v>-128</v>
      </c>
      <c r="AC105">
        <f t="shared" si="40"/>
        <v>227</v>
      </c>
      <c r="AD105">
        <f t="shared" si="41"/>
        <v>29</v>
      </c>
      <c r="AE105">
        <f t="shared" si="42"/>
        <v>1</v>
      </c>
      <c r="AF105" t="str">
        <f t="shared" si="43"/>
        <v>A revoir</v>
      </c>
    </row>
    <row r="106" spans="1:32" x14ac:dyDescent="0.4">
      <c r="A106" s="204" t="s">
        <v>455</v>
      </c>
      <c r="B106" s="204"/>
      <c r="C106" s="204" t="s">
        <v>1579</v>
      </c>
      <c r="D106" s="204" t="s">
        <v>1406</v>
      </c>
      <c r="E106" s="204" t="s">
        <v>1457</v>
      </c>
      <c r="F106" s="204" t="s">
        <v>1215</v>
      </c>
      <c r="G106" s="204"/>
      <c r="H106" s="204"/>
      <c r="J106" t="str">
        <f t="shared" si="31"/>
        <v/>
      </c>
      <c r="K106" t="str">
        <f t="shared" si="32"/>
        <v/>
      </c>
      <c r="L106" t="str">
        <f t="shared" si="33"/>
        <v/>
      </c>
      <c r="M106" t="str">
        <f t="shared" si="34"/>
        <v/>
      </c>
      <c r="N106" s="76" t="str">
        <f t="shared" si="35"/>
        <v/>
      </c>
      <c r="O106" s="20">
        <f t="shared" si="36"/>
        <v>0</v>
      </c>
      <c r="P106" s="76">
        <f t="shared" si="37"/>
        <v>0</v>
      </c>
      <c r="Q106" s="206">
        <f t="shared" si="44"/>
        <v>0</v>
      </c>
      <c r="R106" s="206">
        <f t="shared" si="45"/>
        <v>0</v>
      </c>
      <c r="S106" s="206">
        <f t="shared" si="46"/>
        <v>0</v>
      </c>
      <c r="T106" s="206">
        <f t="shared" si="47"/>
        <v>0</v>
      </c>
      <c r="AA106" s="71" t="str">
        <f t="shared" si="38"/>
        <v/>
      </c>
      <c r="AB106">
        <f t="shared" si="39"/>
        <v>0</v>
      </c>
      <c r="AC106">
        <f t="shared" si="40"/>
        <v>0</v>
      </c>
      <c r="AD106">
        <f t="shared" si="41"/>
        <v>0</v>
      </c>
      <c r="AE106">
        <f t="shared" si="42"/>
        <v>0</v>
      </c>
      <c r="AF106" t="str">
        <f t="shared" si="43"/>
        <v/>
      </c>
    </row>
    <row r="107" spans="1:32" x14ac:dyDescent="0.4">
      <c r="A107" s="204" t="s">
        <v>1440</v>
      </c>
      <c r="B107" s="204" t="s">
        <v>1441</v>
      </c>
      <c r="C107" s="204" t="s">
        <v>1580</v>
      </c>
      <c r="D107" s="204" t="s">
        <v>1442</v>
      </c>
      <c r="E107" s="204" t="s">
        <v>1286</v>
      </c>
      <c r="F107" s="204" t="s">
        <v>1443</v>
      </c>
      <c r="G107" s="204" t="s">
        <v>454</v>
      </c>
      <c r="H107" s="204"/>
      <c r="J107">
        <f t="shared" si="31"/>
        <v>14</v>
      </c>
      <c r="K107" t="str">
        <f t="shared" si="32"/>
        <v>BOG</v>
      </c>
      <c r="L107" t="str">
        <f t="shared" si="33"/>
        <v>NDJ</v>
      </c>
      <c r="M107" t="str">
        <f t="shared" si="34"/>
        <v>co</v>
      </c>
      <c r="N107" s="76" t="str">
        <f t="shared" si="35"/>
        <v>BOG/NDJ</v>
      </c>
      <c r="O107" s="20" t="str">
        <f t="shared" si="36"/>
        <v>9 811</v>
      </c>
      <c r="P107" s="76">
        <f t="shared" si="37"/>
        <v>9811</v>
      </c>
      <c r="Q107" s="206">
        <f t="shared" si="44"/>
        <v>3933</v>
      </c>
      <c r="R107" s="206">
        <f t="shared" si="45"/>
        <v>129</v>
      </c>
      <c r="S107" s="206">
        <f t="shared" si="46"/>
        <v>9</v>
      </c>
      <c r="T107" s="206">
        <f t="shared" si="47"/>
        <v>12</v>
      </c>
      <c r="AA107" s="71" t="str">
        <f t="shared" si="38"/>
        <v>BOG/NDJ</v>
      </c>
      <c r="AB107">
        <f t="shared" si="39"/>
        <v>-319</v>
      </c>
      <c r="AC107">
        <f t="shared" si="40"/>
        <v>129</v>
      </c>
      <c r="AD107">
        <f t="shared" si="41"/>
        <v>9</v>
      </c>
      <c r="AE107">
        <f t="shared" si="42"/>
        <v>1</v>
      </c>
      <c r="AF107" t="str">
        <f t="shared" si="43"/>
        <v/>
      </c>
    </row>
    <row r="108" spans="1:32" x14ac:dyDescent="0.4">
      <c r="A108" s="204" t="s">
        <v>455</v>
      </c>
      <c r="B108" s="204"/>
      <c r="C108" s="204" t="s">
        <v>1581</v>
      </c>
      <c r="D108" s="204" t="s">
        <v>1442</v>
      </c>
      <c r="E108" s="204" t="s">
        <v>1286</v>
      </c>
      <c r="F108" s="204" t="s">
        <v>1215</v>
      </c>
      <c r="G108" s="204"/>
      <c r="H108" s="204"/>
      <c r="J108" t="str">
        <f t="shared" si="31"/>
        <v/>
      </c>
      <c r="K108" t="str">
        <f t="shared" si="32"/>
        <v/>
      </c>
      <c r="L108" t="str">
        <f t="shared" si="33"/>
        <v/>
      </c>
      <c r="M108" t="str">
        <f t="shared" si="34"/>
        <v/>
      </c>
      <c r="N108" s="76" t="str">
        <f t="shared" si="35"/>
        <v/>
      </c>
      <c r="O108" s="20">
        <f t="shared" si="36"/>
        <v>0</v>
      </c>
      <c r="P108" s="76">
        <f t="shared" si="37"/>
        <v>0</v>
      </c>
      <c r="Q108" s="206">
        <f t="shared" si="44"/>
        <v>0</v>
      </c>
      <c r="R108" s="206">
        <f t="shared" si="45"/>
        <v>0</v>
      </c>
      <c r="S108" s="206">
        <f t="shared" si="46"/>
        <v>0</v>
      </c>
      <c r="T108" s="206">
        <f t="shared" si="47"/>
        <v>0</v>
      </c>
      <c r="AA108" s="71" t="str">
        <f t="shared" si="38"/>
        <v/>
      </c>
      <c r="AB108">
        <f t="shared" si="39"/>
        <v>0</v>
      </c>
      <c r="AC108">
        <f t="shared" si="40"/>
        <v>0</v>
      </c>
      <c r="AD108">
        <f t="shared" si="41"/>
        <v>0</v>
      </c>
      <c r="AE108">
        <f t="shared" si="42"/>
        <v>0</v>
      </c>
      <c r="AF108" t="str">
        <f t="shared" si="43"/>
        <v/>
      </c>
    </row>
    <row r="109" spans="1:32" x14ac:dyDescent="0.4">
      <c r="A109" s="204" t="s">
        <v>1428</v>
      </c>
      <c r="B109" s="204" t="s">
        <v>1429</v>
      </c>
      <c r="C109" s="204" t="s">
        <v>1582</v>
      </c>
      <c r="D109" s="204" t="s">
        <v>1433</v>
      </c>
      <c r="E109" s="204" t="s">
        <v>1430</v>
      </c>
      <c r="F109" s="204" t="s">
        <v>1431</v>
      </c>
      <c r="G109" s="204" t="s">
        <v>454</v>
      </c>
      <c r="H109" s="204"/>
      <c r="J109">
        <f t="shared" si="31"/>
        <v>14</v>
      </c>
      <c r="K109" t="str">
        <f t="shared" si="32"/>
        <v>BOG</v>
      </c>
      <c r="L109" t="str">
        <f t="shared" si="33"/>
        <v>LAD</v>
      </c>
      <c r="M109" t="str">
        <f t="shared" si="34"/>
        <v>co</v>
      </c>
      <c r="N109" s="76" t="str">
        <f t="shared" si="35"/>
        <v>BOG/LAD</v>
      </c>
      <c r="O109" s="20" t="str">
        <f t="shared" si="36"/>
        <v>9 803</v>
      </c>
      <c r="P109" s="76">
        <f t="shared" si="37"/>
        <v>9803</v>
      </c>
      <c r="Q109" s="206">
        <f t="shared" si="44"/>
        <v>4085</v>
      </c>
      <c r="R109" s="206">
        <f t="shared" si="45"/>
        <v>216</v>
      </c>
      <c r="S109" s="206">
        <f t="shared" si="46"/>
        <v>34</v>
      </c>
      <c r="T109" s="206">
        <f t="shared" si="47"/>
        <v>63</v>
      </c>
      <c r="AA109" s="71" t="str">
        <f t="shared" si="38"/>
        <v>BOG/LAD</v>
      </c>
      <c r="AB109">
        <f t="shared" si="39"/>
        <v>-167</v>
      </c>
      <c r="AC109">
        <f t="shared" si="40"/>
        <v>216</v>
      </c>
      <c r="AD109">
        <f t="shared" si="41"/>
        <v>34</v>
      </c>
      <c r="AE109">
        <f t="shared" si="42"/>
        <v>51</v>
      </c>
      <c r="AF109" t="str">
        <f t="shared" si="43"/>
        <v>A revoir</v>
      </c>
    </row>
    <row r="110" spans="1:32" x14ac:dyDescent="0.4">
      <c r="A110" s="204" t="s">
        <v>455</v>
      </c>
      <c r="B110" s="204"/>
      <c r="C110" s="204" t="s">
        <v>1558</v>
      </c>
      <c r="D110" s="204" t="s">
        <v>1433</v>
      </c>
      <c r="E110" s="204" t="s">
        <v>1430</v>
      </c>
      <c r="F110" s="204" t="s">
        <v>1434</v>
      </c>
      <c r="G110" s="204"/>
      <c r="H110" s="204"/>
      <c r="J110" t="str">
        <f t="shared" si="31"/>
        <v/>
      </c>
      <c r="K110" t="str">
        <f t="shared" si="32"/>
        <v/>
      </c>
      <c r="L110" t="str">
        <f t="shared" si="33"/>
        <v/>
      </c>
      <c r="M110" t="str">
        <f t="shared" si="34"/>
        <v/>
      </c>
      <c r="N110" s="76" t="str">
        <f t="shared" si="35"/>
        <v/>
      </c>
      <c r="O110" s="20">
        <f t="shared" si="36"/>
        <v>0</v>
      </c>
      <c r="P110" s="76">
        <f t="shared" si="37"/>
        <v>0</v>
      </c>
      <c r="Q110" s="206">
        <f t="shared" si="44"/>
        <v>0</v>
      </c>
      <c r="R110" s="206">
        <f t="shared" si="45"/>
        <v>0</v>
      </c>
      <c r="S110" s="206">
        <f t="shared" si="46"/>
        <v>0</v>
      </c>
      <c r="T110" s="206">
        <f t="shared" si="47"/>
        <v>0</v>
      </c>
      <c r="AA110" s="71" t="str">
        <f t="shared" si="38"/>
        <v/>
      </c>
      <c r="AB110">
        <f t="shared" si="39"/>
        <v>0</v>
      </c>
      <c r="AC110">
        <f t="shared" si="40"/>
        <v>0</v>
      </c>
      <c r="AD110">
        <f t="shared" si="41"/>
        <v>0</v>
      </c>
      <c r="AE110">
        <f t="shared" si="42"/>
        <v>0</v>
      </c>
      <c r="AF110" t="str">
        <f t="shared" si="43"/>
        <v/>
      </c>
    </row>
    <row r="111" spans="1:32" x14ac:dyDescent="0.4">
      <c r="A111" s="204" t="s">
        <v>1250</v>
      </c>
      <c r="B111" s="204" t="s">
        <v>1251</v>
      </c>
      <c r="C111" s="204" t="s">
        <v>1553</v>
      </c>
      <c r="D111" s="204" t="s">
        <v>1253</v>
      </c>
      <c r="E111" s="204" t="s">
        <v>1212</v>
      </c>
      <c r="F111" s="204" t="s">
        <v>1246</v>
      </c>
      <c r="G111" s="204" t="s">
        <v>454</v>
      </c>
      <c r="H111" s="204"/>
      <c r="J111">
        <f t="shared" si="31"/>
        <v>14</v>
      </c>
      <c r="K111" t="str">
        <f t="shared" si="32"/>
        <v>BOM</v>
      </c>
      <c r="L111" t="str">
        <f t="shared" si="33"/>
        <v>CKY</v>
      </c>
      <c r="M111" t="str">
        <f t="shared" si="34"/>
        <v>in</v>
      </c>
      <c r="N111" s="76" t="str">
        <f t="shared" si="35"/>
        <v>BOM/CKY</v>
      </c>
      <c r="O111" s="20" t="str">
        <f t="shared" si="36"/>
        <v>9 297</v>
      </c>
      <c r="P111" s="76">
        <f t="shared" si="37"/>
        <v>9297</v>
      </c>
      <c r="Q111" s="206">
        <f t="shared" si="44"/>
        <v>5120</v>
      </c>
      <c r="R111" s="206">
        <f t="shared" si="45"/>
        <v>113</v>
      </c>
      <c r="S111" s="206">
        <f t="shared" si="46"/>
        <v>6</v>
      </c>
      <c r="T111" s="206">
        <f t="shared" si="47"/>
        <v>18</v>
      </c>
      <c r="AA111" s="71" t="str">
        <f t="shared" si="38"/>
        <v>BOM/CKY</v>
      </c>
      <c r="AB111">
        <f t="shared" si="39"/>
        <v>2</v>
      </c>
      <c r="AC111">
        <f t="shared" si="40"/>
        <v>113</v>
      </c>
      <c r="AD111">
        <f t="shared" si="41"/>
        <v>6</v>
      </c>
      <c r="AE111">
        <f t="shared" si="42"/>
        <v>1</v>
      </c>
      <c r="AF111" t="str">
        <f t="shared" si="43"/>
        <v>A revoir</v>
      </c>
    </row>
    <row r="112" spans="1:32" x14ac:dyDescent="0.4">
      <c r="A112" s="204" t="s">
        <v>455</v>
      </c>
      <c r="B112" s="204"/>
      <c r="C112" s="204" t="s">
        <v>1461</v>
      </c>
      <c r="D112" s="204" t="s">
        <v>1253</v>
      </c>
      <c r="E112" s="204" t="s">
        <v>1212</v>
      </c>
      <c r="F112" s="204" t="s">
        <v>1215</v>
      </c>
      <c r="G112" s="204"/>
      <c r="H112" s="204"/>
      <c r="J112" t="str">
        <f t="shared" si="31"/>
        <v/>
      </c>
      <c r="K112" t="str">
        <f t="shared" si="32"/>
        <v/>
      </c>
      <c r="L112" t="str">
        <f t="shared" si="33"/>
        <v/>
      </c>
      <c r="M112" t="str">
        <f t="shared" si="34"/>
        <v/>
      </c>
      <c r="N112" s="76" t="str">
        <f t="shared" si="35"/>
        <v/>
      </c>
      <c r="O112" s="20">
        <f t="shared" si="36"/>
        <v>0</v>
      </c>
      <c r="P112" s="76">
        <f t="shared" si="37"/>
        <v>0</v>
      </c>
      <c r="Q112" s="206">
        <f t="shared" si="44"/>
        <v>0</v>
      </c>
      <c r="R112" s="206">
        <f t="shared" si="45"/>
        <v>0</v>
      </c>
      <c r="S112" s="206">
        <f t="shared" si="46"/>
        <v>0</v>
      </c>
      <c r="T112" s="206">
        <f t="shared" si="47"/>
        <v>0</v>
      </c>
      <c r="AA112" s="71" t="str">
        <f t="shared" si="38"/>
        <v/>
      </c>
      <c r="AB112">
        <f t="shared" si="39"/>
        <v>0</v>
      </c>
      <c r="AC112">
        <f t="shared" si="40"/>
        <v>0</v>
      </c>
      <c r="AD112">
        <f t="shared" si="41"/>
        <v>0</v>
      </c>
      <c r="AE112">
        <f t="shared" si="42"/>
        <v>0</v>
      </c>
      <c r="AF112" t="str">
        <f t="shared" si="43"/>
        <v/>
      </c>
    </row>
    <row r="113" spans="1:32" x14ac:dyDescent="0.4">
      <c r="A113" s="204" t="s">
        <v>1242</v>
      </c>
      <c r="B113" s="204" t="s">
        <v>1243</v>
      </c>
      <c r="C113" s="204" t="s">
        <v>1583</v>
      </c>
      <c r="D113" s="204" t="s">
        <v>1245</v>
      </c>
      <c r="E113" s="204" t="s">
        <v>1244</v>
      </c>
      <c r="F113" s="204" t="s">
        <v>1246</v>
      </c>
      <c r="G113" s="204" t="s">
        <v>454</v>
      </c>
      <c r="H113" s="204"/>
      <c r="J113">
        <f t="shared" si="31"/>
        <v>14</v>
      </c>
      <c r="K113" t="str">
        <f t="shared" si="32"/>
        <v>BOM</v>
      </c>
      <c r="L113" t="str">
        <f t="shared" si="33"/>
        <v>FNA</v>
      </c>
      <c r="M113" t="str">
        <f t="shared" si="34"/>
        <v>in</v>
      </c>
      <c r="N113" s="76" t="str">
        <f t="shared" si="35"/>
        <v>BOM/FNA</v>
      </c>
      <c r="O113" s="20" t="str">
        <f t="shared" si="36"/>
        <v>9 287</v>
      </c>
      <c r="P113" s="76">
        <f t="shared" si="37"/>
        <v>9287</v>
      </c>
      <c r="Q113" s="206">
        <f t="shared" si="44"/>
        <v>5123</v>
      </c>
      <c r="R113" s="206">
        <f t="shared" si="45"/>
        <v>90</v>
      </c>
      <c r="S113" s="206">
        <f t="shared" si="46"/>
        <v>3</v>
      </c>
      <c r="T113" s="206">
        <f t="shared" si="47"/>
        <v>18</v>
      </c>
      <c r="AA113" s="71" t="str">
        <f t="shared" si="38"/>
        <v>BOM/FNA</v>
      </c>
      <c r="AB113">
        <f t="shared" si="39"/>
        <v>5</v>
      </c>
      <c r="AC113">
        <f t="shared" si="40"/>
        <v>90</v>
      </c>
      <c r="AD113">
        <f t="shared" si="41"/>
        <v>3</v>
      </c>
      <c r="AE113">
        <f t="shared" si="42"/>
        <v>1</v>
      </c>
      <c r="AF113" t="str">
        <f t="shared" si="43"/>
        <v>A revoir</v>
      </c>
    </row>
    <row r="114" spans="1:32" x14ac:dyDescent="0.4">
      <c r="A114" s="204" t="s">
        <v>455</v>
      </c>
      <c r="B114" s="204"/>
      <c r="C114" s="204" t="s">
        <v>1274</v>
      </c>
      <c r="D114" s="204" t="s">
        <v>1245</v>
      </c>
      <c r="E114" s="204" t="s">
        <v>1244</v>
      </c>
      <c r="F114" s="204" t="s">
        <v>1215</v>
      </c>
      <c r="G114" s="204"/>
      <c r="H114" s="204"/>
      <c r="J114" t="str">
        <f t="shared" si="31"/>
        <v/>
      </c>
      <c r="K114" t="str">
        <f t="shared" si="32"/>
        <v/>
      </c>
      <c r="L114" t="str">
        <f t="shared" si="33"/>
        <v/>
      </c>
      <c r="M114" t="str">
        <f t="shared" si="34"/>
        <v/>
      </c>
      <c r="N114" s="76" t="str">
        <f t="shared" si="35"/>
        <v/>
      </c>
      <c r="O114" s="20">
        <f t="shared" si="36"/>
        <v>0</v>
      </c>
      <c r="P114" s="76">
        <f t="shared" si="37"/>
        <v>0</v>
      </c>
      <c r="Q114" s="206">
        <f t="shared" si="44"/>
        <v>0</v>
      </c>
      <c r="R114" s="206">
        <f t="shared" si="45"/>
        <v>0</v>
      </c>
      <c r="S114" s="206">
        <f t="shared" si="46"/>
        <v>0</v>
      </c>
      <c r="T114" s="206">
        <f t="shared" si="47"/>
        <v>0</v>
      </c>
      <c r="AA114" s="71" t="str">
        <f t="shared" si="38"/>
        <v/>
      </c>
      <c r="AB114">
        <f t="shared" si="39"/>
        <v>0</v>
      </c>
      <c r="AC114">
        <f t="shared" si="40"/>
        <v>0</v>
      </c>
      <c r="AD114">
        <f t="shared" si="41"/>
        <v>0</v>
      </c>
      <c r="AE114">
        <f t="shared" si="42"/>
        <v>0</v>
      </c>
      <c r="AF114" t="str">
        <f t="shared" si="43"/>
        <v/>
      </c>
    </row>
    <row r="115" spans="1:32" x14ac:dyDescent="0.4">
      <c r="A115" s="204" t="s">
        <v>1236</v>
      </c>
      <c r="B115" s="204" t="s">
        <v>1237</v>
      </c>
      <c r="C115" s="204" t="s">
        <v>1252</v>
      </c>
      <c r="D115" s="204" t="s">
        <v>1239</v>
      </c>
      <c r="E115" s="204" t="s">
        <v>1238</v>
      </c>
      <c r="F115" s="204" t="s">
        <v>1240</v>
      </c>
      <c r="G115" s="204" t="s">
        <v>454</v>
      </c>
      <c r="H115" s="204"/>
      <c r="J115">
        <f t="shared" si="31"/>
        <v>14</v>
      </c>
      <c r="K115" t="str">
        <f t="shared" si="32"/>
        <v>BOM</v>
      </c>
      <c r="L115" t="str">
        <f t="shared" si="33"/>
        <v>BJL</v>
      </c>
      <c r="M115" t="str">
        <f t="shared" si="34"/>
        <v>in</v>
      </c>
      <c r="N115" s="76" t="str">
        <f t="shared" si="35"/>
        <v>BOM/BJL</v>
      </c>
      <c r="O115" s="20" t="str">
        <f t="shared" si="36"/>
        <v>9 479</v>
      </c>
      <c r="P115" s="76">
        <f t="shared" si="37"/>
        <v>9479</v>
      </c>
      <c r="Q115" s="206">
        <f t="shared" si="44"/>
        <v>5117</v>
      </c>
      <c r="R115" s="206">
        <f t="shared" si="45"/>
        <v>115</v>
      </c>
      <c r="S115" s="206">
        <f t="shared" si="46"/>
        <v>7</v>
      </c>
      <c r="T115" s="206">
        <f t="shared" si="47"/>
        <v>17</v>
      </c>
      <c r="AA115" s="71" t="str">
        <f t="shared" si="38"/>
        <v>BOM/BJL</v>
      </c>
      <c r="AB115">
        <f t="shared" si="39"/>
        <v>-1</v>
      </c>
      <c r="AC115">
        <f t="shared" si="40"/>
        <v>115</v>
      </c>
      <c r="AD115">
        <f t="shared" si="41"/>
        <v>7</v>
      </c>
      <c r="AE115">
        <f t="shared" si="42"/>
        <v>-1</v>
      </c>
      <c r="AF115" t="str">
        <f t="shared" si="43"/>
        <v>A revoir</v>
      </c>
    </row>
    <row r="116" spans="1:32" x14ac:dyDescent="0.4">
      <c r="A116" s="204" t="s">
        <v>455</v>
      </c>
      <c r="B116" s="204"/>
      <c r="C116" s="204" t="s">
        <v>1254</v>
      </c>
      <c r="D116" s="204" t="s">
        <v>1239</v>
      </c>
      <c r="E116" s="204" t="s">
        <v>1238</v>
      </c>
      <c r="F116" s="204" t="s">
        <v>1241</v>
      </c>
      <c r="G116" s="204"/>
      <c r="H116" s="204"/>
      <c r="J116" t="str">
        <f t="shared" si="31"/>
        <v/>
      </c>
      <c r="K116" t="str">
        <f t="shared" si="32"/>
        <v/>
      </c>
      <c r="L116" t="str">
        <f t="shared" si="33"/>
        <v/>
      </c>
      <c r="M116" t="str">
        <f t="shared" si="34"/>
        <v/>
      </c>
      <c r="N116" s="76" t="str">
        <f t="shared" si="35"/>
        <v/>
      </c>
      <c r="O116" s="20">
        <f t="shared" si="36"/>
        <v>0</v>
      </c>
      <c r="P116" s="76">
        <f t="shared" si="37"/>
        <v>0</v>
      </c>
      <c r="Q116" s="206">
        <f t="shared" si="44"/>
        <v>0</v>
      </c>
      <c r="R116" s="206">
        <f t="shared" si="45"/>
        <v>0</v>
      </c>
      <c r="S116" s="206">
        <f t="shared" si="46"/>
        <v>0</v>
      </c>
      <c r="T116" s="206">
        <f t="shared" si="47"/>
        <v>0</v>
      </c>
      <c r="AA116" s="71" t="str">
        <f t="shared" si="38"/>
        <v/>
      </c>
      <c r="AB116">
        <f t="shared" si="39"/>
        <v>0</v>
      </c>
      <c r="AC116">
        <f t="shared" si="40"/>
        <v>0</v>
      </c>
      <c r="AD116">
        <f t="shared" si="41"/>
        <v>0</v>
      </c>
      <c r="AE116">
        <f t="shared" si="42"/>
        <v>0</v>
      </c>
      <c r="AF116" t="str">
        <f t="shared" si="43"/>
        <v/>
      </c>
    </row>
    <row r="117" spans="1:32" x14ac:dyDescent="0.4">
      <c r="A117" s="204" t="s">
        <v>1142</v>
      </c>
      <c r="B117" s="204"/>
      <c r="C117" s="204"/>
      <c r="D117" s="204"/>
      <c r="E117" s="204"/>
      <c r="F117" s="204"/>
      <c r="G117" s="204"/>
      <c r="H117" s="204"/>
      <c r="J117" t="str">
        <f t="shared" si="31"/>
        <v/>
      </c>
      <c r="K117" t="str">
        <f t="shared" si="32"/>
        <v/>
      </c>
      <c r="L117" t="str">
        <f t="shared" si="33"/>
        <v/>
      </c>
      <c r="M117" t="str">
        <f t="shared" si="34"/>
        <v/>
      </c>
      <c r="N117" s="76" t="str">
        <f t="shared" si="35"/>
        <v/>
      </c>
      <c r="O117" s="20">
        <f t="shared" si="36"/>
        <v>0</v>
      </c>
      <c r="P117" s="76">
        <f t="shared" si="37"/>
        <v>0</v>
      </c>
      <c r="Q117" s="206">
        <f t="shared" si="44"/>
        <v>0</v>
      </c>
      <c r="R117" s="206">
        <f t="shared" si="45"/>
        <v>0</v>
      </c>
      <c r="S117" s="206">
        <f t="shared" si="46"/>
        <v>0</v>
      </c>
      <c r="T117" s="206">
        <f t="shared" si="47"/>
        <v>0</v>
      </c>
      <c r="AA117" s="71" t="str">
        <f t="shared" si="38"/>
        <v/>
      </c>
      <c r="AB117">
        <f t="shared" si="39"/>
        <v>0</v>
      </c>
      <c r="AC117">
        <f t="shared" si="40"/>
        <v>0</v>
      </c>
      <c r="AD117">
        <f t="shared" si="41"/>
        <v>0</v>
      </c>
      <c r="AE117">
        <f t="shared" si="42"/>
        <v>0</v>
      </c>
      <c r="AF117" t="str">
        <f t="shared" si="43"/>
        <v/>
      </c>
    </row>
    <row r="118" spans="1:32" x14ac:dyDescent="0.4">
      <c r="A118" s="204"/>
      <c r="B118" s="204"/>
      <c r="C118" s="204"/>
      <c r="D118" s="204"/>
      <c r="E118" s="204"/>
      <c r="F118" s="204"/>
      <c r="G118" s="204"/>
      <c r="H118" s="204"/>
      <c r="J118" t="str">
        <f t="shared" si="31"/>
        <v/>
      </c>
      <c r="K118" t="str">
        <f t="shared" si="32"/>
        <v/>
      </c>
      <c r="L118" t="str">
        <f t="shared" si="33"/>
        <v/>
      </c>
      <c r="M118" t="str">
        <f t="shared" si="34"/>
        <v/>
      </c>
      <c r="N118" s="76" t="str">
        <f t="shared" si="35"/>
        <v/>
      </c>
      <c r="O118" s="20">
        <f t="shared" si="36"/>
        <v>0</v>
      </c>
      <c r="P118" s="76">
        <f t="shared" si="37"/>
        <v>0</v>
      </c>
      <c r="Q118" s="206">
        <f t="shared" si="44"/>
        <v>0</v>
      </c>
      <c r="R118" s="206">
        <f t="shared" si="45"/>
        <v>0</v>
      </c>
      <c r="S118" s="206">
        <f t="shared" si="46"/>
        <v>0</v>
      </c>
      <c r="T118" s="206">
        <f t="shared" si="47"/>
        <v>0</v>
      </c>
      <c r="AA118" s="71" t="str">
        <f t="shared" si="38"/>
        <v/>
      </c>
      <c r="AB118">
        <f t="shared" si="39"/>
        <v>0</v>
      </c>
      <c r="AC118">
        <f t="shared" si="40"/>
        <v>0</v>
      </c>
      <c r="AD118">
        <f t="shared" si="41"/>
        <v>0</v>
      </c>
      <c r="AE118">
        <f t="shared" si="42"/>
        <v>0</v>
      </c>
      <c r="AF118" t="str">
        <f t="shared" si="43"/>
        <v/>
      </c>
    </row>
    <row r="119" spans="1:32" x14ac:dyDescent="0.4">
      <c r="A119" s="204" t="s">
        <v>405</v>
      </c>
      <c r="B119" s="204"/>
      <c r="C119" s="204"/>
      <c r="D119" s="204"/>
      <c r="E119" s="204"/>
      <c r="F119" s="204"/>
      <c r="G119" s="204"/>
      <c r="H119" s="204"/>
      <c r="J119" t="str">
        <f t="shared" si="31"/>
        <v/>
      </c>
      <c r="K119" t="str">
        <f t="shared" si="32"/>
        <v/>
      </c>
      <c r="L119" t="str">
        <f t="shared" si="33"/>
        <v/>
      </c>
      <c r="M119" t="str">
        <f t="shared" si="34"/>
        <v/>
      </c>
      <c r="N119" s="76" t="str">
        <f t="shared" si="35"/>
        <v/>
      </c>
      <c r="O119" s="20">
        <f t="shared" si="36"/>
        <v>0</v>
      </c>
      <c r="P119" s="76">
        <f t="shared" si="37"/>
        <v>0</v>
      </c>
      <c r="Q119" s="206">
        <f t="shared" si="44"/>
        <v>0</v>
      </c>
      <c r="R119" s="206">
        <f t="shared" si="45"/>
        <v>0</v>
      </c>
      <c r="S119" s="206">
        <f t="shared" si="46"/>
        <v>0</v>
      </c>
      <c r="T119" s="206">
        <f t="shared" si="47"/>
        <v>0</v>
      </c>
      <c r="AA119" s="71" t="str">
        <f t="shared" si="38"/>
        <v/>
      </c>
      <c r="AB119">
        <f t="shared" si="39"/>
        <v>0</v>
      </c>
      <c r="AC119">
        <f t="shared" si="40"/>
        <v>0</v>
      </c>
      <c r="AD119">
        <f t="shared" si="41"/>
        <v>0</v>
      </c>
      <c r="AE119">
        <f t="shared" si="42"/>
        <v>0</v>
      </c>
      <c r="AF119" t="str">
        <f t="shared" si="43"/>
        <v/>
      </c>
    </row>
    <row r="120" spans="1:32" x14ac:dyDescent="0.4">
      <c r="A120" s="204" t="s">
        <v>735</v>
      </c>
      <c r="B120" s="204"/>
      <c r="C120" s="204"/>
      <c r="D120" s="204"/>
      <c r="E120" s="204"/>
      <c r="F120" s="204"/>
      <c r="G120" s="204"/>
      <c r="H120" s="204"/>
      <c r="J120" t="str">
        <f t="shared" si="31"/>
        <v/>
      </c>
      <c r="K120" t="str">
        <f t="shared" si="32"/>
        <v/>
      </c>
      <c r="L120" t="str">
        <f t="shared" si="33"/>
        <v/>
      </c>
      <c r="M120" t="str">
        <f t="shared" si="34"/>
        <v/>
      </c>
      <c r="N120" s="76" t="str">
        <f t="shared" si="35"/>
        <v/>
      </c>
      <c r="O120" s="20">
        <f t="shared" si="36"/>
        <v>0</v>
      </c>
      <c r="P120" s="76">
        <f t="shared" si="37"/>
        <v>0</v>
      </c>
      <c r="Q120" s="206">
        <f t="shared" si="44"/>
        <v>0</v>
      </c>
      <c r="R120" s="206">
        <f t="shared" si="45"/>
        <v>0</v>
      </c>
      <c r="S120" s="206">
        <f t="shared" si="46"/>
        <v>0</v>
      </c>
      <c r="T120" s="206">
        <f t="shared" si="47"/>
        <v>0</v>
      </c>
      <c r="AA120" s="71" t="str">
        <f t="shared" si="38"/>
        <v/>
      </c>
      <c r="AB120">
        <f t="shared" si="39"/>
        <v>0</v>
      </c>
      <c r="AC120">
        <f t="shared" si="40"/>
        <v>0</v>
      </c>
      <c r="AD120">
        <f t="shared" si="41"/>
        <v>0</v>
      </c>
      <c r="AE120">
        <f t="shared" si="42"/>
        <v>0</v>
      </c>
      <c r="AF120" t="str">
        <f t="shared" si="43"/>
        <v/>
      </c>
    </row>
    <row r="121" spans="1:32" x14ac:dyDescent="0.4">
      <c r="A121" s="189" t="s">
        <v>1587</v>
      </c>
      <c r="B121" s="189"/>
      <c r="C121" s="189"/>
      <c r="D121" s="189"/>
      <c r="E121" s="189"/>
      <c r="F121" s="189"/>
      <c r="G121" s="189"/>
      <c r="H121" s="189"/>
      <c r="J121" t="str">
        <f t="shared" si="31"/>
        <v/>
      </c>
      <c r="K121" t="str">
        <f t="shared" si="32"/>
        <v/>
      </c>
      <c r="L121" t="str">
        <f t="shared" si="33"/>
        <v/>
      </c>
      <c r="M121" t="str">
        <f t="shared" si="34"/>
        <v/>
      </c>
      <c r="N121" s="76" t="str">
        <f t="shared" si="35"/>
        <v/>
      </c>
      <c r="O121" s="20">
        <f t="shared" si="36"/>
        <v>0</v>
      </c>
      <c r="P121" s="76">
        <f t="shared" si="37"/>
        <v>0</v>
      </c>
      <c r="Q121" s="206">
        <f t="shared" si="44"/>
        <v>0</v>
      </c>
      <c r="R121" s="206">
        <f t="shared" si="45"/>
        <v>0</v>
      </c>
      <c r="S121" s="206">
        <f t="shared" si="46"/>
        <v>0</v>
      </c>
      <c r="T121" s="206">
        <f t="shared" si="47"/>
        <v>0</v>
      </c>
      <c r="AA121" s="71" t="str">
        <f t="shared" si="38"/>
        <v/>
      </c>
      <c r="AB121">
        <f t="shared" si="39"/>
        <v>0</v>
      </c>
      <c r="AC121">
        <f t="shared" si="40"/>
        <v>0</v>
      </c>
      <c r="AD121">
        <f t="shared" si="41"/>
        <v>0</v>
      </c>
      <c r="AE121">
        <f t="shared" si="42"/>
        <v>0</v>
      </c>
      <c r="AF121" t="str">
        <f t="shared" si="43"/>
        <v/>
      </c>
    </row>
    <row r="122" spans="1:32" x14ac:dyDescent="0.4">
      <c r="A122" s="189" t="s">
        <v>1548</v>
      </c>
      <c r="B122" s="189"/>
      <c r="C122" s="189"/>
      <c r="D122" s="189"/>
      <c r="E122" s="189"/>
      <c r="F122" s="189"/>
      <c r="G122" s="189"/>
      <c r="H122" s="189"/>
      <c r="J122" t="str">
        <f t="shared" si="31"/>
        <v/>
      </c>
      <c r="K122" t="str">
        <f t="shared" si="32"/>
        <v/>
      </c>
      <c r="L122" t="str">
        <f t="shared" si="33"/>
        <v/>
      </c>
      <c r="M122" t="str">
        <f t="shared" si="34"/>
        <v/>
      </c>
      <c r="N122" s="76" t="str">
        <f t="shared" si="35"/>
        <v/>
      </c>
      <c r="O122" s="20">
        <f t="shared" si="36"/>
        <v>0</v>
      </c>
      <c r="P122" s="76">
        <f t="shared" si="37"/>
        <v>0</v>
      </c>
      <c r="Q122" s="206">
        <f t="shared" si="44"/>
        <v>0</v>
      </c>
      <c r="R122" s="206">
        <f t="shared" si="45"/>
        <v>0</v>
      </c>
      <c r="S122" s="206">
        <f t="shared" si="46"/>
        <v>0</v>
      </c>
      <c r="T122" s="206">
        <f t="shared" si="47"/>
        <v>0</v>
      </c>
      <c r="AA122" s="71" t="str">
        <f t="shared" si="38"/>
        <v/>
      </c>
      <c r="AB122">
        <f t="shared" si="39"/>
        <v>0</v>
      </c>
      <c r="AC122">
        <f t="shared" si="40"/>
        <v>0</v>
      </c>
      <c r="AD122">
        <f t="shared" si="41"/>
        <v>0</v>
      </c>
      <c r="AE122">
        <f t="shared" si="42"/>
        <v>0</v>
      </c>
      <c r="AF122" t="str">
        <f t="shared" si="43"/>
        <v/>
      </c>
    </row>
    <row r="123" spans="1:32" x14ac:dyDescent="0.4">
      <c r="A123" s="189" t="s">
        <v>406</v>
      </c>
      <c r="B123" s="189"/>
      <c r="C123" s="189"/>
      <c r="D123" s="189"/>
      <c r="E123" s="189"/>
      <c r="F123" s="189"/>
      <c r="G123" s="189"/>
      <c r="H123" s="189"/>
      <c r="J123" t="str">
        <f t="shared" si="31"/>
        <v/>
      </c>
      <c r="K123" t="str">
        <f t="shared" si="32"/>
        <v/>
      </c>
      <c r="L123" t="str">
        <f t="shared" si="33"/>
        <v/>
      </c>
      <c r="M123" t="str">
        <f t="shared" si="34"/>
        <v/>
      </c>
      <c r="N123" s="76" t="str">
        <f t="shared" si="35"/>
        <v/>
      </c>
      <c r="O123" s="20">
        <f t="shared" si="36"/>
        <v>0</v>
      </c>
      <c r="P123" s="76">
        <f t="shared" si="37"/>
        <v>0</v>
      </c>
      <c r="Q123" s="206">
        <f t="shared" si="44"/>
        <v>0</v>
      </c>
      <c r="R123" s="206">
        <f t="shared" si="45"/>
        <v>0</v>
      </c>
      <c r="S123" s="206">
        <f t="shared" si="46"/>
        <v>0</v>
      </c>
      <c r="T123" s="206">
        <f t="shared" si="47"/>
        <v>0</v>
      </c>
      <c r="AA123" s="71" t="str">
        <f t="shared" si="38"/>
        <v/>
      </c>
      <c r="AB123">
        <f t="shared" si="39"/>
        <v>0</v>
      </c>
      <c r="AC123">
        <f t="shared" si="40"/>
        <v>0</v>
      </c>
      <c r="AD123">
        <f t="shared" si="41"/>
        <v>0</v>
      </c>
      <c r="AE123">
        <f t="shared" si="42"/>
        <v>0</v>
      </c>
      <c r="AF123" t="str">
        <f t="shared" si="43"/>
        <v/>
      </c>
    </row>
    <row r="124" spans="1:32" x14ac:dyDescent="0.4">
      <c r="A124" s="189" t="s">
        <v>407</v>
      </c>
      <c r="B124" s="189"/>
      <c r="C124" s="189"/>
      <c r="D124" s="189"/>
      <c r="E124" s="189"/>
      <c r="F124" s="189"/>
      <c r="G124" s="189"/>
      <c r="H124" s="189"/>
      <c r="J124" t="str">
        <f t="shared" si="31"/>
        <v/>
      </c>
      <c r="K124" t="str">
        <f t="shared" si="32"/>
        <v/>
      </c>
      <c r="L124" t="str">
        <f t="shared" si="33"/>
        <v/>
      </c>
      <c r="M124" t="str">
        <f t="shared" si="34"/>
        <v/>
      </c>
      <c r="N124" s="76" t="str">
        <f t="shared" si="35"/>
        <v/>
      </c>
      <c r="O124" s="20">
        <f t="shared" si="36"/>
        <v>0</v>
      </c>
      <c r="P124" s="76">
        <f t="shared" si="37"/>
        <v>0</v>
      </c>
      <c r="Q124" s="206">
        <f t="shared" si="44"/>
        <v>0</v>
      </c>
      <c r="R124" s="206">
        <f t="shared" si="45"/>
        <v>0</v>
      </c>
      <c r="S124" s="206">
        <f t="shared" si="46"/>
        <v>0</v>
      </c>
      <c r="T124" s="206">
        <f t="shared" si="47"/>
        <v>0</v>
      </c>
      <c r="AA124" s="71" t="str">
        <f t="shared" si="38"/>
        <v/>
      </c>
      <c r="AB124">
        <f t="shared" si="39"/>
        <v>0</v>
      </c>
      <c r="AC124">
        <f t="shared" si="40"/>
        <v>0</v>
      </c>
      <c r="AD124">
        <f t="shared" si="41"/>
        <v>0</v>
      </c>
      <c r="AE124">
        <f t="shared" si="42"/>
        <v>0</v>
      </c>
      <c r="AF124" t="str">
        <f t="shared" si="43"/>
        <v/>
      </c>
    </row>
    <row r="125" spans="1:32" x14ac:dyDescent="0.4">
      <c r="A125" s="189" t="s">
        <v>408</v>
      </c>
      <c r="B125" s="189"/>
      <c r="C125" s="189"/>
      <c r="D125" s="189"/>
      <c r="E125" s="189"/>
      <c r="F125" s="189"/>
      <c r="G125" s="189"/>
      <c r="H125" s="189"/>
      <c r="J125" t="str">
        <f t="shared" si="31"/>
        <v/>
      </c>
      <c r="K125" t="str">
        <f t="shared" si="32"/>
        <v/>
      </c>
      <c r="L125" t="str">
        <f t="shared" si="33"/>
        <v/>
      </c>
      <c r="M125" t="str">
        <f t="shared" si="34"/>
        <v/>
      </c>
      <c r="N125" s="76" t="str">
        <f t="shared" si="35"/>
        <v/>
      </c>
      <c r="O125" s="20">
        <f t="shared" si="36"/>
        <v>0</v>
      </c>
      <c r="P125" s="76">
        <f t="shared" si="37"/>
        <v>0</v>
      </c>
      <c r="Q125" s="206">
        <f t="shared" si="44"/>
        <v>0</v>
      </c>
      <c r="R125" s="206">
        <f t="shared" si="45"/>
        <v>0</v>
      </c>
      <c r="S125" s="206">
        <f t="shared" si="46"/>
        <v>0</v>
      </c>
      <c r="T125" s="206">
        <f t="shared" si="47"/>
        <v>0</v>
      </c>
      <c r="AA125" s="71" t="str">
        <f t="shared" si="38"/>
        <v/>
      </c>
      <c r="AB125">
        <f t="shared" si="39"/>
        <v>0</v>
      </c>
      <c r="AC125">
        <f t="shared" si="40"/>
        <v>0</v>
      </c>
      <c r="AD125">
        <f t="shared" si="41"/>
        <v>0</v>
      </c>
      <c r="AE125">
        <f t="shared" si="42"/>
        <v>0</v>
      </c>
      <c r="AF125" t="str">
        <f t="shared" si="43"/>
        <v/>
      </c>
    </row>
    <row r="126" spans="1:32" x14ac:dyDescent="0.4">
      <c r="A126" s="189" t="s">
        <v>409</v>
      </c>
      <c r="B126" s="189"/>
      <c r="C126" s="189"/>
      <c r="D126" s="189"/>
      <c r="E126" s="189"/>
      <c r="F126" s="189"/>
      <c r="G126" s="189"/>
      <c r="H126" s="189"/>
      <c r="J126" t="str">
        <f t="shared" si="31"/>
        <v/>
      </c>
      <c r="K126" t="str">
        <f t="shared" si="32"/>
        <v/>
      </c>
      <c r="L126" t="str">
        <f t="shared" si="33"/>
        <v/>
      </c>
      <c r="M126" t="str">
        <f t="shared" si="34"/>
        <v/>
      </c>
      <c r="N126" s="76" t="str">
        <f t="shared" si="35"/>
        <v/>
      </c>
      <c r="O126" s="20">
        <f t="shared" si="36"/>
        <v>0</v>
      </c>
      <c r="P126" s="76">
        <f t="shared" si="37"/>
        <v>0</v>
      </c>
      <c r="Q126" s="206">
        <f t="shared" si="44"/>
        <v>0</v>
      </c>
      <c r="R126" s="206">
        <f t="shared" si="45"/>
        <v>0</v>
      </c>
      <c r="S126" s="206">
        <f t="shared" si="46"/>
        <v>0</v>
      </c>
      <c r="T126" s="206">
        <f t="shared" si="47"/>
        <v>0</v>
      </c>
      <c r="AA126" s="71" t="str">
        <f t="shared" si="38"/>
        <v/>
      </c>
      <c r="AB126">
        <f t="shared" si="39"/>
        <v>0</v>
      </c>
      <c r="AC126">
        <f t="shared" si="40"/>
        <v>0</v>
      </c>
      <c r="AD126">
        <f t="shared" si="41"/>
        <v>0</v>
      </c>
      <c r="AE126">
        <f t="shared" si="42"/>
        <v>0</v>
      </c>
      <c r="AF126" t="str">
        <f t="shared" si="43"/>
        <v/>
      </c>
    </row>
    <row r="127" spans="1:32" x14ac:dyDescent="0.4">
      <c r="A127" s="189" t="s">
        <v>410</v>
      </c>
      <c r="B127" s="189"/>
      <c r="C127" s="189"/>
      <c r="D127" s="189"/>
      <c r="E127" s="189"/>
      <c r="F127" s="189"/>
      <c r="G127" s="189"/>
      <c r="H127" s="189"/>
      <c r="J127" t="str">
        <f t="shared" si="31"/>
        <v/>
      </c>
      <c r="K127" t="str">
        <f t="shared" si="32"/>
        <v/>
      </c>
      <c r="L127" t="str">
        <f t="shared" si="33"/>
        <v/>
      </c>
      <c r="M127" t="str">
        <f t="shared" si="34"/>
        <v/>
      </c>
      <c r="N127" s="76" t="str">
        <f t="shared" si="35"/>
        <v/>
      </c>
      <c r="O127" s="20">
        <f t="shared" si="36"/>
        <v>0</v>
      </c>
      <c r="P127" s="76">
        <f t="shared" si="37"/>
        <v>0</v>
      </c>
      <c r="Q127" s="206">
        <f t="shared" si="44"/>
        <v>0</v>
      </c>
      <c r="R127" s="206">
        <f t="shared" si="45"/>
        <v>0</v>
      </c>
      <c r="S127" s="206">
        <f t="shared" si="46"/>
        <v>0</v>
      </c>
      <c r="T127" s="206">
        <f t="shared" si="47"/>
        <v>0</v>
      </c>
      <c r="AA127" s="71" t="str">
        <f t="shared" si="38"/>
        <v/>
      </c>
      <c r="AB127">
        <f t="shared" si="39"/>
        <v>0</v>
      </c>
      <c r="AC127">
        <f t="shared" si="40"/>
        <v>0</v>
      </c>
      <c r="AD127">
        <f t="shared" si="41"/>
        <v>0</v>
      </c>
      <c r="AE127">
        <f t="shared" si="42"/>
        <v>0</v>
      </c>
      <c r="AF127" t="str">
        <f t="shared" si="43"/>
        <v/>
      </c>
    </row>
    <row r="128" spans="1:32" x14ac:dyDescent="0.4">
      <c r="A128" s="189" t="s">
        <v>411</v>
      </c>
      <c r="B128" s="189"/>
      <c r="C128" s="189"/>
      <c r="D128" s="189"/>
      <c r="E128" s="189"/>
      <c r="F128" s="189"/>
      <c r="G128" s="189"/>
      <c r="H128" s="189"/>
      <c r="J128" t="str">
        <f t="shared" ref="J128:J191" si="48">IF(G128="Détail des tarifs",LEN(A128),"")</f>
        <v/>
      </c>
      <c r="K128" t="str">
        <f t="shared" ref="K128:K191" si="49">IF(J128="","",LEFT(A128,3))</f>
        <v/>
      </c>
      <c r="L128" t="str">
        <f t="shared" ref="L128:L191" si="50">IF(K128&lt;&gt;"",MID(A128,7,3),"")</f>
        <v/>
      </c>
      <c r="M128" t="str">
        <f t="shared" ref="M128:M191" si="51">IF(K128&lt;&gt;"",RIGHT(A128,2),"")</f>
        <v/>
      </c>
      <c r="N128" s="76" t="str">
        <f t="shared" ref="N128:N191" si="52">IF(K128&lt;&gt;"",CONCATENATE(K128,"/",L128),"")</f>
        <v/>
      </c>
      <c r="O128" s="20">
        <f t="shared" ref="O128:O191" si="53">IF(J128&lt;&gt;"",LEFT(B128,LEN(B128)-3),0)</f>
        <v>0</v>
      </c>
      <c r="P128" s="76">
        <f t="shared" ref="P128:P191" si="54">IF(O128&lt;&gt;"",VALUE(O128),"")</f>
        <v>0</v>
      </c>
      <c r="Q128" s="206">
        <f t="shared" si="44"/>
        <v>0</v>
      </c>
      <c r="R128" s="206">
        <f t="shared" si="45"/>
        <v>0</v>
      </c>
      <c r="S128" s="206">
        <f t="shared" si="46"/>
        <v>0</v>
      </c>
      <c r="T128" s="206">
        <f t="shared" si="47"/>
        <v>0</v>
      </c>
      <c r="AA128" s="71" t="str">
        <f t="shared" ref="AA128:AA191" si="55">N128</f>
        <v/>
      </c>
      <c r="AB128">
        <f t="shared" ref="AB128:AB191" si="56">IFERROR(IF(FIND("Km",$B128),IF($B129="",IF(FIND("Pax",C129),VALUE((LEFT(C129,LEN(C129)-4))),))),0)</f>
        <v>0</v>
      </c>
      <c r="AC128">
        <f t="shared" ref="AC128:AC191" si="57">IFERROR(IF(FIND("Km",$B128),IF($B129="",IF(FIND("Pax",D129),VALUE((LEFT(D129,LEN(D129)-4))),))),0)</f>
        <v>0</v>
      </c>
      <c r="AD128">
        <f t="shared" ref="AD128:AD191" si="58">IFERROR(IF(FIND("Km",$B128),IF($B129="",IF(FIND("Pax",E129),VALUE((LEFT(E129,LEN(E129)-4))),))),0)</f>
        <v>0</v>
      </c>
      <c r="AE128">
        <f t="shared" ref="AE128:AE191" si="59">IFERROR(IF($J128&lt;&gt;"",VALUE(LEFT(F129,LEN(F129)-7)),0),1)</f>
        <v>0</v>
      </c>
      <c r="AF128" t="str">
        <f t="shared" ref="AF128:AF191" si="60">IF(SUM(AB128:AE128)&gt;0,"A revoir","")</f>
        <v/>
      </c>
    </row>
    <row r="129" spans="1:32" x14ac:dyDescent="0.4">
      <c r="A129" s="189" t="s">
        <v>412</v>
      </c>
      <c r="B129" s="189"/>
      <c r="C129" s="189"/>
      <c r="D129" s="189"/>
      <c r="E129" s="189"/>
      <c r="F129" s="189"/>
      <c r="G129" s="189"/>
      <c r="H129" s="189"/>
      <c r="J129" t="str">
        <f t="shared" si="48"/>
        <v/>
      </c>
      <c r="K129" t="str">
        <f t="shared" si="49"/>
        <v/>
      </c>
      <c r="L129" t="str">
        <f t="shared" si="50"/>
        <v/>
      </c>
      <c r="M129" t="str">
        <f t="shared" si="51"/>
        <v/>
      </c>
      <c r="N129" s="76" t="str">
        <f t="shared" si="52"/>
        <v/>
      </c>
      <c r="O129" s="20">
        <f t="shared" si="53"/>
        <v>0</v>
      </c>
      <c r="P129" s="76">
        <f t="shared" si="54"/>
        <v>0</v>
      </c>
      <c r="Q129" s="206">
        <f t="shared" si="44"/>
        <v>0</v>
      </c>
      <c r="R129" s="206">
        <f t="shared" si="45"/>
        <v>0</v>
      </c>
      <c r="S129" s="206">
        <f t="shared" si="46"/>
        <v>0</v>
      </c>
      <c r="T129" s="206">
        <f t="shared" si="47"/>
        <v>0</v>
      </c>
      <c r="AA129" s="71" t="str">
        <f t="shared" si="55"/>
        <v/>
      </c>
      <c r="AB129">
        <f t="shared" si="56"/>
        <v>0</v>
      </c>
      <c r="AC129">
        <f t="shared" si="57"/>
        <v>0</v>
      </c>
      <c r="AD129">
        <f t="shared" si="58"/>
        <v>0</v>
      </c>
      <c r="AE129">
        <f t="shared" si="59"/>
        <v>0</v>
      </c>
      <c r="AF129" t="str">
        <f t="shared" si="60"/>
        <v/>
      </c>
    </row>
    <row r="130" spans="1:32" x14ac:dyDescent="0.4">
      <c r="A130" s="189" t="s">
        <v>405</v>
      </c>
      <c r="B130" s="189"/>
      <c r="C130" s="189"/>
      <c r="D130" s="189"/>
      <c r="E130" s="189"/>
      <c r="F130" s="189"/>
      <c r="G130" s="189"/>
      <c r="H130" s="189"/>
      <c r="J130" t="str">
        <f t="shared" si="48"/>
        <v/>
      </c>
      <c r="K130" t="str">
        <f t="shared" si="49"/>
        <v/>
      </c>
      <c r="L130" t="str">
        <f t="shared" si="50"/>
        <v/>
      </c>
      <c r="M130" t="str">
        <f t="shared" si="51"/>
        <v/>
      </c>
      <c r="N130" s="76" t="str">
        <f t="shared" si="52"/>
        <v/>
      </c>
      <c r="O130" s="20">
        <f t="shared" si="53"/>
        <v>0</v>
      </c>
      <c r="P130" s="76">
        <f t="shared" si="54"/>
        <v>0</v>
      </c>
      <c r="Q130" s="206">
        <f t="shared" si="44"/>
        <v>0</v>
      </c>
      <c r="R130" s="206">
        <f t="shared" si="45"/>
        <v>0</v>
      </c>
      <c r="S130" s="206">
        <f t="shared" si="46"/>
        <v>0</v>
      </c>
      <c r="T130" s="206">
        <f t="shared" si="47"/>
        <v>0</v>
      </c>
      <c r="AA130" s="71" t="str">
        <f t="shared" si="55"/>
        <v/>
      </c>
      <c r="AB130">
        <f t="shared" si="56"/>
        <v>0</v>
      </c>
      <c r="AC130">
        <f t="shared" si="57"/>
        <v>0</v>
      </c>
      <c r="AD130">
        <f t="shared" si="58"/>
        <v>0</v>
      </c>
      <c r="AE130">
        <f t="shared" si="59"/>
        <v>0</v>
      </c>
      <c r="AF130" t="str">
        <f t="shared" si="60"/>
        <v/>
      </c>
    </row>
    <row r="131" spans="1:32" x14ac:dyDescent="0.4">
      <c r="A131" s="189" t="s">
        <v>413</v>
      </c>
      <c r="B131" s="189"/>
      <c r="C131" s="189"/>
      <c r="D131" s="189"/>
      <c r="E131" s="189"/>
      <c r="F131" s="189"/>
      <c r="G131" s="189"/>
      <c r="H131" s="189"/>
      <c r="J131" t="str">
        <f t="shared" si="48"/>
        <v/>
      </c>
      <c r="K131" t="str">
        <f t="shared" si="49"/>
        <v/>
      </c>
      <c r="L131" t="str">
        <f t="shared" si="50"/>
        <v/>
      </c>
      <c r="M131" t="str">
        <f t="shared" si="51"/>
        <v/>
      </c>
      <c r="N131" s="76" t="str">
        <f t="shared" si="52"/>
        <v/>
      </c>
      <c r="O131" s="20">
        <f t="shared" si="53"/>
        <v>0</v>
      </c>
      <c r="P131" s="76">
        <f t="shared" si="54"/>
        <v>0</v>
      </c>
      <c r="Q131" s="206">
        <f t="shared" si="44"/>
        <v>0</v>
      </c>
      <c r="R131" s="206">
        <f t="shared" si="45"/>
        <v>0</v>
      </c>
      <c r="S131" s="206">
        <f t="shared" si="46"/>
        <v>0</v>
      </c>
      <c r="T131" s="206">
        <f t="shared" si="47"/>
        <v>0</v>
      </c>
      <c r="AA131" s="71" t="str">
        <f t="shared" si="55"/>
        <v/>
      </c>
      <c r="AB131">
        <f t="shared" si="56"/>
        <v>0</v>
      </c>
      <c r="AC131">
        <f t="shared" si="57"/>
        <v>0</v>
      </c>
      <c r="AD131">
        <f t="shared" si="58"/>
        <v>0</v>
      </c>
      <c r="AE131">
        <f t="shared" si="59"/>
        <v>0</v>
      </c>
      <c r="AF131" t="str">
        <f t="shared" si="60"/>
        <v/>
      </c>
    </row>
    <row r="132" spans="1:32" x14ac:dyDescent="0.4">
      <c r="A132" s="189" t="s">
        <v>414</v>
      </c>
      <c r="B132" s="189"/>
      <c r="C132" s="189"/>
      <c r="D132" s="189"/>
      <c r="E132" s="189"/>
      <c r="F132" s="189"/>
      <c r="G132" s="189"/>
      <c r="H132" s="189"/>
      <c r="J132" t="str">
        <f t="shared" si="48"/>
        <v/>
      </c>
      <c r="K132" t="str">
        <f t="shared" si="49"/>
        <v/>
      </c>
      <c r="L132" t="str">
        <f t="shared" si="50"/>
        <v/>
      </c>
      <c r="M132" t="str">
        <f t="shared" si="51"/>
        <v/>
      </c>
      <c r="N132" s="76" t="str">
        <f t="shared" si="52"/>
        <v/>
      </c>
      <c r="O132" s="20">
        <f t="shared" si="53"/>
        <v>0</v>
      </c>
      <c r="P132" s="76">
        <f t="shared" si="54"/>
        <v>0</v>
      </c>
      <c r="Q132" s="206">
        <f t="shared" si="44"/>
        <v>0</v>
      </c>
      <c r="R132" s="206">
        <f t="shared" si="45"/>
        <v>0</v>
      </c>
      <c r="S132" s="206">
        <f t="shared" si="46"/>
        <v>0</v>
      </c>
      <c r="T132" s="206">
        <f t="shared" si="47"/>
        <v>0</v>
      </c>
      <c r="AA132" s="71" t="str">
        <f t="shared" si="55"/>
        <v/>
      </c>
      <c r="AB132">
        <f t="shared" si="56"/>
        <v>0</v>
      </c>
      <c r="AC132">
        <f t="shared" si="57"/>
        <v>0</v>
      </c>
      <c r="AD132">
        <f t="shared" si="58"/>
        <v>0</v>
      </c>
      <c r="AE132">
        <f t="shared" si="59"/>
        <v>0</v>
      </c>
      <c r="AF132" t="str">
        <f t="shared" si="60"/>
        <v/>
      </c>
    </row>
    <row r="133" spans="1:32" x14ac:dyDescent="0.4">
      <c r="A133" s="189" t="s">
        <v>415</v>
      </c>
      <c r="B133" s="189"/>
      <c r="C133" s="189"/>
      <c r="D133" s="189"/>
      <c r="E133" s="189"/>
      <c r="F133" s="189"/>
      <c r="G133" s="189"/>
      <c r="H133" s="189"/>
      <c r="J133" t="str">
        <f t="shared" si="48"/>
        <v/>
      </c>
      <c r="K133" t="str">
        <f t="shared" si="49"/>
        <v/>
      </c>
      <c r="L133" t="str">
        <f t="shared" si="50"/>
        <v/>
      </c>
      <c r="M133" t="str">
        <f t="shared" si="51"/>
        <v/>
      </c>
      <c r="N133" s="76" t="str">
        <f t="shared" si="52"/>
        <v/>
      </c>
      <c r="O133" s="20">
        <f t="shared" si="53"/>
        <v>0</v>
      </c>
      <c r="P133" s="76">
        <f t="shared" si="54"/>
        <v>0</v>
      </c>
      <c r="Q133" s="206">
        <f t="shared" si="44"/>
        <v>0</v>
      </c>
      <c r="R133" s="206">
        <f t="shared" si="45"/>
        <v>0</v>
      </c>
      <c r="S133" s="206">
        <f t="shared" si="46"/>
        <v>0</v>
      </c>
      <c r="T133" s="206">
        <f t="shared" si="47"/>
        <v>0</v>
      </c>
      <c r="AA133" s="71" t="str">
        <f t="shared" si="55"/>
        <v/>
      </c>
      <c r="AB133">
        <f t="shared" si="56"/>
        <v>0</v>
      </c>
      <c r="AC133">
        <f t="shared" si="57"/>
        <v>0</v>
      </c>
      <c r="AD133">
        <f t="shared" si="58"/>
        <v>0</v>
      </c>
      <c r="AE133">
        <f t="shared" si="59"/>
        <v>0</v>
      </c>
      <c r="AF133" t="str">
        <f t="shared" si="60"/>
        <v/>
      </c>
    </row>
    <row r="134" spans="1:32" x14ac:dyDescent="0.4">
      <c r="A134" s="189"/>
      <c r="B134" s="189" t="s">
        <v>3</v>
      </c>
      <c r="C134" s="189" t="s">
        <v>416</v>
      </c>
      <c r="D134" s="189" t="s">
        <v>417</v>
      </c>
      <c r="E134" s="189" t="s">
        <v>418</v>
      </c>
      <c r="F134" s="189" t="s">
        <v>419</v>
      </c>
      <c r="G134" s="189" t="s">
        <v>420</v>
      </c>
      <c r="H134" s="189" t="s">
        <v>97</v>
      </c>
      <c r="J134" t="str">
        <f t="shared" si="48"/>
        <v/>
      </c>
      <c r="K134" t="str">
        <f t="shared" si="49"/>
        <v/>
      </c>
      <c r="L134" t="str">
        <f t="shared" si="50"/>
        <v/>
      </c>
      <c r="M134" t="str">
        <f t="shared" si="51"/>
        <v/>
      </c>
      <c r="N134" s="76" t="str">
        <f t="shared" si="52"/>
        <v/>
      </c>
      <c r="O134" s="20">
        <f t="shared" si="53"/>
        <v>0</v>
      </c>
      <c r="P134" s="76">
        <f t="shared" si="54"/>
        <v>0</v>
      </c>
      <c r="Q134" s="206">
        <f t="shared" si="44"/>
        <v>0</v>
      </c>
      <c r="R134" s="206">
        <f t="shared" si="45"/>
        <v>0</v>
      </c>
      <c r="S134" s="206">
        <f t="shared" si="46"/>
        <v>0</v>
      </c>
      <c r="T134" s="206">
        <f t="shared" si="47"/>
        <v>0</v>
      </c>
      <c r="AA134" s="71" t="str">
        <f t="shared" si="55"/>
        <v/>
      </c>
      <c r="AB134">
        <f t="shared" si="56"/>
        <v>0</v>
      </c>
      <c r="AC134">
        <f t="shared" si="57"/>
        <v>0</v>
      </c>
      <c r="AD134">
        <f t="shared" si="58"/>
        <v>0</v>
      </c>
      <c r="AE134">
        <f t="shared" si="59"/>
        <v>0</v>
      </c>
      <c r="AF134" t="str">
        <f t="shared" si="60"/>
        <v/>
      </c>
    </row>
    <row r="135" spans="1:32" x14ac:dyDescent="0.4">
      <c r="A135" s="189" t="s">
        <v>421</v>
      </c>
      <c r="B135" s="189" t="s">
        <v>422</v>
      </c>
      <c r="C135" s="189" t="s">
        <v>422</v>
      </c>
      <c r="D135" s="189" t="s">
        <v>422</v>
      </c>
      <c r="E135" s="189" t="s">
        <v>422</v>
      </c>
      <c r="F135" s="189" t="s">
        <v>422</v>
      </c>
      <c r="G135" s="189" t="s">
        <v>422</v>
      </c>
      <c r="H135" s="189" t="s">
        <v>422</v>
      </c>
      <c r="J135" t="str">
        <f t="shared" si="48"/>
        <v/>
      </c>
      <c r="K135" t="str">
        <f t="shared" si="49"/>
        <v/>
      </c>
      <c r="L135" t="str">
        <f t="shared" si="50"/>
        <v/>
      </c>
      <c r="M135" t="str">
        <f t="shared" si="51"/>
        <v/>
      </c>
      <c r="N135" s="76" t="str">
        <f t="shared" si="52"/>
        <v/>
      </c>
      <c r="O135" s="20">
        <f t="shared" si="53"/>
        <v>0</v>
      </c>
      <c r="P135" s="76">
        <f t="shared" si="54"/>
        <v>0</v>
      </c>
      <c r="Q135" s="206">
        <f t="shared" si="44"/>
        <v>0</v>
      </c>
      <c r="R135" s="206">
        <f t="shared" si="45"/>
        <v>0</v>
      </c>
      <c r="S135" s="206">
        <f t="shared" si="46"/>
        <v>0</v>
      </c>
      <c r="T135" s="206">
        <f t="shared" si="47"/>
        <v>0</v>
      </c>
      <c r="AA135" s="71" t="str">
        <f t="shared" si="55"/>
        <v/>
      </c>
      <c r="AB135">
        <f t="shared" si="56"/>
        <v>0</v>
      </c>
      <c r="AC135">
        <f t="shared" si="57"/>
        <v>0</v>
      </c>
      <c r="AD135">
        <f t="shared" si="58"/>
        <v>0</v>
      </c>
      <c r="AE135">
        <f t="shared" si="59"/>
        <v>0</v>
      </c>
      <c r="AF135" t="str">
        <f t="shared" si="60"/>
        <v/>
      </c>
    </row>
    <row r="136" spans="1:32" x14ac:dyDescent="0.4">
      <c r="A136" s="189" t="s">
        <v>394</v>
      </c>
      <c r="B136" s="189" t="s">
        <v>422</v>
      </c>
      <c r="C136" s="189" t="s">
        <v>422</v>
      </c>
      <c r="D136" s="189" t="s">
        <v>422</v>
      </c>
      <c r="E136" s="189" t="s">
        <v>422</v>
      </c>
      <c r="F136" s="189" t="s">
        <v>422</v>
      </c>
      <c r="G136" s="189" t="s">
        <v>422</v>
      </c>
      <c r="H136" s="189" t="s">
        <v>422</v>
      </c>
      <c r="J136" t="str">
        <f t="shared" si="48"/>
        <v/>
      </c>
      <c r="K136" t="str">
        <f t="shared" si="49"/>
        <v/>
      </c>
      <c r="L136" t="str">
        <f t="shared" si="50"/>
        <v/>
      </c>
      <c r="M136" t="str">
        <f t="shared" si="51"/>
        <v/>
      </c>
      <c r="N136" s="76" t="str">
        <f t="shared" si="52"/>
        <v/>
      </c>
      <c r="O136" s="20">
        <f t="shared" si="53"/>
        <v>0</v>
      </c>
      <c r="P136" s="76">
        <f t="shared" si="54"/>
        <v>0</v>
      </c>
      <c r="Q136" s="206">
        <f t="shared" si="44"/>
        <v>0</v>
      </c>
      <c r="R136" s="206">
        <f t="shared" si="45"/>
        <v>0</v>
      </c>
      <c r="S136" s="206">
        <f t="shared" si="46"/>
        <v>0</v>
      </c>
      <c r="T136" s="206">
        <f t="shared" si="47"/>
        <v>0</v>
      </c>
      <c r="AA136" s="71" t="str">
        <f t="shared" si="55"/>
        <v/>
      </c>
      <c r="AB136">
        <f t="shared" si="56"/>
        <v>0</v>
      </c>
      <c r="AC136">
        <f t="shared" si="57"/>
        <v>0</v>
      </c>
      <c r="AD136">
        <f t="shared" si="58"/>
        <v>0</v>
      </c>
      <c r="AE136">
        <f t="shared" si="59"/>
        <v>0</v>
      </c>
      <c r="AF136" t="str">
        <f t="shared" si="60"/>
        <v/>
      </c>
    </row>
    <row r="137" spans="1:32" x14ac:dyDescent="0.4">
      <c r="A137" s="189" t="s">
        <v>423</v>
      </c>
      <c r="B137" s="189" t="s">
        <v>422</v>
      </c>
      <c r="C137" s="189" t="s">
        <v>422</v>
      </c>
      <c r="D137" s="189" t="s">
        <v>422</v>
      </c>
      <c r="E137" s="189" t="s">
        <v>422</v>
      </c>
      <c r="F137" s="189" t="s">
        <v>422</v>
      </c>
      <c r="G137" s="189" t="s">
        <v>424</v>
      </c>
      <c r="H137" s="189" t="s">
        <v>422</v>
      </c>
      <c r="J137" t="str">
        <f t="shared" si="48"/>
        <v/>
      </c>
      <c r="K137" t="str">
        <f t="shared" si="49"/>
        <v/>
      </c>
      <c r="L137" t="str">
        <f t="shared" si="50"/>
        <v/>
      </c>
      <c r="M137" t="str">
        <f t="shared" si="51"/>
        <v/>
      </c>
      <c r="N137" s="76" t="str">
        <f t="shared" si="52"/>
        <v/>
      </c>
      <c r="O137" s="20">
        <f t="shared" si="53"/>
        <v>0</v>
      </c>
      <c r="P137" s="76">
        <f t="shared" si="54"/>
        <v>0</v>
      </c>
      <c r="Q137" s="206">
        <f t="shared" si="44"/>
        <v>0</v>
      </c>
      <c r="R137" s="206">
        <f t="shared" si="45"/>
        <v>0</v>
      </c>
      <c r="S137" s="206">
        <f t="shared" si="46"/>
        <v>0</v>
      </c>
      <c r="T137" s="206">
        <f t="shared" si="47"/>
        <v>0</v>
      </c>
      <c r="AA137" s="71" t="str">
        <f t="shared" si="55"/>
        <v/>
      </c>
      <c r="AB137">
        <f t="shared" si="56"/>
        <v>0</v>
      </c>
      <c r="AC137">
        <f t="shared" si="57"/>
        <v>0</v>
      </c>
      <c r="AD137">
        <f t="shared" si="58"/>
        <v>0</v>
      </c>
      <c r="AE137">
        <f t="shared" si="59"/>
        <v>0</v>
      </c>
      <c r="AF137" t="str">
        <f t="shared" si="60"/>
        <v/>
      </c>
    </row>
    <row r="138" spans="1:32" x14ac:dyDescent="0.4">
      <c r="A138" s="189" t="s">
        <v>425</v>
      </c>
      <c r="B138" s="189"/>
      <c r="C138" s="189"/>
      <c r="D138" s="189"/>
      <c r="E138" s="189"/>
      <c r="F138" s="189"/>
      <c r="G138" s="189"/>
      <c r="H138" s="189"/>
      <c r="J138" t="str">
        <f t="shared" si="48"/>
        <v/>
      </c>
      <c r="K138" t="str">
        <f t="shared" si="49"/>
        <v/>
      </c>
      <c r="L138" t="str">
        <f t="shared" si="50"/>
        <v/>
      </c>
      <c r="M138" t="str">
        <f t="shared" si="51"/>
        <v/>
      </c>
      <c r="N138" s="76" t="str">
        <f t="shared" si="52"/>
        <v/>
      </c>
      <c r="O138" s="20">
        <f t="shared" si="53"/>
        <v>0</v>
      </c>
      <c r="P138" s="76">
        <f t="shared" si="54"/>
        <v>0</v>
      </c>
      <c r="Q138" s="206">
        <f t="shared" si="44"/>
        <v>0</v>
      </c>
      <c r="R138" s="206">
        <f t="shared" si="45"/>
        <v>0</v>
      </c>
      <c r="S138" s="206">
        <f t="shared" si="46"/>
        <v>0</v>
      </c>
      <c r="T138" s="206">
        <f t="shared" si="47"/>
        <v>0</v>
      </c>
      <c r="AA138" s="71" t="str">
        <f t="shared" si="55"/>
        <v/>
      </c>
      <c r="AB138">
        <f t="shared" si="56"/>
        <v>0</v>
      </c>
      <c r="AC138">
        <f t="shared" si="57"/>
        <v>0</v>
      </c>
      <c r="AD138">
        <f t="shared" si="58"/>
        <v>0</v>
      </c>
      <c r="AE138">
        <f t="shared" si="59"/>
        <v>0</v>
      </c>
      <c r="AF138" t="str">
        <f t="shared" si="60"/>
        <v/>
      </c>
    </row>
    <row r="139" spans="1:32" x14ac:dyDescent="0.4">
      <c r="A139" s="189"/>
      <c r="B139" s="189"/>
      <c r="C139" s="189"/>
      <c r="D139" s="189"/>
      <c r="E139" s="189"/>
      <c r="F139" s="189"/>
      <c r="G139" s="189"/>
      <c r="H139" s="189"/>
      <c r="J139" t="str">
        <f t="shared" si="48"/>
        <v/>
      </c>
      <c r="K139" t="str">
        <f t="shared" si="49"/>
        <v/>
      </c>
      <c r="L139" t="str">
        <f t="shared" si="50"/>
        <v/>
      </c>
      <c r="M139" t="str">
        <f t="shared" si="51"/>
        <v/>
      </c>
      <c r="N139" s="76" t="str">
        <f t="shared" si="52"/>
        <v/>
      </c>
      <c r="O139" s="20">
        <f t="shared" si="53"/>
        <v>0</v>
      </c>
      <c r="P139" s="76">
        <f t="shared" si="54"/>
        <v>0</v>
      </c>
      <c r="Q139" s="206">
        <f t="shared" si="44"/>
        <v>0</v>
      </c>
      <c r="R139" s="206">
        <f t="shared" si="45"/>
        <v>0</v>
      </c>
      <c r="S139" s="206">
        <f t="shared" si="46"/>
        <v>0</v>
      </c>
      <c r="T139" s="206">
        <f t="shared" si="47"/>
        <v>0</v>
      </c>
      <c r="AA139" s="71" t="str">
        <f t="shared" si="55"/>
        <v/>
      </c>
      <c r="AB139">
        <f t="shared" si="56"/>
        <v>0</v>
      </c>
      <c r="AC139">
        <f t="shared" si="57"/>
        <v>0</v>
      </c>
      <c r="AD139">
        <f t="shared" si="58"/>
        <v>0</v>
      </c>
      <c r="AE139">
        <f t="shared" si="59"/>
        <v>0</v>
      </c>
      <c r="AF139" t="str">
        <f t="shared" si="60"/>
        <v/>
      </c>
    </row>
    <row r="140" spans="1:32" x14ac:dyDescent="0.4">
      <c r="A140" s="189"/>
      <c r="B140" s="189"/>
      <c r="C140" s="189"/>
      <c r="D140" s="189"/>
      <c r="E140" s="189"/>
      <c r="F140" s="189"/>
      <c r="G140" s="189"/>
      <c r="H140" s="189"/>
      <c r="J140" t="str">
        <f t="shared" si="48"/>
        <v/>
      </c>
      <c r="K140" t="str">
        <f t="shared" si="49"/>
        <v/>
      </c>
      <c r="L140" t="str">
        <f t="shared" si="50"/>
        <v/>
      </c>
      <c r="M140" t="str">
        <f t="shared" si="51"/>
        <v/>
      </c>
      <c r="N140" s="76" t="str">
        <f t="shared" si="52"/>
        <v/>
      </c>
      <c r="O140" s="20">
        <f t="shared" si="53"/>
        <v>0</v>
      </c>
      <c r="P140" s="76">
        <f t="shared" si="54"/>
        <v>0</v>
      </c>
      <c r="Q140" s="206">
        <f t="shared" si="44"/>
        <v>0</v>
      </c>
      <c r="R140" s="206">
        <f t="shared" si="45"/>
        <v>0</v>
      </c>
      <c r="S140" s="206">
        <f t="shared" si="46"/>
        <v>0</v>
      </c>
      <c r="T140" s="206">
        <f t="shared" si="47"/>
        <v>0</v>
      </c>
      <c r="AA140" s="71" t="str">
        <f t="shared" si="55"/>
        <v/>
      </c>
      <c r="AB140">
        <f t="shared" si="56"/>
        <v>0</v>
      </c>
      <c r="AC140">
        <f t="shared" si="57"/>
        <v>0</v>
      </c>
      <c r="AD140">
        <f t="shared" si="58"/>
        <v>0</v>
      </c>
      <c r="AE140">
        <f t="shared" si="59"/>
        <v>0</v>
      </c>
      <c r="AF140" t="str">
        <f t="shared" si="60"/>
        <v/>
      </c>
    </row>
    <row r="141" spans="1:32" x14ac:dyDescent="0.4">
      <c r="A141" s="189"/>
      <c r="B141" s="189"/>
      <c r="C141" s="189"/>
      <c r="D141" s="189"/>
      <c r="E141" s="189"/>
      <c r="F141" s="189"/>
      <c r="G141" s="189"/>
      <c r="H141" s="189"/>
      <c r="J141" t="str">
        <f t="shared" si="48"/>
        <v/>
      </c>
      <c r="K141" t="str">
        <f t="shared" si="49"/>
        <v/>
      </c>
      <c r="L141" t="str">
        <f t="shared" si="50"/>
        <v/>
      </c>
      <c r="M141" t="str">
        <f t="shared" si="51"/>
        <v/>
      </c>
      <c r="N141" s="76" t="str">
        <f t="shared" si="52"/>
        <v/>
      </c>
      <c r="O141" s="20">
        <f t="shared" si="53"/>
        <v>0</v>
      </c>
      <c r="P141" s="76">
        <f t="shared" si="54"/>
        <v>0</v>
      </c>
      <c r="Q141" s="206">
        <f t="shared" si="44"/>
        <v>0</v>
      </c>
      <c r="R141" s="206">
        <f t="shared" si="45"/>
        <v>0</v>
      </c>
      <c r="S141" s="206">
        <f t="shared" si="46"/>
        <v>0</v>
      </c>
      <c r="T141" s="206">
        <f t="shared" si="47"/>
        <v>0</v>
      </c>
      <c r="AA141" s="71" t="str">
        <f t="shared" si="55"/>
        <v/>
      </c>
      <c r="AB141">
        <f t="shared" si="56"/>
        <v>0</v>
      </c>
      <c r="AC141">
        <f t="shared" si="57"/>
        <v>0</v>
      </c>
      <c r="AD141">
        <f t="shared" si="58"/>
        <v>0</v>
      </c>
      <c r="AE141">
        <f t="shared" si="59"/>
        <v>0</v>
      </c>
      <c r="AF141" t="str">
        <f t="shared" si="60"/>
        <v/>
      </c>
    </row>
    <row r="142" spans="1:32" x14ac:dyDescent="0.4">
      <c r="A142" s="189"/>
      <c r="B142" s="189"/>
      <c r="C142" s="189"/>
      <c r="D142" s="189"/>
      <c r="E142" s="189"/>
      <c r="F142" s="189"/>
      <c r="G142" s="189"/>
      <c r="H142" s="189"/>
      <c r="J142" t="str">
        <f t="shared" si="48"/>
        <v/>
      </c>
      <c r="K142" t="str">
        <f t="shared" si="49"/>
        <v/>
      </c>
      <c r="L142" t="str">
        <f t="shared" si="50"/>
        <v/>
      </c>
      <c r="M142" t="str">
        <f t="shared" si="51"/>
        <v/>
      </c>
      <c r="N142" s="76" t="str">
        <f t="shared" si="52"/>
        <v/>
      </c>
      <c r="O142" s="20">
        <f t="shared" si="53"/>
        <v>0</v>
      </c>
      <c r="P142" s="76">
        <f t="shared" si="54"/>
        <v>0</v>
      </c>
      <c r="Q142" s="206">
        <f t="shared" si="44"/>
        <v>0</v>
      </c>
      <c r="R142" s="206">
        <f t="shared" si="45"/>
        <v>0</v>
      </c>
      <c r="S142" s="206">
        <f t="shared" si="46"/>
        <v>0</v>
      </c>
      <c r="T142" s="206">
        <f t="shared" si="47"/>
        <v>0</v>
      </c>
      <c r="AA142" s="71" t="str">
        <f t="shared" si="55"/>
        <v/>
      </c>
      <c r="AB142">
        <f t="shared" si="56"/>
        <v>0</v>
      </c>
      <c r="AC142">
        <f t="shared" si="57"/>
        <v>0</v>
      </c>
      <c r="AD142">
        <f t="shared" si="58"/>
        <v>0</v>
      </c>
      <c r="AE142">
        <f t="shared" si="59"/>
        <v>0</v>
      </c>
      <c r="AF142" t="str">
        <f t="shared" si="60"/>
        <v/>
      </c>
    </row>
    <row r="143" spans="1:32" x14ac:dyDescent="0.4">
      <c r="A143" s="189"/>
      <c r="B143" s="189"/>
      <c r="C143" s="189"/>
      <c r="D143" s="189"/>
      <c r="E143" s="189"/>
      <c r="F143" s="189"/>
      <c r="G143" s="189"/>
      <c r="H143" s="189"/>
      <c r="J143" t="str">
        <f t="shared" si="48"/>
        <v/>
      </c>
      <c r="K143" t="str">
        <f t="shared" si="49"/>
        <v/>
      </c>
      <c r="L143" t="str">
        <f t="shared" si="50"/>
        <v/>
      </c>
      <c r="M143" t="str">
        <f t="shared" si="51"/>
        <v/>
      </c>
      <c r="N143" s="76" t="str">
        <f t="shared" si="52"/>
        <v/>
      </c>
      <c r="O143" s="20">
        <f t="shared" si="53"/>
        <v>0</v>
      </c>
      <c r="P143" s="76">
        <f t="shared" si="54"/>
        <v>0</v>
      </c>
      <c r="Q143" s="206">
        <f t="shared" si="44"/>
        <v>0</v>
      </c>
      <c r="R143" s="206">
        <f t="shared" si="45"/>
        <v>0</v>
      </c>
      <c r="S143" s="206">
        <f t="shared" si="46"/>
        <v>0</v>
      </c>
      <c r="T143" s="206">
        <f t="shared" si="47"/>
        <v>0</v>
      </c>
      <c r="AA143" s="71" t="str">
        <f t="shared" si="55"/>
        <v/>
      </c>
      <c r="AB143">
        <f t="shared" si="56"/>
        <v>0</v>
      </c>
      <c r="AC143">
        <f t="shared" si="57"/>
        <v>0</v>
      </c>
      <c r="AD143">
        <f t="shared" si="58"/>
        <v>0</v>
      </c>
      <c r="AE143">
        <f t="shared" si="59"/>
        <v>0</v>
      </c>
      <c r="AF143" t="str">
        <f t="shared" si="60"/>
        <v/>
      </c>
    </row>
    <row r="144" spans="1:32" x14ac:dyDescent="0.4">
      <c r="A144" s="189"/>
      <c r="B144" s="189"/>
      <c r="C144" s="189"/>
      <c r="D144" s="189"/>
      <c r="E144" s="189"/>
      <c r="F144" s="189"/>
      <c r="G144" s="189"/>
      <c r="H144" s="189"/>
      <c r="J144" t="str">
        <f t="shared" si="48"/>
        <v/>
      </c>
      <c r="K144" t="str">
        <f t="shared" si="49"/>
        <v/>
      </c>
      <c r="L144" t="str">
        <f t="shared" si="50"/>
        <v/>
      </c>
      <c r="M144" t="str">
        <f t="shared" si="51"/>
        <v/>
      </c>
      <c r="N144" s="76" t="str">
        <f t="shared" si="52"/>
        <v/>
      </c>
      <c r="O144" s="20">
        <f t="shared" si="53"/>
        <v>0</v>
      </c>
      <c r="P144" s="76">
        <f t="shared" si="54"/>
        <v>0</v>
      </c>
      <c r="Q144" s="206">
        <f t="shared" si="44"/>
        <v>0</v>
      </c>
      <c r="R144" s="206">
        <f t="shared" si="45"/>
        <v>0</v>
      </c>
      <c r="S144" s="206">
        <f t="shared" si="46"/>
        <v>0</v>
      </c>
      <c r="T144" s="206">
        <f t="shared" si="47"/>
        <v>0</v>
      </c>
      <c r="AA144" s="71" t="str">
        <f t="shared" si="55"/>
        <v/>
      </c>
      <c r="AB144">
        <f t="shared" si="56"/>
        <v>0</v>
      </c>
      <c r="AC144">
        <f t="shared" si="57"/>
        <v>0</v>
      </c>
      <c r="AD144">
        <f t="shared" si="58"/>
        <v>0</v>
      </c>
      <c r="AE144">
        <f t="shared" si="59"/>
        <v>0</v>
      </c>
      <c r="AF144" t="str">
        <f t="shared" si="60"/>
        <v/>
      </c>
    </row>
    <row r="145" spans="1:32" x14ac:dyDescent="0.4">
      <c r="A145" s="189"/>
      <c r="B145" s="189"/>
      <c r="C145" s="189"/>
      <c r="D145" s="189"/>
      <c r="E145" s="189"/>
      <c r="F145" s="189"/>
      <c r="G145" s="189"/>
      <c r="H145" s="189"/>
      <c r="J145" t="str">
        <f t="shared" si="48"/>
        <v/>
      </c>
      <c r="K145" t="str">
        <f t="shared" si="49"/>
        <v/>
      </c>
      <c r="L145" t="str">
        <f t="shared" si="50"/>
        <v/>
      </c>
      <c r="M145" t="str">
        <f t="shared" si="51"/>
        <v/>
      </c>
      <c r="N145" s="76" t="str">
        <f t="shared" si="52"/>
        <v/>
      </c>
      <c r="O145" s="20">
        <f t="shared" si="53"/>
        <v>0</v>
      </c>
      <c r="P145" s="76">
        <f t="shared" si="54"/>
        <v>0</v>
      </c>
      <c r="Q145" s="206">
        <f t="shared" si="44"/>
        <v>0</v>
      </c>
      <c r="R145" s="206">
        <f t="shared" si="45"/>
        <v>0</v>
      </c>
      <c r="S145" s="206">
        <f t="shared" si="46"/>
        <v>0</v>
      </c>
      <c r="T145" s="206">
        <f t="shared" si="47"/>
        <v>0</v>
      </c>
      <c r="AA145" s="71" t="str">
        <f t="shared" si="55"/>
        <v/>
      </c>
      <c r="AB145">
        <f t="shared" si="56"/>
        <v>0</v>
      </c>
      <c r="AC145">
        <f t="shared" si="57"/>
        <v>0</v>
      </c>
      <c r="AD145">
        <f t="shared" si="58"/>
        <v>0</v>
      </c>
      <c r="AE145">
        <f t="shared" si="59"/>
        <v>0</v>
      </c>
      <c r="AF145" t="str">
        <f t="shared" si="60"/>
        <v/>
      </c>
    </row>
    <row r="146" spans="1:32" x14ac:dyDescent="0.4">
      <c r="A146" s="189"/>
      <c r="B146" s="189"/>
      <c r="C146" s="189"/>
      <c r="D146" s="189"/>
      <c r="E146" s="189"/>
      <c r="F146" s="189"/>
      <c r="G146" s="189"/>
      <c r="H146" s="189"/>
      <c r="J146" t="str">
        <f t="shared" si="48"/>
        <v/>
      </c>
      <c r="K146" t="str">
        <f t="shared" si="49"/>
        <v/>
      </c>
      <c r="L146" t="str">
        <f t="shared" si="50"/>
        <v/>
      </c>
      <c r="M146" t="str">
        <f t="shared" si="51"/>
        <v/>
      </c>
      <c r="N146" s="76" t="str">
        <f t="shared" si="52"/>
        <v/>
      </c>
      <c r="O146" s="20">
        <f t="shared" si="53"/>
        <v>0</v>
      </c>
      <c r="P146" s="76">
        <f t="shared" si="54"/>
        <v>0</v>
      </c>
      <c r="Q146" s="206">
        <f t="shared" si="44"/>
        <v>0</v>
      </c>
      <c r="R146" s="206">
        <f t="shared" si="45"/>
        <v>0</v>
      </c>
      <c r="S146" s="206">
        <f t="shared" si="46"/>
        <v>0</v>
      </c>
      <c r="T146" s="206">
        <f t="shared" si="47"/>
        <v>0</v>
      </c>
      <c r="AA146" s="71" t="str">
        <f t="shared" si="55"/>
        <v/>
      </c>
      <c r="AB146">
        <f t="shared" si="56"/>
        <v>0</v>
      </c>
      <c r="AC146">
        <f t="shared" si="57"/>
        <v>0</v>
      </c>
      <c r="AD146">
        <f t="shared" si="58"/>
        <v>0</v>
      </c>
      <c r="AE146">
        <f t="shared" si="59"/>
        <v>0</v>
      </c>
      <c r="AF146" t="str">
        <f t="shared" si="60"/>
        <v/>
      </c>
    </row>
    <row r="147" spans="1:32" x14ac:dyDescent="0.4">
      <c r="A147" s="189"/>
      <c r="B147" s="189"/>
      <c r="C147" s="189"/>
      <c r="D147" s="189"/>
      <c r="E147" s="189"/>
      <c r="F147" s="189"/>
      <c r="G147" s="189"/>
      <c r="H147" s="189"/>
      <c r="J147" t="str">
        <f t="shared" si="48"/>
        <v/>
      </c>
      <c r="K147" t="str">
        <f t="shared" si="49"/>
        <v/>
      </c>
      <c r="L147" t="str">
        <f t="shared" si="50"/>
        <v/>
      </c>
      <c r="M147" t="str">
        <f t="shared" si="51"/>
        <v/>
      </c>
      <c r="N147" s="76" t="str">
        <f t="shared" si="52"/>
        <v/>
      </c>
      <c r="O147" s="20">
        <f t="shared" si="53"/>
        <v>0</v>
      </c>
      <c r="P147" s="76">
        <f t="shared" si="54"/>
        <v>0</v>
      </c>
      <c r="Q147" s="206">
        <f t="shared" si="44"/>
        <v>0</v>
      </c>
      <c r="R147" s="206">
        <f t="shared" si="45"/>
        <v>0</v>
      </c>
      <c r="S147" s="206">
        <f t="shared" si="46"/>
        <v>0</v>
      </c>
      <c r="T147" s="206">
        <f t="shared" si="47"/>
        <v>0</v>
      </c>
      <c r="AA147" s="71" t="str">
        <f t="shared" si="55"/>
        <v/>
      </c>
      <c r="AB147">
        <f t="shared" si="56"/>
        <v>0</v>
      </c>
      <c r="AC147">
        <f t="shared" si="57"/>
        <v>0</v>
      </c>
      <c r="AD147">
        <f t="shared" si="58"/>
        <v>0</v>
      </c>
      <c r="AE147">
        <f t="shared" si="59"/>
        <v>0</v>
      </c>
      <c r="AF147" t="str">
        <f t="shared" si="60"/>
        <v/>
      </c>
    </row>
    <row r="148" spans="1:32" x14ac:dyDescent="0.4">
      <c r="A148" s="189"/>
      <c r="B148" s="189"/>
      <c r="C148" s="189"/>
      <c r="D148" s="189"/>
      <c r="E148" s="189"/>
      <c r="F148" s="189"/>
      <c r="G148" s="189"/>
      <c r="H148" s="189"/>
      <c r="J148" t="str">
        <f t="shared" si="48"/>
        <v/>
      </c>
      <c r="K148" t="str">
        <f t="shared" si="49"/>
        <v/>
      </c>
      <c r="L148" t="str">
        <f t="shared" si="50"/>
        <v/>
      </c>
      <c r="M148" t="str">
        <f t="shared" si="51"/>
        <v/>
      </c>
      <c r="N148" s="76" t="str">
        <f t="shared" si="52"/>
        <v/>
      </c>
      <c r="O148" s="20">
        <f t="shared" si="53"/>
        <v>0</v>
      </c>
      <c r="P148" s="76">
        <f t="shared" si="54"/>
        <v>0</v>
      </c>
      <c r="Q148" s="206">
        <f t="shared" si="44"/>
        <v>0</v>
      </c>
      <c r="R148" s="206">
        <f t="shared" si="45"/>
        <v>0</v>
      </c>
      <c r="S148" s="206">
        <f t="shared" si="46"/>
        <v>0</v>
      </c>
      <c r="T148" s="206">
        <f t="shared" si="47"/>
        <v>0</v>
      </c>
      <c r="AA148" s="71" t="str">
        <f t="shared" si="55"/>
        <v/>
      </c>
      <c r="AB148">
        <f t="shared" si="56"/>
        <v>0</v>
      </c>
      <c r="AC148">
        <f t="shared" si="57"/>
        <v>0</v>
      </c>
      <c r="AD148">
        <f t="shared" si="58"/>
        <v>0</v>
      </c>
      <c r="AE148">
        <f t="shared" si="59"/>
        <v>0</v>
      </c>
      <c r="AF148" t="str">
        <f t="shared" si="60"/>
        <v/>
      </c>
    </row>
    <row r="149" spans="1:32" x14ac:dyDescent="0.4">
      <c r="A149" s="189"/>
      <c r="B149" s="189"/>
      <c r="C149" s="189"/>
      <c r="D149" s="189"/>
      <c r="E149" s="189"/>
      <c r="F149" s="189"/>
      <c r="G149" s="189"/>
      <c r="H149" s="189"/>
      <c r="J149" t="str">
        <f t="shared" si="48"/>
        <v/>
      </c>
      <c r="K149" t="str">
        <f t="shared" si="49"/>
        <v/>
      </c>
      <c r="L149" t="str">
        <f t="shared" si="50"/>
        <v/>
      </c>
      <c r="M149" t="str">
        <f t="shared" si="51"/>
        <v/>
      </c>
      <c r="N149" s="76" t="str">
        <f t="shared" si="52"/>
        <v/>
      </c>
      <c r="O149" s="20">
        <f t="shared" si="53"/>
        <v>0</v>
      </c>
      <c r="P149" s="76">
        <f t="shared" si="54"/>
        <v>0</v>
      </c>
      <c r="Q149" s="206">
        <f t="shared" si="44"/>
        <v>0</v>
      </c>
      <c r="R149" s="206">
        <f t="shared" si="45"/>
        <v>0</v>
      </c>
      <c r="S149" s="206">
        <f t="shared" si="46"/>
        <v>0</v>
      </c>
      <c r="T149" s="206">
        <f t="shared" si="47"/>
        <v>0</v>
      </c>
      <c r="AA149" s="71" t="str">
        <f t="shared" si="55"/>
        <v/>
      </c>
      <c r="AB149">
        <f t="shared" si="56"/>
        <v>0</v>
      </c>
      <c r="AC149">
        <f t="shared" si="57"/>
        <v>0</v>
      </c>
      <c r="AD149">
        <f t="shared" si="58"/>
        <v>0</v>
      </c>
      <c r="AE149">
        <f t="shared" si="59"/>
        <v>0</v>
      </c>
      <c r="AF149" t="str">
        <f t="shared" si="60"/>
        <v/>
      </c>
    </row>
    <row r="150" spans="1:32" x14ac:dyDescent="0.4">
      <c r="A150" s="189"/>
      <c r="B150" s="189"/>
      <c r="C150" s="189"/>
      <c r="D150" s="189"/>
      <c r="E150" s="189"/>
      <c r="F150" s="189"/>
      <c r="G150" s="189"/>
      <c r="H150" s="189"/>
      <c r="J150" t="str">
        <f t="shared" si="48"/>
        <v/>
      </c>
      <c r="K150" t="str">
        <f t="shared" si="49"/>
        <v/>
      </c>
      <c r="L150" t="str">
        <f t="shared" si="50"/>
        <v/>
      </c>
      <c r="M150" t="str">
        <f t="shared" si="51"/>
        <v/>
      </c>
      <c r="N150" s="76" t="str">
        <f t="shared" si="52"/>
        <v/>
      </c>
      <c r="O150" s="20">
        <f t="shared" si="53"/>
        <v>0</v>
      </c>
      <c r="P150" s="76">
        <f t="shared" si="54"/>
        <v>0</v>
      </c>
      <c r="Q150" s="206">
        <f t="shared" si="44"/>
        <v>0</v>
      </c>
      <c r="R150" s="206">
        <f t="shared" si="45"/>
        <v>0</v>
      </c>
      <c r="S150" s="206">
        <f t="shared" si="46"/>
        <v>0</v>
      </c>
      <c r="T150" s="206">
        <f t="shared" si="47"/>
        <v>0</v>
      </c>
      <c r="AA150" s="71" t="str">
        <f t="shared" si="55"/>
        <v/>
      </c>
      <c r="AB150">
        <f t="shared" si="56"/>
        <v>0</v>
      </c>
      <c r="AC150">
        <f t="shared" si="57"/>
        <v>0</v>
      </c>
      <c r="AD150">
        <f t="shared" si="58"/>
        <v>0</v>
      </c>
      <c r="AE150">
        <f t="shared" si="59"/>
        <v>0</v>
      </c>
      <c r="AF150" t="str">
        <f t="shared" si="60"/>
        <v/>
      </c>
    </row>
    <row r="151" spans="1:32" x14ac:dyDescent="0.4">
      <c r="A151" s="189"/>
      <c r="B151" s="189"/>
      <c r="C151" s="189"/>
      <c r="D151" s="189"/>
      <c r="E151" s="189"/>
      <c r="F151" s="189"/>
      <c r="G151" s="189"/>
      <c r="H151" s="189"/>
      <c r="J151" t="str">
        <f t="shared" si="48"/>
        <v/>
      </c>
      <c r="K151" t="str">
        <f t="shared" si="49"/>
        <v/>
      </c>
      <c r="L151" t="str">
        <f t="shared" si="50"/>
        <v/>
      </c>
      <c r="M151" t="str">
        <f t="shared" si="51"/>
        <v/>
      </c>
      <c r="N151" s="76" t="str">
        <f t="shared" si="52"/>
        <v/>
      </c>
      <c r="O151" s="20">
        <f t="shared" si="53"/>
        <v>0</v>
      </c>
      <c r="P151" s="76">
        <f t="shared" si="54"/>
        <v>0</v>
      </c>
      <c r="Q151" s="206">
        <f t="shared" si="44"/>
        <v>0</v>
      </c>
      <c r="R151" s="206">
        <f t="shared" si="45"/>
        <v>0</v>
      </c>
      <c r="S151" s="206">
        <f t="shared" si="46"/>
        <v>0</v>
      </c>
      <c r="T151" s="206">
        <f t="shared" si="47"/>
        <v>0</v>
      </c>
      <c r="AA151" s="71" t="str">
        <f t="shared" si="55"/>
        <v/>
      </c>
      <c r="AB151">
        <f t="shared" si="56"/>
        <v>0</v>
      </c>
      <c r="AC151">
        <f t="shared" si="57"/>
        <v>0</v>
      </c>
      <c r="AD151">
        <f t="shared" si="58"/>
        <v>0</v>
      </c>
      <c r="AE151">
        <f t="shared" si="59"/>
        <v>0</v>
      </c>
      <c r="AF151" t="str">
        <f t="shared" si="60"/>
        <v/>
      </c>
    </row>
    <row r="152" spans="1:32" x14ac:dyDescent="0.4">
      <c r="A152" s="189"/>
      <c r="B152" s="189"/>
      <c r="C152" s="189"/>
      <c r="D152" s="189"/>
      <c r="E152" s="189"/>
      <c r="F152" s="189"/>
      <c r="G152" s="189"/>
      <c r="H152" s="189"/>
      <c r="J152" t="str">
        <f t="shared" si="48"/>
        <v/>
      </c>
      <c r="K152" t="str">
        <f t="shared" si="49"/>
        <v/>
      </c>
      <c r="L152" t="str">
        <f t="shared" si="50"/>
        <v/>
      </c>
      <c r="M152" t="str">
        <f t="shared" si="51"/>
        <v/>
      </c>
      <c r="N152" s="76" t="str">
        <f t="shared" si="52"/>
        <v/>
      </c>
      <c r="O152" s="20">
        <f t="shared" si="53"/>
        <v>0</v>
      </c>
      <c r="P152" s="76">
        <f t="shared" si="54"/>
        <v>0</v>
      </c>
      <c r="Q152" s="206">
        <f t="shared" si="44"/>
        <v>0</v>
      </c>
      <c r="R152" s="206">
        <f t="shared" si="45"/>
        <v>0</v>
      </c>
      <c r="S152" s="206">
        <f t="shared" si="46"/>
        <v>0</v>
      </c>
      <c r="T152" s="206">
        <f t="shared" si="47"/>
        <v>0</v>
      </c>
      <c r="AA152" s="71" t="str">
        <f t="shared" si="55"/>
        <v/>
      </c>
      <c r="AB152">
        <f t="shared" si="56"/>
        <v>0</v>
      </c>
      <c r="AC152">
        <f t="shared" si="57"/>
        <v>0</v>
      </c>
      <c r="AD152">
        <f t="shared" si="58"/>
        <v>0</v>
      </c>
      <c r="AE152">
        <f t="shared" si="59"/>
        <v>0</v>
      </c>
      <c r="AF152" t="str">
        <f t="shared" si="60"/>
        <v/>
      </c>
    </row>
    <row r="153" spans="1:32" x14ac:dyDescent="0.4">
      <c r="A153" s="189"/>
      <c r="B153" s="189"/>
      <c r="C153" s="189"/>
      <c r="D153" s="189"/>
      <c r="E153" s="189"/>
      <c r="F153" s="189"/>
      <c r="G153" s="189"/>
      <c r="H153" s="189"/>
      <c r="J153" t="str">
        <f t="shared" si="48"/>
        <v/>
      </c>
      <c r="K153" t="str">
        <f t="shared" si="49"/>
        <v/>
      </c>
      <c r="L153" t="str">
        <f t="shared" si="50"/>
        <v/>
      </c>
      <c r="M153" t="str">
        <f t="shared" si="51"/>
        <v/>
      </c>
      <c r="N153" s="76" t="str">
        <f t="shared" si="52"/>
        <v/>
      </c>
      <c r="O153" s="20">
        <f t="shared" si="53"/>
        <v>0</v>
      </c>
      <c r="P153" s="76">
        <f t="shared" si="54"/>
        <v>0</v>
      </c>
      <c r="Q153" s="206">
        <f t="shared" si="44"/>
        <v>0</v>
      </c>
      <c r="R153" s="206">
        <f t="shared" si="45"/>
        <v>0</v>
      </c>
      <c r="S153" s="206">
        <f t="shared" si="46"/>
        <v>0</v>
      </c>
      <c r="T153" s="206">
        <f t="shared" si="47"/>
        <v>0</v>
      </c>
      <c r="AA153" s="71" t="str">
        <f t="shared" si="55"/>
        <v/>
      </c>
      <c r="AB153">
        <f t="shared" si="56"/>
        <v>0</v>
      </c>
      <c r="AC153">
        <f t="shared" si="57"/>
        <v>0</v>
      </c>
      <c r="AD153">
        <f t="shared" si="58"/>
        <v>0</v>
      </c>
      <c r="AE153">
        <f t="shared" si="59"/>
        <v>0</v>
      </c>
      <c r="AF153" t="str">
        <f t="shared" si="60"/>
        <v/>
      </c>
    </row>
    <row r="154" spans="1:32" x14ac:dyDescent="0.4">
      <c r="A154" s="189"/>
      <c r="B154" s="189"/>
      <c r="C154" s="189"/>
      <c r="D154" s="189"/>
      <c r="E154" s="189"/>
      <c r="F154" s="189"/>
      <c r="G154" s="189"/>
      <c r="H154" s="189"/>
      <c r="J154" t="str">
        <f t="shared" si="48"/>
        <v/>
      </c>
      <c r="K154" t="str">
        <f t="shared" si="49"/>
        <v/>
      </c>
      <c r="L154" t="str">
        <f t="shared" si="50"/>
        <v/>
      </c>
      <c r="M154" t="str">
        <f t="shared" si="51"/>
        <v/>
      </c>
      <c r="N154" s="76" t="str">
        <f t="shared" si="52"/>
        <v/>
      </c>
      <c r="O154" s="20">
        <f t="shared" si="53"/>
        <v>0</v>
      </c>
      <c r="P154" s="76">
        <f t="shared" si="54"/>
        <v>0</v>
      </c>
      <c r="Q154" s="206">
        <f t="shared" si="44"/>
        <v>0</v>
      </c>
      <c r="R154" s="206">
        <f t="shared" si="45"/>
        <v>0</v>
      </c>
      <c r="S154" s="206">
        <f t="shared" si="46"/>
        <v>0</v>
      </c>
      <c r="T154" s="206">
        <f t="shared" si="47"/>
        <v>0</v>
      </c>
      <c r="AA154" s="71" t="str">
        <f t="shared" si="55"/>
        <v/>
      </c>
      <c r="AB154">
        <f t="shared" si="56"/>
        <v>0</v>
      </c>
      <c r="AC154">
        <f t="shared" si="57"/>
        <v>0</v>
      </c>
      <c r="AD154">
        <f t="shared" si="58"/>
        <v>0</v>
      </c>
      <c r="AE154">
        <f t="shared" si="59"/>
        <v>0</v>
      </c>
      <c r="AF154" t="str">
        <f t="shared" si="60"/>
        <v/>
      </c>
    </row>
    <row r="155" spans="1:32" x14ac:dyDescent="0.4">
      <c r="A155" s="189"/>
      <c r="B155" s="189"/>
      <c r="C155" s="189"/>
      <c r="D155" s="189"/>
      <c r="E155" s="189"/>
      <c r="F155" s="189"/>
      <c r="G155" s="189"/>
      <c r="H155" s="189"/>
      <c r="J155" t="str">
        <f t="shared" si="48"/>
        <v/>
      </c>
      <c r="K155" t="str">
        <f t="shared" si="49"/>
        <v/>
      </c>
      <c r="L155" t="str">
        <f t="shared" si="50"/>
        <v/>
      </c>
      <c r="M155" t="str">
        <f t="shared" si="51"/>
        <v/>
      </c>
      <c r="N155" s="76" t="str">
        <f t="shared" si="52"/>
        <v/>
      </c>
      <c r="O155" s="20">
        <f t="shared" si="53"/>
        <v>0</v>
      </c>
      <c r="P155" s="76">
        <f t="shared" si="54"/>
        <v>0</v>
      </c>
      <c r="Q155" s="206">
        <f t="shared" si="44"/>
        <v>0</v>
      </c>
      <c r="R155" s="206">
        <f t="shared" si="45"/>
        <v>0</v>
      </c>
      <c r="S155" s="206">
        <f t="shared" si="46"/>
        <v>0</v>
      </c>
      <c r="T155" s="206">
        <f t="shared" si="47"/>
        <v>0</v>
      </c>
      <c r="AA155" s="71" t="str">
        <f t="shared" si="55"/>
        <v/>
      </c>
      <c r="AB155">
        <f t="shared" si="56"/>
        <v>0</v>
      </c>
      <c r="AC155">
        <f t="shared" si="57"/>
        <v>0</v>
      </c>
      <c r="AD155">
        <f t="shared" si="58"/>
        <v>0</v>
      </c>
      <c r="AE155">
        <f t="shared" si="59"/>
        <v>0</v>
      </c>
      <c r="AF155" t="str">
        <f t="shared" si="60"/>
        <v/>
      </c>
    </row>
    <row r="156" spans="1:32" x14ac:dyDescent="0.4">
      <c r="A156" s="189"/>
      <c r="B156" s="189"/>
      <c r="C156" s="189"/>
      <c r="D156" s="189"/>
      <c r="E156" s="189"/>
      <c r="F156" s="189"/>
      <c r="G156" s="189"/>
      <c r="H156" s="189"/>
      <c r="J156" t="str">
        <f t="shared" si="48"/>
        <v/>
      </c>
      <c r="K156" t="str">
        <f t="shared" si="49"/>
        <v/>
      </c>
      <c r="L156" t="str">
        <f t="shared" si="50"/>
        <v/>
      </c>
      <c r="M156" t="str">
        <f t="shared" si="51"/>
        <v/>
      </c>
      <c r="N156" s="76" t="str">
        <f t="shared" si="52"/>
        <v/>
      </c>
      <c r="O156" s="20">
        <f t="shared" si="53"/>
        <v>0</v>
      </c>
      <c r="P156" s="76">
        <f t="shared" si="54"/>
        <v>0</v>
      </c>
      <c r="Q156" s="206">
        <f t="shared" si="44"/>
        <v>0</v>
      </c>
      <c r="R156" s="206">
        <f t="shared" si="45"/>
        <v>0</v>
      </c>
      <c r="S156" s="206">
        <f t="shared" si="46"/>
        <v>0</v>
      </c>
      <c r="T156" s="206">
        <f t="shared" si="47"/>
        <v>0</v>
      </c>
      <c r="AA156" s="71" t="str">
        <f t="shared" si="55"/>
        <v/>
      </c>
      <c r="AB156">
        <f t="shared" si="56"/>
        <v>0</v>
      </c>
      <c r="AC156">
        <f t="shared" si="57"/>
        <v>0</v>
      </c>
      <c r="AD156">
        <f t="shared" si="58"/>
        <v>0</v>
      </c>
      <c r="AE156">
        <f t="shared" si="59"/>
        <v>0</v>
      </c>
      <c r="AF156" t="str">
        <f t="shared" si="60"/>
        <v/>
      </c>
    </row>
    <row r="157" spans="1:32" x14ac:dyDescent="0.4">
      <c r="A157" s="189"/>
      <c r="B157" s="189"/>
      <c r="C157" s="189"/>
      <c r="D157" s="189"/>
      <c r="E157" s="189"/>
      <c r="F157" s="189"/>
      <c r="G157" s="189"/>
      <c r="H157" s="189"/>
      <c r="J157" t="str">
        <f t="shared" si="48"/>
        <v/>
      </c>
      <c r="K157" t="str">
        <f t="shared" si="49"/>
        <v/>
      </c>
      <c r="L157" t="str">
        <f t="shared" si="50"/>
        <v/>
      </c>
      <c r="M157" t="str">
        <f t="shared" si="51"/>
        <v/>
      </c>
      <c r="N157" s="76" t="str">
        <f t="shared" si="52"/>
        <v/>
      </c>
      <c r="O157" s="20">
        <f t="shared" si="53"/>
        <v>0</v>
      </c>
      <c r="P157" s="76">
        <f t="shared" si="54"/>
        <v>0</v>
      </c>
      <c r="Q157" s="206">
        <f t="shared" si="44"/>
        <v>0</v>
      </c>
      <c r="R157" s="206">
        <f t="shared" si="45"/>
        <v>0</v>
      </c>
      <c r="S157" s="206">
        <f t="shared" si="46"/>
        <v>0</v>
      </c>
      <c r="T157" s="206">
        <f t="shared" si="47"/>
        <v>0</v>
      </c>
      <c r="AA157" s="71" t="str">
        <f t="shared" si="55"/>
        <v/>
      </c>
      <c r="AB157">
        <f t="shared" si="56"/>
        <v>0</v>
      </c>
      <c r="AC157">
        <f t="shared" si="57"/>
        <v>0</v>
      </c>
      <c r="AD157">
        <f t="shared" si="58"/>
        <v>0</v>
      </c>
      <c r="AE157">
        <f t="shared" si="59"/>
        <v>0</v>
      </c>
      <c r="AF157" t="str">
        <f t="shared" si="60"/>
        <v/>
      </c>
    </row>
    <row r="158" spans="1:32" x14ac:dyDescent="0.4">
      <c r="A158" s="189"/>
      <c r="B158" s="189"/>
      <c r="C158" s="189"/>
      <c r="D158" s="189"/>
      <c r="E158" s="189"/>
      <c r="F158" s="189"/>
      <c r="G158" s="189"/>
      <c r="H158" s="189"/>
      <c r="J158" t="str">
        <f t="shared" si="48"/>
        <v/>
      </c>
      <c r="K158" t="str">
        <f t="shared" si="49"/>
        <v/>
      </c>
      <c r="L158" t="str">
        <f t="shared" si="50"/>
        <v/>
      </c>
      <c r="M158" t="str">
        <f t="shared" si="51"/>
        <v/>
      </c>
      <c r="N158" s="76" t="str">
        <f t="shared" si="52"/>
        <v/>
      </c>
      <c r="O158" s="20">
        <f t="shared" si="53"/>
        <v>0</v>
      </c>
      <c r="P158" s="76">
        <f t="shared" si="54"/>
        <v>0</v>
      </c>
      <c r="Q158" s="206">
        <f t="shared" si="44"/>
        <v>0</v>
      </c>
      <c r="R158" s="206">
        <f t="shared" si="45"/>
        <v>0</v>
      </c>
      <c r="S158" s="206">
        <f t="shared" si="46"/>
        <v>0</v>
      </c>
      <c r="T158" s="206">
        <f t="shared" si="47"/>
        <v>0</v>
      </c>
      <c r="AA158" s="71" t="str">
        <f t="shared" si="55"/>
        <v/>
      </c>
      <c r="AB158">
        <f t="shared" si="56"/>
        <v>0</v>
      </c>
      <c r="AC158">
        <f t="shared" si="57"/>
        <v>0</v>
      </c>
      <c r="AD158">
        <f t="shared" si="58"/>
        <v>0</v>
      </c>
      <c r="AE158">
        <f t="shared" si="59"/>
        <v>0</v>
      </c>
      <c r="AF158" t="str">
        <f t="shared" si="60"/>
        <v/>
      </c>
    </row>
    <row r="159" spans="1:32" x14ac:dyDescent="0.4">
      <c r="A159" s="189"/>
      <c r="B159" s="189"/>
      <c r="C159" s="189"/>
      <c r="D159" s="189"/>
      <c r="E159" s="189"/>
      <c r="F159" s="189"/>
      <c r="G159" s="189"/>
      <c r="H159" s="189"/>
      <c r="J159" t="str">
        <f t="shared" si="48"/>
        <v/>
      </c>
      <c r="K159" t="str">
        <f t="shared" si="49"/>
        <v/>
      </c>
      <c r="L159" t="str">
        <f t="shared" si="50"/>
        <v/>
      </c>
      <c r="M159" t="str">
        <f t="shared" si="51"/>
        <v/>
      </c>
      <c r="N159" s="76" t="str">
        <f t="shared" si="52"/>
        <v/>
      </c>
      <c r="O159" s="20">
        <f t="shared" si="53"/>
        <v>0</v>
      </c>
      <c r="P159" s="76">
        <f t="shared" si="54"/>
        <v>0</v>
      </c>
      <c r="Q159" s="206">
        <f t="shared" si="44"/>
        <v>0</v>
      </c>
      <c r="R159" s="206">
        <f t="shared" si="45"/>
        <v>0</v>
      </c>
      <c r="S159" s="206">
        <f t="shared" si="46"/>
        <v>0</v>
      </c>
      <c r="T159" s="206">
        <f t="shared" si="47"/>
        <v>0</v>
      </c>
      <c r="AA159" s="71" t="str">
        <f t="shared" si="55"/>
        <v/>
      </c>
      <c r="AB159">
        <f t="shared" si="56"/>
        <v>0</v>
      </c>
      <c r="AC159">
        <f t="shared" si="57"/>
        <v>0</v>
      </c>
      <c r="AD159">
        <f t="shared" si="58"/>
        <v>0</v>
      </c>
      <c r="AE159">
        <f t="shared" si="59"/>
        <v>0</v>
      </c>
      <c r="AF159" t="str">
        <f t="shared" si="60"/>
        <v/>
      </c>
    </row>
    <row r="160" spans="1:32" x14ac:dyDescent="0.4">
      <c r="A160" s="189"/>
      <c r="B160" s="189"/>
      <c r="C160" s="189"/>
      <c r="D160" s="189"/>
      <c r="E160" s="189"/>
      <c r="F160" s="189"/>
      <c r="G160" s="189"/>
      <c r="H160" s="189"/>
      <c r="J160" t="str">
        <f t="shared" si="48"/>
        <v/>
      </c>
      <c r="K160" t="str">
        <f t="shared" si="49"/>
        <v/>
      </c>
      <c r="L160" t="str">
        <f t="shared" si="50"/>
        <v/>
      </c>
      <c r="M160" t="str">
        <f t="shared" si="51"/>
        <v/>
      </c>
      <c r="N160" s="76" t="str">
        <f t="shared" si="52"/>
        <v/>
      </c>
      <c r="O160" s="20">
        <f t="shared" si="53"/>
        <v>0</v>
      </c>
      <c r="P160" s="76">
        <f t="shared" si="54"/>
        <v>0</v>
      </c>
      <c r="Q160" s="206">
        <f t="shared" si="44"/>
        <v>0</v>
      </c>
      <c r="R160" s="206">
        <f t="shared" si="45"/>
        <v>0</v>
      </c>
      <c r="S160" s="206">
        <f t="shared" si="46"/>
        <v>0</v>
      </c>
      <c r="T160" s="206">
        <f t="shared" si="47"/>
        <v>0</v>
      </c>
      <c r="AA160" s="71" t="str">
        <f t="shared" si="55"/>
        <v/>
      </c>
      <c r="AB160">
        <f t="shared" si="56"/>
        <v>0</v>
      </c>
      <c r="AC160">
        <f t="shared" si="57"/>
        <v>0</v>
      </c>
      <c r="AD160">
        <f t="shared" si="58"/>
        <v>0</v>
      </c>
      <c r="AE160">
        <f t="shared" si="59"/>
        <v>0</v>
      </c>
      <c r="AF160" t="str">
        <f t="shared" si="60"/>
        <v/>
      </c>
    </row>
    <row r="161" spans="1:32" x14ac:dyDescent="0.4">
      <c r="A161" s="189"/>
      <c r="B161" s="189"/>
      <c r="C161" s="189"/>
      <c r="D161" s="189"/>
      <c r="E161" s="189"/>
      <c r="F161" s="189"/>
      <c r="G161" s="189"/>
      <c r="H161" s="189"/>
      <c r="J161" t="str">
        <f t="shared" si="48"/>
        <v/>
      </c>
      <c r="K161" t="str">
        <f t="shared" si="49"/>
        <v/>
      </c>
      <c r="L161" t="str">
        <f t="shared" si="50"/>
        <v/>
      </c>
      <c r="M161" t="str">
        <f t="shared" si="51"/>
        <v/>
      </c>
      <c r="N161" s="76" t="str">
        <f t="shared" si="52"/>
        <v/>
      </c>
      <c r="O161" s="20">
        <f t="shared" si="53"/>
        <v>0</v>
      </c>
      <c r="P161" s="76">
        <f t="shared" si="54"/>
        <v>0</v>
      </c>
      <c r="Q161" s="206">
        <f t="shared" si="44"/>
        <v>0</v>
      </c>
      <c r="R161" s="206">
        <f t="shared" si="45"/>
        <v>0</v>
      </c>
      <c r="S161" s="206">
        <f t="shared" si="46"/>
        <v>0</v>
      </c>
      <c r="T161" s="206">
        <f t="shared" si="47"/>
        <v>0</v>
      </c>
      <c r="AA161" s="71" t="str">
        <f t="shared" si="55"/>
        <v/>
      </c>
      <c r="AB161">
        <f t="shared" si="56"/>
        <v>0</v>
      </c>
      <c r="AC161">
        <f t="shared" si="57"/>
        <v>0</v>
      </c>
      <c r="AD161">
        <f t="shared" si="58"/>
        <v>0</v>
      </c>
      <c r="AE161">
        <f t="shared" si="59"/>
        <v>0</v>
      </c>
      <c r="AF161" t="str">
        <f t="shared" si="60"/>
        <v/>
      </c>
    </row>
    <row r="162" spans="1:32" x14ac:dyDescent="0.4">
      <c r="A162" s="189"/>
      <c r="B162" s="189"/>
      <c r="C162" s="189"/>
      <c r="D162" s="189"/>
      <c r="E162" s="189"/>
      <c r="F162" s="189"/>
      <c r="G162" s="189"/>
      <c r="H162" s="189"/>
      <c r="J162" t="str">
        <f t="shared" si="48"/>
        <v/>
      </c>
      <c r="K162" t="str">
        <f t="shared" si="49"/>
        <v/>
      </c>
      <c r="L162" t="str">
        <f t="shared" si="50"/>
        <v/>
      </c>
      <c r="M162" t="str">
        <f t="shared" si="51"/>
        <v/>
      </c>
      <c r="N162" s="76" t="str">
        <f t="shared" si="52"/>
        <v/>
      </c>
      <c r="O162" s="20">
        <f t="shared" si="53"/>
        <v>0</v>
      </c>
      <c r="P162" s="76">
        <f t="shared" si="54"/>
        <v>0</v>
      </c>
      <c r="Q162" s="206">
        <f t="shared" si="44"/>
        <v>0</v>
      </c>
      <c r="R162" s="206">
        <f t="shared" si="45"/>
        <v>0</v>
      </c>
      <c r="S162" s="206">
        <f t="shared" si="46"/>
        <v>0</v>
      </c>
      <c r="T162" s="206">
        <f t="shared" si="47"/>
        <v>0</v>
      </c>
      <c r="AA162" s="71" t="str">
        <f t="shared" si="55"/>
        <v/>
      </c>
      <c r="AB162">
        <f t="shared" si="56"/>
        <v>0</v>
      </c>
      <c r="AC162">
        <f t="shared" si="57"/>
        <v>0</v>
      </c>
      <c r="AD162">
        <f t="shared" si="58"/>
        <v>0</v>
      </c>
      <c r="AE162">
        <f t="shared" si="59"/>
        <v>0</v>
      </c>
      <c r="AF162" t="str">
        <f t="shared" si="60"/>
        <v/>
      </c>
    </row>
    <row r="163" spans="1:32" x14ac:dyDescent="0.4">
      <c r="A163" s="189"/>
      <c r="B163" s="189"/>
      <c r="C163" s="189"/>
      <c r="D163" s="189"/>
      <c r="E163" s="189"/>
      <c r="F163" s="189"/>
      <c r="G163" s="189"/>
      <c r="H163" s="189"/>
      <c r="J163" t="str">
        <f t="shared" si="48"/>
        <v/>
      </c>
      <c r="K163" t="str">
        <f t="shared" si="49"/>
        <v/>
      </c>
      <c r="L163" t="str">
        <f t="shared" si="50"/>
        <v/>
      </c>
      <c r="M163" t="str">
        <f t="shared" si="51"/>
        <v/>
      </c>
      <c r="N163" s="76" t="str">
        <f t="shared" si="52"/>
        <v/>
      </c>
      <c r="O163" s="20">
        <f t="shared" si="53"/>
        <v>0</v>
      </c>
      <c r="P163" s="76">
        <f t="shared" si="54"/>
        <v>0</v>
      </c>
      <c r="Q163" s="206">
        <f t="shared" si="44"/>
        <v>0</v>
      </c>
      <c r="R163" s="206">
        <f t="shared" si="45"/>
        <v>0</v>
      </c>
      <c r="S163" s="206">
        <f t="shared" si="46"/>
        <v>0</v>
      </c>
      <c r="T163" s="206">
        <f t="shared" si="47"/>
        <v>0</v>
      </c>
      <c r="AA163" s="71" t="str">
        <f t="shared" si="55"/>
        <v/>
      </c>
      <c r="AB163">
        <f t="shared" si="56"/>
        <v>0</v>
      </c>
      <c r="AC163">
        <f t="shared" si="57"/>
        <v>0</v>
      </c>
      <c r="AD163">
        <f t="shared" si="58"/>
        <v>0</v>
      </c>
      <c r="AE163">
        <f t="shared" si="59"/>
        <v>0</v>
      </c>
      <c r="AF163" t="str">
        <f t="shared" si="60"/>
        <v/>
      </c>
    </row>
    <row r="164" spans="1:32" x14ac:dyDescent="0.4">
      <c r="A164" s="189"/>
      <c r="B164" s="189"/>
      <c r="C164" s="189"/>
      <c r="D164" s="189"/>
      <c r="E164" s="189"/>
      <c r="F164" s="189"/>
      <c r="G164" s="189"/>
      <c r="H164" s="189"/>
      <c r="J164" t="str">
        <f t="shared" si="48"/>
        <v/>
      </c>
      <c r="K164" t="str">
        <f t="shared" si="49"/>
        <v/>
      </c>
      <c r="L164" t="str">
        <f t="shared" si="50"/>
        <v/>
      </c>
      <c r="M164" t="str">
        <f t="shared" si="51"/>
        <v/>
      </c>
      <c r="N164" s="76" t="str">
        <f t="shared" si="52"/>
        <v/>
      </c>
      <c r="O164" s="20">
        <f t="shared" si="53"/>
        <v>0</v>
      </c>
      <c r="P164" s="76">
        <f t="shared" si="54"/>
        <v>0</v>
      </c>
      <c r="Q164" s="206">
        <f t="shared" si="44"/>
        <v>0</v>
      </c>
      <c r="R164" s="206">
        <f t="shared" si="45"/>
        <v>0</v>
      </c>
      <c r="S164" s="206">
        <f t="shared" si="46"/>
        <v>0</v>
      </c>
      <c r="T164" s="206">
        <f t="shared" si="47"/>
        <v>0</v>
      </c>
      <c r="AA164" s="71" t="str">
        <f t="shared" si="55"/>
        <v/>
      </c>
      <c r="AB164">
        <f t="shared" si="56"/>
        <v>0</v>
      </c>
      <c r="AC164">
        <f t="shared" si="57"/>
        <v>0</v>
      </c>
      <c r="AD164">
        <f t="shared" si="58"/>
        <v>0</v>
      </c>
      <c r="AE164">
        <f t="shared" si="59"/>
        <v>0</v>
      </c>
      <c r="AF164" t="str">
        <f t="shared" si="60"/>
        <v/>
      </c>
    </row>
    <row r="165" spans="1:32" x14ac:dyDescent="0.4">
      <c r="A165" s="189"/>
      <c r="B165" s="189"/>
      <c r="C165" s="189"/>
      <c r="D165" s="189"/>
      <c r="E165" s="189"/>
      <c r="F165" s="189"/>
      <c r="G165" s="189"/>
      <c r="H165" s="189"/>
      <c r="J165" t="str">
        <f t="shared" si="48"/>
        <v/>
      </c>
      <c r="K165" t="str">
        <f t="shared" si="49"/>
        <v/>
      </c>
      <c r="L165" t="str">
        <f t="shared" si="50"/>
        <v/>
      </c>
      <c r="M165" t="str">
        <f t="shared" si="51"/>
        <v/>
      </c>
      <c r="N165" s="76" t="str">
        <f t="shared" si="52"/>
        <v/>
      </c>
      <c r="O165" s="20">
        <f t="shared" si="53"/>
        <v>0</v>
      </c>
      <c r="P165" s="76">
        <f t="shared" si="54"/>
        <v>0</v>
      </c>
      <c r="Q165" s="206">
        <f t="shared" si="44"/>
        <v>0</v>
      </c>
      <c r="R165" s="206">
        <f t="shared" si="45"/>
        <v>0</v>
      </c>
      <c r="S165" s="206">
        <f t="shared" si="46"/>
        <v>0</v>
      </c>
      <c r="T165" s="206">
        <f t="shared" si="47"/>
        <v>0</v>
      </c>
      <c r="AA165" s="71" t="str">
        <f t="shared" si="55"/>
        <v/>
      </c>
      <c r="AB165">
        <f t="shared" si="56"/>
        <v>0</v>
      </c>
      <c r="AC165">
        <f t="shared" si="57"/>
        <v>0</v>
      </c>
      <c r="AD165">
        <f t="shared" si="58"/>
        <v>0</v>
      </c>
      <c r="AE165">
        <f t="shared" si="59"/>
        <v>0</v>
      </c>
      <c r="AF165" t="str">
        <f t="shared" si="60"/>
        <v/>
      </c>
    </row>
    <row r="166" spans="1:32" x14ac:dyDescent="0.4">
      <c r="A166" s="189"/>
      <c r="B166" s="189"/>
      <c r="C166" s="189"/>
      <c r="D166" s="189"/>
      <c r="E166" s="189"/>
      <c r="F166" s="189"/>
      <c r="G166" s="189"/>
      <c r="H166" s="189"/>
      <c r="J166" t="str">
        <f t="shared" si="48"/>
        <v/>
      </c>
      <c r="K166" t="str">
        <f t="shared" si="49"/>
        <v/>
      </c>
      <c r="L166" t="str">
        <f t="shared" si="50"/>
        <v/>
      </c>
      <c r="M166" t="str">
        <f t="shared" si="51"/>
        <v/>
      </c>
      <c r="N166" s="76" t="str">
        <f t="shared" si="52"/>
        <v/>
      </c>
      <c r="O166" s="20">
        <f t="shared" si="53"/>
        <v>0</v>
      </c>
      <c r="P166" s="76">
        <f t="shared" si="54"/>
        <v>0</v>
      </c>
      <c r="Q166" s="206">
        <f t="shared" ref="Q166:Q229" si="61">IF(P166=0,0,VALUE(LEFT(C166,LEN(C166)-4)))</f>
        <v>0</v>
      </c>
      <c r="R166" s="206">
        <f t="shared" ref="R166:R229" si="62">IF(Q166=0,0,VALUE(LEFT(D166,LEN(D166)-4)))</f>
        <v>0</v>
      </c>
      <c r="S166" s="206">
        <f t="shared" ref="S166:S229" si="63">IF(R166=0,0,VALUE(LEFT(E166,LEN(E166)-4)))</f>
        <v>0</v>
      </c>
      <c r="T166" s="206">
        <f t="shared" ref="T166:T229" si="64">IF(S166=0,0,VALUE(LEFT(F166,LEN(F166)-7)))</f>
        <v>0</v>
      </c>
      <c r="AA166" s="71" t="str">
        <f t="shared" si="55"/>
        <v/>
      </c>
      <c r="AB166">
        <f t="shared" si="56"/>
        <v>0</v>
      </c>
      <c r="AC166">
        <f t="shared" si="57"/>
        <v>0</v>
      </c>
      <c r="AD166">
        <f t="shared" si="58"/>
        <v>0</v>
      </c>
      <c r="AE166">
        <f t="shared" si="59"/>
        <v>0</v>
      </c>
      <c r="AF166" t="str">
        <f t="shared" si="60"/>
        <v/>
      </c>
    </row>
    <row r="167" spans="1:32" x14ac:dyDescent="0.4">
      <c r="A167" s="189"/>
      <c r="B167" s="189"/>
      <c r="C167" s="189"/>
      <c r="D167" s="189"/>
      <c r="E167" s="189"/>
      <c r="F167" s="189"/>
      <c r="G167" s="189"/>
      <c r="H167" s="189"/>
      <c r="J167" t="str">
        <f t="shared" si="48"/>
        <v/>
      </c>
      <c r="K167" t="str">
        <f t="shared" si="49"/>
        <v/>
      </c>
      <c r="L167" t="str">
        <f t="shared" si="50"/>
        <v/>
      </c>
      <c r="M167" t="str">
        <f t="shared" si="51"/>
        <v/>
      </c>
      <c r="N167" s="76" t="str">
        <f t="shared" si="52"/>
        <v/>
      </c>
      <c r="O167" s="20">
        <f t="shared" si="53"/>
        <v>0</v>
      </c>
      <c r="P167" s="76">
        <f t="shared" si="54"/>
        <v>0</v>
      </c>
      <c r="Q167" s="206">
        <f t="shared" si="61"/>
        <v>0</v>
      </c>
      <c r="R167" s="206">
        <f t="shared" si="62"/>
        <v>0</v>
      </c>
      <c r="S167" s="206">
        <f t="shared" si="63"/>
        <v>0</v>
      </c>
      <c r="T167" s="206">
        <f t="shared" si="64"/>
        <v>0</v>
      </c>
      <c r="AA167" s="71" t="str">
        <f t="shared" si="55"/>
        <v/>
      </c>
      <c r="AB167">
        <f t="shared" si="56"/>
        <v>0</v>
      </c>
      <c r="AC167">
        <f t="shared" si="57"/>
        <v>0</v>
      </c>
      <c r="AD167">
        <f t="shared" si="58"/>
        <v>0</v>
      </c>
      <c r="AE167">
        <f t="shared" si="59"/>
        <v>0</v>
      </c>
      <c r="AF167" t="str">
        <f t="shared" si="60"/>
        <v/>
      </c>
    </row>
    <row r="168" spans="1:32" x14ac:dyDescent="0.4">
      <c r="A168" s="189"/>
      <c r="B168" s="189"/>
      <c r="C168" s="189"/>
      <c r="D168" s="189"/>
      <c r="E168" s="189"/>
      <c r="F168" s="189"/>
      <c r="G168" s="189"/>
      <c r="H168" s="189"/>
      <c r="J168" t="str">
        <f t="shared" si="48"/>
        <v/>
      </c>
      <c r="K168" t="str">
        <f t="shared" si="49"/>
        <v/>
      </c>
      <c r="L168" t="str">
        <f t="shared" si="50"/>
        <v/>
      </c>
      <c r="M168" t="str">
        <f t="shared" si="51"/>
        <v/>
      </c>
      <c r="N168" s="76" t="str">
        <f t="shared" si="52"/>
        <v/>
      </c>
      <c r="O168" s="20">
        <f t="shared" si="53"/>
        <v>0</v>
      </c>
      <c r="P168" s="76">
        <f t="shared" si="54"/>
        <v>0</v>
      </c>
      <c r="Q168" s="206">
        <f t="shared" si="61"/>
        <v>0</v>
      </c>
      <c r="R168" s="206">
        <f t="shared" si="62"/>
        <v>0</v>
      </c>
      <c r="S168" s="206">
        <f t="shared" si="63"/>
        <v>0</v>
      </c>
      <c r="T168" s="206">
        <f t="shared" si="64"/>
        <v>0</v>
      </c>
      <c r="AA168" s="71" t="str">
        <f t="shared" si="55"/>
        <v/>
      </c>
      <c r="AB168">
        <f t="shared" si="56"/>
        <v>0</v>
      </c>
      <c r="AC168">
        <f t="shared" si="57"/>
        <v>0</v>
      </c>
      <c r="AD168">
        <f t="shared" si="58"/>
        <v>0</v>
      </c>
      <c r="AE168">
        <f t="shared" si="59"/>
        <v>0</v>
      </c>
      <c r="AF168" t="str">
        <f t="shared" si="60"/>
        <v/>
      </c>
    </row>
    <row r="169" spans="1:32" x14ac:dyDescent="0.4">
      <c r="A169" s="189"/>
      <c r="B169" s="189"/>
      <c r="C169" s="189"/>
      <c r="D169" s="189"/>
      <c r="E169" s="189"/>
      <c r="F169" s="189"/>
      <c r="G169" s="189"/>
      <c r="H169" s="189"/>
      <c r="J169" t="str">
        <f t="shared" si="48"/>
        <v/>
      </c>
      <c r="K169" t="str">
        <f t="shared" si="49"/>
        <v/>
      </c>
      <c r="L169" t="str">
        <f t="shared" si="50"/>
        <v/>
      </c>
      <c r="M169" t="str">
        <f t="shared" si="51"/>
        <v/>
      </c>
      <c r="N169" s="76" t="str">
        <f t="shared" si="52"/>
        <v/>
      </c>
      <c r="O169" s="20">
        <f t="shared" si="53"/>
        <v>0</v>
      </c>
      <c r="P169" s="76">
        <f t="shared" si="54"/>
        <v>0</v>
      </c>
      <c r="Q169" s="206">
        <f t="shared" si="61"/>
        <v>0</v>
      </c>
      <c r="R169" s="206">
        <f t="shared" si="62"/>
        <v>0</v>
      </c>
      <c r="S169" s="206">
        <f t="shared" si="63"/>
        <v>0</v>
      </c>
      <c r="T169" s="206">
        <f t="shared" si="64"/>
        <v>0</v>
      </c>
      <c r="AA169" s="71" t="str">
        <f t="shared" si="55"/>
        <v/>
      </c>
      <c r="AB169">
        <f t="shared" si="56"/>
        <v>0</v>
      </c>
      <c r="AC169">
        <f t="shared" si="57"/>
        <v>0</v>
      </c>
      <c r="AD169">
        <f t="shared" si="58"/>
        <v>0</v>
      </c>
      <c r="AE169">
        <f t="shared" si="59"/>
        <v>0</v>
      </c>
      <c r="AF169" t="str">
        <f t="shared" si="60"/>
        <v/>
      </c>
    </row>
    <row r="170" spans="1:32" x14ac:dyDescent="0.4">
      <c r="A170" s="189"/>
      <c r="B170" s="189"/>
      <c r="C170" s="189"/>
      <c r="D170" s="189"/>
      <c r="E170" s="189"/>
      <c r="F170" s="189"/>
      <c r="G170" s="189"/>
      <c r="H170" s="189"/>
      <c r="J170" t="str">
        <f t="shared" si="48"/>
        <v/>
      </c>
      <c r="K170" t="str">
        <f t="shared" si="49"/>
        <v/>
      </c>
      <c r="L170" t="str">
        <f t="shared" si="50"/>
        <v/>
      </c>
      <c r="M170" t="str">
        <f t="shared" si="51"/>
        <v/>
      </c>
      <c r="N170" s="76" t="str">
        <f t="shared" si="52"/>
        <v/>
      </c>
      <c r="O170" s="20">
        <f t="shared" si="53"/>
        <v>0</v>
      </c>
      <c r="P170" s="76">
        <f t="shared" si="54"/>
        <v>0</v>
      </c>
      <c r="Q170" s="206">
        <f t="shared" si="61"/>
        <v>0</v>
      </c>
      <c r="R170" s="206">
        <f t="shared" si="62"/>
        <v>0</v>
      </c>
      <c r="S170" s="206">
        <f t="shared" si="63"/>
        <v>0</v>
      </c>
      <c r="T170" s="206">
        <f t="shared" si="64"/>
        <v>0</v>
      </c>
      <c r="AA170" s="71" t="str">
        <f t="shared" si="55"/>
        <v/>
      </c>
      <c r="AB170">
        <f t="shared" si="56"/>
        <v>0</v>
      </c>
      <c r="AC170">
        <f t="shared" si="57"/>
        <v>0</v>
      </c>
      <c r="AD170">
        <f t="shared" si="58"/>
        <v>0</v>
      </c>
      <c r="AE170">
        <f t="shared" si="59"/>
        <v>0</v>
      </c>
      <c r="AF170" t="str">
        <f t="shared" si="60"/>
        <v/>
      </c>
    </row>
    <row r="171" spans="1:32" x14ac:dyDescent="0.4">
      <c r="A171" s="189"/>
      <c r="B171" s="189"/>
      <c r="C171" s="189"/>
      <c r="D171" s="189"/>
      <c r="E171" s="189"/>
      <c r="F171" s="189"/>
      <c r="G171" s="189"/>
      <c r="H171" s="189"/>
      <c r="J171" t="str">
        <f t="shared" si="48"/>
        <v/>
      </c>
      <c r="K171" t="str">
        <f t="shared" si="49"/>
        <v/>
      </c>
      <c r="L171" t="str">
        <f t="shared" si="50"/>
        <v/>
      </c>
      <c r="M171" t="str">
        <f t="shared" si="51"/>
        <v/>
      </c>
      <c r="N171" s="76" t="str">
        <f t="shared" si="52"/>
        <v/>
      </c>
      <c r="O171" s="20">
        <f t="shared" si="53"/>
        <v>0</v>
      </c>
      <c r="P171" s="76">
        <f t="shared" si="54"/>
        <v>0</v>
      </c>
      <c r="Q171" s="206">
        <f t="shared" si="61"/>
        <v>0</v>
      </c>
      <c r="R171" s="206">
        <f t="shared" si="62"/>
        <v>0</v>
      </c>
      <c r="S171" s="206">
        <f t="shared" si="63"/>
        <v>0</v>
      </c>
      <c r="T171" s="206">
        <f t="shared" si="64"/>
        <v>0</v>
      </c>
      <c r="AA171" s="71" t="str">
        <f t="shared" si="55"/>
        <v/>
      </c>
      <c r="AB171">
        <f t="shared" si="56"/>
        <v>0</v>
      </c>
      <c r="AC171">
        <f t="shared" si="57"/>
        <v>0</v>
      </c>
      <c r="AD171">
        <f t="shared" si="58"/>
        <v>0</v>
      </c>
      <c r="AE171">
        <f t="shared" si="59"/>
        <v>0</v>
      </c>
      <c r="AF171" t="str">
        <f t="shared" si="60"/>
        <v/>
      </c>
    </row>
    <row r="172" spans="1:32" x14ac:dyDescent="0.4">
      <c r="A172" s="189"/>
      <c r="B172" s="189"/>
      <c r="C172" s="189"/>
      <c r="D172" s="189"/>
      <c r="E172" s="189"/>
      <c r="F172" s="189"/>
      <c r="G172" s="189"/>
      <c r="H172" s="189"/>
      <c r="J172" t="str">
        <f t="shared" si="48"/>
        <v/>
      </c>
      <c r="K172" t="str">
        <f t="shared" si="49"/>
        <v/>
      </c>
      <c r="L172" t="str">
        <f t="shared" si="50"/>
        <v/>
      </c>
      <c r="M172" t="str">
        <f t="shared" si="51"/>
        <v/>
      </c>
      <c r="N172" s="76" t="str">
        <f t="shared" si="52"/>
        <v/>
      </c>
      <c r="O172" s="20">
        <f t="shared" si="53"/>
        <v>0</v>
      </c>
      <c r="P172" s="76">
        <f t="shared" si="54"/>
        <v>0</v>
      </c>
      <c r="Q172" s="206">
        <f t="shared" si="61"/>
        <v>0</v>
      </c>
      <c r="R172" s="206">
        <f t="shared" si="62"/>
        <v>0</v>
      </c>
      <c r="S172" s="206">
        <f t="shared" si="63"/>
        <v>0</v>
      </c>
      <c r="T172" s="206">
        <f t="shared" si="64"/>
        <v>0</v>
      </c>
      <c r="AA172" s="71" t="str">
        <f t="shared" si="55"/>
        <v/>
      </c>
      <c r="AB172">
        <f t="shared" si="56"/>
        <v>0</v>
      </c>
      <c r="AC172">
        <f t="shared" si="57"/>
        <v>0</v>
      </c>
      <c r="AD172">
        <f t="shared" si="58"/>
        <v>0</v>
      </c>
      <c r="AE172">
        <f t="shared" si="59"/>
        <v>0</v>
      </c>
      <c r="AF172" t="str">
        <f t="shared" si="60"/>
        <v/>
      </c>
    </row>
    <row r="173" spans="1:32" x14ac:dyDescent="0.4">
      <c r="A173" s="189"/>
      <c r="B173" s="189"/>
      <c r="C173" s="189"/>
      <c r="D173" s="189"/>
      <c r="E173" s="189"/>
      <c r="F173" s="189"/>
      <c r="G173" s="189"/>
      <c r="H173" s="189"/>
      <c r="J173" t="str">
        <f t="shared" si="48"/>
        <v/>
      </c>
      <c r="K173" t="str">
        <f t="shared" si="49"/>
        <v/>
      </c>
      <c r="L173" t="str">
        <f t="shared" si="50"/>
        <v/>
      </c>
      <c r="M173" t="str">
        <f t="shared" si="51"/>
        <v/>
      </c>
      <c r="N173" s="76" t="str">
        <f t="shared" si="52"/>
        <v/>
      </c>
      <c r="O173" s="20">
        <f t="shared" si="53"/>
        <v>0</v>
      </c>
      <c r="P173" s="76">
        <f t="shared" si="54"/>
        <v>0</v>
      </c>
      <c r="Q173" s="206">
        <f t="shared" si="61"/>
        <v>0</v>
      </c>
      <c r="R173" s="206">
        <f t="shared" si="62"/>
        <v>0</v>
      </c>
      <c r="S173" s="206">
        <f t="shared" si="63"/>
        <v>0</v>
      </c>
      <c r="T173" s="206">
        <f t="shared" si="64"/>
        <v>0</v>
      </c>
      <c r="AA173" s="71" t="str">
        <f t="shared" si="55"/>
        <v/>
      </c>
      <c r="AB173">
        <f t="shared" si="56"/>
        <v>0</v>
      </c>
      <c r="AC173">
        <f t="shared" si="57"/>
        <v>0</v>
      </c>
      <c r="AD173">
        <f t="shared" si="58"/>
        <v>0</v>
      </c>
      <c r="AE173">
        <f t="shared" si="59"/>
        <v>0</v>
      </c>
      <c r="AF173" t="str">
        <f t="shared" si="60"/>
        <v/>
      </c>
    </row>
    <row r="174" spans="1:32" x14ac:dyDescent="0.4">
      <c r="A174" s="189"/>
      <c r="B174" s="189"/>
      <c r="C174" s="189"/>
      <c r="D174" s="189"/>
      <c r="E174" s="189"/>
      <c r="F174" s="189"/>
      <c r="G174" s="189"/>
      <c r="H174" s="189"/>
      <c r="J174" t="str">
        <f t="shared" si="48"/>
        <v/>
      </c>
      <c r="K174" t="str">
        <f t="shared" si="49"/>
        <v/>
      </c>
      <c r="L174" t="str">
        <f t="shared" si="50"/>
        <v/>
      </c>
      <c r="M174" t="str">
        <f t="shared" si="51"/>
        <v/>
      </c>
      <c r="N174" s="76" t="str">
        <f t="shared" si="52"/>
        <v/>
      </c>
      <c r="O174" s="20">
        <f t="shared" si="53"/>
        <v>0</v>
      </c>
      <c r="P174" s="76">
        <f t="shared" si="54"/>
        <v>0</v>
      </c>
      <c r="Q174" s="206">
        <f t="shared" si="61"/>
        <v>0</v>
      </c>
      <c r="R174" s="206">
        <f t="shared" si="62"/>
        <v>0</v>
      </c>
      <c r="S174" s="206">
        <f t="shared" si="63"/>
        <v>0</v>
      </c>
      <c r="T174" s="206">
        <f t="shared" si="64"/>
        <v>0</v>
      </c>
      <c r="AA174" s="71" t="str">
        <f t="shared" si="55"/>
        <v/>
      </c>
      <c r="AB174">
        <f t="shared" si="56"/>
        <v>0</v>
      </c>
      <c r="AC174">
        <f t="shared" si="57"/>
        <v>0</v>
      </c>
      <c r="AD174">
        <f t="shared" si="58"/>
        <v>0</v>
      </c>
      <c r="AE174">
        <f t="shared" si="59"/>
        <v>0</v>
      </c>
      <c r="AF174" t="str">
        <f t="shared" si="60"/>
        <v/>
      </c>
    </row>
    <row r="175" spans="1:32" x14ac:dyDescent="0.4">
      <c r="A175" s="189"/>
      <c r="B175" s="189"/>
      <c r="C175" s="189"/>
      <c r="D175" s="189"/>
      <c r="E175" s="189"/>
      <c r="F175" s="189"/>
      <c r="G175" s="189"/>
      <c r="H175" s="189"/>
      <c r="J175" t="str">
        <f t="shared" si="48"/>
        <v/>
      </c>
      <c r="K175" t="str">
        <f t="shared" si="49"/>
        <v/>
      </c>
      <c r="L175" t="str">
        <f t="shared" si="50"/>
        <v/>
      </c>
      <c r="M175" t="str">
        <f t="shared" si="51"/>
        <v/>
      </c>
      <c r="N175" s="76" t="str">
        <f t="shared" si="52"/>
        <v/>
      </c>
      <c r="O175" s="20">
        <f t="shared" si="53"/>
        <v>0</v>
      </c>
      <c r="P175" s="76">
        <f t="shared" si="54"/>
        <v>0</v>
      </c>
      <c r="Q175" s="206">
        <f t="shared" si="61"/>
        <v>0</v>
      </c>
      <c r="R175" s="206">
        <f t="shared" si="62"/>
        <v>0</v>
      </c>
      <c r="S175" s="206">
        <f t="shared" si="63"/>
        <v>0</v>
      </c>
      <c r="T175" s="206">
        <f t="shared" si="64"/>
        <v>0</v>
      </c>
      <c r="AA175" s="71" t="str">
        <f t="shared" si="55"/>
        <v/>
      </c>
      <c r="AB175">
        <f t="shared" si="56"/>
        <v>0</v>
      </c>
      <c r="AC175">
        <f t="shared" si="57"/>
        <v>0</v>
      </c>
      <c r="AD175">
        <f t="shared" si="58"/>
        <v>0</v>
      </c>
      <c r="AE175">
        <f t="shared" si="59"/>
        <v>0</v>
      </c>
      <c r="AF175" t="str">
        <f t="shared" si="60"/>
        <v/>
      </c>
    </row>
    <row r="176" spans="1:32" x14ac:dyDescent="0.4">
      <c r="A176" s="189"/>
      <c r="B176" s="189"/>
      <c r="C176" s="189"/>
      <c r="D176" s="189"/>
      <c r="E176" s="189"/>
      <c r="F176" s="189"/>
      <c r="G176" s="189"/>
      <c r="H176" s="189"/>
      <c r="J176" t="str">
        <f t="shared" si="48"/>
        <v/>
      </c>
      <c r="K176" t="str">
        <f t="shared" si="49"/>
        <v/>
      </c>
      <c r="L176" t="str">
        <f t="shared" si="50"/>
        <v/>
      </c>
      <c r="M176" t="str">
        <f t="shared" si="51"/>
        <v/>
      </c>
      <c r="N176" s="76" t="str">
        <f t="shared" si="52"/>
        <v/>
      </c>
      <c r="O176" s="20">
        <f t="shared" si="53"/>
        <v>0</v>
      </c>
      <c r="P176" s="76">
        <f t="shared" si="54"/>
        <v>0</v>
      </c>
      <c r="Q176" s="206">
        <f t="shared" si="61"/>
        <v>0</v>
      </c>
      <c r="R176" s="206">
        <f t="shared" si="62"/>
        <v>0</v>
      </c>
      <c r="S176" s="206">
        <f t="shared" si="63"/>
        <v>0</v>
      </c>
      <c r="T176" s="206">
        <f t="shared" si="64"/>
        <v>0</v>
      </c>
      <c r="AA176" s="71" t="str">
        <f t="shared" si="55"/>
        <v/>
      </c>
      <c r="AB176">
        <f t="shared" si="56"/>
        <v>0</v>
      </c>
      <c r="AC176">
        <f t="shared" si="57"/>
        <v>0</v>
      </c>
      <c r="AD176">
        <f t="shared" si="58"/>
        <v>0</v>
      </c>
      <c r="AE176">
        <f t="shared" si="59"/>
        <v>0</v>
      </c>
      <c r="AF176" t="str">
        <f t="shared" si="60"/>
        <v/>
      </c>
    </row>
    <row r="177" spans="1:32" x14ac:dyDescent="0.4">
      <c r="A177" s="189"/>
      <c r="B177" s="189"/>
      <c r="C177" s="189"/>
      <c r="D177" s="189"/>
      <c r="E177" s="189"/>
      <c r="F177" s="189"/>
      <c r="G177" s="189"/>
      <c r="H177" s="189"/>
      <c r="J177" t="str">
        <f t="shared" si="48"/>
        <v/>
      </c>
      <c r="K177" t="str">
        <f t="shared" si="49"/>
        <v/>
      </c>
      <c r="L177" t="str">
        <f t="shared" si="50"/>
        <v/>
      </c>
      <c r="M177" t="str">
        <f t="shared" si="51"/>
        <v/>
      </c>
      <c r="N177" s="76" t="str">
        <f t="shared" si="52"/>
        <v/>
      </c>
      <c r="O177" s="20">
        <f t="shared" si="53"/>
        <v>0</v>
      </c>
      <c r="P177" s="76">
        <f t="shared" si="54"/>
        <v>0</v>
      </c>
      <c r="Q177" s="206">
        <f t="shared" si="61"/>
        <v>0</v>
      </c>
      <c r="R177" s="206">
        <f t="shared" si="62"/>
        <v>0</v>
      </c>
      <c r="S177" s="206">
        <f t="shared" si="63"/>
        <v>0</v>
      </c>
      <c r="T177" s="206">
        <f t="shared" si="64"/>
        <v>0</v>
      </c>
      <c r="AA177" s="71" t="str">
        <f t="shared" si="55"/>
        <v/>
      </c>
      <c r="AB177">
        <f t="shared" si="56"/>
        <v>0</v>
      </c>
      <c r="AC177">
        <f t="shared" si="57"/>
        <v>0</v>
      </c>
      <c r="AD177">
        <f t="shared" si="58"/>
        <v>0</v>
      </c>
      <c r="AE177">
        <f t="shared" si="59"/>
        <v>0</v>
      </c>
      <c r="AF177" t="str">
        <f t="shared" si="60"/>
        <v/>
      </c>
    </row>
    <row r="178" spans="1:32" x14ac:dyDescent="0.4">
      <c r="A178" s="189"/>
      <c r="B178" s="189"/>
      <c r="C178" s="189"/>
      <c r="D178" s="189"/>
      <c r="E178" s="189"/>
      <c r="F178" s="189"/>
      <c r="G178" s="189"/>
      <c r="H178" s="189"/>
      <c r="J178" t="str">
        <f t="shared" si="48"/>
        <v/>
      </c>
      <c r="K178" t="str">
        <f t="shared" si="49"/>
        <v/>
      </c>
      <c r="L178" t="str">
        <f t="shared" si="50"/>
        <v/>
      </c>
      <c r="M178" t="str">
        <f t="shared" si="51"/>
        <v/>
      </c>
      <c r="N178" s="76" t="str">
        <f t="shared" si="52"/>
        <v/>
      </c>
      <c r="O178" s="20">
        <f t="shared" si="53"/>
        <v>0</v>
      </c>
      <c r="P178" s="76">
        <f t="shared" si="54"/>
        <v>0</v>
      </c>
      <c r="Q178" s="206">
        <f t="shared" si="61"/>
        <v>0</v>
      </c>
      <c r="R178" s="206">
        <f t="shared" si="62"/>
        <v>0</v>
      </c>
      <c r="S178" s="206">
        <f t="shared" si="63"/>
        <v>0</v>
      </c>
      <c r="T178" s="206">
        <f t="shared" si="64"/>
        <v>0</v>
      </c>
      <c r="AA178" s="71" t="str">
        <f t="shared" si="55"/>
        <v/>
      </c>
      <c r="AB178">
        <f t="shared" si="56"/>
        <v>0</v>
      </c>
      <c r="AC178">
        <f t="shared" si="57"/>
        <v>0</v>
      </c>
      <c r="AD178">
        <f t="shared" si="58"/>
        <v>0</v>
      </c>
      <c r="AE178">
        <f t="shared" si="59"/>
        <v>0</v>
      </c>
      <c r="AF178" t="str">
        <f t="shared" si="60"/>
        <v/>
      </c>
    </row>
    <row r="179" spans="1:32" x14ac:dyDescent="0.4">
      <c r="A179" s="189"/>
      <c r="B179" s="189"/>
      <c r="C179" s="189"/>
      <c r="D179" s="189"/>
      <c r="E179" s="189"/>
      <c r="F179" s="189"/>
      <c r="G179" s="189"/>
      <c r="H179" s="189"/>
      <c r="J179" t="str">
        <f t="shared" si="48"/>
        <v/>
      </c>
      <c r="K179" t="str">
        <f t="shared" si="49"/>
        <v/>
      </c>
      <c r="L179" t="str">
        <f t="shared" si="50"/>
        <v/>
      </c>
      <c r="M179" t="str">
        <f t="shared" si="51"/>
        <v/>
      </c>
      <c r="N179" s="76" t="str">
        <f t="shared" si="52"/>
        <v/>
      </c>
      <c r="O179" s="20">
        <f t="shared" si="53"/>
        <v>0</v>
      </c>
      <c r="P179" s="76">
        <f t="shared" si="54"/>
        <v>0</v>
      </c>
      <c r="Q179" s="206">
        <f t="shared" si="61"/>
        <v>0</v>
      </c>
      <c r="R179" s="206">
        <f t="shared" si="62"/>
        <v>0</v>
      </c>
      <c r="S179" s="206">
        <f t="shared" si="63"/>
        <v>0</v>
      </c>
      <c r="T179" s="206">
        <f t="shared" si="64"/>
        <v>0</v>
      </c>
      <c r="AA179" s="71" t="str">
        <f t="shared" si="55"/>
        <v/>
      </c>
      <c r="AB179">
        <f t="shared" si="56"/>
        <v>0</v>
      </c>
      <c r="AC179">
        <f t="shared" si="57"/>
        <v>0</v>
      </c>
      <c r="AD179">
        <f t="shared" si="58"/>
        <v>0</v>
      </c>
      <c r="AE179">
        <f t="shared" si="59"/>
        <v>0</v>
      </c>
      <c r="AF179" t="str">
        <f t="shared" si="60"/>
        <v/>
      </c>
    </row>
    <row r="180" spans="1:32" x14ac:dyDescent="0.4">
      <c r="A180" s="189"/>
      <c r="B180" s="189"/>
      <c r="C180" s="189"/>
      <c r="D180" s="189"/>
      <c r="E180" s="189"/>
      <c r="F180" s="189"/>
      <c r="G180" s="189"/>
      <c r="H180" s="189"/>
      <c r="J180" t="str">
        <f t="shared" si="48"/>
        <v/>
      </c>
      <c r="K180" t="str">
        <f t="shared" si="49"/>
        <v/>
      </c>
      <c r="L180" t="str">
        <f t="shared" si="50"/>
        <v/>
      </c>
      <c r="M180" t="str">
        <f t="shared" si="51"/>
        <v/>
      </c>
      <c r="N180" s="76" t="str">
        <f t="shared" si="52"/>
        <v/>
      </c>
      <c r="O180" s="20">
        <f t="shared" si="53"/>
        <v>0</v>
      </c>
      <c r="P180" s="76">
        <f t="shared" si="54"/>
        <v>0</v>
      </c>
      <c r="Q180" s="206">
        <f t="shared" si="61"/>
        <v>0</v>
      </c>
      <c r="R180" s="206">
        <f t="shared" si="62"/>
        <v>0</v>
      </c>
      <c r="S180" s="206">
        <f t="shared" si="63"/>
        <v>0</v>
      </c>
      <c r="T180" s="206">
        <f t="shared" si="64"/>
        <v>0</v>
      </c>
      <c r="AA180" s="71" t="str">
        <f t="shared" si="55"/>
        <v/>
      </c>
      <c r="AB180">
        <f t="shared" si="56"/>
        <v>0</v>
      </c>
      <c r="AC180">
        <f t="shared" si="57"/>
        <v>0</v>
      </c>
      <c r="AD180">
        <f t="shared" si="58"/>
        <v>0</v>
      </c>
      <c r="AE180">
        <f t="shared" si="59"/>
        <v>0</v>
      </c>
      <c r="AF180" t="str">
        <f t="shared" si="60"/>
        <v/>
      </c>
    </row>
    <row r="181" spans="1:32" x14ac:dyDescent="0.4">
      <c r="A181" s="189"/>
      <c r="B181" s="189"/>
      <c r="C181" s="189"/>
      <c r="D181" s="189"/>
      <c r="E181" s="189"/>
      <c r="F181" s="189"/>
      <c r="G181" s="189"/>
      <c r="H181" s="189"/>
      <c r="J181" t="str">
        <f t="shared" si="48"/>
        <v/>
      </c>
      <c r="K181" t="str">
        <f t="shared" si="49"/>
        <v/>
      </c>
      <c r="L181" t="str">
        <f t="shared" si="50"/>
        <v/>
      </c>
      <c r="M181" t="str">
        <f t="shared" si="51"/>
        <v/>
      </c>
      <c r="N181" s="76" t="str">
        <f t="shared" si="52"/>
        <v/>
      </c>
      <c r="O181" s="20">
        <f t="shared" si="53"/>
        <v>0</v>
      </c>
      <c r="P181" s="76">
        <f t="shared" si="54"/>
        <v>0</v>
      </c>
      <c r="Q181" s="206">
        <f t="shared" si="61"/>
        <v>0</v>
      </c>
      <c r="R181" s="206">
        <f t="shared" si="62"/>
        <v>0</v>
      </c>
      <c r="S181" s="206">
        <f t="shared" si="63"/>
        <v>0</v>
      </c>
      <c r="T181" s="206">
        <f t="shared" si="64"/>
        <v>0</v>
      </c>
      <c r="AA181" s="71" t="str">
        <f t="shared" si="55"/>
        <v/>
      </c>
      <c r="AB181">
        <f t="shared" si="56"/>
        <v>0</v>
      </c>
      <c r="AC181">
        <f t="shared" si="57"/>
        <v>0</v>
      </c>
      <c r="AD181">
        <f t="shared" si="58"/>
        <v>0</v>
      </c>
      <c r="AE181">
        <f t="shared" si="59"/>
        <v>0</v>
      </c>
      <c r="AF181" t="str">
        <f t="shared" si="60"/>
        <v/>
      </c>
    </row>
    <row r="182" spans="1:32" x14ac:dyDescent="0.4">
      <c r="A182" s="189"/>
      <c r="B182" s="189"/>
      <c r="C182" s="189"/>
      <c r="D182" s="189"/>
      <c r="E182" s="189"/>
      <c r="F182" s="189"/>
      <c r="G182" s="189"/>
      <c r="H182" s="189"/>
      <c r="J182" t="str">
        <f t="shared" si="48"/>
        <v/>
      </c>
      <c r="K182" t="str">
        <f t="shared" si="49"/>
        <v/>
      </c>
      <c r="L182" t="str">
        <f t="shared" si="50"/>
        <v/>
      </c>
      <c r="M182" t="str">
        <f t="shared" si="51"/>
        <v/>
      </c>
      <c r="N182" s="76" t="str">
        <f t="shared" si="52"/>
        <v/>
      </c>
      <c r="O182" s="20">
        <f t="shared" si="53"/>
        <v>0</v>
      </c>
      <c r="P182" s="76">
        <f t="shared" si="54"/>
        <v>0</v>
      </c>
      <c r="Q182" s="206">
        <f t="shared" si="61"/>
        <v>0</v>
      </c>
      <c r="R182" s="206">
        <f t="shared" si="62"/>
        <v>0</v>
      </c>
      <c r="S182" s="206">
        <f t="shared" si="63"/>
        <v>0</v>
      </c>
      <c r="T182" s="206">
        <f t="shared" si="64"/>
        <v>0</v>
      </c>
      <c r="AA182" s="71" t="str">
        <f t="shared" si="55"/>
        <v/>
      </c>
      <c r="AB182">
        <f t="shared" si="56"/>
        <v>0</v>
      </c>
      <c r="AC182">
        <f t="shared" si="57"/>
        <v>0</v>
      </c>
      <c r="AD182">
        <f t="shared" si="58"/>
        <v>0</v>
      </c>
      <c r="AE182">
        <f t="shared" si="59"/>
        <v>0</v>
      </c>
      <c r="AF182" t="str">
        <f t="shared" si="60"/>
        <v/>
      </c>
    </row>
    <row r="183" spans="1:32" x14ac:dyDescent="0.4">
      <c r="A183" s="189"/>
      <c r="B183" s="189"/>
      <c r="C183" s="189"/>
      <c r="D183" s="189"/>
      <c r="E183" s="189"/>
      <c r="F183" s="189"/>
      <c r="G183" s="189"/>
      <c r="H183" s="189"/>
      <c r="J183" t="str">
        <f t="shared" si="48"/>
        <v/>
      </c>
      <c r="K183" t="str">
        <f t="shared" si="49"/>
        <v/>
      </c>
      <c r="L183" t="str">
        <f t="shared" si="50"/>
        <v/>
      </c>
      <c r="M183" t="str">
        <f t="shared" si="51"/>
        <v/>
      </c>
      <c r="N183" s="76" t="str">
        <f t="shared" si="52"/>
        <v/>
      </c>
      <c r="O183" s="20">
        <f t="shared" si="53"/>
        <v>0</v>
      </c>
      <c r="P183" s="76">
        <f t="shared" si="54"/>
        <v>0</v>
      </c>
      <c r="Q183" s="206">
        <f t="shared" si="61"/>
        <v>0</v>
      </c>
      <c r="R183" s="206">
        <f t="shared" si="62"/>
        <v>0</v>
      </c>
      <c r="S183" s="206">
        <f t="shared" si="63"/>
        <v>0</v>
      </c>
      <c r="T183" s="206">
        <f t="shared" si="64"/>
        <v>0</v>
      </c>
      <c r="AA183" s="71" t="str">
        <f t="shared" si="55"/>
        <v/>
      </c>
      <c r="AB183">
        <f t="shared" si="56"/>
        <v>0</v>
      </c>
      <c r="AC183">
        <f t="shared" si="57"/>
        <v>0</v>
      </c>
      <c r="AD183">
        <f t="shared" si="58"/>
        <v>0</v>
      </c>
      <c r="AE183">
        <f t="shared" si="59"/>
        <v>0</v>
      </c>
      <c r="AF183" t="str">
        <f t="shared" si="60"/>
        <v/>
      </c>
    </row>
    <row r="184" spans="1:32" x14ac:dyDescent="0.4">
      <c r="A184" s="189"/>
      <c r="B184" s="189"/>
      <c r="C184" s="189"/>
      <c r="D184" s="189"/>
      <c r="E184" s="189"/>
      <c r="F184" s="189"/>
      <c r="G184" s="189"/>
      <c r="H184" s="189"/>
      <c r="J184" t="str">
        <f t="shared" si="48"/>
        <v/>
      </c>
      <c r="K184" t="str">
        <f t="shared" si="49"/>
        <v/>
      </c>
      <c r="L184" t="str">
        <f t="shared" si="50"/>
        <v/>
      </c>
      <c r="M184" t="str">
        <f t="shared" si="51"/>
        <v/>
      </c>
      <c r="N184" s="76" t="str">
        <f t="shared" si="52"/>
        <v/>
      </c>
      <c r="O184" s="20">
        <f t="shared" si="53"/>
        <v>0</v>
      </c>
      <c r="P184" s="76">
        <f t="shared" si="54"/>
        <v>0</v>
      </c>
      <c r="Q184" s="206">
        <f t="shared" si="61"/>
        <v>0</v>
      </c>
      <c r="R184" s="206">
        <f t="shared" si="62"/>
        <v>0</v>
      </c>
      <c r="S184" s="206">
        <f t="shared" si="63"/>
        <v>0</v>
      </c>
      <c r="T184" s="206">
        <f t="shared" si="64"/>
        <v>0</v>
      </c>
      <c r="AA184" s="71" t="str">
        <f t="shared" si="55"/>
        <v/>
      </c>
      <c r="AB184">
        <f t="shared" si="56"/>
        <v>0</v>
      </c>
      <c r="AC184">
        <f t="shared" si="57"/>
        <v>0</v>
      </c>
      <c r="AD184">
        <f t="shared" si="58"/>
        <v>0</v>
      </c>
      <c r="AE184">
        <f t="shared" si="59"/>
        <v>0</v>
      </c>
      <c r="AF184" t="str">
        <f t="shared" si="60"/>
        <v/>
      </c>
    </row>
    <row r="185" spans="1:32" x14ac:dyDescent="0.4">
      <c r="A185" s="189"/>
      <c r="B185" s="189"/>
      <c r="C185" s="189"/>
      <c r="D185" s="189"/>
      <c r="E185" s="189"/>
      <c r="F185" s="189"/>
      <c r="G185" s="189"/>
      <c r="H185" s="189"/>
      <c r="J185" t="str">
        <f t="shared" si="48"/>
        <v/>
      </c>
      <c r="K185" t="str">
        <f t="shared" si="49"/>
        <v/>
      </c>
      <c r="L185" t="str">
        <f t="shared" si="50"/>
        <v/>
      </c>
      <c r="M185" t="str">
        <f t="shared" si="51"/>
        <v/>
      </c>
      <c r="N185" s="76" t="str">
        <f t="shared" si="52"/>
        <v/>
      </c>
      <c r="O185" s="20">
        <f t="shared" si="53"/>
        <v>0</v>
      </c>
      <c r="P185" s="76">
        <f t="shared" si="54"/>
        <v>0</v>
      </c>
      <c r="Q185" s="206">
        <f t="shared" si="61"/>
        <v>0</v>
      </c>
      <c r="R185" s="206">
        <f t="shared" si="62"/>
        <v>0</v>
      </c>
      <c r="S185" s="206">
        <f t="shared" si="63"/>
        <v>0</v>
      </c>
      <c r="T185" s="206">
        <f t="shared" si="64"/>
        <v>0</v>
      </c>
      <c r="AA185" s="71" t="str">
        <f t="shared" si="55"/>
        <v/>
      </c>
      <c r="AB185">
        <f t="shared" si="56"/>
        <v>0</v>
      </c>
      <c r="AC185">
        <f t="shared" si="57"/>
        <v>0</v>
      </c>
      <c r="AD185">
        <f t="shared" si="58"/>
        <v>0</v>
      </c>
      <c r="AE185">
        <f t="shared" si="59"/>
        <v>0</v>
      </c>
      <c r="AF185" t="str">
        <f t="shared" si="60"/>
        <v/>
      </c>
    </row>
    <row r="186" spans="1:32" x14ac:dyDescent="0.4">
      <c r="A186" s="189"/>
      <c r="B186" s="189"/>
      <c r="C186" s="189"/>
      <c r="D186" s="189"/>
      <c r="E186" s="189"/>
      <c r="F186" s="189"/>
      <c r="G186" s="189"/>
      <c r="H186" s="189"/>
      <c r="J186" t="str">
        <f t="shared" si="48"/>
        <v/>
      </c>
      <c r="K186" t="str">
        <f t="shared" si="49"/>
        <v/>
      </c>
      <c r="L186" t="str">
        <f t="shared" si="50"/>
        <v/>
      </c>
      <c r="M186" t="str">
        <f t="shared" si="51"/>
        <v/>
      </c>
      <c r="N186" s="76" t="str">
        <f t="shared" si="52"/>
        <v/>
      </c>
      <c r="O186" s="20">
        <f t="shared" si="53"/>
        <v>0</v>
      </c>
      <c r="P186" s="76">
        <f t="shared" si="54"/>
        <v>0</v>
      </c>
      <c r="Q186" s="206">
        <f t="shared" si="61"/>
        <v>0</v>
      </c>
      <c r="R186" s="206">
        <f t="shared" si="62"/>
        <v>0</v>
      </c>
      <c r="S186" s="206">
        <f t="shared" si="63"/>
        <v>0</v>
      </c>
      <c r="T186" s="206">
        <f t="shared" si="64"/>
        <v>0</v>
      </c>
      <c r="AA186" s="71" t="str">
        <f t="shared" si="55"/>
        <v/>
      </c>
      <c r="AB186">
        <f t="shared" si="56"/>
        <v>0</v>
      </c>
      <c r="AC186">
        <f t="shared" si="57"/>
        <v>0</v>
      </c>
      <c r="AD186">
        <f t="shared" si="58"/>
        <v>0</v>
      </c>
      <c r="AE186">
        <f t="shared" si="59"/>
        <v>0</v>
      </c>
      <c r="AF186" t="str">
        <f t="shared" si="60"/>
        <v/>
      </c>
    </row>
    <row r="187" spans="1:32" x14ac:dyDescent="0.4">
      <c r="A187" s="189"/>
      <c r="B187" s="189"/>
      <c r="C187" s="189"/>
      <c r="D187" s="189"/>
      <c r="E187" s="189"/>
      <c r="F187" s="189"/>
      <c r="G187" s="189"/>
      <c r="H187" s="189"/>
      <c r="J187" t="str">
        <f t="shared" si="48"/>
        <v/>
      </c>
      <c r="K187" t="str">
        <f t="shared" si="49"/>
        <v/>
      </c>
      <c r="L187" t="str">
        <f t="shared" si="50"/>
        <v/>
      </c>
      <c r="M187" t="str">
        <f t="shared" si="51"/>
        <v/>
      </c>
      <c r="N187" s="76" t="str">
        <f t="shared" si="52"/>
        <v/>
      </c>
      <c r="O187" s="20">
        <f t="shared" si="53"/>
        <v>0</v>
      </c>
      <c r="P187" s="76">
        <f t="shared" si="54"/>
        <v>0</v>
      </c>
      <c r="Q187" s="206">
        <f t="shared" si="61"/>
        <v>0</v>
      </c>
      <c r="R187" s="206">
        <f t="shared" si="62"/>
        <v>0</v>
      </c>
      <c r="S187" s="206">
        <f t="shared" si="63"/>
        <v>0</v>
      </c>
      <c r="T187" s="206">
        <f t="shared" si="64"/>
        <v>0</v>
      </c>
      <c r="AA187" s="71" t="str">
        <f t="shared" si="55"/>
        <v/>
      </c>
      <c r="AB187">
        <f t="shared" si="56"/>
        <v>0</v>
      </c>
      <c r="AC187">
        <f t="shared" si="57"/>
        <v>0</v>
      </c>
      <c r="AD187">
        <f t="shared" si="58"/>
        <v>0</v>
      </c>
      <c r="AE187">
        <f t="shared" si="59"/>
        <v>0</v>
      </c>
      <c r="AF187" t="str">
        <f t="shared" si="60"/>
        <v/>
      </c>
    </row>
    <row r="188" spans="1:32" x14ac:dyDescent="0.4">
      <c r="A188" s="189"/>
      <c r="B188" s="189"/>
      <c r="C188" s="189"/>
      <c r="D188" s="189"/>
      <c r="E188" s="189"/>
      <c r="F188" s="189"/>
      <c r="G188" s="189"/>
      <c r="H188" s="189"/>
      <c r="J188" t="str">
        <f t="shared" si="48"/>
        <v/>
      </c>
      <c r="K188" t="str">
        <f t="shared" si="49"/>
        <v/>
      </c>
      <c r="L188" t="str">
        <f t="shared" si="50"/>
        <v/>
      </c>
      <c r="M188" t="str">
        <f t="shared" si="51"/>
        <v/>
      </c>
      <c r="N188" s="76" t="str">
        <f t="shared" si="52"/>
        <v/>
      </c>
      <c r="O188" s="20">
        <f t="shared" si="53"/>
        <v>0</v>
      </c>
      <c r="P188" s="76">
        <f t="shared" si="54"/>
        <v>0</v>
      </c>
      <c r="Q188" s="206">
        <f t="shared" si="61"/>
        <v>0</v>
      </c>
      <c r="R188" s="206">
        <f t="shared" si="62"/>
        <v>0</v>
      </c>
      <c r="S188" s="206">
        <f t="shared" si="63"/>
        <v>0</v>
      </c>
      <c r="T188" s="206">
        <f t="shared" si="64"/>
        <v>0</v>
      </c>
      <c r="AA188" s="71" t="str">
        <f t="shared" si="55"/>
        <v/>
      </c>
      <c r="AB188">
        <f t="shared" si="56"/>
        <v>0</v>
      </c>
      <c r="AC188">
        <f t="shared" si="57"/>
        <v>0</v>
      </c>
      <c r="AD188">
        <f t="shared" si="58"/>
        <v>0</v>
      </c>
      <c r="AE188">
        <f t="shared" si="59"/>
        <v>0</v>
      </c>
      <c r="AF188" t="str">
        <f t="shared" si="60"/>
        <v/>
      </c>
    </row>
    <row r="189" spans="1:32" x14ac:dyDescent="0.4">
      <c r="A189" s="189"/>
      <c r="B189" s="189"/>
      <c r="C189" s="189"/>
      <c r="D189" s="189"/>
      <c r="E189" s="189"/>
      <c r="F189" s="189"/>
      <c r="G189" s="189"/>
      <c r="H189" s="189"/>
      <c r="J189" t="str">
        <f t="shared" si="48"/>
        <v/>
      </c>
      <c r="K189" t="str">
        <f t="shared" si="49"/>
        <v/>
      </c>
      <c r="L189" t="str">
        <f t="shared" si="50"/>
        <v/>
      </c>
      <c r="M189" t="str">
        <f t="shared" si="51"/>
        <v/>
      </c>
      <c r="N189" s="76" t="str">
        <f t="shared" si="52"/>
        <v/>
      </c>
      <c r="O189" s="20">
        <f t="shared" si="53"/>
        <v>0</v>
      </c>
      <c r="P189" s="76">
        <f t="shared" si="54"/>
        <v>0</v>
      </c>
      <c r="Q189" s="206">
        <f t="shared" si="61"/>
        <v>0</v>
      </c>
      <c r="R189" s="206">
        <f t="shared" si="62"/>
        <v>0</v>
      </c>
      <c r="S189" s="206">
        <f t="shared" si="63"/>
        <v>0</v>
      </c>
      <c r="T189" s="206">
        <f t="shared" si="64"/>
        <v>0</v>
      </c>
      <c r="AA189" s="71" t="str">
        <f t="shared" si="55"/>
        <v/>
      </c>
      <c r="AB189">
        <f t="shared" si="56"/>
        <v>0</v>
      </c>
      <c r="AC189">
        <f t="shared" si="57"/>
        <v>0</v>
      </c>
      <c r="AD189">
        <f t="shared" si="58"/>
        <v>0</v>
      </c>
      <c r="AE189">
        <f t="shared" si="59"/>
        <v>0</v>
      </c>
      <c r="AF189" t="str">
        <f t="shared" si="60"/>
        <v/>
      </c>
    </row>
    <row r="190" spans="1:32" x14ac:dyDescent="0.4">
      <c r="A190" s="189"/>
      <c r="B190" s="189"/>
      <c r="C190" s="189"/>
      <c r="D190" s="189"/>
      <c r="E190" s="189"/>
      <c r="F190" s="189"/>
      <c r="G190" s="189"/>
      <c r="H190" s="189"/>
      <c r="J190" t="str">
        <f t="shared" si="48"/>
        <v/>
      </c>
      <c r="K190" t="str">
        <f t="shared" si="49"/>
        <v/>
      </c>
      <c r="L190" t="str">
        <f t="shared" si="50"/>
        <v/>
      </c>
      <c r="M190" t="str">
        <f t="shared" si="51"/>
        <v/>
      </c>
      <c r="N190" s="76" t="str">
        <f t="shared" si="52"/>
        <v/>
      </c>
      <c r="O190" s="20">
        <f t="shared" si="53"/>
        <v>0</v>
      </c>
      <c r="P190" s="76">
        <f t="shared" si="54"/>
        <v>0</v>
      </c>
      <c r="Q190" s="206">
        <f t="shared" si="61"/>
        <v>0</v>
      </c>
      <c r="R190" s="206">
        <f t="shared" si="62"/>
        <v>0</v>
      </c>
      <c r="S190" s="206">
        <f t="shared" si="63"/>
        <v>0</v>
      </c>
      <c r="T190" s="206">
        <f t="shared" si="64"/>
        <v>0</v>
      </c>
      <c r="AA190" s="71" t="str">
        <f t="shared" si="55"/>
        <v/>
      </c>
      <c r="AB190">
        <f t="shared" si="56"/>
        <v>0</v>
      </c>
      <c r="AC190">
        <f t="shared" si="57"/>
        <v>0</v>
      </c>
      <c r="AD190">
        <f t="shared" si="58"/>
        <v>0</v>
      </c>
      <c r="AE190">
        <f t="shared" si="59"/>
        <v>0</v>
      </c>
      <c r="AF190" t="str">
        <f t="shared" si="60"/>
        <v/>
      </c>
    </row>
    <row r="191" spans="1:32" x14ac:dyDescent="0.4">
      <c r="A191" s="189"/>
      <c r="B191" s="189"/>
      <c r="C191" s="189"/>
      <c r="D191" s="189"/>
      <c r="E191" s="189"/>
      <c r="F191" s="189"/>
      <c r="G191" s="189"/>
      <c r="H191" s="189"/>
      <c r="J191" t="str">
        <f t="shared" si="48"/>
        <v/>
      </c>
      <c r="K191" t="str">
        <f t="shared" si="49"/>
        <v/>
      </c>
      <c r="L191" t="str">
        <f t="shared" si="50"/>
        <v/>
      </c>
      <c r="M191" t="str">
        <f t="shared" si="51"/>
        <v/>
      </c>
      <c r="N191" s="76" t="str">
        <f t="shared" si="52"/>
        <v/>
      </c>
      <c r="O191" s="20">
        <f t="shared" si="53"/>
        <v>0</v>
      </c>
      <c r="P191" s="76">
        <f t="shared" si="54"/>
        <v>0</v>
      </c>
      <c r="Q191" s="206">
        <f t="shared" si="61"/>
        <v>0</v>
      </c>
      <c r="R191" s="206">
        <f t="shared" si="62"/>
        <v>0</v>
      </c>
      <c r="S191" s="206">
        <f t="shared" si="63"/>
        <v>0</v>
      </c>
      <c r="T191" s="206">
        <f t="shared" si="64"/>
        <v>0</v>
      </c>
      <c r="AA191" s="71" t="str">
        <f t="shared" si="55"/>
        <v/>
      </c>
      <c r="AB191">
        <f t="shared" si="56"/>
        <v>0</v>
      </c>
      <c r="AC191">
        <f t="shared" si="57"/>
        <v>0</v>
      </c>
      <c r="AD191">
        <f t="shared" si="58"/>
        <v>0</v>
      </c>
      <c r="AE191">
        <f t="shared" si="59"/>
        <v>0</v>
      </c>
      <c r="AF191" t="str">
        <f t="shared" si="60"/>
        <v/>
      </c>
    </row>
    <row r="192" spans="1:32" x14ac:dyDescent="0.4">
      <c r="A192" s="189"/>
      <c r="B192" s="189"/>
      <c r="C192" s="189"/>
      <c r="D192" s="189"/>
      <c r="E192" s="189"/>
      <c r="F192" s="189"/>
      <c r="G192" s="189"/>
      <c r="H192" s="189"/>
      <c r="J192" t="str">
        <f t="shared" ref="J192:J255" si="65">IF(G192="Détail des tarifs",LEN(A192),"")</f>
        <v/>
      </c>
      <c r="K192" t="str">
        <f t="shared" ref="K192:K255" si="66">IF(J192="","",LEFT(A192,3))</f>
        <v/>
      </c>
      <c r="L192" t="str">
        <f t="shared" ref="L192:L255" si="67">IF(K192&lt;&gt;"",MID(A192,7,3),"")</f>
        <v/>
      </c>
      <c r="M192" t="str">
        <f t="shared" ref="M192:M255" si="68">IF(K192&lt;&gt;"",RIGHT(A192,2),"")</f>
        <v/>
      </c>
      <c r="N192" s="76" t="str">
        <f t="shared" ref="N192:N255" si="69">IF(K192&lt;&gt;"",CONCATENATE(K192,"/",L192),"")</f>
        <v/>
      </c>
      <c r="O192" s="20">
        <f t="shared" ref="O192:O255" si="70">IF(J192&lt;&gt;"",LEFT(B192,LEN(B192)-3),0)</f>
        <v>0</v>
      </c>
      <c r="P192" s="76">
        <f t="shared" ref="P192:P255" si="71">IF(O192&lt;&gt;"",VALUE(O192),"")</f>
        <v>0</v>
      </c>
      <c r="Q192" s="206">
        <f t="shared" si="61"/>
        <v>0</v>
      </c>
      <c r="R192" s="206">
        <f t="shared" si="62"/>
        <v>0</v>
      </c>
      <c r="S192" s="206">
        <f t="shared" si="63"/>
        <v>0</v>
      </c>
      <c r="T192" s="206">
        <f t="shared" si="64"/>
        <v>0</v>
      </c>
      <c r="AA192" s="71" t="str">
        <f t="shared" ref="AA192:AA255" si="72">N192</f>
        <v/>
      </c>
      <c r="AB192">
        <f t="shared" ref="AB192:AB255" si="73">IFERROR(IF(FIND("Km",$B192),IF($B193="",IF(FIND("Pax",C193),VALUE((LEFT(C193,LEN(C193)-4))),))),0)</f>
        <v>0</v>
      </c>
      <c r="AC192">
        <f t="shared" ref="AC192:AC255" si="74">IFERROR(IF(FIND("Km",$B192),IF($B193="",IF(FIND("Pax",D193),VALUE((LEFT(D193,LEN(D193)-4))),))),0)</f>
        <v>0</v>
      </c>
      <c r="AD192">
        <f t="shared" ref="AD192:AD255" si="75">IFERROR(IF(FIND("Km",$B192),IF($B193="",IF(FIND("Pax",E193),VALUE((LEFT(E193,LEN(E193)-4))),))),0)</f>
        <v>0</v>
      </c>
      <c r="AE192">
        <f t="shared" ref="AE192:AE255" si="76">IFERROR(IF($J192&lt;&gt;"",VALUE(LEFT(F193,LEN(F193)-7)),0),1)</f>
        <v>0</v>
      </c>
      <c r="AF192" t="str">
        <f t="shared" ref="AF192:AF255" si="77">IF(SUM(AB192:AE192)&gt;0,"A revoir","")</f>
        <v/>
      </c>
    </row>
    <row r="193" spans="1:32" x14ac:dyDescent="0.4">
      <c r="A193" s="189"/>
      <c r="B193" s="189"/>
      <c r="C193" s="189"/>
      <c r="D193" s="189"/>
      <c r="E193" s="189"/>
      <c r="F193" s="189"/>
      <c r="G193" s="189"/>
      <c r="H193" s="189"/>
      <c r="J193" t="str">
        <f t="shared" si="65"/>
        <v/>
      </c>
      <c r="K193" t="str">
        <f t="shared" si="66"/>
        <v/>
      </c>
      <c r="L193" t="str">
        <f t="shared" si="67"/>
        <v/>
      </c>
      <c r="M193" t="str">
        <f t="shared" si="68"/>
        <v/>
      </c>
      <c r="N193" s="76" t="str">
        <f t="shared" si="69"/>
        <v/>
      </c>
      <c r="O193" s="20">
        <f t="shared" si="70"/>
        <v>0</v>
      </c>
      <c r="P193" s="76">
        <f t="shared" si="71"/>
        <v>0</v>
      </c>
      <c r="Q193" s="206">
        <f t="shared" si="61"/>
        <v>0</v>
      </c>
      <c r="R193" s="206">
        <f t="shared" si="62"/>
        <v>0</v>
      </c>
      <c r="S193" s="206">
        <f t="shared" si="63"/>
        <v>0</v>
      </c>
      <c r="T193" s="206">
        <f t="shared" si="64"/>
        <v>0</v>
      </c>
      <c r="AA193" s="71" t="str">
        <f t="shared" si="72"/>
        <v/>
      </c>
      <c r="AB193">
        <f t="shared" si="73"/>
        <v>0</v>
      </c>
      <c r="AC193">
        <f t="shared" si="74"/>
        <v>0</v>
      </c>
      <c r="AD193">
        <f t="shared" si="75"/>
        <v>0</v>
      </c>
      <c r="AE193">
        <f t="shared" si="76"/>
        <v>0</v>
      </c>
      <c r="AF193" t="str">
        <f t="shared" si="77"/>
        <v/>
      </c>
    </row>
    <row r="194" spans="1:32" x14ac:dyDescent="0.4">
      <c r="A194" s="189"/>
      <c r="B194" s="189"/>
      <c r="C194" s="189"/>
      <c r="D194" s="189"/>
      <c r="E194" s="189"/>
      <c r="F194" s="189"/>
      <c r="G194" s="189"/>
      <c r="H194" s="189"/>
      <c r="J194" t="str">
        <f t="shared" si="65"/>
        <v/>
      </c>
      <c r="K194" t="str">
        <f t="shared" si="66"/>
        <v/>
      </c>
      <c r="L194" t="str">
        <f t="shared" si="67"/>
        <v/>
      </c>
      <c r="M194" t="str">
        <f t="shared" si="68"/>
        <v/>
      </c>
      <c r="N194" s="76" t="str">
        <f t="shared" si="69"/>
        <v/>
      </c>
      <c r="O194" s="20">
        <f t="shared" si="70"/>
        <v>0</v>
      </c>
      <c r="P194" s="76">
        <f t="shared" si="71"/>
        <v>0</v>
      </c>
      <c r="Q194" s="206">
        <f t="shared" si="61"/>
        <v>0</v>
      </c>
      <c r="R194" s="206">
        <f t="shared" si="62"/>
        <v>0</v>
      </c>
      <c r="S194" s="206">
        <f t="shared" si="63"/>
        <v>0</v>
      </c>
      <c r="T194" s="206">
        <f t="shared" si="64"/>
        <v>0</v>
      </c>
      <c r="AA194" s="71" t="str">
        <f t="shared" si="72"/>
        <v/>
      </c>
      <c r="AB194">
        <f t="shared" si="73"/>
        <v>0</v>
      </c>
      <c r="AC194">
        <f t="shared" si="74"/>
        <v>0</v>
      </c>
      <c r="AD194">
        <f t="shared" si="75"/>
        <v>0</v>
      </c>
      <c r="AE194">
        <f t="shared" si="76"/>
        <v>0</v>
      </c>
      <c r="AF194" t="str">
        <f t="shared" si="77"/>
        <v/>
      </c>
    </row>
    <row r="195" spans="1:32" x14ac:dyDescent="0.4">
      <c r="A195" s="189"/>
      <c r="B195" s="189"/>
      <c r="C195" s="189"/>
      <c r="D195" s="189"/>
      <c r="E195" s="189"/>
      <c r="F195" s="189"/>
      <c r="G195" s="189"/>
      <c r="H195" s="189"/>
      <c r="J195" t="str">
        <f t="shared" si="65"/>
        <v/>
      </c>
      <c r="K195" t="str">
        <f t="shared" si="66"/>
        <v/>
      </c>
      <c r="L195" t="str">
        <f t="shared" si="67"/>
        <v/>
      </c>
      <c r="M195" t="str">
        <f t="shared" si="68"/>
        <v/>
      </c>
      <c r="N195" s="76" t="str">
        <f t="shared" si="69"/>
        <v/>
      </c>
      <c r="O195" s="20">
        <f t="shared" si="70"/>
        <v>0</v>
      </c>
      <c r="P195" s="76">
        <f t="shared" si="71"/>
        <v>0</v>
      </c>
      <c r="Q195" s="206">
        <f t="shared" si="61"/>
        <v>0</v>
      </c>
      <c r="R195" s="206">
        <f t="shared" si="62"/>
        <v>0</v>
      </c>
      <c r="S195" s="206">
        <f t="shared" si="63"/>
        <v>0</v>
      </c>
      <c r="T195" s="206">
        <f t="shared" si="64"/>
        <v>0</v>
      </c>
      <c r="AA195" s="71" t="str">
        <f t="shared" si="72"/>
        <v/>
      </c>
      <c r="AB195">
        <f t="shared" si="73"/>
        <v>0</v>
      </c>
      <c r="AC195">
        <f t="shared" si="74"/>
        <v>0</v>
      </c>
      <c r="AD195">
        <f t="shared" si="75"/>
        <v>0</v>
      </c>
      <c r="AE195">
        <f t="shared" si="76"/>
        <v>0</v>
      </c>
      <c r="AF195" t="str">
        <f t="shared" si="77"/>
        <v/>
      </c>
    </row>
    <row r="196" spans="1:32" x14ac:dyDescent="0.4">
      <c r="A196" s="189"/>
      <c r="B196" s="189"/>
      <c r="C196" s="189"/>
      <c r="D196" s="189"/>
      <c r="E196" s="189"/>
      <c r="F196" s="189"/>
      <c r="G196" s="189"/>
      <c r="H196" s="189"/>
      <c r="J196" t="str">
        <f t="shared" si="65"/>
        <v/>
      </c>
      <c r="K196" t="str">
        <f t="shared" si="66"/>
        <v/>
      </c>
      <c r="L196" t="str">
        <f t="shared" si="67"/>
        <v/>
      </c>
      <c r="M196" t="str">
        <f t="shared" si="68"/>
        <v/>
      </c>
      <c r="N196" s="76" t="str">
        <f t="shared" si="69"/>
        <v/>
      </c>
      <c r="O196" s="20">
        <f t="shared" si="70"/>
        <v>0</v>
      </c>
      <c r="P196" s="76">
        <f t="shared" si="71"/>
        <v>0</v>
      </c>
      <c r="Q196" s="206">
        <f t="shared" si="61"/>
        <v>0</v>
      </c>
      <c r="R196" s="206">
        <f t="shared" si="62"/>
        <v>0</v>
      </c>
      <c r="S196" s="206">
        <f t="shared" si="63"/>
        <v>0</v>
      </c>
      <c r="T196" s="206">
        <f t="shared" si="64"/>
        <v>0</v>
      </c>
      <c r="AA196" s="71" t="str">
        <f t="shared" si="72"/>
        <v/>
      </c>
      <c r="AB196">
        <f t="shared" si="73"/>
        <v>0</v>
      </c>
      <c r="AC196">
        <f t="shared" si="74"/>
        <v>0</v>
      </c>
      <c r="AD196">
        <f t="shared" si="75"/>
        <v>0</v>
      </c>
      <c r="AE196">
        <f t="shared" si="76"/>
        <v>0</v>
      </c>
      <c r="AF196" t="str">
        <f t="shared" si="77"/>
        <v/>
      </c>
    </row>
    <row r="197" spans="1:32" x14ac:dyDescent="0.4">
      <c r="A197" s="189"/>
      <c r="B197" s="189"/>
      <c r="C197" s="189"/>
      <c r="D197" s="189"/>
      <c r="E197" s="189"/>
      <c r="F197" s="189"/>
      <c r="G197" s="189"/>
      <c r="H197" s="189"/>
      <c r="J197" t="str">
        <f t="shared" si="65"/>
        <v/>
      </c>
      <c r="K197" t="str">
        <f t="shared" si="66"/>
        <v/>
      </c>
      <c r="L197" t="str">
        <f t="shared" si="67"/>
        <v/>
      </c>
      <c r="M197" t="str">
        <f t="shared" si="68"/>
        <v/>
      </c>
      <c r="N197" s="76" t="str">
        <f t="shared" si="69"/>
        <v/>
      </c>
      <c r="O197" s="20">
        <f t="shared" si="70"/>
        <v>0</v>
      </c>
      <c r="P197" s="76">
        <f t="shared" si="71"/>
        <v>0</v>
      </c>
      <c r="Q197" s="206">
        <f t="shared" si="61"/>
        <v>0</v>
      </c>
      <c r="R197" s="206">
        <f t="shared" si="62"/>
        <v>0</v>
      </c>
      <c r="S197" s="206">
        <f t="shared" si="63"/>
        <v>0</v>
      </c>
      <c r="T197" s="206">
        <f t="shared" si="64"/>
        <v>0</v>
      </c>
      <c r="AA197" s="71" t="str">
        <f t="shared" si="72"/>
        <v/>
      </c>
      <c r="AB197">
        <f t="shared" si="73"/>
        <v>0</v>
      </c>
      <c r="AC197">
        <f t="shared" si="74"/>
        <v>0</v>
      </c>
      <c r="AD197">
        <f t="shared" si="75"/>
        <v>0</v>
      </c>
      <c r="AE197">
        <f t="shared" si="76"/>
        <v>0</v>
      </c>
      <c r="AF197" t="str">
        <f t="shared" si="77"/>
        <v/>
      </c>
    </row>
    <row r="198" spans="1:32" x14ac:dyDescent="0.4">
      <c r="A198" s="189"/>
      <c r="B198" s="189"/>
      <c r="C198" s="189"/>
      <c r="D198" s="189"/>
      <c r="E198" s="189"/>
      <c r="F198" s="189"/>
      <c r="G198" s="189"/>
      <c r="H198" s="189"/>
      <c r="J198" t="str">
        <f t="shared" si="65"/>
        <v/>
      </c>
      <c r="K198" t="str">
        <f t="shared" si="66"/>
        <v/>
      </c>
      <c r="L198" t="str">
        <f t="shared" si="67"/>
        <v/>
      </c>
      <c r="M198" t="str">
        <f t="shared" si="68"/>
        <v/>
      </c>
      <c r="N198" s="76" t="str">
        <f t="shared" si="69"/>
        <v/>
      </c>
      <c r="O198" s="20">
        <f t="shared" si="70"/>
        <v>0</v>
      </c>
      <c r="P198" s="76">
        <f t="shared" si="71"/>
        <v>0</v>
      </c>
      <c r="Q198" s="206">
        <f t="shared" si="61"/>
        <v>0</v>
      </c>
      <c r="R198" s="206">
        <f t="shared" si="62"/>
        <v>0</v>
      </c>
      <c r="S198" s="206">
        <f t="shared" si="63"/>
        <v>0</v>
      </c>
      <c r="T198" s="206">
        <f t="shared" si="64"/>
        <v>0</v>
      </c>
      <c r="AA198" s="71" t="str">
        <f t="shared" si="72"/>
        <v/>
      </c>
      <c r="AB198">
        <f t="shared" si="73"/>
        <v>0</v>
      </c>
      <c r="AC198">
        <f t="shared" si="74"/>
        <v>0</v>
      </c>
      <c r="AD198">
        <f t="shared" si="75"/>
        <v>0</v>
      </c>
      <c r="AE198">
        <f t="shared" si="76"/>
        <v>0</v>
      </c>
      <c r="AF198" t="str">
        <f t="shared" si="77"/>
        <v/>
      </c>
    </row>
    <row r="199" spans="1:32" x14ac:dyDescent="0.4">
      <c r="A199" s="189"/>
      <c r="B199" s="189"/>
      <c r="C199" s="189"/>
      <c r="D199" s="189"/>
      <c r="E199" s="189"/>
      <c r="F199" s="189"/>
      <c r="G199" s="189"/>
      <c r="H199" s="189"/>
      <c r="J199" t="str">
        <f t="shared" si="65"/>
        <v/>
      </c>
      <c r="K199" t="str">
        <f t="shared" si="66"/>
        <v/>
      </c>
      <c r="L199" t="str">
        <f t="shared" si="67"/>
        <v/>
      </c>
      <c r="M199" t="str">
        <f t="shared" si="68"/>
        <v/>
      </c>
      <c r="N199" s="76" t="str">
        <f t="shared" si="69"/>
        <v/>
      </c>
      <c r="O199" s="20">
        <f t="shared" si="70"/>
        <v>0</v>
      </c>
      <c r="P199" s="76">
        <f t="shared" si="71"/>
        <v>0</v>
      </c>
      <c r="Q199" s="206">
        <f t="shared" si="61"/>
        <v>0</v>
      </c>
      <c r="R199" s="206">
        <f t="shared" si="62"/>
        <v>0</v>
      </c>
      <c r="S199" s="206">
        <f t="shared" si="63"/>
        <v>0</v>
      </c>
      <c r="T199" s="206">
        <f t="shared" si="64"/>
        <v>0</v>
      </c>
      <c r="AA199" s="71" t="str">
        <f t="shared" si="72"/>
        <v/>
      </c>
      <c r="AB199">
        <f t="shared" si="73"/>
        <v>0</v>
      </c>
      <c r="AC199">
        <f t="shared" si="74"/>
        <v>0</v>
      </c>
      <c r="AD199">
        <f t="shared" si="75"/>
        <v>0</v>
      </c>
      <c r="AE199">
        <f t="shared" si="76"/>
        <v>0</v>
      </c>
      <c r="AF199" t="str">
        <f t="shared" si="77"/>
        <v/>
      </c>
    </row>
    <row r="200" spans="1:32" x14ac:dyDescent="0.4">
      <c r="A200" s="189"/>
      <c r="B200" s="189"/>
      <c r="C200" s="189"/>
      <c r="D200" s="189"/>
      <c r="E200" s="189"/>
      <c r="F200" s="189"/>
      <c r="G200" s="189"/>
      <c r="H200" s="189"/>
      <c r="J200" t="str">
        <f t="shared" si="65"/>
        <v/>
      </c>
      <c r="K200" t="str">
        <f t="shared" si="66"/>
        <v/>
      </c>
      <c r="L200" t="str">
        <f t="shared" si="67"/>
        <v/>
      </c>
      <c r="M200" t="str">
        <f t="shared" si="68"/>
        <v/>
      </c>
      <c r="N200" s="76" t="str">
        <f t="shared" si="69"/>
        <v/>
      </c>
      <c r="O200" s="20">
        <f t="shared" si="70"/>
        <v>0</v>
      </c>
      <c r="P200" s="76">
        <f t="shared" si="71"/>
        <v>0</v>
      </c>
      <c r="Q200" s="206">
        <f t="shared" si="61"/>
        <v>0</v>
      </c>
      <c r="R200" s="206">
        <f t="shared" si="62"/>
        <v>0</v>
      </c>
      <c r="S200" s="206">
        <f t="shared" si="63"/>
        <v>0</v>
      </c>
      <c r="T200" s="206">
        <f t="shared" si="64"/>
        <v>0</v>
      </c>
      <c r="AA200" s="71" t="str">
        <f t="shared" si="72"/>
        <v/>
      </c>
      <c r="AB200">
        <f t="shared" si="73"/>
        <v>0</v>
      </c>
      <c r="AC200">
        <f t="shared" si="74"/>
        <v>0</v>
      </c>
      <c r="AD200">
        <f t="shared" si="75"/>
        <v>0</v>
      </c>
      <c r="AE200">
        <f t="shared" si="76"/>
        <v>0</v>
      </c>
      <c r="AF200" t="str">
        <f t="shared" si="77"/>
        <v/>
      </c>
    </row>
    <row r="201" spans="1:32" x14ac:dyDescent="0.4">
      <c r="A201" s="189"/>
      <c r="B201" s="189"/>
      <c r="C201" s="189"/>
      <c r="D201" s="189"/>
      <c r="E201" s="189"/>
      <c r="F201" s="189"/>
      <c r="G201" s="189"/>
      <c r="H201" s="189"/>
      <c r="J201" t="str">
        <f t="shared" si="65"/>
        <v/>
      </c>
      <c r="K201" t="str">
        <f t="shared" si="66"/>
        <v/>
      </c>
      <c r="L201" t="str">
        <f t="shared" si="67"/>
        <v/>
      </c>
      <c r="M201" t="str">
        <f t="shared" si="68"/>
        <v/>
      </c>
      <c r="N201" s="76" t="str">
        <f t="shared" si="69"/>
        <v/>
      </c>
      <c r="O201" s="20">
        <f t="shared" si="70"/>
        <v>0</v>
      </c>
      <c r="P201" s="76">
        <f t="shared" si="71"/>
        <v>0</v>
      </c>
      <c r="Q201" s="206">
        <f t="shared" si="61"/>
        <v>0</v>
      </c>
      <c r="R201" s="206">
        <f t="shared" si="62"/>
        <v>0</v>
      </c>
      <c r="S201" s="206">
        <f t="shared" si="63"/>
        <v>0</v>
      </c>
      <c r="T201" s="206">
        <f t="shared" si="64"/>
        <v>0</v>
      </c>
      <c r="AA201" s="71" t="str">
        <f t="shared" si="72"/>
        <v/>
      </c>
      <c r="AB201">
        <f t="shared" si="73"/>
        <v>0</v>
      </c>
      <c r="AC201">
        <f t="shared" si="74"/>
        <v>0</v>
      </c>
      <c r="AD201">
        <f t="shared" si="75"/>
        <v>0</v>
      </c>
      <c r="AE201">
        <f t="shared" si="76"/>
        <v>0</v>
      </c>
      <c r="AF201" t="str">
        <f t="shared" si="77"/>
        <v/>
      </c>
    </row>
    <row r="202" spans="1:32" x14ac:dyDescent="0.4">
      <c r="A202" s="189"/>
      <c r="B202" s="189"/>
      <c r="C202" s="189"/>
      <c r="D202" s="189"/>
      <c r="E202" s="189"/>
      <c r="F202" s="189"/>
      <c r="G202" s="189"/>
      <c r="H202" s="189"/>
      <c r="J202" t="str">
        <f t="shared" si="65"/>
        <v/>
      </c>
      <c r="K202" t="str">
        <f t="shared" si="66"/>
        <v/>
      </c>
      <c r="L202" t="str">
        <f t="shared" si="67"/>
        <v/>
      </c>
      <c r="M202" t="str">
        <f t="shared" si="68"/>
        <v/>
      </c>
      <c r="N202" s="76" t="str">
        <f t="shared" si="69"/>
        <v/>
      </c>
      <c r="O202" s="20">
        <f t="shared" si="70"/>
        <v>0</v>
      </c>
      <c r="P202" s="76">
        <f t="shared" si="71"/>
        <v>0</v>
      </c>
      <c r="Q202" s="206">
        <f t="shared" si="61"/>
        <v>0</v>
      </c>
      <c r="R202" s="206">
        <f t="shared" si="62"/>
        <v>0</v>
      </c>
      <c r="S202" s="206">
        <f t="shared" si="63"/>
        <v>0</v>
      </c>
      <c r="T202" s="206">
        <f t="shared" si="64"/>
        <v>0</v>
      </c>
      <c r="AA202" s="71" t="str">
        <f t="shared" si="72"/>
        <v/>
      </c>
      <c r="AB202">
        <f t="shared" si="73"/>
        <v>0</v>
      </c>
      <c r="AC202">
        <f t="shared" si="74"/>
        <v>0</v>
      </c>
      <c r="AD202">
        <f t="shared" si="75"/>
        <v>0</v>
      </c>
      <c r="AE202">
        <f t="shared" si="76"/>
        <v>0</v>
      </c>
      <c r="AF202" t="str">
        <f t="shared" si="77"/>
        <v/>
      </c>
    </row>
    <row r="203" spans="1:32" x14ac:dyDescent="0.4">
      <c r="A203" s="189"/>
      <c r="B203" s="189"/>
      <c r="C203" s="189"/>
      <c r="D203" s="189"/>
      <c r="E203" s="189"/>
      <c r="F203" s="189"/>
      <c r="G203" s="189"/>
      <c r="H203" s="189"/>
      <c r="J203" t="str">
        <f t="shared" si="65"/>
        <v/>
      </c>
      <c r="K203" t="str">
        <f t="shared" si="66"/>
        <v/>
      </c>
      <c r="L203" t="str">
        <f t="shared" si="67"/>
        <v/>
      </c>
      <c r="M203" t="str">
        <f t="shared" si="68"/>
        <v/>
      </c>
      <c r="N203" s="76" t="str">
        <f t="shared" si="69"/>
        <v/>
      </c>
      <c r="O203" s="20">
        <f t="shared" si="70"/>
        <v>0</v>
      </c>
      <c r="P203" s="76">
        <f t="shared" si="71"/>
        <v>0</v>
      </c>
      <c r="Q203" s="206">
        <f t="shared" si="61"/>
        <v>0</v>
      </c>
      <c r="R203" s="206">
        <f t="shared" si="62"/>
        <v>0</v>
      </c>
      <c r="S203" s="206">
        <f t="shared" si="63"/>
        <v>0</v>
      </c>
      <c r="T203" s="206">
        <f t="shared" si="64"/>
        <v>0</v>
      </c>
      <c r="AA203" s="71" t="str">
        <f t="shared" si="72"/>
        <v/>
      </c>
      <c r="AB203">
        <f t="shared" si="73"/>
        <v>0</v>
      </c>
      <c r="AC203">
        <f t="shared" si="74"/>
        <v>0</v>
      </c>
      <c r="AD203">
        <f t="shared" si="75"/>
        <v>0</v>
      </c>
      <c r="AE203">
        <f t="shared" si="76"/>
        <v>0</v>
      </c>
      <c r="AF203" t="str">
        <f t="shared" si="77"/>
        <v/>
      </c>
    </row>
    <row r="204" spans="1:32" x14ac:dyDescent="0.4">
      <c r="A204" s="189"/>
      <c r="B204" s="189"/>
      <c r="C204" s="189"/>
      <c r="D204" s="189"/>
      <c r="E204" s="189"/>
      <c r="F204" s="189"/>
      <c r="G204" s="189"/>
      <c r="H204" s="189"/>
      <c r="J204" t="str">
        <f t="shared" si="65"/>
        <v/>
      </c>
      <c r="K204" t="str">
        <f t="shared" si="66"/>
        <v/>
      </c>
      <c r="L204" t="str">
        <f t="shared" si="67"/>
        <v/>
      </c>
      <c r="M204" t="str">
        <f t="shared" si="68"/>
        <v/>
      </c>
      <c r="N204" s="76" t="str">
        <f t="shared" si="69"/>
        <v/>
      </c>
      <c r="O204" s="20">
        <f t="shared" si="70"/>
        <v>0</v>
      </c>
      <c r="P204" s="76">
        <f t="shared" si="71"/>
        <v>0</v>
      </c>
      <c r="Q204" s="206">
        <f t="shared" si="61"/>
        <v>0</v>
      </c>
      <c r="R204" s="206">
        <f t="shared" si="62"/>
        <v>0</v>
      </c>
      <c r="S204" s="206">
        <f t="shared" si="63"/>
        <v>0</v>
      </c>
      <c r="T204" s="206">
        <f t="shared" si="64"/>
        <v>0</v>
      </c>
      <c r="AA204" s="71" t="str">
        <f t="shared" si="72"/>
        <v/>
      </c>
      <c r="AB204">
        <f t="shared" si="73"/>
        <v>0</v>
      </c>
      <c r="AC204">
        <f t="shared" si="74"/>
        <v>0</v>
      </c>
      <c r="AD204">
        <f t="shared" si="75"/>
        <v>0</v>
      </c>
      <c r="AE204">
        <f t="shared" si="76"/>
        <v>0</v>
      </c>
      <c r="AF204" t="str">
        <f t="shared" si="77"/>
        <v/>
      </c>
    </row>
    <row r="205" spans="1:32" x14ac:dyDescent="0.4">
      <c r="A205" s="189"/>
      <c r="B205" s="189"/>
      <c r="C205" s="189"/>
      <c r="D205" s="189"/>
      <c r="E205" s="189"/>
      <c r="F205" s="189"/>
      <c r="G205" s="189"/>
      <c r="H205" s="189"/>
      <c r="J205" t="str">
        <f t="shared" si="65"/>
        <v/>
      </c>
      <c r="K205" t="str">
        <f t="shared" si="66"/>
        <v/>
      </c>
      <c r="L205" t="str">
        <f t="shared" si="67"/>
        <v/>
      </c>
      <c r="M205" t="str">
        <f t="shared" si="68"/>
        <v/>
      </c>
      <c r="N205" s="76" t="str">
        <f t="shared" si="69"/>
        <v/>
      </c>
      <c r="O205" s="20">
        <f t="shared" si="70"/>
        <v>0</v>
      </c>
      <c r="P205" s="76">
        <f t="shared" si="71"/>
        <v>0</v>
      </c>
      <c r="Q205" s="206">
        <f t="shared" si="61"/>
        <v>0</v>
      </c>
      <c r="R205" s="206">
        <f t="shared" si="62"/>
        <v>0</v>
      </c>
      <c r="S205" s="206">
        <f t="shared" si="63"/>
        <v>0</v>
      </c>
      <c r="T205" s="206">
        <f t="shared" si="64"/>
        <v>0</v>
      </c>
      <c r="AA205" s="71" t="str">
        <f t="shared" si="72"/>
        <v/>
      </c>
      <c r="AB205">
        <f t="shared" si="73"/>
        <v>0</v>
      </c>
      <c r="AC205">
        <f t="shared" si="74"/>
        <v>0</v>
      </c>
      <c r="AD205">
        <f t="shared" si="75"/>
        <v>0</v>
      </c>
      <c r="AE205">
        <f t="shared" si="76"/>
        <v>0</v>
      </c>
      <c r="AF205" t="str">
        <f t="shared" si="77"/>
        <v/>
      </c>
    </row>
    <row r="206" spans="1:32" x14ac:dyDescent="0.4">
      <c r="A206" s="189"/>
      <c r="B206" s="189"/>
      <c r="C206" s="189"/>
      <c r="D206" s="189"/>
      <c r="E206" s="189"/>
      <c r="F206" s="189"/>
      <c r="G206" s="189"/>
      <c r="H206" s="189"/>
      <c r="J206" t="str">
        <f t="shared" si="65"/>
        <v/>
      </c>
      <c r="K206" t="str">
        <f t="shared" si="66"/>
        <v/>
      </c>
      <c r="L206" t="str">
        <f t="shared" si="67"/>
        <v/>
      </c>
      <c r="M206" t="str">
        <f t="shared" si="68"/>
        <v/>
      </c>
      <c r="N206" s="76" t="str">
        <f t="shared" si="69"/>
        <v/>
      </c>
      <c r="O206" s="20">
        <f t="shared" si="70"/>
        <v>0</v>
      </c>
      <c r="P206" s="76">
        <f t="shared" si="71"/>
        <v>0</v>
      </c>
      <c r="Q206" s="206">
        <f t="shared" si="61"/>
        <v>0</v>
      </c>
      <c r="R206" s="206">
        <f t="shared" si="62"/>
        <v>0</v>
      </c>
      <c r="S206" s="206">
        <f t="shared" si="63"/>
        <v>0</v>
      </c>
      <c r="T206" s="206">
        <f t="shared" si="64"/>
        <v>0</v>
      </c>
      <c r="AA206" s="71" t="str">
        <f t="shared" si="72"/>
        <v/>
      </c>
      <c r="AB206">
        <f t="shared" si="73"/>
        <v>0</v>
      </c>
      <c r="AC206">
        <f t="shared" si="74"/>
        <v>0</v>
      </c>
      <c r="AD206">
        <f t="shared" si="75"/>
        <v>0</v>
      </c>
      <c r="AE206">
        <f t="shared" si="76"/>
        <v>0</v>
      </c>
      <c r="AF206" t="str">
        <f t="shared" si="77"/>
        <v/>
      </c>
    </row>
    <row r="207" spans="1:32" x14ac:dyDescent="0.4">
      <c r="A207" s="189"/>
      <c r="B207" s="189"/>
      <c r="C207" s="189"/>
      <c r="D207" s="189"/>
      <c r="E207" s="189"/>
      <c r="F207" s="189"/>
      <c r="G207" s="189"/>
      <c r="H207" s="189"/>
      <c r="J207" t="str">
        <f t="shared" si="65"/>
        <v/>
      </c>
      <c r="K207" t="str">
        <f t="shared" si="66"/>
        <v/>
      </c>
      <c r="L207" t="str">
        <f t="shared" si="67"/>
        <v/>
      </c>
      <c r="M207" t="str">
        <f t="shared" si="68"/>
        <v/>
      </c>
      <c r="N207" s="76" t="str">
        <f t="shared" si="69"/>
        <v/>
      </c>
      <c r="O207" s="20">
        <f t="shared" si="70"/>
        <v>0</v>
      </c>
      <c r="P207" s="76">
        <f t="shared" si="71"/>
        <v>0</v>
      </c>
      <c r="Q207" s="206">
        <f t="shared" si="61"/>
        <v>0</v>
      </c>
      <c r="R207" s="206">
        <f t="shared" si="62"/>
        <v>0</v>
      </c>
      <c r="S207" s="206">
        <f t="shared" si="63"/>
        <v>0</v>
      </c>
      <c r="T207" s="206">
        <f t="shared" si="64"/>
        <v>0</v>
      </c>
      <c r="AA207" s="71" t="str">
        <f t="shared" si="72"/>
        <v/>
      </c>
      <c r="AB207">
        <f t="shared" si="73"/>
        <v>0</v>
      </c>
      <c r="AC207">
        <f t="shared" si="74"/>
        <v>0</v>
      </c>
      <c r="AD207">
        <f t="shared" si="75"/>
        <v>0</v>
      </c>
      <c r="AE207">
        <f t="shared" si="76"/>
        <v>0</v>
      </c>
      <c r="AF207" t="str">
        <f t="shared" si="77"/>
        <v/>
      </c>
    </row>
    <row r="208" spans="1:32" x14ac:dyDescent="0.4">
      <c r="A208" s="189"/>
      <c r="B208" s="189"/>
      <c r="C208" s="189"/>
      <c r="D208" s="189"/>
      <c r="E208" s="189"/>
      <c r="F208" s="189"/>
      <c r="G208" s="189"/>
      <c r="H208" s="189"/>
      <c r="J208" t="str">
        <f t="shared" si="65"/>
        <v/>
      </c>
      <c r="K208" t="str">
        <f t="shared" si="66"/>
        <v/>
      </c>
      <c r="L208" t="str">
        <f t="shared" si="67"/>
        <v/>
      </c>
      <c r="M208" t="str">
        <f t="shared" si="68"/>
        <v/>
      </c>
      <c r="N208" s="76" t="str">
        <f t="shared" si="69"/>
        <v/>
      </c>
      <c r="O208" s="20">
        <f t="shared" si="70"/>
        <v>0</v>
      </c>
      <c r="P208" s="76">
        <f t="shared" si="71"/>
        <v>0</v>
      </c>
      <c r="Q208" s="206">
        <f t="shared" si="61"/>
        <v>0</v>
      </c>
      <c r="R208" s="206">
        <f t="shared" si="62"/>
        <v>0</v>
      </c>
      <c r="S208" s="206">
        <f t="shared" si="63"/>
        <v>0</v>
      </c>
      <c r="T208" s="206">
        <f t="shared" si="64"/>
        <v>0</v>
      </c>
      <c r="AA208" s="71" t="str">
        <f t="shared" si="72"/>
        <v/>
      </c>
      <c r="AB208">
        <f t="shared" si="73"/>
        <v>0</v>
      </c>
      <c r="AC208">
        <f t="shared" si="74"/>
        <v>0</v>
      </c>
      <c r="AD208">
        <f t="shared" si="75"/>
        <v>0</v>
      </c>
      <c r="AE208">
        <f t="shared" si="76"/>
        <v>0</v>
      </c>
      <c r="AF208" t="str">
        <f t="shared" si="77"/>
        <v/>
      </c>
    </row>
    <row r="209" spans="1:32" x14ac:dyDescent="0.4">
      <c r="A209" s="189"/>
      <c r="B209" s="189"/>
      <c r="C209" s="189"/>
      <c r="D209" s="189"/>
      <c r="E209" s="189"/>
      <c r="F209" s="189"/>
      <c r="G209" s="189"/>
      <c r="H209" s="189"/>
      <c r="J209" t="str">
        <f t="shared" si="65"/>
        <v/>
      </c>
      <c r="K209" t="str">
        <f t="shared" si="66"/>
        <v/>
      </c>
      <c r="L209" t="str">
        <f t="shared" si="67"/>
        <v/>
      </c>
      <c r="M209" t="str">
        <f t="shared" si="68"/>
        <v/>
      </c>
      <c r="N209" s="76" t="str">
        <f t="shared" si="69"/>
        <v/>
      </c>
      <c r="O209" s="20">
        <f t="shared" si="70"/>
        <v>0</v>
      </c>
      <c r="P209" s="76">
        <f t="shared" si="71"/>
        <v>0</v>
      </c>
      <c r="Q209" s="206">
        <f t="shared" si="61"/>
        <v>0</v>
      </c>
      <c r="R209" s="206">
        <f t="shared" si="62"/>
        <v>0</v>
      </c>
      <c r="S209" s="206">
        <f t="shared" si="63"/>
        <v>0</v>
      </c>
      <c r="T209" s="206">
        <f t="shared" si="64"/>
        <v>0</v>
      </c>
      <c r="AA209" s="71" t="str">
        <f t="shared" si="72"/>
        <v/>
      </c>
      <c r="AB209">
        <f t="shared" si="73"/>
        <v>0</v>
      </c>
      <c r="AC209">
        <f t="shared" si="74"/>
        <v>0</v>
      </c>
      <c r="AD209">
        <f t="shared" si="75"/>
        <v>0</v>
      </c>
      <c r="AE209">
        <f t="shared" si="76"/>
        <v>0</v>
      </c>
      <c r="AF209" t="str">
        <f t="shared" si="77"/>
        <v/>
      </c>
    </row>
    <row r="210" spans="1:32" x14ac:dyDescent="0.4">
      <c r="A210" s="189"/>
      <c r="B210" s="189"/>
      <c r="C210" s="189"/>
      <c r="D210" s="189"/>
      <c r="E210" s="189"/>
      <c r="F210" s="189"/>
      <c r="G210" s="189"/>
      <c r="H210" s="189"/>
      <c r="J210" t="str">
        <f t="shared" si="65"/>
        <v/>
      </c>
      <c r="K210" t="str">
        <f t="shared" si="66"/>
        <v/>
      </c>
      <c r="L210" t="str">
        <f t="shared" si="67"/>
        <v/>
      </c>
      <c r="M210" t="str">
        <f t="shared" si="68"/>
        <v/>
      </c>
      <c r="N210" s="76" t="str">
        <f t="shared" si="69"/>
        <v/>
      </c>
      <c r="O210" s="20">
        <f t="shared" si="70"/>
        <v>0</v>
      </c>
      <c r="P210" s="76">
        <f t="shared" si="71"/>
        <v>0</v>
      </c>
      <c r="Q210" s="206">
        <f t="shared" si="61"/>
        <v>0</v>
      </c>
      <c r="R210" s="206">
        <f t="shared" si="62"/>
        <v>0</v>
      </c>
      <c r="S210" s="206">
        <f t="shared" si="63"/>
        <v>0</v>
      </c>
      <c r="T210" s="206">
        <f t="shared" si="64"/>
        <v>0</v>
      </c>
      <c r="AA210" s="71" t="str">
        <f t="shared" si="72"/>
        <v/>
      </c>
      <c r="AB210">
        <f t="shared" si="73"/>
        <v>0</v>
      </c>
      <c r="AC210">
        <f t="shared" si="74"/>
        <v>0</v>
      </c>
      <c r="AD210">
        <f t="shared" si="75"/>
        <v>0</v>
      </c>
      <c r="AE210">
        <f t="shared" si="76"/>
        <v>0</v>
      </c>
      <c r="AF210" t="str">
        <f t="shared" si="77"/>
        <v/>
      </c>
    </row>
    <row r="211" spans="1:32" x14ac:dyDescent="0.4">
      <c r="A211" s="189"/>
      <c r="B211" s="189"/>
      <c r="C211" s="189"/>
      <c r="D211" s="189"/>
      <c r="E211" s="189"/>
      <c r="F211" s="189"/>
      <c r="G211" s="189"/>
      <c r="H211" s="189"/>
      <c r="J211" t="str">
        <f t="shared" si="65"/>
        <v/>
      </c>
      <c r="K211" t="str">
        <f t="shared" si="66"/>
        <v/>
      </c>
      <c r="L211" t="str">
        <f t="shared" si="67"/>
        <v/>
      </c>
      <c r="M211" t="str">
        <f t="shared" si="68"/>
        <v/>
      </c>
      <c r="N211" s="76" t="str">
        <f t="shared" si="69"/>
        <v/>
      </c>
      <c r="O211" s="20">
        <f t="shared" si="70"/>
        <v>0</v>
      </c>
      <c r="P211" s="76">
        <f t="shared" si="71"/>
        <v>0</v>
      </c>
      <c r="Q211" s="206">
        <f t="shared" si="61"/>
        <v>0</v>
      </c>
      <c r="R211" s="206">
        <f t="shared" si="62"/>
        <v>0</v>
      </c>
      <c r="S211" s="206">
        <f t="shared" si="63"/>
        <v>0</v>
      </c>
      <c r="T211" s="206">
        <f t="shared" si="64"/>
        <v>0</v>
      </c>
      <c r="AA211" s="71" t="str">
        <f t="shared" si="72"/>
        <v/>
      </c>
      <c r="AB211">
        <f t="shared" si="73"/>
        <v>0</v>
      </c>
      <c r="AC211">
        <f t="shared" si="74"/>
        <v>0</v>
      </c>
      <c r="AD211">
        <f t="shared" si="75"/>
        <v>0</v>
      </c>
      <c r="AE211">
        <f t="shared" si="76"/>
        <v>0</v>
      </c>
      <c r="AF211" t="str">
        <f t="shared" si="77"/>
        <v/>
      </c>
    </row>
    <row r="212" spans="1:32" x14ac:dyDescent="0.4">
      <c r="A212" s="189"/>
      <c r="B212" s="189"/>
      <c r="C212" s="189"/>
      <c r="D212" s="189"/>
      <c r="E212" s="189"/>
      <c r="F212" s="189"/>
      <c r="G212" s="189"/>
      <c r="H212" s="189"/>
      <c r="J212" t="str">
        <f t="shared" si="65"/>
        <v/>
      </c>
      <c r="K212" t="str">
        <f t="shared" si="66"/>
        <v/>
      </c>
      <c r="L212" t="str">
        <f t="shared" si="67"/>
        <v/>
      </c>
      <c r="M212" t="str">
        <f t="shared" si="68"/>
        <v/>
      </c>
      <c r="N212" s="76" t="str">
        <f t="shared" si="69"/>
        <v/>
      </c>
      <c r="O212" s="20">
        <f t="shared" si="70"/>
        <v>0</v>
      </c>
      <c r="P212" s="76">
        <f t="shared" si="71"/>
        <v>0</v>
      </c>
      <c r="Q212" s="206">
        <f t="shared" si="61"/>
        <v>0</v>
      </c>
      <c r="R212" s="206">
        <f t="shared" si="62"/>
        <v>0</v>
      </c>
      <c r="S212" s="206">
        <f t="shared" si="63"/>
        <v>0</v>
      </c>
      <c r="T212" s="206">
        <f t="shared" si="64"/>
        <v>0</v>
      </c>
      <c r="AA212" s="71" t="str">
        <f t="shared" si="72"/>
        <v/>
      </c>
      <c r="AB212">
        <f t="shared" si="73"/>
        <v>0</v>
      </c>
      <c r="AC212">
        <f t="shared" si="74"/>
        <v>0</v>
      </c>
      <c r="AD212">
        <f t="shared" si="75"/>
        <v>0</v>
      </c>
      <c r="AE212">
        <f t="shared" si="76"/>
        <v>0</v>
      </c>
      <c r="AF212" t="str">
        <f t="shared" si="77"/>
        <v/>
      </c>
    </row>
    <row r="213" spans="1:32" x14ac:dyDescent="0.4">
      <c r="A213" s="189"/>
      <c r="B213" s="189"/>
      <c r="C213" s="189"/>
      <c r="D213" s="189"/>
      <c r="E213" s="189"/>
      <c r="F213" s="189"/>
      <c r="G213" s="189"/>
      <c r="H213" s="189"/>
      <c r="J213" t="str">
        <f t="shared" si="65"/>
        <v/>
      </c>
      <c r="K213" t="str">
        <f t="shared" si="66"/>
        <v/>
      </c>
      <c r="L213" t="str">
        <f t="shared" si="67"/>
        <v/>
      </c>
      <c r="M213" t="str">
        <f t="shared" si="68"/>
        <v/>
      </c>
      <c r="N213" s="76" t="str">
        <f t="shared" si="69"/>
        <v/>
      </c>
      <c r="O213" s="20">
        <f t="shared" si="70"/>
        <v>0</v>
      </c>
      <c r="P213" s="76">
        <f t="shared" si="71"/>
        <v>0</v>
      </c>
      <c r="Q213" s="206">
        <f t="shared" si="61"/>
        <v>0</v>
      </c>
      <c r="R213" s="206">
        <f t="shared" si="62"/>
        <v>0</v>
      </c>
      <c r="S213" s="206">
        <f t="shared" si="63"/>
        <v>0</v>
      </c>
      <c r="T213" s="206">
        <f t="shared" si="64"/>
        <v>0</v>
      </c>
      <c r="AA213" s="71" t="str">
        <f t="shared" si="72"/>
        <v/>
      </c>
      <c r="AB213">
        <f t="shared" si="73"/>
        <v>0</v>
      </c>
      <c r="AC213">
        <f t="shared" si="74"/>
        <v>0</v>
      </c>
      <c r="AD213">
        <f t="shared" si="75"/>
        <v>0</v>
      </c>
      <c r="AE213">
        <f t="shared" si="76"/>
        <v>0</v>
      </c>
      <c r="AF213" t="str">
        <f t="shared" si="77"/>
        <v/>
      </c>
    </row>
    <row r="214" spans="1:32" x14ac:dyDescent="0.4">
      <c r="A214" s="189"/>
      <c r="B214" s="189"/>
      <c r="C214" s="189"/>
      <c r="D214" s="189"/>
      <c r="E214" s="189"/>
      <c r="F214" s="189"/>
      <c r="G214" s="189"/>
      <c r="H214" s="189"/>
      <c r="J214" t="str">
        <f t="shared" si="65"/>
        <v/>
      </c>
      <c r="K214" t="str">
        <f t="shared" si="66"/>
        <v/>
      </c>
      <c r="L214" t="str">
        <f t="shared" si="67"/>
        <v/>
      </c>
      <c r="M214" t="str">
        <f t="shared" si="68"/>
        <v/>
      </c>
      <c r="N214" s="76" t="str">
        <f t="shared" si="69"/>
        <v/>
      </c>
      <c r="O214" s="20">
        <f t="shared" si="70"/>
        <v>0</v>
      </c>
      <c r="P214" s="76">
        <f t="shared" si="71"/>
        <v>0</v>
      </c>
      <c r="Q214" s="206">
        <f t="shared" si="61"/>
        <v>0</v>
      </c>
      <c r="R214" s="206">
        <f t="shared" si="62"/>
        <v>0</v>
      </c>
      <c r="S214" s="206">
        <f t="shared" si="63"/>
        <v>0</v>
      </c>
      <c r="T214" s="206">
        <f t="shared" si="64"/>
        <v>0</v>
      </c>
      <c r="AA214" s="71" t="str">
        <f t="shared" si="72"/>
        <v/>
      </c>
      <c r="AB214">
        <f t="shared" si="73"/>
        <v>0</v>
      </c>
      <c r="AC214">
        <f t="shared" si="74"/>
        <v>0</v>
      </c>
      <c r="AD214">
        <f t="shared" si="75"/>
        <v>0</v>
      </c>
      <c r="AE214">
        <f t="shared" si="76"/>
        <v>0</v>
      </c>
      <c r="AF214" t="str">
        <f t="shared" si="77"/>
        <v/>
      </c>
    </row>
    <row r="215" spans="1:32" x14ac:dyDescent="0.4">
      <c r="A215" s="189"/>
      <c r="B215" s="189"/>
      <c r="C215" s="189"/>
      <c r="D215" s="189"/>
      <c r="E215" s="189"/>
      <c r="F215" s="189"/>
      <c r="G215" s="189"/>
      <c r="H215" s="189"/>
      <c r="J215" t="str">
        <f t="shared" si="65"/>
        <v/>
      </c>
      <c r="K215" t="str">
        <f t="shared" si="66"/>
        <v/>
      </c>
      <c r="L215" t="str">
        <f t="shared" si="67"/>
        <v/>
      </c>
      <c r="M215" t="str">
        <f t="shared" si="68"/>
        <v/>
      </c>
      <c r="N215" s="76" t="str">
        <f t="shared" si="69"/>
        <v/>
      </c>
      <c r="O215" s="20">
        <f t="shared" si="70"/>
        <v>0</v>
      </c>
      <c r="P215" s="76">
        <f t="shared" si="71"/>
        <v>0</v>
      </c>
      <c r="Q215" s="206">
        <f t="shared" si="61"/>
        <v>0</v>
      </c>
      <c r="R215" s="206">
        <f t="shared" si="62"/>
        <v>0</v>
      </c>
      <c r="S215" s="206">
        <f t="shared" si="63"/>
        <v>0</v>
      </c>
      <c r="T215" s="206">
        <f t="shared" si="64"/>
        <v>0</v>
      </c>
      <c r="AA215" s="71" t="str">
        <f t="shared" si="72"/>
        <v/>
      </c>
      <c r="AB215">
        <f t="shared" si="73"/>
        <v>0</v>
      </c>
      <c r="AC215">
        <f t="shared" si="74"/>
        <v>0</v>
      </c>
      <c r="AD215">
        <f t="shared" si="75"/>
        <v>0</v>
      </c>
      <c r="AE215">
        <f t="shared" si="76"/>
        <v>0</v>
      </c>
      <c r="AF215" t="str">
        <f t="shared" si="77"/>
        <v/>
      </c>
    </row>
    <row r="216" spans="1:32" x14ac:dyDescent="0.4">
      <c r="A216" s="189"/>
      <c r="B216" s="189"/>
      <c r="C216" s="189"/>
      <c r="D216" s="189"/>
      <c r="E216" s="189"/>
      <c r="F216" s="189"/>
      <c r="G216" s="189"/>
      <c r="H216" s="189"/>
      <c r="J216" t="str">
        <f t="shared" si="65"/>
        <v/>
      </c>
      <c r="K216" t="str">
        <f t="shared" si="66"/>
        <v/>
      </c>
      <c r="L216" t="str">
        <f t="shared" si="67"/>
        <v/>
      </c>
      <c r="M216" t="str">
        <f t="shared" si="68"/>
        <v/>
      </c>
      <c r="N216" s="76" t="str">
        <f t="shared" si="69"/>
        <v/>
      </c>
      <c r="O216" s="20">
        <f t="shared" si="70"/>
        <v>0</v>
      </c>
      <c r="P216" s="76">
        <f t="shared" si="71"/>
        <v>0</v>
      </c>
      <c r="Q216" s="206">
        <f t="shared" si="61"/>
        <v>0</v>
      </c>
      <c r="R216" s="206">
        <f t="shared" si="62"/>
        <v>0</v>
      </c>
      <c r="S216" s="206">
        <f t="shared" si="63"/>
        <v>0</v>
      </c>
      <c r="T216" s="206">
        <f t="shared" si="64"/>
        <v>0</v>
      </c>
      <c r="AA216" s="71" t="str">
        <f t="shared" si="72"/>
        <v/>
      </c>
      <c r="AB216">
        <f t="shared" si="73"/>
        <v>0</v>
      </c>
      <c r="AC216">
        <f t="shared" si="74"/>
        <v>0</v>
      </c>
      <c r="AD216">
        <f t="shared" si="75"/>
        <v>0</v>
      </c>
      <c r="AE216">
        <f t="shared" si="76"/>
        <v>0</v>
      </c>
      <c r="AF216" t="str">
        <f t="shared" si="77"/>
        <v/>
      </c>
    </row>
    <row r="217" spans="1:32" x14ac:dyDescent="0.4">
      <c r="A217" s="189"/>
      <c r="B217" s="189"/>
      <c r="C217" s="189"/>
      <c r="D217" s="189"/>
      <c r="E217" s="189"/>
      <c r="F217" s="189"/>
      <c r="G217" s="189"/>
      <c r="H217" s="189"/>
      <c r="J217" t="str">
        <f t="shared" si="65"/>
        <v/>
      </c>
      <c r="K217" t="str">
        <f t="shared" si="66"/>
        <v/>
      </c>
      <c r="L217" t="str">
        <f t="shared" si="67"/>
        <v/>
      </c>
      <c r="M217" t="str">
        <f t="shared" si="68"/>
        <v/>
      </c>
      <c r="N217" s="76" t="str">
        <f t="shared" si="69"/>
        <v/>
      </c>
      <c r="O217" s="20">
        <f t="shared" si="70"/>
        <v>0</v>
      </c>
      <c r="P217" s="76">
        <f t="shared" si="71"/>
        <v>0</v>
      </c>
      <c r="Q217" s="206">
        <f t="shared" si="61"/>
        <v>0</v>
      </c>
      <c r="R217" s="206">
        <f t="shared" si="62"/>
        <v>0</v>
      </c>
      <c r="S217" s="206">
        <f t="shared" si="63"/>
        <v>0</v>
      </c>
      <c r="T217" s="206">
        <f t="shared" si="64"/>
        <v>0</v>
      </c>
      <c r="AA217" s="71" t="str">
        <f t="shared" si="72"/>
        <v/>
      </c>
      <c r="AB217">
        <f t="shared" si="73"/>
        <v>0</v>
      </c>
      <c r="AC217">
        <f t="shared" si="74"/>
        <v>0</v>
      </c>
      <c r="AD217">
        <f t="shared" si="75"/>
        <v>0</v>
      </c>
      <c r="AE217">
        <f t="shared" si="76"/>
        <v>0</v>
      </c>
      <c r="AF217" t="str">
        <f t="shared" si="77"/>
        <v/>
      </c>
    </row>
    <row r="218" spans="1:32" x14ac:dyDescent="0.4">
      <c r="A218" s="189"/>
      <c r="B218" s="189"/>
      <c r="C218" s="189"/>
      <c r="D218" s="189"/>
      <c r="E218" s="189"/>
      <c r="F218" s="189"/>
      <c r="G218" s="189"/>
      <c r="H218" s="189"/>
      <c r="J218" t="str">
        <f t="shared" si="65"/>
        <v/>
      </c>
      <c r="K218" t="str">
        <f t="shared" si="66"/>
        <v/>
      </c>
      <c r="L218" t="str">
        <f t="shared" si="67"/>
        <v/>
      </c>
      <c r="M218" t="str">
        <f t="shared" si="68"/>
        <v/>
      </c>
      <c r="N218" s="76" t="str">
        <f t="shared" si="69"/>
        <v/>
      </c>
      <c r="O218" s="20">
        <f t="shared" si="70"/>
        <v>0</v>
      </c>
      <c r="P218" s="76">
        <f t="shared" si="71"/>
        <v>0</v>
      </c>
      <c r="Q218" s="206">
        <f t="shared" si="61"/>
        <v>0</v>
      </c>
      <c r="R218" s="206">
        <f t="shared" si="62"/>
        <v>0</v>
      </c>
      <c r="S218" s="206">
        <f t="shared" si="63"/>
        <v>0</v>
      </c>
      <c r="T218" s="206">
        <f t="shared" si="64"/>
        <v>0</v>
      </c>
      <c r="AA218" s="71" t="str">
        <f t="shared" si="72"/>
        <v/>
      </c>
      <c r="AB218">
        <f t="shared" si="73"/>
        <v>0</v>
      </c>
      <c r="AC218">
        <f t="shared" si="74"/>
        <v>0</v>
      </c>
      <c r="AD218">
        <f t="shared" si="75"/>
        <v>0</v>
      </c>
      <c r="AE218">
        <f t="shared" si="76"/>
        <v>0</v>
      </c>
      <c r="AF218" t="str">
        <f t="shared" si="77"/>
        <v/>
      </c>
    </row>
    <row r="219" spans="1:32" x14ac:dyDescent="0.4">
      <c r="A219" s="189"/>
      <c r="B219" s="189"/>
      <c r="C219" s="189"/>
      <c r="D219" s="189"/>
      <c r="E219" s="189"/>
      <c r="F219" s="189"/>
      <c r="G219" s="189"/>
      <c r="H219" s="189"/>
      <c r="J219" t="str">
        <f t="shared" si="65"/>
        <v/>
      </c>
      <c r="K219" t="str">
        <f t="shared" si="66"/>
        <v/>
      </c>
      <c r="L219" t="str">
        <f t="shared" si="67"/>
        <v/>
      </c>
      <c r="M219" t="str">
        <f t="shared" si="68"/>
        <v/>
      </c>
      <c r="N219" s="76" t="str">
        <f t="shared" si="69"/>
        <v/>
      </c>
      <c r="O219" s="20">
        <f t="shared" si="70"/>
        <v>0</v>
      </c>
      <c r="P219" s="76">
        <f t="shared" si="71"/>
        <v>0</v>
      </c>
      <c r="Q219" s="206">
        <f t="shared" si="61"/>
        <v>0</v>
      </c>
      <c r="R219" s="206">
        <f t="shared" si="62"/>
        <v>0</v>
      </c>
      <c r="S219" s="206">
        <f t="shared" si="63"/>
        <v>0</v>
      </c>
      <c r="T219" s="206">
        <f t="shared" si="64"/>
        <v>0</v>
      </c>
      <c r="AA219" s="71" t="str">
        <f t="shared" si="72"/>
        <v/>
      </c>
      <c r="AB219">
        <f t="shared" si="73"/>
        <v>0</v>
      </c>
      <c r="AC219">
        <f t="shared" si="74"/>
        <v>0</v>
      </c>
      <c r="AD219">
        <f t="shared" si="75"/>
        <v>0</v>
      </c>
      <c r="AE219">
        <f t="shared" si="76"/>
        <v>0</v>
      </c>
      <c r="AF219" t="str">
        <f t="shared" si="77"/>
        <v/>
      </c>
    </row>
    <row r="220" spans="1:32" x14ac:dyDescent="0.4">
      <c r="A220" s="189"/>
      <c r="B220" s="189"/>
      <c r="C220" s="189"/>
      <c r="D220" s="189"/>
      <c r="E220" s="189"/>
      <c r="F220" s="189"/>
      <c r="G220" s="189"/>
      <c r="H220" s="189"/>
      <c r="J220" t="str">
        <f t="shared" si="65"/>
        <v/>
      </c>
      <c r="K220" t="str">
        <f t="shared" si="66"/>
        <v/>
      </c>
      <c r="L220" t="str">
        <f t="shared" si="67"/>
        <v/>
      </c>
      <c r="M220" t="str">
        <f t="shared" si="68"/>
        <v/>
      </c>
      <c r="N220" s="76" t="str">
        <f t="shared" si="69"/>
        <v/>
      </c>
      <c r="O220" s="20">
        <f t="shared" si="70"/>
        <v>0</v>
      </c>
      <c r="P220" s="76">
        <f t="shared" si="71"/>
        <v>0</v>
      </c>
      <c r="Q220" s="206">
        <f t="shared" si="61"/>
        <v>0</v>
      </c>
      <c r="R220" s="206">
        <f t="shared" si="62"/>
        <v>0</v>
      </c>
      <c r="S220" s="206">
        <f t="shared" si="63"/>
        <v>0</v>
      </c>
      <c r="T220" s="206">
        <f t="shared" si="64"/>
        <v>0</v>
      </c>
      <c r="AA220" s="71" t="str">
        <f t="shared" si="72"/>
        <v/>
      </c>
      <c r="AB220">
        <f t="shared" si="73"/>
        <v>0</v>
      </c>
      <c r="AC220">
        <f t="shared" si="74"/>
        <v>0</v>
      </c>
      <c r="AD220">
        <f t="shared" si="75"/>
        <v>0</v>
      </c>
      <c r="AE220">
        <f t="shared" si="76"/>
        <v>0</v>
      </c>
      <c r="AF220" t="str">
        <f t="shared" si="77"/>
        <v/>
      </c>
    </row>
    <row r="221" spans="1:32" x14ac:dyDescent="0.4">
      <c r="A221" s="189"/>
      <c r="B221" s="189"/>
      <c r="C221" s="189"/>
      <c r="D221" s="189"/>
      <c r="E221" s="189"/>
      <c r="F221" s="189"/>
      <c r="G221" s="189"/>
      <c r="H221" s="189"/>
      <c r="J221" t="str">
        <f t="shared" si="65"/>
        <v/>
      </c>
      <c r="K221" t="str">
        <f t="shared" si="66"/>
        <v/>
      </c>
      <c r="L221" t="str">
        <f t="shared" si="67"/>
        <v/>
      </c>
      <c r="M221" t="str">
        <f t="shared" si="68"/>
        <v/>
      </c>
      <c r="N221" s="76" t="str">
        <f t="shared" si="69"/>
        <v/>
      </c>
      <c r="O221" s="20">
        <f t="shared" si="70"/>
        <v>0</v>
      </c>
      <c r="P221" s="76">
        <f t="shared" si="71"/>
        <v>0</v>
      </c>
      <c r="Q221" s="206">
        <f t="shared" si="61"/>
        <v>0</v>
      </c>
      <c r="R221" s="206">
        <f t="shared" si="62"/>
        <v>0</v>
      </c>
      <c r="S221" s="206">
        <f t="shared" si="63"/>
        <v>0</v>
      </c>
      <c r="T221" s="206">
        <f t="shared" si="64"/>
        <v>0</v>
      </c>
      <c r="AA221" s="71" t="str">
        <f t="shared" si="72"/>
        <v/>
      </c>
      <c r="AB221">
        <f t="shared" si="73"/>
        <v>0</v>
      </c>
      <c r="AC221">
        <f t="shared" si="74"/>
        <v>0</v>
      </c>
      <c r="AD221">
        <f t="shared" si="75"/>
        <v>0</v>
      </c>
      <c r="AE221">
        <f t="shared" si="76"/>
        <v>0</v>
      </c>
      <c r="AF221" t="str">
        <f t="shared" si="77"/>
        <v/>
      </c>
    </row>
    <row r="222" spans="1:32" x14ac:dyDescent="0.4">
      <c r="A222" s="189"/>
      <c r="B222" s="189"/>
      <c r="C222" s="189"/>
      <c r="D222" s="189"/>
      <c r="E222" s="189"/>
      <c r="F222" s="189"/>
      <c r="G222" s="189"/>
      <c r="H222" s="189"/>
      <c r="J222" t="str">
        <f t="shared" si="65"/>
        <v/>
      </c>
      <c r="K222" t="str">
        <f t="shared" si="66"/>
        <v/>
      </c>
      <c r="L222" t="str">
        <f t="shared" si="67"/>
        <v/>
      </c>
      <c r="M222" t="str">
        <f t="shared" si="68"/>
        <v/>
      </c>
      <c r="N222" s="76" t="str">
        <f t="shared" si="69"/>
        <v/>
      </c>
      <c r="O222" s="20">
        <f t="shared" si="70"/>
        <v>0</v>
      </c>
      <c r="P222" s="76">
        <f t="shared" si="71"/>
        <v>0</v>
      </c>
      <c r="Q222" s="206">
        <f t="shared" si="61"/>
        <v>0</v>
      </c>
      <c r="R222" s="206">
        <f t="shared" si="62"/>
        <v>0</v>
      </c>
      <c r="S222" s="206">
        <f t="shared" si="63"/>
        <v>0</v>
      </c>
      <c r="T222" s="206">
        <f t="shared" si="64"/>
        <v>0</v>
      </c>
      <c r="AA222" s="71" t="str">
        <f t="shared" si="72"/>
        <v/>
      </c>
      <c r="AB222">
        <f t="shared" si="73"/>
        <v>0</v>
      </c>
      <c r="AC222">
        <f t="shared" si="74"/>
        <v>0</v>
      </c>
      <c r="AD222">
        <f t="shared" si="75"/>
        <v>0</v>
      </c>
      <c r="AE222">
        <f t="shared" si="76"/>
        <v>0</v>
      </c>
      <c r="AF222" t="str">
        <f t="shared" si="77"/>
        <v/>
      </c>
    </row>
    <row r="223" spans="1:32" x14ac:dyDescent="0.4">
      <c r="A223" s="189"/>
      <c r="B223" s="189"/>
      <c r="C223" s="189"/>
      <c r="D223" s="189"/>
      <c r="E223" s="189"/>
      <c r="F223" s="189"/>
      <c r="G223" s="189"/>
      <c r="H223" s="189"/>
      <c r="J223" t="str">
        <f t="shared" si="65"/>
        <v/>
      </c>
      <c r="K223" t="str">
        <f t="shared" si="66"/>
        <v/>
      </c>
      <c r="L223" t="str">
        <f t="shared" si="67"/>
        <v/>
      </c>
      <c r="M223" t="str">
        <f t="shared" si="68"/>
        <v/>
      </c>
      <c r="N223" s="76" t="str">
        <f t="shared" si="69"/>
        <v/>
      </c>
      <c r="O223" s="20">
        <f t="shared" si="70"/>
        <v>0</v>
      </c>
      <c r="P223" s="76">
        <f t="shared" si="71"/>
        <v>0</v>
      </c>
      <c r="Q223" s="206">
        <f t="shared" si="61"/>
        <v>0</v>
      </c>
      <c r="R223" s="206">
        <f t="shared" si="62"/>
        <v>0</v>
      </c>
      <c r="S223" s="206">
        <f t="shared" si="63"/>
        <v>0</v>
      </c>
      <c r="T223" s="206">
        <f t="shared" si="64"/>
        <v>0</v>
      </c>
      <c r="AA223" s="71" t="str">
        <f t="shared" si="72"/>
        <v/>
      </c>
      <c r="AB223">
        <f t="shared" si="73"/>
        <v>0</v>
      </c>
      <c r="AC223">
        <f t="shared" si="74"/>
        <v>0</v>
      </c>
      <c r="AD223">
        <f t="shared" si="75"/>
        <v>0</v>
      </c>
      <c r="AE223">
        <f t="shared" si="76"/>
        <v>0</v>
      </c>
      <c r="AF223" t="str">
        <f t="shared" si="77"/>
        <v/>
      </c>
    </row>
    <row r="224" spans="1:32" x14ac:dyDescent="0.4">
      <c r="A224" s="189"/>
      <c r="B224" s="189"/>
      <c r="C224" s="189"/>
      <c r="D224" s="189"/>
      <c r="E224" s="189"/>
      <c r="F224" s="189"/>
      <c r="G224" s="189"/>
      <c r="H224" s="189"/>
      <c r="J224" t="str">
        <f t="shared" si="65"/>
        <v/>
      </c>
      <c r="K224" t="str">
        <f t="shared" si="66"/>
        <v/>
      </c>
      <c r="L224" t="str">
        <f t="shared" si="67"/>
        <v/>
      </c>
      <c r="M224" t="str">
        <f t="shared" si="68"/>
        <v/>
      </c>
      <c r="N224" s="76" t="str">
        <f t="shared" si="69"/>
        <v/>
      </c>
      <c r="O224" s="20">
        <f t="shared" si="70"/>
        <v>0</v>
      </c>
      <c r="P224" s="76">
        <f t="shared" si="71"/>
        <v>0</v>
      </c>
      <c r="Q224" s="206">
        <f t="shared" si="61"/>
        <v>0</v>
      </c>
      <c r="R224" s="206">
        <f t="shared" si="62"/>
        <v>0</v>
      </c>
      <c r="S224" s="206">
        <f t="shared" si="63"/>
        <v>0</v>
      </c>
      <c r="T224" s="206">
        <f t="shared" si="64"/>
        <v>0</v>
      </c>
      <c r="AA224" s="71" t="str">
        <f t="shared" si="72"/>
        <v/>
      </c>
      <c r="AB224">
        <f t="shared" si="73"/>
        <v>0</v>
      </c>
      <c r="AC224">
        <f t="shared" si="74"/>
        <v>0</v>
      </c>
      <c r="AD224">
        <f t="shared" si="75"/>
        <v>0</v>
      </c>
      <c r="AE224">
        <f t="shared" si="76"/>
        <v>0</v>
      </c>
      <c r="AF224" t="str">
        <f t="shared" si="77"/>
        <v/>
      </c>
    </row>
    <row r="225" spans="1:32" x14ac:dyDescent="0.4">
      <c r="A225" s="189"/>
      <c r="B225" s="189"/>
      <c r="C225" s="189"/>
      <c r="D225" s="189"/>
      <c r="E225" s="189"/>
      <c r="F225" s="189"/>
      <c r="G225" s="189"/>
      <c r="H225" s="189"/>
      <c r="J225" t="str">
        <f t="shared" si="65"/>
        <v/>
      </c>
      <c r="K225" t="str">
        <f t="shared" si="66"/>
        <v/>
      </c>
      <c r="L225" t="str">
        <f t="shared" si="67"/>
        <v/>
      </c>
      <c r="M225" t="str">
        <f t="shared" si="68"/>
        <v/>
      </c>
      <c r="N225" s="76" t="str">
        <f t="shared" si="69"/>
        <v/>
      </c>
      <c r="O225" s="20">
        <f t="shared" si="70"/>
        <v>0</v>
      </c>
      <c r="P225" s="76">
        <f t="shared" si="71"/>
        <v>0</v>
      </c>
      <c r="Q225" s="206">
        <f t="shared" si="61"/>
        <v>0</v>
      </c>
      <c r="R225" s="206">
        <f t="shared" si="62"/>
        <v>0</v>
      </c>
      <c r="S225" s="206">
        <f t="shared" si="63"/>
        <v>0</v>
      </c>
      <c r="T225" s="206">
        <f t="shared" si="64"/>
        <v>0</v>
      </c>
      <c r="AA225" s="71" t="str">
        <f t="shared" si="72"/>
        <v/>
      </c>
      <c r="AB225">
        <f t="shared" si="73"/>
        <v>0</v>
      </c>
      <c r="AC225">
        <f t="shared" si="74"/>
        <v>0</v>
      </c>
      <c r="AD225">
        <f t="shared" si="75"/>
        <v>0</v>
      </c>
      <c r="AE225">
        <f t="shared" si="76"/>
        <v>0</v>
      </c>
      <c r="AF225" t="str">
        <f t="shared" si="77"/>
        <v/>
      </c>
    </row>
    <row r="226" spans="1:32" x14ac:dyDescent="0.4">
      <c r="A226" s="189"/>
      <c r="B226" s="189"/>
      <c r="C226" s="189"/>
      <c r="D226" s="189"/>
      <c r="E226" s="189"/>
      <c r="F226" s="189"/>
      <c r="G226" s="189"/>
      <c r="H226" s="189"/>
      <c r="J226" t="str">
        <f t="shared" si="65"/>
        <v/>
      </c>
      <c r="K226" t="str">
        <f t="shared" si="66"/>
        <v/>
      </c>
      <c r="L226" t="str">
        <f t="shared" si="67"/>
        <v/>
      </c>
      <c r="M226" t="str">
        <f t="shared" si="68"/>
        <v/>
      </c>
      <c r="N226" s="76" t="str">
        <f t="shared" si="69"/>
        <v/>
      </c>
      <c r="O226" s="20">
        <f t="shared" si="70"/>
        <v>0</v>
      </c>
      <c r="P226" s="76">
        <f t="shared" si="71"/>
        <v>0</v>
      </c>
      <c r="Q226" s="206">
        <f t="shared" si="61"/>
        <v>0</v>
      </c>
      <c r="R226" s="206">
        <f t="shared" si="62"/>
        <v>0</v>
      </c>
      <c r="S226" s="206">
        <f t="shared" si="63"/>
        <v>0</v>
      </c>
      <c r="T226" s="206">
        <f t="shared" si="64"/>
        <v>0</v>
      </c>
      <c r="AA226" s="71" t="str">
        <f t="shared" si="72"/>
        <v/>
      </c>
      <c r="AB226">
        <f t="shared" si="73"/>
        <v>0</v>
      </c>
      <c r="AC226">
        <f t="shared" si="74"/>
        <v>0</v>
      </c>
      <c r="AD226">
        <f t="shared" si="75"/>
        <v>0</v>
      </c>
      <c r="AE226">
        <f t="shared" si="76"/>
        <v>0</v>
      </c>
      <c r="AF226" t="str">
        <f t="shared" si="77"/>
        <v/>
      </c>
    </row>
    <row r="227" spans="1:32" x14ac:dyDescent="0.4">
      <c r="A227" s="189"/>
      <c r="B227" s="189"/>
      <c r="C227" s="189"/>
      <c r="D227" s="189"/>
      <c r="E227" s="189"/>
      <c r="F227" s="189"/>
      <c r="G227" s="189"/>
      <c r="H227" s="189"/>
      <c r="J227" t="str">
        <f t="shared" si="65"/>
        <v/>
      </c>
      <c r="K227" t="str">
        <f t="shared" si="66"/>
        <v/>
      </c>
      <c r="L227" t="str">
        <f t="shared" si="67"/>
        <v/>
      </c>
      <c r="M227" t="str">
        <f t="shared" si="68"/>
        <v/>
      </c>
      <c r="N227" s="76" t="str">
        <f t="shared" si="69"/>
        <v/>
      </c>
      <c r="O227" s="20">
        <f t="shared" si="70"/>
        <v>0</v>
      </c>
      <c r="P227" s="76">
        <f t="shared" si="71"/>
        <v>0</v>
      </c>
      <c r="Q227" s="206">
        <f t="shared" si="61"/>
        <v>0</v>
      </c>
      <c r="R227" s="206">
        <f t="shared" si="62"/>
        <v>0</v>
      </c>
      <c r="S227" s="206">
        <f t="shared" si="63"/>
        <v>0</v>
      </c>
      <c r="T227" s="206">
        <f t="shared" si="64"/>
        <v>0</v>
      </c>
      <c r="AA227" s="71" t="str">
        <f t="shared" si="72"/>
        <v/>
      </c>
      <c r="AB227">
        <f t="shared" si="73"/>
        <v>0</v>
      </c>
      <c r="AC227">
        <f t="shared" si="74"/>
        <v>0</v>
      </c>
      <c r="AD227">
        <f t="shared" si="75"/>
        <v>0</v>
      </c>
      <c r="AE227">
        <f t="shared" si="76"/>
        <v>0</v>
      </c>
      <c r="AF227" t="str">
        <f t="shared" si="77"/>
        <v/>
      </c>
    </row>
    <row r="228" spans="1:32" x14ac:dyDescent="0.4">
      <c r="A228" s="189"/>
      <c r="B228" s="189"/>
      <c r="C228" s="189"/>
      <c r="D228" s="189"/>
      <c r="E228" s="189"/>
      <c r="F228" s="189"/>
      <c r="G228" s="189"/>
      <c r="H228" s="189"/>
      <c r="J228" t="str">
        <f t="shared" si="65"/>
        <v/>
      </c>
      <c r="K228" t="str">
        <f t="shared" si="66"/>
        <v/>
      </c>
      <c r="L228" t="str">
        <f t="shared" si="67"/>
        <v/>
      </c>
      <c r="M228" t="str">
        <f t="shared" si="68"/>
        <v/>
      </c>
      <c r="N228" s="76" t="str">
        <f t="shared" si="69"/>
        <v/>
      </c>
      <c r="O228" s="20">
        <f t="shared" si="70"/>
        <v>0</v>
      </c>
      <c r="P228" s="76">
        <f t="shared" si="71"/>
        <v>0</v>
      </c>
      <c r="Q228" s="206">
        <f t="shared" si="61"/>
        <v>0</v>
      </c>
      <c r="R228" s="206">
        <f t="shared" si="62"/>
        <v>0</v>
      </c>
      <c r="S228" s="206">
        <f t="shared" si="63"/>
        <v>0</v>
      </c>
      <c r="T228" s="206">
        <f t="shared" si="64"/>
        <v>0</v>
      </c>
      <c r="AA228" s="71" t="str">
        <f t="shared" si="72"/>
        <v/>
      </c>
      <c r="AB228">
        <f t="shared" si="73"/>
        <v>0</v>
      </c>
      <c r="AC228">
        <f t="shared" si="74"/>
        <v>0</v>
      </c>
      <c r="AD228">
        <f t="shared" si="75"/>
        <v>0</v>
      </c>
      <c r="AE228">
        <f t="shared" si="76"/>
        <v>0</v>
      </c>
      <c r="AF228" t="str">
        <f t="shared" si="77"/>
        <v/>
      </c>
    </row>
    <row r="229" spans="1:32" x14ac:dyDescent="0.4">
      <c r="A229" s="189"/>
      <c r="B229" s="189"/>
      <c r="C229" s="189"/>
      <c r="D229" s="189"/>
      <c r="E229" s="189"/>
      <c r="F229" s="189"/>
      <c r="G229" s="189"/>
      <c r="H229" s="189"/>
      <c r="J229" t="str">
        <f t="shared" si="65"/>
        <v/>
      </c>
      <c r="K229" t="str">
        <f t="shared" si="66"/>
        <v/>
      </c>
      <c r="L229" t="str">
        <f t="shared" si="67"/>
        <v/>
      </c>
      <c r="M229" t="str">
        <f t="shared" si="68"/>
        <v/>
      </c>
      <c r="N229" s="76" t="str">
        <f t="shared" si="69"/>
        <v/>
      </c>
      <c r="O229" s="20">
        <f t="shared" si="70"/>
        <v>0</v>
      </c>
      <c r="P229" s="76">
        <f t="shared" si="71"/>
        <v>0</v>
      </c>
      <c r="Q229" s="206">
        <f t="shared" si="61"/>
        <v>0</v>
      </c>
      <c r="R229" s="206">
        <f t="shared" si="62"/>
        <v>0</v>
      </c>
      <c r="S229" s="206">
        <f t="shared" si="63"/>
        <v>0</v>
      </c>
      <c r="T229" s="206">
        <f t="shared" si="64"/>
        <v>0</v>
      </c>
      <c r="AA229" s="71" t="str">
        <f t="shared" si="72"/>
        <v/>
      </c>
      <c r="AB229">
        <f t="shared" si="73"/>
        <v>0</v>
      </c>
      <c r="AC229">
        <f t="shared" si="74"/>
        <v>0</v>
      </c>
      <c r="AD229">
        <f t="shared" si="75"/>
        <v>0</v>
      </c>
      <c r="AE229">
        <f t="shared" si="76"/>
        <v>0</v>
      </c>
      <c r="AF229" t="str">
        <f t="shared" si="77"/>
        <v/>
      </c>
    </row>
    <row r="230" spans="1:32" x14ac:dyDescent="0.4">
      <c r="A230" s="189"/>
      <c r="B230" s="189"/>
      <c r="C230" s="189"/>
      <c r="D230" s="189"/>
      <c r="E230" s="189"/>
      <c r="F230" s="189"/>
      <c r="G230" s="189"/>
      <c r="H230" s="189"/>
      <c r="J230" t="str">
        <f t="shared" si="65"/>
        <v/>
      </c>
      <c r="K230" t="str">
        <f t="shared" si="66"/>
        <v/>
      </c>
      <c r="L230" t="str">
        <f t="shared" si="67"/>
        <v/>
      </c>
      <c r="M230" t="str">
        <f t="shared" si="68"/>
        <v/>
      </c>
      <c r="N230" s="76" t="str">
        <f t="shared" si="69"/>
        <v/>
      </c>
      <c r="O230" s="20">
        <f t="shared" si="70"/>
        <v>0</v>
      </c>
      <c r="P230" s="76">
        <f t="shared" si="71"/>
        <v>0</v>
      </c>
      <c r="Q230" s="206">
        <f t="shared" ref="Q230:Q293" si="78">IF(P230=0,0,VALUE(LEFT(C230,LEN(C230)-4)))</f>
        <v>0</v>
      </c>
      <c r="R230" s="206">
        <f t="shared" ref="R230:R293" si="79">IF(Q230=0,0,VALUE(LEFT(D230,LEN(D230)-4)))</f>
        <v>0</v>
      </c>
      <c r="S230" s="206">
        <f t="shared" ref="S230:S293" si="80">IF(R230=0,0,VALUE(LEFT(E230,LEN(E230)-4)))</f>
        <v>0</v>
      </c>
      <c r="T230" s="206">
        <f t="shared" ref="T230:T293" si="81">IF(S230=0,0,VALUE(LEFT(F230,LEN(F230)-7)))</f>
        <v>0</v>
      </c>
      <c r="AA230" s="71" t="str">
        <f t="shared" si="72"/>
        <v/>
      </c>
      <c r="AB230">
        <f t="shared" si="73"/>
        <v>0</v>
      </c>
      <c r="AC230">
        <f t="shared" si="74"/>
        <v>0</v>
      </c>
      <c r="AD230">
        <f t="shared" si="75"/>
        <v>0</v>
      </c>
      <c r="AE230">
        <f t="shared" si="76"/>
        <v>0</v>
      </c>
      <c r="AF230" t="str">
        <f t="shared" si="77"/>
        <v/>
      </c>
    </row>
    <row r="231" spans="1:32" x14ac:dyDescent="0.4">
      <c r="A231" s="189"/>
      <c r="B231" s="189"/>
      <c r="C231" s="189"/>
      <c r="D231" s="189"/>
      <c r="E231" s="189"/>
      <c r="F231" s="189"/>
      <c r="G231" s="189"/>
      <c r="H231" s="189"/>
      <c r="J231" t="str">
        <f t="shared" si="65"/>
        <v/>
      </c>
      <c r="K231" t="str">
        <f t="shared" si="66"/>
        <v/>
      </c>
      <c r="L231" t="str">
        <f t="shared" si="67"/>
        <v/>
      </c>
      <c r="M231" t="str">
        <f t="shared" si="68"/>
        <v/>
      </c>
      <c r="N231" s="76" t="str">
        <f t="shared" si="69"/>
        <v/>
      </c>
      <c r="O231" s="20">
        <f t="shared" si="70"/>
        <v>0</v>
      </c>
      <c r="P231" s="76">
        <f t="shared" si="71"/>
        <v>0</v>
      </c>
      <c r="Q231" s="206">
        <f t="shared" si="78"/>
        <v>0</v>
      </c>
      <c r="R231" s="206">
        <f t="shared" si="79"/>
        <v>0</v>
      </c>
      <c r="S231" s="206">
        <f t="shared" si="80"/>
        <v>0</v>
      </c>
      <c r="T231" s="206">
        <f t="shared" si="81"/>
        <v>0</v>
      </c>
      <c r="AA231" s="71" t="str">
        <f t="shared" si="72"/>
        <v/>
      </c>
      <c r="AB231">
        <f t="shared" si="73"/>
        <v>0</v>
      </c>
      <c r="AC231">
        <f t="shared" si="74"/>
        <v>0</v>
      </c>
      <c r="AD231">
        <f t="shared" si="75"/>
        <v>0</v>
      </c>
      <c r="AE231">
        <f t="shared" si="76"/>
        <v>0</v>
      </c>
      <c r="AF231" t="str">
        <f t="shared" si="77"/>
        <v/>
      </c>
    </row>
    <row r="232" spans="1:32" x14ac:dyDescent="0.4">
      <c r="A232" s="189"/>
      <c r="B232" s="189"/>
      <c r="C232" s="189"/>
      <c r="D232" s="189"/>
      <c r="E232" s="189"/>
      <c r="F232" s="189"/>
      <c r="G232" s="189"/>
      <c r="H232" s="189"/>
      <c r="J232" t="str">
        <f t="shared" si="65"/>
        <v/>
      </c>
      <c r="K232" t="str">
        <f t="shared" si="66"/>
        <v/>
      </c>
      <c r="L232" t="str">
        <f t="shared" si="67"/>
        <v/>
      </c>
      <c r="M232" t="str">
        <f t="shared" si="68"/>
        <v/>
      </c>
      <c r="N232" s="76" t="str">
        <f t="shared" si="69"/>
        <v/>
      </c>
      <c r="O232" s="20">
        <f t="shared" si="70"/>
        <v>0</v>
      </c>
      <c r="P232" s="76">
        <f t="shared" si="71"/>
        <v>0</v>
      </c>
      <c r="Q232" s="206">
        <f t="shared" si="78"/>
        <v>0</v>
      </c>
      <c r="R232" s="206">
        <f t="shared" si="79"/>
        <v>0</v>
      </c>
      <c r="S232" s="206">
        <f t="shared" si="80"/>
        <v>0</v>
      </c>
      <c r="T232" s="206">
        <f t="shared" si="81"/>
        <v>0</v>
      </c>
      <c r="AA232" s="71" t="str">
        <f t="shared" si="72"/>
        <v/>
      </c>
      <c r="AB232">
        <f t="shared" si="73"/>
        <v>0</v>
      </c>
      <c r="AC232">
        <f t="shared" si="74"/>
        <v>0</v>
      </c>
      <c r="AD232">
        <f t="shared" si="75"/>
        <v>0</v>
      </c>
      <c r="AE232">
        <f t="shared" si="76"/>
        <v>0</v>
      </c>
      <c r="AF232" t="str">
        <f t="shared" si="77"/>
        <v/>
      </c>
    </row>
    <row r="233" spans="1:32" x14ac:dyDescent="0.4">
      <c r="A233" s="189"/>
      <c r="B233" s="189"/>
      <c r="C233" s="189"/>
      <c r="D233" s="189"/>
      <c r="E233" s="189"/>
      <c r="F233" s="189"/>
      <c r="G233" s="189"/>
      <c r="H233" s="189"/>
      <c r="J233" t="str">
        <f t="shared" si="65"/>
        <v/>
      </c>
      <c r="K233" t="str">
        <f t="shared" si="66"/>
        <v/>
      </c>
      <c r="L233" t="str">
        <f t="shared" si="67"/>
        <v/>
      </c>
      <c r="M233" t="str">
        <f t="shared" si="68"/>
        <v/>
      </c>
      <c r="N233" s="76" t="str">
        <f t="shared" si="69"/>
        <v/>
      </c>
      <c r="O233" s="20">
        <f t="shared" si="70"/>
        <v>0</v>
      </c>
      <c r="P233" s="76">
        <f t="shared" si="71"/>
        <v>0</v>
      </c>
      <c r="Q233" s="206">
        <f t="shared" si="78"/>
        <v>0</v>
      </c>
      <c r="R233" s="206">
        <f t="shared" si="79"/>
        <v>0</v>
      </c>
      <c r="S233" s="206">
        <f t="shared" si="80"/>
        <v>0</v>
      </c>
      <c r="T233" s="206">
        <f t="shared" si="81"/>
        <v>0</v>
      </c>
      <c r="AA233" s="71" t="str">
        <f t="shared" si="72"/>
        <v/>
      </c>
      <c r="AB233">
        <f t="shared" si="73"/>
        <v>0</v>
      </c>
      <c r="AC233">
        <f t="shared" si="74"/>
        <v>0</v>
      </c>
      <c r="AD233">
        <f t="shared" si="75"/>
        <v>0</v>
      </c>
      <c r="AE233">
        <f t="shared" si="76"/>
        <v>0</v>
      </c>
      <c r="AF233" t="str">
        <f t="shared" si="77"/>
        <v/>
      </c>
    </row>
    <row r="234" spans="1:32" x14ac:dyDescent="0.4">
      <c r="A234" s="189"/>
      <c r="B234" s="189"/>
      <c r="C234" s="189"/>
      <c r="D234" s="189"/>
      <c r="E234" s="189"/>
      <c r="F234" s="189"/>
      <c r="G234" s="189"/>
      <c r="H234" s="189"/>
      <c r="J234" t="str">
        <f t="shared" si="65"/>
        <v/>
      </c>
      <c r="K234" t="str">
        <f t="shared" si="66"/>
        <v/>
      </c>
      <c r="L234" t="str">
        <f t="shared" si="67"/>
        <v/>
      </c>
      <c r="M234" t="str">
        <f t="shared" si="68"/>
        <v/>
      </c>
      <c r="N234" s="76" t="str">
        <f t="shared" si="69"/>
        <v/>
      </c>
      <c r="O234" s="20">
        <f t="shared" si="70"/>
        <v>0</v>
      </c>
      <c r="P234" s="76">
        <f t="shared" si="71"/>
        <v>0</v>
      </c>
      <c r="Q234" s="206">
        <f t="shared" si="78"/>
        <v>0</v>
      </c>
      <c r="R234" s="206">
        <f t="shared" si="79"/>
        <v>0</v>
      </c>
      <c r="S234" s="206">
        <f t="shared" si="80"/>
        <v>0</v>
      </c>
      <c r="T234" s="206">
        <f t="shared" si="81"/>
        <v>0</v>
      </c>
      <c r="AA234" s="71" t="str">
        <f t="shared" si="72"/>
        <v/>
      </c>
      <c r="AB234">
        <f t="shared" si="73"/>
        <v>0</v>
      </c>
      <c r="AC234">
        <f t="shared" si="74"/>
        <v>0</v>
      </c>
      <c r="AD234">
        <f t="shared" si="75"/>
        <v>0</v>
      </c>
      <c r="AE234">
        <f t="shared" si="76"/>
        <v>0</v>
      </c>
      <c r="AF234" t="str">
        <f t="shared" si="77"/>
        <v/>
      </c>
    </row>
    <row r="235" spans="1:32" x14ac:dyDescent="0.4">
      <c r="A235" s="189"/>
      <c r="B235" s="189"/>
      <c r="C235" s="189"/>
      <c r="D235" s="189"/>
      <c r="E235" s="189"/>
      <c r="F235" s="189"/>
      <c r="G235" s="189"/>
      <c r="H235" s="189"/>
      <c r="J235" t="str">
        <f t="shared" si="65"/>
        <v/>
      </c>
      <c r="K235" t="str">
        <f t="shared" si="66"/>
        <v/>
      </c>
      <c r="L235" t="str">
        <f t="shared" si="67"/>
        <v/>
      </c>
      <c r="M235" t="str">
        <f t="shared" si="68"/>
        <v/>
      </c>
      <c r="N235" s="76" t="str">
        <f t="shared" si="69"/>
        <v/>
      </c>
      <c r="O235" s="20">
        <f t="shared" si="70"/>
        <v>0</v>
      </c>
      <c r="P235" s="76">
        <f t="shared" si="71"/>
        <v>0</v>
      </c>
      <c r="Q235" s="206">
        <f t="shared" si="78"/>
        <v>0</v>
      </c>
      <c r="R235" s="206">
        <f t="shared" si="79"/>
        <v>0</v>
      </c>
      <c r="S235" s="206">
        <f t="shared" si="80"/>
        <v>0</v>
      </c>
      <c r="T235" s="206">
        <f t="shared" si="81"/>
        <v>0</v>
      </c>
      <c r="AA235" s="71" t="str">
        <f t="shared" si="72"/>
        <v/>
      </c>
      <c r="AB235">
        <f t="shared" si="73"/>
        <v>0</v>
      </c>
      <c r="AC235">
        <f t="shared" si="74"/>
        <v>0</v>
      </c>
      <c r="AD235">
        <f t="shared" si="75"/>
        <v>0</v>
      </c>
      <c r="AE235">
        <f t="shared" si="76"/>
        <v>0</v>
      </c>
      <c r="AF235" t="str">
        <f t="shared" si="77"/>
        <v/>
      </c>
    </row>
    <row r="236" spans="1:32" x14ac:dyDescent="0.4">
      <c r="A236" s="189"/>
      <c r="B236" s="189"/>
      <c r="C236" s="189"/>
      <c r="D236" s="189"/>
      <c r="E236" s="189"/>
      <c r="F236" s="189"/>
      <c r="G236" s="189"/>
      <c r="H236" s="189"/>
      <c r="J236" t="str">
        <f t="shared" si="65"/>
        <v/>
      </c>
      <c r="K236" t="str">
        <f t="shared" si="66"/>
        <v/>
      </c>
      <c r="L236" t="str">
        <f t="shared" si="67"/>
        <v/>
      </c>
      <c r="M236" t="str">
        <f t="shared" si="68"/>
        <v/>
      </c>
      <c r="N236" s="76" t="str">
        <f t="shared" si="69"/>
        <v/>
      </c>
      <c r="O236" s="20">
        <f t="shared" si="70"/>
        <v>0</v>
      </c>
      <c r="P236" s="76">
        <f t="shared" si="71"/>
        <v>0</v>
      </c>
      <c r="Q236" s="206">
        <f t="shared" si="78"/>
        <v>0</v>
      </c>
      <c r="R236" s="206">
        <f t="shared" si="79"/>
        <v>0</v>
      </c>
      <c r="S236" s="206">
        <f t="shared" si="80"/>
        <v>0</v>
      </c>
      <c r="T236" s="206">
        <f t="shared" si="81"/>
        <v>0</v>
      </c>
      <c r="AA236" s="71" t="str">
        <f t="shared" si="72"/>
        <v/>
      </c>
      <c r="AB236">
        <f t="shared" si="73"/>
        <v>0</v>
      </c>
      <c r="AC236">
        <f t="shared" si="74"/>
        <v>0</v>
      </c>
      <c r="AD236">
        <f t="shared" si="75"/>
        <v>0</v>
      </c>
      <c r="AE236">
        <f t="shared" si="76"/>
        <v>0</v>
      </c>
      <c r="AF236" t="str">
        <f t="shared" si="77"/>
        <v/>
      </c>
    </row>
    <row r="237" spans="1:32" x14ac:dyDescent="0.4">
      <c r="A237" s="189"/>
      <c r="B237" s="189"/>
      <c r="C237" s="189"/>
      <c r="D237" s="189"/>
      <c r="E237" s="189"/>
      <c r="F237" s="189"/>
      <c r="G237" s="189"/>
      <c r="H237" s="189"/>
      <c r="J237" t="str">
        <f t="shared" si="65"/>
        <v/>
      </c>
      <c r="K237" t="str">
        <f t="shared" si="66"/>
        <v/>
      </c>
      <c r="L237" t="str">
        <f t="shared" si="67"/>
        <v/>
      </c>
      <c r="M237" t="str">
        <f t="shared" si="68"/>
        <v/>
      </c>
      <c r="N237" s="76" t="str">
        <f t="shared" si="69"/>
        <v/>
      </c>
      <c r="O237" s="20">
        <f t="shared" si="70"/>
        <v>0</v>
      </c>
      <c r="P237" s="76">
        <f t="shared" si="71"/>
        <v>0</v>
      </c>
      <c r="Q237" s="206">
        <f t="shared" si="78"/>
        <v>0</v>
      </c>
      <c r="R237" s="206">
        <f t="shared" si="79"/>
        <v>0</v>
      </c>
      <c r="S237" s="206">
        <f t="shared" si="80"/>
        <v>0</v>
      </c>
      <c r="T237" s="206">
        <f t="shared" si="81"/>
        <v>0</v>
      </c>
      <c r="AA237" s="71" t="str">
        <f t="shared" si="72"/>
        <v/>
      </c>
      <c r="AB237">
        <f t="shared" si="73"/>
        <v>0</v>
      </c>
      <c r="AC237">
        <f t="shared" si="74"/>
        <v>0</v>
      </c>
      <c r="AD237">
        <f t="shared" si="75"/>
        <v>0</v>
      </c>
      <c r="AE237">
        <f t="shared" si="76"/>
        <v>0</v>
      </c>
      <c r="AF237" t="str">
        <f t="shared" si="77"/>
        <v/>
      </c>
    </row>
    <row r="238" spans="1:32" x14ac:dyDescent="0.4">
      <c r="A238" s="189"/>
      <c r="B238" s="189"/>
      <c r="C238" s="189"/>
      <c r="D238" s="189"/>
      <c r="E238" s="189"/>
      <c r="F238" s="189"/>
      <c r="G238" s="189"/>
      <c r="H238" s="189"/>
      <c r="J238" t="str">
        <f t="shared" si="65"/>
        <v/>
      </c>
      <c r="K238" t="str">
        <f t="shared" si="66"/>
        <v/>
      </c>
      <c r="L238" t="str">
        <f t="shared" si="67"/>
        <v/>
      </c>
      <c r="M238" t="str">
        <f t="shared" si="68"/>
        <v/>
      </c>
      <c r="N238" s="76" t="str">
        <f t="shared" si="69"/>
        <v/>
      </c>
      <c r="O238" s="20">
        <f t="shared" si="70"/>
        <v>0</v>
      </c>
      <c r="P238" s="76">
        <f t="shared" si="71"/>
        <v>0</v>
      </c>
      <c r="Q238" s="206">
        <f t="shared" si="78"/>
        <v>0</v>
      </c>
      <c r="R238" s="206">
        <f t="shared" si="79"/>
        <v>0</v>
      </c>
      <c r="S238" s="206">
        <f t="shared" si="80"/>
        <v>0</v>
      </c>
      <c r="T238" s="206">
        <f t="shared" si="81"/>
        <v>0</v>
      </c>
      <c r="AA238" s="71" t="str">
        <f t="shared" si="72"/>
        <v/>
      </c>
      <c r="AB238">
        <f t="shared" si="73"/>
        <v>0</v>
      </c>
      <c r="AC238">
        <f t="shared" si="74"/>
        <v>0</v>
      </c>
      <c r="AD238">
        <f t="shared" si="75"/>
        <v>0</v>
      </c>
      <c r="AE238">
        <f t="shared" si="76"/>
        <v>0</v>
      </c>
      <c r="AF238" t="str">
        <f t="shared" si="77"/>
        <v/>
      </c>
    </row>
    <row r="239" spans="1:32" x14ac:dyDescent="0.4">
      <c r="A239" s="189"/>
      <c r="B239" s="189"/>
      <c r="C239" s="189"/>
      <c r="D239" s="189"/>
      <c r="E239" s="189"/>
      <c r="F239" s="189"/>
      <c r="G239" s="189"/>
      <c r="H239" s="189"/>
      <c r="J239" t="str">
        <f t="shared" si="65"/>
        <v/>
      </c>
      <c r="K239" t="str">
        <f t="shared" si="66"/>
        <v/>
      </c>
      <c r="L239" t="str">
        <f t="shared" si="67"/>
        <v/>
      </c>
      <c r="M239" t="str">
        <f t="shared" si="68"/>
        <v/>
      </c>
      <c r="N239" s="76" t="str">
        <f t="shared" si="69"/>
        <v/>
      </c>
      <c r="O239" s="20">
        <f t="shared" si="70"/>
        <v>0</v>
      </c>
      <c r="P239" s="76">
        <f t="shared" si="71"/>
        <v>0</v>
      </c>
      <c r="Q239" s="206">
        <f t="shared" si="78"/>
        <v>0</v>
      </c>
      <c r="R239" s="206">
        <f t="shared" si="79"/>
        <v>0</v>
      </c>
      <c r="S239" s="206">
        <f t="shared" si="80"/>
        <v>0</v>
      </c>
      <c r="T239" s="206">
        <f t="shared" si="81"/>
        <v>0</v>
      </c>
      <c r="AA239" s="71" t="str">
        <f t="shared" si="72"/>
        <v/>
      </c>
      <c r="AB239">
        <f t="shared" si="73"/>
        <v>0</v>
      </c>
      <c r="AC239">
        <f t="shared" si="74"/>
        <v>0</v>
      </c>
      <c r="AD239">
        <f t="shared" si="75"/>
        <v>0</v>
      </c>
      <c r="AE239">
        <f t="shared" si="76"/>
        <v>0</v>
      </c>
      <c r="AF239" t="str">
        <f t="shared" si="77"/>
        <v/>
      </c>
    </row>
    <row r="240" spans="1:32" x14ac:dyDescent="0.4">
      <c r="A240" s="189"/>
      <c r="B240" s="189"/>
      <c r="C240" s="189"/>
      <c r="D240" s="189"/>
      <c r="E240" s="189"/>
      <c r="F240" s="189"/>
      <c r="G240" s="189"/>
      <c r="H240" s="189"/>
      <c r="J240" t="str">
        <f t="shared" si="65"/>
        <v/>
      </c>
      <c r="K240" t="str">
        <f t="shared" si="66"/>
        <v/>
      </c>
      <c r="L240" t="str">
        <f t="shared" si="67"/>
        <v/>
      </c>
      <c r="M240" t="str">
        <f t="shared" si="68"/>
        <v/>
      </c>
      <c r="N240" s="76" t="str">
        <f t="shared" si="69"/>
        <v/>
      </c>
      <c r="O240" s="20">
        <f t="shared" si="70"/>
        <v>0</v>
      </c>
      <c r="P240" s="76">
        <f t="shared" si="71"/>
        <v>0</v>
      </c>
      <c r="Q240" s="206">
        <f t="shared" si="78"/>
        <v>0</v>
      </c>
      <c r="R240" s="206">
        <f t="shared" si="79"/>
        <v>0</v>
      </c>
      <c r="S240" s="206">
        <f t="shared" si="80"/>
        <v>0</v>
      </c>
      <c r="T240" s="206">
        <f t="shared" si="81"/>
        <v>0</v>
      </c>
      <c r="AA240" s="71" t="str">
        <f t="shared" si="72"/>
        <v/>
      </c>
      <c r="AB240">
        <f t="shared" si="73"/>
        <v>0</v>
      </c>
      <c r="AC240">
        <f t="shared" si="74"/>
        <v>0</v>
      </c>
      <c r="AD240">
        <f t="shared" si="75"/>
        <v>0</v>
      </c>
      <c r="AE240">
        <f t="shared" si="76"/>
        <v>0</v>
      </c>
      <c r="AF240" t="str">
        <f t="shared" si="77"/>
        <v/>
      </c>
    </row>
    <row r="241" spans="1:32" x14ac:dyDescent="0.4">
      <c r="A241" s="189"/>
      <c r="B241" s="189"/>
      <c r="C241" s="189"/>
      <c r="D241" s="189"/>
      <c r="E241" s="189"/>
      <c r="F241" s="189"/>
      <c r="G241" s="189"/>
      <c r="H241" s="189"/>
      <c r="J241" t="str">
        <f t="shared" si="65"/>
        <v/>
      </c>
      <c r="K241" t="str">
        <f t="shared" si="66"/>
        <v/>
      </c>
      <c r="L241" t="str">
        <f t="shared" si="67"/>
        <v/>
      </c>
      <c r="M241" t="str">
        <f t="shared" si="68"/>
        <v/>
      </c>
      <c r="N241" s="76" t="str">
        <f t="shared" si="69"/>
        <v/>
      </c>
      <c r="O241" s="20">
        <f t="shared" si="70"/>
        <v>0</v>
      </c>
      <c r="P241" s="76">
        <f t="shared" si="71"/>
        <v>0</v>
      </c>
      <c r="Q241" s="206">
        <f t="shared" si="78"/>
        <v>0</v>
      </c>
      <c r="R241" s="206">
        <f t="shared" si="79"/>
        <v>0</v>
      </c>
      <c r="S241" s="206">
        <f t="shared" si="80"/>
        <v>0</v>
      </c>
      <c r="T241" s="206">
        <f t="shared" si="81"/>
        <v>0</v>
      </c>
      <c r="AA241" s="71" t="str">
        <f t="shared" si="72"/>
        <v/>
      </c>
      <c r="AB241">
        <f t="shared" si="73"/>
        <v>0</v>
      </c>
      <c r="AC241">
        <f t="shared" si="74"/>
        <v>0</v>
      </c>
      <c r="AD241">
        <f t="shared" si="75"/>
        <v>0</v>
      </c>
      <c r="AE241">
        <f t="shared" si="76"/>
        <v>0</v>
      </c>
      <c r="AF241" t="str">
        <f t="shared" si="77"/>
        <v/>
      </c>
    </row>
    <row r="242" spans="1:32" x14ac:dyDescent="0.4">
      <c r="A242" s="189"/>
      <c r="B242" s="189"/>
      <c r="C242" s="189"/>
      <c r="D242" s="189"/>
      <c r="E242" s="189"/>
      <c r="F242" s="189"/>
      <c r="G242" s="189"/>
      <c r="H242" s="189"/>
      <c r="J242" t="str">
        <f t="shared" si="65"/>
        <v/>
      </c>
      <c r="K242" t="str">
        <f t="shared" si="66"/>
        <v/>
      </c>
      <c r="L242" t="str">
        <f t="shared" si="67"/>
        <v/>
      </c>
      <c r="M242" t="str">
        <f t="shared" si="68"/>
        <v/>
      </c>
      <c r="N242" s="76" t="str">
        <f t="shared" si="69"/>
        <v/>
      </c>
      <c r="O242" s="20">
        <f t="shared" si="70"/>
        <v>0</v>
      </c>
      <c r="P242" s="76">
        <f t="shared" si="71"/>
        <v>0</v>
      </c>
      <c r="Q242" s="206">
        <f t="shared" si="78"/>
        <v>0</v>
      </c>
      <c r="R242" s="206">
        <f t="shared" si="79"/>
        <v>0</v>
      </c>
      <c r="S242" s="206">
        <f t="shared" si="80"/>
        <v>0</v>
      </c>
      <c r="T242" s="206">
        <f t="shared" si="81"/>
        <v>0</v>
      </c>
      <c r="AA242" s="71" t="str">
        <f t="shared" si="72"/>
        <v/>
      </c>
      <c r="AB242">
        <f t="shared" si="73"/>
        <v>0</v>
      </c>
      <c r="AC242">
        <f t="shared" si="74"/>
        <v>0</v>
      </c>
      <c r="AD242">
        <f t="shared" si="75"/>
        <v>0</v>
      </c>
      <c r="AE242">
        <f t="shared" si="76"/>
        <v>0</v>
      </c>
      <c r="AF242" t="str">
        <f t="shared" si="77"/>
        <v/>
      </c>
    </row>
    <row r="243" spans="1:32" x14ac:dyDescent="0.4">
      <c r="A243" s="189"/>
      <c r="B243" s="189"/>
      <c r="C243" s="189"/>
      <c r="D243" s="189"/>
      <c r="E243" s="189"/>
      <c r="F243" s="189"/>
      <c r="G243" s="189"/>
      <c r="H243" s="189"/>
      <c r="J243" t="str">
        <f t="shared" si="65"/>
        <v/>
      </c>
      <c r="K243" t="str">
        <f t="shared" si="66"/>
        <v/>
      </c>
      <c r="L243" t="str">
        <f t="shared" si="67"/>
        <v/>
      </c>
      <c r="M243" t="str">
        <f t="shared" si="68"/>
        <v/>
      </c>
      <c r="N243" s="76" t="str">
        <f t="shared" si="69"/>
        <v/>
      </c>
      <c r="O243" s="20">
        <f t="shared" si="70"/>
        <v>0</v>
      </c>
      <c r="P243" s="76">
        <f t="shared" si="71"/>
        <v>0</v>
      </c>
      <c r="Q243" s="206">
        <f t="shared" si="78"/>
        <v>0</v>
      </c>
      <c r="R243" s="206">
        <f t="shared" si="79"/>
        <v>0</v>
      </c>
      <c r="S243" s="206">
        <f t="shared" si="80"/>
        <v>0</v>
      </c>
      <c r="T243" s="206">
        <f t="shared" si="81"/>
        <v>0</v>
      </c>
      <c r="AA243" s="71" t="str">
        <f t="shared" si="72"/>
        <v/>
      </c>
      <c r="AB243">
        <f t="shared" si="73"/>
        <v>0</v>
      </c>
      <c r="AC243">
        <f t="shared" si="74"/>
        <v>0</v>
      </c>
      <c r="AD243">
        <f t="shared" si="75"/>
        <v>0</v>
      </c>
      <c r="AE243">
        <f t="shared" si="76"/>
        <v>0</v>
      </c>
      <c r="AF243" t="str">
        <f t="shared" si="77"/>
        <v/>
      </c>
    </row>
    <row r="244" spans="1:32" x14ac:dyDescent="0.4">
      <c r="A244" s="189"/>
      <c r="B244" s="189"/>
      <c r="C244" s="189"/>
      <c r="D244" s="189"/>
      <c r="E244" s="189"/>
      <c r="F244" s="189"/>
      <c r="G244" s="189"/>
      <c r="H244" s="189"/>
      <c r="J244" t="str">
        <f t="shared" si="65"/>
        <v/>
      </c>
      <c r="K244" t="str">
        <f t="shared" si="66"/>
        <v/>
      </c>
      <c r="L244" t="str">
        <f t="shared" si="67"/>
        <v/>
      </c>
      <c r="M244" t="str">
        <f t="shared" si="68"/>
        <v/>
      </c>
      <c r="N244" s="76" t="str">
        <f t="shared" si="69"/>
        <v/>
      </c>
      <c r="O244" s="20">
        <f t="shared" si="70"/>
        <v>0</v>
      </c>
      <c r="P244" s="76">
        <f t="shared" si="71"/>
        <v>0</v>
      </c>
      <c r="Q244" s="206">
        <f t="shared" si="78"/>
        <v>0</v>
      </c>
      <c r="R244" s="206">
        <f t="shared" si="79"/>
        <v>0</v>
      </c>
      <c r="S244" s="206">
        <f t="shared" si="80"/>
        <v>0</v>
      </c>
      <c r="T244" s="206">
        <f t="shared" si="81"/>
        <v>0</v>
      </c>
      <c r="AA244" s="71" t="str">
        <f t="shared" si="72"/>
        <v/>
      </c>
      <c r="AB244">
        <f t="shared" si="73"/>
        <v>0</v>
      </c>
      <c r="AC244">
        <f t="shared" si="74"/>
        <v>0</v>
      </c>
      <c r="AD244">
        <f t="shared" si="75"/>
        <v>0</v>
      </c>
      <c r="AE244">
        <f t="shared" si="76"/>
        <v>0</v>
      </c>
      <c r="AF244" t="str">
        <f t="shared" si="77"/>
        <v/>
      </c>
    </row>
    <row r="245" spans="1:32" x14ac:dyDescent="0.4">
      <c r="A245" s="189"/>
      <c r="B245" s="189"/>
      <c r="C245" s="189"/>
      <c r="D245" s="189"/>
      <c r="E245" s="189"/>
      <c r="F245" s="189"/>
      <c r="G245" s="189"/>
      <c r="H245" s="189"/>
      <c r="J245" t="str">
        <f t="shared" si="65"/>
        <v/>
      </c>
      <c r="K245" t="str">
        <f t="shared" si="66"/>
        <v/>
      </c>
      <c r="L245" t="str">
        <f t="shared" si="67"/>
        <v/>
      </c>
      <c r="M245" t="str">
        <f t="shared" si="68"/>
        <v/>
      </c>
      <c r="N245" s="76" t="str">
        <f t="shared" si="69"/>
        <v/>
      </c>
      <c r="O245" s="20">
        <f t="shared" si="70"/>
        <v>0</v>
      </c>
      <c r="P245" s="76">
        <f t="shared" si="71"/>
        <v>0</v>
      </c>
      <c r="Q245" s="206">
        <f t="shared" si="78"/>
        <v>0</v>
      </c>
      <c r="R245" s="206">
        <f t="shared" si="79"/>
        <v>0</v>
      </c>
      <c r="S245" s="206">
        <f t="shared" si="80"/>
        <v>0</v>
      </c>
      <c r="T245" s="206">
        <f t="shared" si="81"/>
        <v>0</v>
      </c>
      <c r="AA245" s="71" t="str">
        <f t="shared" si="72"/>
        <v/>
      </c>
      <c r="AB245">
        <f t="shared" si="73"/>
        <v>0</v>
      </c>
      <c r="AC245">
        <f t="shared" si="74"/>
        <v>0</v>
      </c>
      <c r="AD245">
        <f t="shared" si="75"/>
        <v>0</v>
      </c>
      <c r="AE245">
        <f t="shared" si="76"/>
        <v>0</v>
      </c>
      <c r="AF245" t="str">
        <f t="shared" si="77"/>
        <v/>
      </c>
    </row>
    <row r="246" spans="1:32" x14ac:dyDescent="0.4">
      <c r="A246" s="189"/>
      <c r="B246" s="189"/>
      <c r="C246" s="189"/>
      <c r="D246" s="189"/>
      <c r="E246" s="189"/>
      <c r="F246" s="189"/>
      <c r="G246" s="189"/>
      <c r="H246" s="189"/>
      <c r="J246" t="str">
        <f t="shared" si="65"/>
        <v/>
      </c>
      <c r="K246" t="str">
        <f t="shared" si="66"/>
        <v/>
      </c>
      <c r="L246" t="str">
        <f t="shared" si="67"/>
        <v/>
      </c>
      <c r="M246" t="str">
        <f t="shared" si="68"/>
        <v/>
      </c>
      <c r="N246" s="76" t="str">
        <f t="shared" si="69"/>
        <v/>
      </c>
      <c r="O246" s="20">
        <f t="shared" si="70"/>
        <v>0</v>
      </c>
      <c r="P246" s="76">
        <f t="shared" si="71"/>
        <v>0</v>
      </c>
      <c r="Q246" s="206">
        <f t="shared" si="78"/>
        <v>0</v>
      </c>
      <c r="R246" s="206">
        <f t="shared" si="79"/>
        <v>0</v>
      </c>
      <c r="S246" s="206">
        <f t="shared" si="80"/>
        <v>0</v>
      </c>
      <c r="T246" s="206">
        <f t="shared" si="81"/>
        <v>0</v>
      </c>
      <c r="AA246" s="71" t="str">
        <f t="shared" si="72"/>
        <v/>
      </c>
      <c r="AB246">
        <f t="shared" si="73"/>
        <v>0</v>
      </c>
      <c r="AC246">
        <f t="shared" si="74"/>
        <v>0</v>
      </c>
      <c r="AD246">
        <f t="shared" si="75"/>
        <v>0</v>
      </c>
      <c r="AE246">
        <f t="shared" si="76"/>
        <v>0</v>
      </c>
      <c r="AF246" t="str">
        <f t="shared" si="77"/>
        <v/>
      </c>
    </row>
    <row r="247" spans="1:32" x14ac:dyDescent="0.4">
      <c r="A247" s="189"/>
      <c r="B247" s="189"/>
      <c r="C247" s="189"/>
      <c r="D247" s="189"/>
      <c r="E247" s="189"/>
      <c r="F247" s="189"/>
      <c r="G247" s="189"/>
      <c r="H247" s="189"/>
      <c r="J247" t="str">
        <f t="shared" si="65"/>
        <v/>
      </c>
      <c r="K247" t="str">
        <f t="shared" si="66"/>
        <v/>
      </c>
      <c r="L247" t="str">
        <f t="shared" si="67"/>
        <v/>
      </c>
      <c r="M247" t="str">
        <f t="shared" si="68"/>
        <v/>
      </c>
      <c r="N247" s="76" t="str">
        <f t="shared" si="69"/>
        <v/>
      </c>
      <c r="O247" s="20">
        <f t="shared" si="70"/>
        <v>0</v>
      </c>
      <c r="P247" s="76">
        <f t="shared" si="71"/>
        <v>0</v>
      </c>
      <c r="Q247" s="206">
        <f t="shared" si="78"/>
        <v>0</v>
      </c>
      <c r="R247" s="206">
        <f t="shared" si="79"/>
        <v>0</v>
      </c>
      <c r="S247" s="206">
        <f t="shared" si="80"/>
        <v>0</v>
      </c>
      <c r="T247" s="206">
        <f t="shared" si="81"/>
        <v>0</v>
      </c>
      <c r="AA247" s="71" t="str">
        <f t="shared" si="72"/>
        <v/>
      </c>
      <c r="AB247">
        <f t="shared" si="73"/>
        <v>0</v>
      </c>
      <c r="AC247">
        <f t="shared" si="74"/>
        <v>0</v>
      </c>
      <c r="AD247">
        <f t="shared" si="75"/>
        <v>0</v>
      </c>
      <c r="AE247">
        <f t="shared" si="76"/>
        <v>0</v>
      </c>
      <c r="AF247" t="str">
        <f t="shared" si="77"/>
        <v/>
      </c>
    </row>
    <row r="248" spans="1:32" x14ac:dyDescent="0.4">
      <c r="A248" s="189"/>
      <c r="B248" s="189"/>
      <c r="C248" s="189"/>
      <c r="D248" s="189"/>
      <c r="E248" s="189"/>
      <c r="F248" s="189"/>
      <c r="G248" s="189"/>
      <c r="H248" s="189"/>
      <c r="J248" t="str">
        <f t="shared" si="65"/>
        <v/>
      </c>
      <c r="K248" t="str">
        <f t="shared" si="66"/>
        <v/>
      </c>
      <c r="L248" t="str">
        <f t="shared" si="67"/>
        <v/>
      </c>
      <c r="M248" t="str">
        <f t="shared" si="68"/>
        <v/>
      </c>
      <c r="N248" s="76" t="str">
        <f t="shared" si="69"/>
        <v/>
      </c>
      <c r="O248" s="20">
        <f t="shared" si="70"/>
        <v>0</v>
      </c>
      <c r="P248" s="76">
        <f t="shared" si="71"/>
        <v>0</v>
      </c>
      <c r="Q248" s="206">
        <f t="shared" si="78"/>
        <v>0</v>
      </c>
      <c r="R248" s="206">
        <f t="shared" si="79"/>
        <v>0</v>
      </c>
      <c r="S248" s="206">
        <f t="shared" si="80"/>
        <v>0</v>
      </c>
      <c r="T248" s="206">
        <f t="shared" si="81"/>
        <v>0</v>
      </c>
      <c r="AA248" s="71" t="str">
        <f t="shared" si="72"/>
        <v/>
      </c>
      <c r="AB248">
        <f t="shared" si="73"/>
        <v>0</v>
      </c>
      <c r="AC248">
        <f t="shared" si="74"/>
        <v>0</v>
      </c>
      <c r="AD248">
        <f t="shared" si="75"/>
        <v>0</v>
      </c>
      <c r="AE248">
        <f t="shared" si="76"/>
        <v>0</v>
      </c>
      <c r="AF248" t="str">
        <f t="shared" si="77"/>
        <v/>
      </c>
    </row>
    <row r="249" spans="1:32" x14ac:dyDescent="0.4">
      <c r="A249" s="189"/>
      <c r="B249" s="189"/>
      <c r="C249" s="189"/>
      <c r="D249" s="189"/>
      <c r="E249" s="189"/>
      <c r="F249" s="189"/>
      <c r="G249" s="189"/>
      <c r="H249" s="189"/>
      <c r="J249" t="str">
        <f t="shared" si="65"/>
        <v/>
      </c>
      <c r="K249" t="str">
        <f t="shared" si="66"/>
        <v/>
      </c>
      <c r="L249" t="str">
        <f t="shared" si="67"/>
        <v/>
      </c>
      <c r="M249" t="str">
        <f t="shared" si="68"/>
        <v/>
      </c>
      <c r="N249" s="76" t="str">
        <f t="shared" si="69"/>
        <v/>
      </c>
      <c r="O249" s="20">
        <f t="shared" si="70"/>
        <v>0</v>
      </c>
      <c r="P249" s="76">
        <f t="shared" si="71"/>
        <v>0</v>
      </c>
      <c r="Q249" s="206">
        <f t="shared" si="78"/>
        <v>0</v>
      </c>
      <c r="R249" s="206">
        <f t="shared" si="79"/>
        <v>0</v>
      </c>
      <c r="S249" s="206">
        <f t="shared" si="80"/>
        <v>0</v>
      </c>
      <c r="T249" s="206">
        <f t="shared" si="81"/>
        <v>0</v>
      </c>
      <c r="AA249" s="71" t="str">
        <f t="shared" si="72"/>
        <v/>
      </c>
      <c r="AB249">
        <f t="shared" si="73"/>
        <v>0</v>
      </c>
      <c r="AC249">
        <f t="shared" si="74"/>
        <v>0</v>
      </c>
      <c r="AD249">
        <f t="shared" si="75"/>
        <v>0</v>
      </c>
      <c r="AE249">
        <f t="shared" si="76"/>
        <v>0</v>
      </c>
      <c r="AF249" t="str">
        <f t="shared" si="77"/>
        <v/>
      </c>
    </row>
    <row r="250" spans="1:32" x14ac:dyDescent="0.4">
      <c r="A250" s="189"/>
      <c r="B250" s="189"/>
      <c r="C250" s="189"/>
      <c r="D250" s="189"/>
      <c r="E250" s="189"/>
      <c r="F250" s="189"/>
      <c r="G250" s="189"/>
      <c r="H250" s="189"/>
      <c r="J250" t="str">
        <f t="shared" si="65"/>
        <v/>
      </c>
      <c r="K250" t="str">
        <f t="shared" si="66"/>
        <v/>
      </c>
      <c r="L250" t="str">
        <f t="shared" si="67"/>
        <v/>
      </c>
      <c r="M250" t="str">
        <f t="shared" si="68"/>
        <v/>
      </c>
      <c r="N250" s="76" t="str">
        <f t="shared" si="69"/>
        <v/>
      </c>
      <c r="O250" s="20">
        <f t="shared" si="70"/>
        <v>0</v>
      </c>
      <c r="P250" s="76">
        <f t="shared" si="71"/>
        <v>0</v>
      </c>
      <c r="Q250" s="206">
        <f t="shared" si="78"/>
        <v>0</v>
      </c>
      <c r="R250" s="206">
        <f t="shared" si="79"/>
        <v>0</v>
      </c>
      <c r="S250" s="206">
        <f t="shared" si="80"/>
        <v>0</v>
      </c>
      <c r="T250" s="206">
        <f t="shared" si="81"/>
        <v>0</v>
      </c>
      <c r="AA250" s="71" t="str">
        <f t="shared" si="72"/>
        <v/>
      </c>
      <c r="AB250">
        <f t="shared" si="73"/>
        <v>0</v>
      </c>
      <c r="AC250">
        <f t="shared" si="74"/>
        <v>0</v>
      </c>
      <c r="AD250">
        <f t="shared" si="75"/>
        <v>0</v>
      </c>
      <c r="AE250">
        <f t="shared" si="76"/>
        <v>0</v>
      </c>
      <c r="AF250" t="str">
        <f t="shared" si="77"/>
        <v/>
      </c>
    </row>
    <row r="251" spans="1:32" x14ac:dyDescent="0.4">
      <c r="A251" s="189"/>
      <c r="B251" s="189"/>
      <c r="C251" s="189"/>
      <c r="D251" s="189"/>
      <c r="E251" s="189"/>
      <c r="F251" s="189"/>
      <c r="G251" s="189"/>
      <c r="H251" s="189"/>
      <c r="J251" t="str">
        <f t="shared" si="65"/>
        <v/>
      </c>
      <c r="K251" t="str">
        <f t="shared" si="66"/>
        <v/>
      </c>
      <c r="L251" t="str">
        <f t="shared" si="67"/>
        <v/>
      </c>
      <c r="M251" t="str">
        <f t="shared" si="68"/>
        <v/>
      </c>
      <c r="N251" s="76" t="str">
        <f t="shared" si="69"/>
        <v/>
      </c>
      <c r="O251" s="20">
        <f t="shared" si="70"/>
        <v>0</v>
      </c>
      <c r="P251" s="76">
        <f t="shared" si="71"/>
        <v>0</v>
      </c>
      <c r="Q251" s="206">
        <f t="shared" si="78"/>
        <v>0</v>
      </c>
      <c r="R251" s="206">
        <f t="shared" si="79"/>
        <v>0</v>
      </c>
      <c r="S251" s="206">
        <f t="shared" si="80"/>
        <v>0</v>
      </c>
      <c r="T251" s="206">
        <f t="shared" si="81"/>
        <v>0</v>
      </c>
      <c r="AA251" s="71" t="str">
        <f t="shared" si="72"/>
        <v/>
      </c>
      <c r="AB251">
        <f t="shared" si="73"/>
        <v>0</v>
      </c>
      <c r="AC251">
        <f t="shared" si="74"/>
        <v>0</v>
      </c>
      <c r="AD251">
        <f t="shared" si="75"/>
        <v>0</v>
      </c>
      <c r="AE251">
        <f t="shared" si="76"/>
        <v>0</v>
      </c>
      <c r="AF251" t="str">
        <f t="shared" si="77"/>
        <v/>
      </c>
    </row>
    <row r="252" spans="1:32" x14ac:dyDescent="0.4">
      <c r="A252" s="189"/>
      <c r="B252" s="189"/>
      <c r="C252" s="189"/>
      <c r="D252" s="189"/>
      <c r="E252" s="189"/>
      <c r="F252" s="189"/>
      <c r="G252" s="189"/>
      <c r="H252" s="189"/>
      <c r="J252" t="str">
        <f t="shared" si="65"/>
        <v/>
      </c>
      <c r="K252" t="str">
        <f t="shared" si="66"/>
        <v/>
      </c>
      <c r="L252" t="str">
        <f t="shared" si="67"/>
        <v/>
      </c>
      <c r="M252" t="str">
        <f t="shared" si="68"/>
        <v/>
      </c>
      <c r="N252" s="76" t="str">
        <f t="shared" si="69"/>
        <v/>
      </c>
      <c r="O252" s="20">
        <f t="shared" si="70"/>
        <v>0</v>
      </c>
      <c r="P252" s="76">
        <f t="shared" si="71"/>
        <v>0</v>
      </c>
      <c r="Q252" s="206">
        <f t="shared" si="78"/>
        <v>0</v>
      </c>
      <c r="R252" s="206">
        <f t="shared" si="79"/>
        <v>0</v>
      </c>
      <c r="S252" s="206">
        <f t="shared" si="80"/>
        <v>0</v>
      </c>
      <c r="T252" s="206">
        <f t="shared" si="81"/>
        <v>0</v>
      </c>
      <c r="AA252" s="71" t="str">
        <f t="shared" si="72"/>
        <v/>
      </c>
      <c r="AB252">
        <f t="shared" si="73"/>
        <v>0</v>
      </c>
      <c r="AC252">
        <f t="shared" si="74"/>
        <v>0</v>
      </c>
      <c r="AD252">
        <f t="shared" si="75"/>
        <v>0</v>
      </c>
      <c r="AE252">
        <f t="shared" si="76"/>
        <v>0</v>
      </c>
      <c r="AF252" t="str">
        <f t="shared" si="77"/>
        <v/>
      </c>
    </row>
    <row r="253" spans="1:32" x14ac:dyDescent="0.4">
      <c r="A253" s="189"/>
      <c r="B253" s="189"/>
      <c r="C253" s="189"/>
      <c r="D253" s="189"/>
      <c r="E253" s="189"/>
      <c r="F253" s="189"/>
      <c r="G253" s="189"/>
      <c r="H253" s="189"/>
      <c r="J253" t="str">
        <f t="shared" si="65"/>
        <v/>
      </c>
      <c r="K253" t="str">
        <f t="shared" si="66"/>
        <v/>
      </c>
      <c r="L253" t="str">
        <f t="shared" si="67"/>
        <v/>
      </c>
      <c r="M253" t="str">
        <f t="shared" si="68"/>
        <v/>
      </c>
      <c r="N253" s="76" t="str">
        <f t="shared" si="69"/>
        <v/>
      </c>
      <c r="O253" s="20">
        <f t="shared" si="70"/>
        <v>0</v>
      </c>
      <c r="P253" s="76">
        <f t="shared" si="71"/>
        <v>0</v>
      </c>
      <c r="Q253" s="206">
        <f t="shared" si="78"/>
        <v>0</v>
      </c>
      <c r="R253" s="206">
        <f t="shared" si="79"/>
        <v>0</v>
      </c>
      <c r="S253" s="206">
        <f t="shared" si="80"/>
        <v>0</v>
      </c>
      <c r="T253" s="206">
        <f t="shared" si="81"/>
        <v>0</v>
      </c>
      <c r="AA253" s="71" t="str">
        <f t="shared" si="72"/>
        <v/>
      </c>
      <c r="AB253">
        <f t="shared" si="73"/>
        <v>0</v>
      </c>
      <c r="AC253">
        <f t="shared" si="74"/>
        <v>0</v>
      </c>
      <c r="AD253">
        <f t="shared" si="75"/>
        <v>0</v>
      </c>
      <c r="AE253">
        <f t="shared" si="76"/>
        <v>0</v>
      </c>
      <c r="AF253" t="str">
        <f t="shared" si="77"/>
        <v/>
      </c>
    </row>
    <row r="254" spans="1:32" x14ac:dyDescent="0.4">
      <c r="A254" s="189"/>
      <c r="B254" s="189"/>
      <c r="C254" s="189"/>
      <c r="D254" s="189"/>
      <c r="E254" s="189"/>
      <c r="F254" s="189"/>
      <c r="G254" s="189"/>
      <c r="H254" s="189"/>
      <c r="J254" t="str">
        <f t="shared" si="65"/>
        <v/>
      </c>
      <c r="K254" t="str">
        <f t="shared" si="66"/>
        <v/>
      </c>
      <c r="L254" t="str">
        <f t="shared" si="67"/>
        <v/>
      </c>
      <c r="M254" t="str">
        <f t="shared" si="68"/>
        <v/>
      </c>
      <c r="N254" s="76" t="str">
        <f t="shared" si="69"/>
        <v/>
      </c>
      <c r="O254" s="20">
        <f t="shared" si="70"/>
        <v>0</v>
      </c>
      <c r="P254" s="76">
        <f t="shared" si="71"/>
        <v>0</v>
      </c>
      <c r="Q254" s="206">
        <f t="shared" si="78"/>
        <v>0</v>
      </c>
      <c r="R254" s="206">
        <f t="shared" si="79"/>
        <v>0</v>
      </c>
      <c r="S254" s="206">
        <f t="shared" si="80"/>
        <v>0</v>
      </c>
      <c r="T254" s="206">
        <f t="shared" si="81"/>
        <v>0</v>
      </c>
      <c r="AA254" s="71" t="str">
        <f t="shared" si="72"/>
        <v/>
      </c>
      <c r="AB254">
        <f t="shared" si="73"/>
        <v>0</v>
      </c>
      <c r="AC254">
        <f t="shared" si="74"/>
        <v>0</v>
      </c>
      <c r="AD254">
        <f t="shared" si="75"/>
        <v>0</v>
      </c>
      <c r="AE254">
        <f t="shared" si="76"/>
        <v>0</v>
      </c>
      <c r="AF254" t="str">
        <f t="shared" si="77"/>
        <v/>
      </c>
    </row>
    <row r="255" spans="1:32" x14ac:dyDescent="0.4">
      <c r="A255" s="189"/>
      <c r="B255" s="189"/>
      <c r="C255" s="189"/>
      <c r="D255" s="189"/>
      <c r="E255" s="189"/>
      <c r="F255" s="189"/>
      <c r="G255" s="189"/>
      <c r="H255" s="189"/>
      <c r="J255" t="str">
        <f t="shared" si="65"/>
        <v/>
      </c>
      <c r="K255" t="str">
        <f t="shared" si="66"/>
        <v/>
      </c>
      <c r="L255" t="str">
        <f t="shared" si="67"/>
        <v/>
      </c>
      <c r="M255" t="str">
        <f t="shared" si="68"/>
        <v/>
      </c>
      <c r="N255" s="76" t="str">
        <f t="shared" si="69"/>
        <v/>
      </c>
      <c r="O255" s="20">
        <f t="shared" si="70"/>
        <v>0</v>
      </c>
      <c r="P255" s="76">
        <f t="shared" si="71"/>
        <v>0</v>
      </c>
      <c r="Q255" s="206">
        <f t="shared" si="78"/>
        <v>0</v>
      </c>
      <c r="R255" s="206">
        <f t="shared" si="79"/>
        <v>0</v>
      </c>
      <c r="S255" s="206">
        <f t="shared" si="80"/>
        <v>0</v>
      </c>
      <c r="T255" s="206">
        <f t="shared" si="81"/>
        <v>0</v>
      </c>
      <c r="AA255" s="71" t="str">
        <f t="shared" si="72"/>
        <v/>
      </c>
      <c r="AB255">
        <f t="shared" si="73"/>
        <v>0</v>
      </c>
      <c r="AC255">
        <f t="shared" si="74"/>
        <v>0</v>
      </c>
      <c r="AD255">
        <f t="shared" si="75"/>
        <v>0</v>
      </c>
      <c r="AE255">
        <f t="shared" si="76"/>
        <v>0</v>
      </c>
      <c r="AF255" t="str">
        <f t="shared" si="77"/>
        <v/>
      </c>
    </row>
    <row r="256" spans="1:32" x14ac:dyDescent="0.4">
      <c r="A256" s="189"/>
      <c r="B256" s="189"/>
      <c r="C256" s="189"/>
      <c r="D256" s="189"/>
      <c r="E256" s="189"/>
      <c r="F256" s="189"/>
      <c r="G256" s="189"/>
      <c r="H256" s="189"/>
      <c r="J256" t="str">
        <f t="shared" ref="J256:J307" si="82">IF(G256="Détail des tarifs",LEN(A256),"")</f>
        <v/>
      </c>
      <c r="K256" t="str">
        <f t="shared" ref="K256:K307" si="83">IF(J256="","",LEFT(A256,3))</f>
        <v/>
      </c>
      <c r="L256" t="str">
        <f t="shared" ref="L256:L307" si="84">IF(K256&lt;&gt;"",MID(A256,7,3),"")</f>
        <v/>
      </c>
      <c r="M256" t="str">
        <f t="shared" ref="M256:M307" si="85">IF(K256&lt;&gt;"",RIGHT(A256,2),"")</f>
        <v/>
      </c>
      <c r="N256" s="76" t="str">
        <f t="shared" ref="N256:N307" si="86">IF(K256&lt;&gt;"",CONCATENATE(K256,"/",L256),"")</f>
        <v/>
      </c>
      <c r="O256" s="20">
        <f t="shared" ref="O256:O307" si="87">IF(J256&lt;&gt;"",LEFT(B256,LEN(B256)-3),0)</f>
        <v>0</v>
      </c>
      <c r="P256" s="76">
        <f t="shared" ref="P256:P307" si="88">IF(O256&lt;&gt;"",VALUE(O256),"")</f>
        <v>0</v>
      </c>
      <c r="Q256" s="206">
        <f t="shared" si="78"/>
        <v>0</v>
      </c>
      <c r="R256" s="206">
        <f t="shared" si="79"/>
        <v>0</v>
      </c>
      <c r="S256" s="206">
        <f t="shared" si="80"/>
        <v>0</v>
      </c>
      <c r="T256" s="206">
        <f t="shared" si="81"/>
        <v>0</v>
      </c>
      <c r="AA256" s="71" t="str">
        <f t="shared" ref="AA256:AA307" si="89">N256</f>
        <v/>
      </c>
      <c r="AB256">
        <f t="shared" ref="AB256:AB307" si="90">IFERROR(IF(FIND("Km",$B256),IF($B257="",IF(FIND("Pax",C257),VALUE((LEFT(C257,LEN(C257)-4))),))),0)</f>
        <v>0</v>
      </c>
      <c r="AC256">
        <f t="shared" ref="AC256:AC307" si="91">IFERROR(IF(FIND("Km",$B256),IF($B257="",IF(FIND("Pax",D257),VALUE((LEFT(D257,LEN(D257)-4))),))),0)</f>
        <v>0</v>
      </c>
      <c r="AD256">
        <f t="shared" ref="AD256:AD307" si="92">IFERROR(IF(FIND("Km",$B256),IF($B257="",IF(FIND("Pax",E257),VALUE((LEFT(E257,LEN(E257)-4))),))),0)</f>
        <v>0</v>
      </c>
      <c r="AE256">
        <f t="shared" ref="AE256:AE307" si="93">IFERROR(IF($J256&lt;&gt;"",VALUE(LEFT(F257,LEN(F257)-7)),0),1)</f>
        <v>0</v>
      </c>
      <c r="AF256" t="str">
        <f t="shared" ref="AF256:AF307" si="94">IF(SUM(AB256:AE256)&gt;0,"A revoir","")</f>
        <v/>
      </c>
    </row>
    <row r="257" spans="1:32" x14ac:dyDescent="0.4">
      <c r="A257" s="189"/>
      <c r="B257" s="189"/>
      <c r="C257" s="189"/>
      <c r="D257" s="189"/>
      <c r="E257" s="189"/>
      <c r="F257" s="189"/>
      <c r="G257" s="189"/>
      <c r="H257" s="189"/>
      <c r="J257" t="str">
        <f t="shared" si="82"/>
        <v/>
      </c>
      <c r="K257" t="str">
        <f t="shared" si="83"/>
        <v/>
      </c>
      <c r="L257" t="str">
        <f t="shared" si="84"/>
        <v/>
      </c>
      <c r="M257" t="str">
        <f t="shared" si="85"/>
        <v/>
      </c>
      <c r="N257" s="76" t="str">
        <f t="shared" si="86"/>
        <v/>
      </c>
      <c r="O257" s="20">
        <f t="shared" si="87"/>
        <v>0</v>
      </c>
      <c r="P257" s="76">
        <f t="shared" si="88"/>
        <v>0</v>
      </c>
      <c r="Q257" s="206">
        <f t="shared" si="78"/>
        <v>0</v>
      </c>
      <c r="R257" s="206">
        <f t="shared" si="79"/>
        <v>0</v>
      </c>
      <c r="S257" s="206">
        <f t="shared" si="80"/>
        <v>0</v>
      </c>
      <c r="T257" s="206">
        <f t="shared" si="81"/>
        <v>0</v>
      </c>
      <c r="AA257" s="71" t="str">
        <f t="shared" si="89"/>
        <v/>
      </c>
      <c r="AB257">
        <f t="shared" si="90"/>
        <v>0</v>
      </c>
      <c r="AC257">
        <f t="shared" si="91"/>
        <v>0</v>
      </c>
      <c r="AD257">
        <f t="shared" si="92"/>
        <v>0</v>
      </c>
      <c r="AE257">
        <f t="shared" si="93"/>
        <v>0</v>
      </c>
      <c r="AF257" t="str">
        <f t="shared" si="94"/>
        <v/>
      </c>
    </row>
    <row r="258" spans="1:32" x14ac:dyDescent="0.4">
      <c r="A258" s="189"/>
      <c r="B258" s="189"/>
      <c r="C258" s="189"/>
      <c r="D258" s="189"/>
      <c r="E258" s="189"/>
      <c r="F258" s="189"/>
      <c r="G258" s="189"/>
      <c r="H258" s="189"/>
      <c r="J258" t="str">
        <f t="shared" si="82"/>
        <v/>
      </c>
      <c r="K258" t="str">
        <f t="shared" si="83"/>
        <v/>
      </c>
      <c r="L258" t="str">
        <f t="shared" si="84"/>
        <v/>
      </c>
      <c r="M258" t="str">
        <f t="shared" si="85"/>
        <v/>
      </c>
      <c r="N258" s="76" t="str">
        <f t="shared" si="86"/>
        <v/>
      </c>
      <c r="O258" s="20">
        <f t="shared" si="87"/>
        <v>0</v>
      </c>
      <c r="P258" s="76">
        <f t="shared" si="88"/>
        <v>0</v>
      </c>
      <c r="Q258" s="206">
        <f t="shared" si="78"/>
        <v>0</v>
      </c>
      <c r="R258" s="206">
        <f t="shared" si="79"/>
        <v>0</v>
      </c>
      <c r="S258" s="206">
        <f t="shared" si="80"/>
        <v>0</v>
      </c>
      <c r="T258" s="206">
        <f t="shared" si="81"/>
        <v>0</v>
      </c>
      <c r="AA258" s="71" t="str">
        <f t="shared" si="89"/>
        <v/>
      </c>
      <c r="AB258">
        <f t="shared" si="90"/>
        <v>0</v>
      </c>
      <c r="AC258">
        <f t="shared" si="91"/>
        <v>0</v>
      </c>
      <c r="AD258">
        <f t="shared" si="92"/>
        <v>0</v>
      </c>
      <c r="AE258">
        <f t="shared" si="93"/>
        <v>0</v>
      </c>
      <c r="AF258" t="str">
        <f t="shared" si="94"/>
        <v/>
      </c>
    </row>
    <row r="259" spans="1:32" x14ac:dyDescent="0.4">
      <c r="A259" s="189"/>
      <c r="B259" s="189"/>
      <c r="C259" s="189"/>
      <c r="D259" s="189"/>
      <c r="E259" s="189"/>
      <c r="F259" s="189"/>
      <c r="G259" s="189"/>
      <c r="H259" s="189"/>
      <c r="J259" t="str">
        <f t="shared" si="82"/>
        <v/>
      </c>
      <c r="K259" t="str">
        <f t="shared" si="83"/>
        <v/>
      </c>
      <c r="L259" t="str">
        <f t="shared" si="84"/>
        <v/>
      </c>
      <c r="M259" t="str">
        <f t="shared" si="85"/>
        <v/>
      </c>
      <c r="N259" s="76" t="str">
        <f t="shared" si="86"/>
        <v/>
      </c>
      <c r="O259" s="20">
        <f t="shared" si="87"/>
        <v>0</v>
      </c>
      <c r="P259" s="76">
        <f t="shared" si="88"/>
        <v>0</v>
      </c>
      <c r="Q259" s="206">
        <f t="shared" si="78"/>
        <v>0</v>
      </c>
      <c r="R259" s="206">
        <f t="shared" si="79"/>
        <v>0</v>
      </c>
      <c r="S259" s="206">
        <f t="shared" si="80"/>
        <v>0</v>
      </c>
      <c r="T259" s="206">
        <f t="shared" si="81"/>
        <v>0</v>
      </c>
      <c r="AA259" s="71" t="str">
        <f t="shared" si="89"/>
        <v/>
      </c>
      <c r="AB259">
        <f t="shared" si="90"/>
        <v>0</v>
      </c>
      <c r="AC259">
        <f t="shared" si="91"/>
        <v>0</v>
      </c>
      <c r="AD259">
        <f t="shared" si="92"/>
        <v>0</v>
      </c>
      <c r="AE259">
        <f t="shared" si="93"/>
        <v>0</v>
      </c>
      <c r="AF259" t="str">
        <f t="shared" si="94"/>
        <v/>
      </c>
    </row>
    <row r="260" spans="1:32" x14ac:dyDescent="0.4">
      <c r="A260" s="189"/>
      <c r="B260" s="189"/>
      <c r="C260" s="189"/>
      <c r="D260" s="189"/>
      <c r="E260" s="189"/>
      <c r="F260" s="189"/>
      <c r="G260" s="189"/>
      <c r="H260" s="189"/>
      <c r="J260" t="str">
        <f t="shared" si="82"/>
        <v/>
      </c>
      <c r="K260" t="str">
        <f t="shared" si="83"/>
        <v/>
      </c>
      <c r="L260" t="str">
        <f t="shared" si="84"/>
        <v/>
      </c>
      <c r="M260" t="str">
        <f t="shared" si="85"/>
        <v/>
      </c>
      <c r="N260" s="76" t="str">
        <f t="shared" si="86"/>
        <v/>
      </c>
      <c r="O260" s="20">
        <f t="shared" si="87"/>
        <v>0</v>
      </c>
      <c r="P260" s="76">
        <f t="shared" si="88"/>
        <v>0</v>
      </c>
      <c r="Q260" s="206">
        <f t="shared" si="78"/>
        <v>0</v>
      </c>
      <c r="R260" s="206">
        <f t="shared" si="79"/>
        <v>0</v>
      </c>
      <c r="S260" s="206">
        <f t="shared" si="80"/>
        <v>0</v>
      </c>
      <c r="T260" s="206">
        <f t="shared" si="81"/>
        <v>0</v>
      </c>
      <c r="AA260" s="71" t="str">
        <f t="shared" si="89"/>
        <v/>
      </c>
      <c r="AB260">
        <f t="shared" si="90"/>
        <v>0</v>
      </c>
      <c r="AC260">
        <f t="shared" si="91"/>
        <v>0</v>
      </c>
      <c r="AD260">
        <f t="shared" si="92"/>
        <v>0</v>
      </c>
      <c r="AE260">
        <f t="shared" si="93"/>
        <v>0</v>
      </c>
      <c r="AF260" t="str">
        <f t="shared" si="94"/>
        <v/>
      </c>
    </row>
    <row r="261" spans="1:32" x14ac:dyDescent="0.4">
      <c r="A261" s="189"/>
      <c r="B261" s="189"/>
      <c r="C261" s="189"/>
      <c r="D261" s="189"/>
      <c r="E261" s="189"/>
      <c r="F261" s="189"/>
      <c r="G261" s="189"/>
      <c r="H261" s="189"/>
      <c r="J261" t="str">
        <f t="shared" si="82"/>
        <v/>
      </c>
      <c r="K261" t="str">
        <f t="shared" si="83"/>
        <v/>
      </c>
      <c r="L261" t="str">
        <f t="shared" si="84"/>
        <v/>
      </c>
      <c r="M261" t="str">
        <f t="shared" si="85"/>
        <v/>
      </c>
      <c r="N261" s="76" t="str">
        <f t="shared" si="86"/>
        <v/>
      </c>
      <c r="O261" s="20">
        <f t="shared" si="87"/>
        <v>0</v>
      </c>
      <c r="P261" s="76">
        <f t="shared" si="88"/>
        <v>0</v>
      </c>
      <c r="Q261" s="206">
        <f t="shared" si="78"/>
        <v>0</v>
      </c>
      <c r="R261" s="206">
        <f t="shared" si="79"/>
        <v>0</v>
      </c>
      <c r="S261" s="206">
        <f t="shared" si="80"/>
        <v>0</v>
      </c>
      <c r="T261" s="206">
        <f t="shared" si="81"/>
        <v>0</v>
      </c>
      <c r="AA261" s="71" t="str">
        <f t="shared" si="89"/>
        <v/>
      </c>
      <c r="AB261">
        <f t="shared" si="90"/>
        <v>0</v>
      </c>
      <c r="AC261">
        <f t="shared" si="91"/>
        <v>0</v>
      </c>
      <c r="AD261">
        <f t="shared" si="92"/>
        <v>0</v>
      </c>
      <c r="AE261">
        <f t="shared" si="93"/>
        <v>0</v>
      </c>
      <c r="AF261" t="str">
        <f t="shared" si="94"/>
        <v/>
      </c>
    </row>
    <row r="262" spans="1:32" x14ac:dyDescent="0.4">
      <c r="A262" s="189"/>
      <c r="B262" s="189"/>
      <c r="C262" s="189"/>
      <c r="D262" s="189"/>
      <c r="E262" s="189"/>
      <c r="F262" s="189"/>
      <c r="G262" s="189"/>
      <c r="H262" s="189"/>
      <c r="J262" t="str">
        <f t="shared" si="82"/>
        <v/>
      </c>
      <c r="K262" t="str">
        <f t="shared" si="83"/>
        <v/>
      </c>
      <c r="L262" t="str">
        <f t="shared" si="84"/>
        <v/>
      </c>
      <c r="M262" t="str">
        <f t="shared" si="85"/>
        <v/>
      </c>
      <c r="N262" s="76" t="str">
        <f t="shared" si="86"/>
        <v/>
      </c>
      <c r="O262" s="20">
        <f t="shared" si="87"/>
        <v>0</v>
      </c>
      <c r="P262" s="76">
        <f t="shared" si="88"/>
        <v>0</v>
      </c>
      <c r="Q262" s="206">
        <f t="shared" si="78"/>
        <v>0</v>
      </c>
      <c r="R262" s="206">
        <f t="shared" si="79"/>
        <v>0</v>
      </c>
      <c r="S262" s="206">
        <f t="shared" si="80"/>
        <v>0</v>
      </c>
      <c r="T262" s="206">
        <f t="shared" si="81"/>
        <v>0</v>
      </c>
      <c r="AA262" s="71" t="str">
        <f t="shared" si="89"/>
        <v/>
      </c>
      <c r="AB262">
        <f t="shared" si="90"/>
        <v>0</v>
      </c>
      <c r="AC262">
        <f t="shared" si="91"/>
        <v>0</v>
      </c>
      <c r="AD262">
        <f t="shared" si="92"/>
        <v>0</v>
      </c>
      <c r="AE262">
        <f t="shared" si="93"/>
        <v>0</v>
      </c>
      <c r="AF262" t="str">
        <f t="shared" si="94"/>
        <v/>
      </c>
    </row>
    <row r="263" spans="1:32" x14ac:dyDescent="0.4">
      <c r="A263" s="189"/>
      <c r="B263" s="189"/>
      <c r="C263" s="189"/>
      <c r="D263" s="189"/>
      <c r="E263" s="189"/>
      <c r="F263" s="189"/>
      <c r="G263" s="189"/>
      <c r="H263" s="189"/>
      <c r="J263" t="str">
        <f t="shared" si="82"/>
        <v/>
      </c>
      <c r="K263" t="str">
        <f t="shared" si="83"/>
        <v/>
      </c>
      <c r="L263" t="str">
        <f t="shared" si="84"/>
        <v/>
      </c>
      <c r="M263" t="str">
        <f t="shared" si="85"/>
        <v/>
      </c>
      <c r="N263" s="76" t="str">
        <f t="shared" si="86"/>
        <v/>
      </c>
      <c r="O263" s="20">
        <f t="shared" si="87"/>
        <v>0</v>
      </c>
      <c r="P263" s="76">
        <f t="shared" si="88"/>
        <v>0</v>
      </c>
      <c r="Q263" s="206">
        <f t="shared" si="78"/>
        <v>0</v>
      </c>
      <c r="R263" s="206">
        <f t="shared" si="79"/>
        <v>0</v>
      </c>
      <c r="S263" s="206">
        <f t="shared" si="80"/>
        <v>0</v>
      </c>
      <c r="T263" s="206">
        <f t="shared" si="81"/>
        <v>0</v>
      </c>
      <c r="AA263" s="71" t="str">
        <f t="shared" si="89"/>
        <v/>
      </c>
      <c r="AB263">
        <f t="shared" si="90"/>
        <v>0</v>
      </c>
      <c r="AC263">
        <f t="shared" si="91"/>
        <v>0</v>
      </c>
      <c r="AD263">
        <f t="shared" si="92"/>
        <v>0</v>
      </c>
      <c r="AE263">
        <f t="shared" si="93"/>
        <v>0</v>
      </c>
      <c r="AF263" t="str">
        <f t="shared" si="94"/>
        <v/>
      </c>
    </row>
    <row r="264" spans="1:32" x14ac:dyDescent="0.4">
      <c r="A264" s="189"/>
      <c r="B264" s="189"/>
      <c r="C264" s="189"/>
      <c r="D264" s="189"/>
      <c r="E264" s="189"/>
      <c r="F264" s="189"/>
      <c r="G264" s="189"/>
      <c r="H264" s="189"/>
      <c r="J264" t="str">
        <f t="shared" si="82"/>
        <v/>
      </c>
      <c r="K264" t="str">
        <f t="shared" si="83"/>
        <v/>
      </c>
      <c r="L264" t="str">
        <f t="shared" si="84"/>
        <v/>
      </c>
      <c r="M264" t="str">
        <f t="shared" si="85"/>
        <v/>
      </c>
      <c r="N264" s="76" t="str">
        <f t="shared" si="86"/>
        <v/>
      </c>
      <c r="O264" s="20">
        <f t="shared" si="87"/>
        <v>0</v>
      </c>
      <c r="P264" s="76">
        <f t="shared" si="88"/>
        <v>0</v>
      </c>
      <c r="Q264" s="206">
        <f t="shared" si="78"/>
        <v>0</v>
      </c>
      <c r="R264" s="206">
        <f t="shared" si="79"/>
        <v>0</v>
      </c>
      <c r="S264" s="206">
        <f t="shared" si="80"/>
        <v>0</v>
      </c>
      <c r="T264" s="206">
        <f t="shared" si="81"/>
        <v>0</v>
      </c>
      <c r="AA264" s="71" t="str">
        <f t="shared" si="89"/>
        <v/>
      </c>
      <c r="AB264">
        <f t="shared" si="90"/>
        <v>0</v>
      </c>
      <c r="AC264">
        <f t="shared" si="91"/>
        <v>0</v>
      </c>
      <c r="AD264">
        <f t="shared" si="92"/>
        <v>0</v>
      </c>
      <c r="AE264">
        <f t="shared" si="93"/>
        <v>0</v>
      </c>
      <c r="AF264" t="str">
        <f t="shared" si="94"/>
        <v/>
      </c>
    </row>
    <row r="265" spans="1:32" x14ac:dyDescent="0.4">
      <c r="A265" s="189"/>
      <c r="B265" s="189"/>
      <c r="C265" s="189"/>
      <c r="D265" s="189"/>
      <c r="E265" s="189"/>
      <c r="F265" s="189"/>
      <c r="G265" s="189"/>
      <c r="H265" s="189"/>
      <c r="J265" t="str">
        <f t="shared" si="82"/>
        <v/>
      </c>
      <c r="K265" t="str">
        <f t="shared" si="83"/>
        <v/>
      </c>
      <c r="L265" t="str">
        <f t="shared" si="84"/>
        <v/>
      </c>
      <c r="M265" t="str">
        <f t="shared" si="85"/>
        <v/>
      </c>
      <c r="N265" s="76" t="str">
        <f t="shared" si="86"/>
        <v/>
      </c>
      <c r="O265" s="20">
        <f t="shared" si="87"/>
        <v>0</v>
      </c>
      <c r="P265" s="76">
        <f t="shared" si="88"/>
        <v>0</v>
      </c>
      <c r="Q265" s="206">
        <f t="shared" si="78"/>
        <v>0</v>
      </c>
      <c r="R265" s="206">
        <f t="shared" si="79"/>
        <v>0</v>
      </c>
      <c r="S265" s="206">
        <f t="shared" si="80"/>
        <v>0</v>
      </c>
      <c r="T265" s="206">
        <f t="shared" si="81"/>
        <v>0</v>
      </c>
      <c r="AA265" s="71" t="str">
        <f t="shared" si="89"/>
        <v/>
      </c>
      <c r="AB265">
        <f t="shared" si="90"/>
        <v>0</v>
      </c>
      <c r="AC265">
        <f t="shared" si="91"/>
        <v>0</v>
      </c>
      <c r="AD265">
        <f t="shared" si="92"/>
        <v>0</v>
      </c>
      <c r="AE265">
        <f t="shared" si="93"/>
        <v>0</v>
      </c>
      <c r="AF265" t="str">
        <f t="shared" si="94"/>
        <v/>
      </c>
    </row>
    <row r="266" spans="1:32" x14ac:dyDescent="0.4">
      <c r="A266" s="189"/>
      <c r="B266" s="189"/>
      <c r="C266" s="189"/>
      <c r="D266" s="189"/>
      <c r="E266" s="189"/>
      <c r="F266" s="189"/>
      <c r="G266" s="189"/>
      <c r="H266" s="189"/>
      <c r="J266" t="str">
        <f t="shared" si="82"/>
        <v/>
      </c>
      <c r="K266" t="str">
        <f t="shared" si="83"/>
        <v/>
      </c>
      <c r="L266" t="str">
        <f t="shared" si="84"/>
        <v/>
      </c>
      <c r="M266" t="str">
        <f t="shared" si="85"/>
        <v/>
      </c>
      <c r="N266" s="76" t="str">
        <f t="shared" si="86"/>
        <v/>
      </c>
      <c r="O266" s="20">
        <f t="shared" si="87"/>
        <v>0</v>
      </c>
      <c r="P266" s="76">
        <f t="shared" si="88"/>
        <v>0</v>
      </c>
      <c r="Q266" s="206">
        <f t="shared" si="78"/>
        <v>0</v>
      </c>
      <c r="R266" s="206">
        <f t="shared" si="79"/>
        <v>0</v>
      </c>
      <c r="S266" s="206">
        <f t="shared" si="80"/>
        <v>0</v>
      </c>
      <c r="T266" s="206">
        <f t="shared" si="81"/>
        <v>0</v>
      </c>
      <c r="AA266" s="71" t="str">
        <f t="shared" si="89"/>
        <v/>
      </c>
      <c r="AB266">
        <f t="shared" si="90"/>
        <v>0</v>
      </c>
      <c r="AC266">
        <f t="shared" si="91"/>
        <v>0</v>
      </c>
      <c r="AD266">
        <f t="shared" si="92"/>
        <v>0</v>
      </c>
      <c r="AE266">
        <f t="shared" si="93"/>
        <v>0</v>
      </c>
      <c r="AF266" t="str">
        <f t="shared" si="94"/>
        <v/>
      </c>
    </row>
    <row r="267" spans="1:32" x14ac:dyDescent="0.4">
      <c r="A267" s="189"/>
      <c r="B267" s="189"/>
      <c r="C267" s="189"/>
      <c r="D267" s="189"/>
      <c r="E267" s="189"/>
      <c r="F267" s="189"/>
      <c r="G267" s="189"/>
      <c r="H267" s="189"/>
      <c r="J267" t="str">
        <f t="shared" si="82"/>
        <v/>
      </c>
      <c r="K267" t="str">
        <f t="shared" si="83"/>
        <v/>
      </c>
      <c r="L267" t="str">
        <f t="shared" si="84"/>
        <v/>
      </c>
      <c r="M267" t="str">
        <f t="shared" si="85"/>
        <v/>
      </c>
      <c r="N267" s="76" t="str">
        <f t="shared" si="86"/>
        <v/>
      </c>
      <c r="O267" s="20">
        <f t="shared" si="87"/>
        <v>0</v>
      </c>
      <c r="P267" s="76">
        <f t="shared" si="88"/>
        <v>0</v>
      </c>
      <c r="Q267" s="206">
        <f t="shared" si="78"/>
        <v>0</v>
      </c>
      <c r="R267" s="206">
        <f t="shared" si="79"/>
        <v>0</v>
      </c>
      <c r="S267" s="206">
        <f t="shared" si="80"/>
        <v>0</v>
      </c>
      <c r="T267" s="206">
        <f t="shared" si="81"/>
        <v>0</v>
      </c>
      <c r="AA267" s="71" t="str">
        <f t="shared" si="89"/>
        <v/>
      </c>
      <c r="AB267">
        <f t="shared" si="90"/>
        <v>0</v>
      </c>
      <c r="AC267">
        <f t="shared" si="91"/>
        <v>0</v>
      </c>
      <c r="AD267">
        <f t="shared" si="92"/>
        <v>0</v>
      </c>
      <c r="AE267">
        <f t="shared" si="93"/>
        <v>0</v>
      </c>
      <c r="AF267" t="str">
        <f t="shared" si="94"/>
        <v/>
      </c>
    </row>
    <row r="268" spans="1:32" x14ac:dyDescent="0.4">
      <c r="A268" s="189"/>
      <c r="B268" s="189"/>
      <c r="C268" s="189"/>
      <c r="D268" s="189"/>
      <c r="E268" s="189"/>
      <c r="F268" s="189"/>
      <c r="G268" s="189"/>
      <c r="H268" s="189"/>
      <c r="J268" t="str">
        <f t="shared" si="82"/>
        <v/>
      </c>
      <c r="K268" t="str">
        <f t="shared" si="83"/>
        <v/>
      </c>
      <c r="L268" t="str">
        <f t="shared" si="84"/>
        <v/>
      </c>
      <c r="M268" t="str">
        <f t="shared" si="85"/>
        <v/>
      </c>
      <c r="N268" s="76" t="str">
        <f t="shared" si="86"/>
        <v/>
      </c>
      <c r="O268" s="20">
        <f t="shared" si="87"/>
        <v>0</v>
      </c>
      <c r="P268" s="76">
        <f t="shared" si="88"/>
        <v>0</v>
      </c>
      <c r="Q268" s="206">
        <f t="shared" si="78"/>
        <v>0</v>
      </c>
      <c r="R268" s="206">
        <f t="shared" si="79"/>
        <v>0</v>
      </c>
      <c r="S268" s="206">
        <f t="shared" si="80"/>
        <v>0</v>
      </c>
      <c r="T268" s="206">
        <f t="shared" si="81"/>
        <v>0</v>
      </c>
      <c r="AA268" s="71" t="str">
        <f t="shared" si="89"/>
        <v/>
      </c>
      <c r="AB268">
        <f t="shared" si="90"/>
        <v>0</v>
      </c>
      <c r="AC268">
        <f t="shared" si="91"/>
        <v>0</v>
      </c>
      <c r="AD268">
        <f t="shared" si="92"/>
        <v>0</v>
      </c>
      <c r="AE268">
        <f t="shared" si="93"/>
        <v>0</v>
      </c>
      <c r="AF268" t="str">
        <f t="shared" si="94"/>
        <v/>
      </c>
    </row>
    <row r="269" spans="1:32" x14ac:dyDescent="0.4">
      <c r="A269" s="189"/>
      <c r="B269" s="189"/>
      <c r="C269" s="189"/>
      <c r="D269" s="189"/>
      <c r="E269" s="189"/>
      <c r="F269" s="189"/>
      <c r="G269" s="189"/>
      <c r="H269" s="189"/>
      <c r="J269" t="str">
        <f t="shared" si="82"/>
        <v/>
      </c>
      <c r="K269" t="str">
        <f t="shared" si="83"/>
        <v/>
      </c>
      <c r="L269" t="str">
        <f t="shared" si="84"/>
        <v/>
      </c>
      <c r="M269" t="str">
        <f t="shared" si="85"/>
        <v/>
      </c>
      <c r="N269" s="76" t="str">
        <f t="shared" si="86"/>
        <v/>
      </c>
      <c r="O269" s="20">
        <f t="shared" si="87"/>
        <v>0</v>
      </c>
      <c r="P269" s="76">
        <f t="shared" si="88"/>
        <v>0</v>
      </c>
      <c r="Q269" s="206">
        <f t="shared" si="78"/>
        <v>0</v>
      </c>
      <c r="R269" s="206">
        <f t="shared" si="79"/>
        <v>0</v>
      </c>
      <c r="S269" s="206">
        <f t="shared" si="80"/>
        <v>0</v>
      </c>
      <c r="T269" s="206">
        <f t="shared" si="81"/>
        <v>0</v>
      </c>
      <c r="AA269" s="71" t="str">
        <f t="shared" si="89"/>
        <v/>
      </c>
      <c r="AB269">
        <f t="shared" si="90"/>
        <v>0</v>
      </c>
      <c r="AC269">
        <f t="shared" si="91"/>
        <v>0</v>
      </c>
      <c r="AD269">
        <f t="shared" si="92"/>
        <v>0</v>
      </c>
      <c r="AE269">
        <f t="shared" si="93"/>
        <v>0</v>
      </c>
      <c r="AF269" t="str">
        <f t="shared" si="94"/>
        <v/>
      </c>
    </row>
    <row r="270" spans="1:32" x14ac:dyDescent="0.4">
      <c r="A270" s="189"/>
      <c r="B270" s="189"/>
      <c r="C270" s="189"/>
      <c r="D270" s="189"/>
      <c r="E270" s="189"/>
      <c r="F270" s="189"/>
      <c r="G270" s="189"/>
      <c r="H270" s="189"/>
      <c r="J270" t="str">
        <f t="shared" si="82"/>
        <v/>
      </c>
      <c r="K270" t="str">
        <f t="shared" si="83"/>
        <v/>
      </c>
      <c r="L270" t="str">
        <f t="shared" si="84"/>
        <v/>
      </c>
      <c r="M270" t="str">
        <f t="shared" si="85"/>
        <v/>
      </c>
      <c r="N270" s="76" t="str">
        <f t="shared" si="86"/>
        <v/>
      </c>
      <c r="O270" s="20">
        <f t="shared" si="87"/>
        <v>0</v>
      </c>
      <c r="P270" s="76">
        <f t="shared" si="88"/>
        <v>0</v>
      </c>
      <c r="Q270" s="206">
        <f t="shared" si="78"/>
        <v>0</v>
      </c>
      <c r="R270" s="206">
        <f t="shared" si="79"/>
        <v>0</v>
      </c>
      <c r="S270" s="206">
        <f t="shared" si="80"/>
        <v>0</v>
      </c>
      <c r="T270" s="206">
        <f t="shared" si="81"/>
        <v>0</v>
      </c>
      <c r="AA270" s="71" t="str">
        <f t="shared" si="89"/>
        <v/>
      </c>
      <c r="AB270">
        <f t="shared" si="90"/>
        <v>0</v>
      </c>
      <c r="AC270">
        <f t="shared" si="91"/>
        <v>0</v>
      </c>
      <c r="AD270">
        <f t="shared" si="92"/>
        <v>0</v>
      </c>
      <c r="AE270">
        <f t="shared" si="93"/>
        <v>0</v>
      </c>
      <c r="AF270" t="str">
        <f t="shared" si="94"/>
        <v/>
      </c>
    </row>
    <row r="271" spans="1:32" x14ac:dyDescent="0.4">
      <c r="A271" s="189"/>
      <c r="B271" s="189"/>
      <c r="C271" s="189"/>
      <c r="D271" s="189"/>
      <c r="E271" s="189"/>
      <c r="F271" s="189"/>
      <c r="G271" s="189"/>
      <c r="H271" s="189"/>
      <c r="J271" t="str">
        <f t="shared" si="82"/>
        <v/>
      </c>
      <c r="K271" t="str">
        <f t="shared" si="83"/>
        <v/>
      </c>
      <c r="L271" t="str">
        <f t="shared" si="84"/>
        <v/>
      </c>
      <c r="M271" t="str">
        <f t="shared" si="85"/>
        <v/>
      </c>
      <c r="N271" s="76" t="str">
        <f t="shared" si="86"/>
        <v/>
      </c>
      <c r="O271" s="20">
        <f t="shared" si="87"/>
        <v>0</v>
      </c>
      <c r="P271" s="76">
        <f t="shared" si="88"/>
        <v>0</v>
      </c>
      <c r="Q271" s="206">
        <f t="shared" si="78"/>
        <v>0</v>
      </c>
      <c r="R271" s="206">
        <f t="shared" si="79"/>
        <v>0</v>
      </c>
      <c r="S271" s="206">
        <f t="shared" si="80"/>
        <v>0</v>
      </c>
      <c r="T271" s="206">
        <f t="shared" si="81"/>
        <v>0</v>
      </c>
      <c r="AA271" s="71" t="str">
        <f t="shared" si="89"/>
        <v/>
      </c>
      <c r="AB271">
        <f t="shared" si="90"/>
        <v>0</v>
      </c>
      <c r="AC271">
        <f t="shared" si="91"/>
        <v>0</v>
      </c>
      <c r="AD271">
        <f t="shared" si="92"/>
        <v>0</v>
      </c>
      <c r="AE271">
        <f t="shared" si="93"/>
        <v>0</v>
      </c>
      <c r="AF271" t="str">
        <f t="shared" si="94"/>
        <v/>
      </c>
    </row>
    <row r="272" spans="1:32" x14ac:dyDescent="0.4">
      <c r="A272" s="189"/>
      <c r="B272" s="189"/>
      <c r="C272" s="189"/>
      <c r="D272" s="189"/>
      <c r="E272" s="189"/>
      <c r="F272" s="189"/>
      <c r="G272" s="189"/>
      <c r="H272" s="189"/>
      <c r="J272" t="str">
        <f t="shared" si="82"/>
        <v/>
      </c>
      <c r="K272" t="str">
        <f t="shared" si="83"/>
        <v/>
      </c>
      <c r="L272" t="str">
        <f t="shared" si="84"/>
        <v/>
      </c>
      <c r="M272" t="str">
        <f t="shared" si="85"/>
        <v/>
      </c>
      <c r="N272" s="76" t="str">
        <f t="shared" si="86"/>
        <v/>
      </c>
      <c r="O272" s="20">
        <f t="shared" si="87"/>
        <v>0</v>
      </c>
      <c r="P272" s="76">
        <f t="shared" si="88"/>
        <v>0</v>
      </c>
      <c r="Q272" s="206">
        <f t="shared" si="78"/>
        <v>0</v>
      </c>
      <c r="R272" s="206">
        <f t="shared" si="79"/>
        <v>0</v>
      </c>
      <c r="S272" s="206">
        <f t="shared" si="80"/>
        <v>0</v>
      </c>
      <c r="T272" s="206">
        <f t="shared" si="81"/>
        <v>0</v>
      </c>
      <c r="AA272" s="71" t="str">
        <f t="shared" si="89"/>
        <v/>
      </c>
      <c r="AB272">
        <f t="shared" si="90"/>
        <v>0</v>
      </c>
      <c r="AC272">
        <f t="shared" si="91"/>
        <v>0</v>
      </c>
      <c r="AD272">
        <f t="shared" si="92"/>
        <v>0</v>
      </c>
      <c r="AE272">
        <f t="shared" si="93"/>
        <v>0</v>
      </c>
      <c r="AF272" t="str">
        <f t="shared" si="94"/>
        <v/>
      </c>
    </row>
    <row r="273" spans="1:32" x14ac:dyDescent="0.4">
      <c r="A273" s="189"/>
      <c r="B273" s="189"/>
      <c r="C273" s="189"/>
      <c r="D273" s="189"/>
      <c r="E273" s="189"/>
      <c r="F273" s="189"/>
      <c r="G273" s="189"/>
      <c r="H273" s="189"/>
      <c r="J273" t="str">
        <f t="shared" si="82"/>
        <v/>
      </c>
      <c r="K273" t="str">
        <f t="shared" si="83"/>
        <v/>
      </c>
      <c r="L273" t="str">
        <f t="shared" si="84"/>
        <v/>
      </c>
      <c r="M273" t="str">
        <f t="shared" si="85"/>
        <v/>
      </c>
      <c r="N273" s="76" t="str">
        <f t="shared" si="86"/>
        <v/>
      </c>
      <c r="O273" s="20">
        <f t="shared" si="87"/>
        <v>0</v>
      </c>
      <c r="P273" s="76">
        <f t="shared" si="88"/>
        <v>0</v>
      </c>
      <c r="Q273" s="206">
        <f t="shared" si="78"/>
        <v>0</v>
      </c>
      <c r="R273" s="206">
        <f t="shared" si="79"/>
        <v>0</v>
      </c>
      <c r="S273" s="206">
        <f t="shared" si="80"/>
        <v>0</v>
      </c>
      <c r="T273" s="206">
        <f t="shared" si="81"/>
        <v>0</v>
      </c>
      <c r="AA273" s="71" t="str">
        <f t="shared" si="89"/>
        <v/>
      </c>
      <c r="AB273">
        <f t="shared" si="90"/>
        <v>0</v>
      </c>
      <c r="AC273">
        <f t="shared" si="91"/>
        <v>0</v>
      </c>
      <c r="AD273">
        <f t="shared" si="92"/>
        <v>0</v>
      </c>
      <c r="AE273">
        <f t="shared" si="93"/>
        <v>0</v>
      </c>
      <c r="AF273" t="str">
        <f t="shared" si="94"/>
        <v/>
      </c>
    </row>
    <row r="274" spans="1:32" x14ac:dyDescent="0.4">
      <c r="A274" s="189"/>
      <c r="B274" s="189"/>
      <c r="C274" s="189"/>
      <c r="D274" s="189"/>
      <c r="E274" s="189"/>
      <c r="F274" s="189"/>
      <c r="G274" s="189"/>
      <c r="H274" s="189"/>
      <c r="J274" t="str">
        <f t="shared" si="82"/>
        <v/>
      </c>
      <c r="K274" t="str">
        <f t="shared" si="83"/>
        <v/>
      </c>
      <c r="L274" t="str">
        <f t="shared" si="84"/>
        <v/>
      </c>
      <c r="M274" t="str">
        <f t="shared" si="85"/>
        <v/>
      </c>
      <c r="N274" s="76" t="str">
        <f t="shared" si="86"/>
        <v/>
      </c>
      <c r="O274" s="20">
        <f t="shared" si="87"/>
        <v>0</v>
      </c>
      <c r="P274" s="76">
        <f t="shared" si="88"/>
        <v>0</v>
      </c>
      <c r="Q274" s="206">
        <f t="shared" si="78"/>
        <v>0</v>
      </c>
      <c r="R274" s="206">
        <f t="shared" si="79"/>
        <v>0</v>
      </c>
      <c r="S274" s="206">
        <f t="shared" si="80"/>
        <v>0</v>
      </c>
      <c r="T274" s="206">
        <f t="shared" si="81"/>
        <v>0</v>
      </c>
      <c r="AA274" s="71" t="str">
        <f t="shared" si="89"/>
        <v/>
      </c>
      <c r="AB274">
        <f t="shared" si="90"/>
        <v>0</v>
      </c>
      <c r="AC274">
        <f t="shared" si="91"/>
        <v>0</v>
      </c>
      <c r="AD274">
        <f t="shared" si="92"/>
        <v>0</v>
      </c>
      <c r="AE274">
        <f t="shared" si="93"/>
        <v>0</v>
      </c>
      <c r="AF274" t="str">
        <f t="shared" si="94"/>
        <v/>
      </c>
    </row>
    <row r="275" spans="1:32" x14ac:dyDescent="0.4">
      <c r="A275" s="189"/>
      <c r="B275" s="189"/>
      <c r="C275" s="189"/>
      <c r="D275" s="189"/>
      <c r="E275" s="189"/>
      <c r="F275" s="189"/>
      <c r="G275" s="189"/>
      <c r="H275" s="189"/>
      <c r="J275" t="str">
        <f t="shared" si="82"/>
        <v/>
      </c>
      <c r="K275" t="str">
        <f t="shared" si="83"/>
        <v/>
      </c>
      <c r="L275" t="str">
        <f t="shared" si="84"/>
        <v/>
      </c>
      <c r="M275" t="str">
        <f t="shared" si="85"/>
        <v/>
      </c>
      <c r="N275" s="76" t="str">
        <f t="shared" si="86"/>
        <v/>
      </c>
      <c r="O275" s="20">
        <f t="shared" si="87"/>
        <v>0</v>
      </c>
      <c r="P275" s="76">
        <f t="shared" si="88"/>
        <v>0</v>
      </c>
      <c r="Q275" s="206">
        <f t="shared" si="78"/>
        <v>0</v>
      </c>
      <c r="R275" s="206">
        <f t="shared" si="79"/>
        <v>0</v>
      </c>
      <c r="S275" s="206">
        <f t="shared" si="80"/>
        <v>0</v>
      </c>
      <c r="T275" s="206">
        <f t="shared" si="81"/>
        <v>0</v>
      </c>
      <c r="AA275" s="71" t="str">
        <f t="shared" si="89"/>
        <v/>
      </c>
      <c r="AB275">
        <f t="shared" si="90"/>
        <v>0</v>
      </c>
      <c r="AC275">
        <f t="shared" si="91"/>
        <v>0</v>
      </c>
      <c r="AD275">
        <f t="shared" si="92"/>
        <v>0</v>
      </c>
      <c r="AE275">
        <f t="shared" si="93"/>
        <v>0</v>
      </c>
      <c r="AF275" t="str">
        <f t="shared" si="94"/>
        <v/>
      </c>
    </row>
    <row r="276" spans="1:32" x14ac:dyDescent="0.4">
      <c r="A276" s="189"/>
      <c r="B276" s="189"/>
      <c r="C276" s="189"/>
      <c r="D276" s="189"/>
      <c r="E276" s="189"/>
      <c r="F276" s="189"/>
      <c r="G276" s="189"/>
      <c r="H276" s="189"/>
      <c r="J276" t="str">
        <f t="shared" si="82"/>
        <v/>
      </c>
      <c r="K276" t="str">
        <f t="shared" si="83"/>
        <v/>
      </c>
      <c r="L276" t="str">
        <f t="shared" si="84"/>
        <v/>
      </c>
      <c r="M276" t="str">
        <f t="shared" si="85"/>
        <v/>
      </c>
      <c r="N276" s="76" t="str">
        <f t="shared" si="86"/>
        <v/>
      </c>
      <c r="O276" s="20">
        <f t="shared" si="87"/>
        <v>0</v>
      </c>
      <c r="P276" s="76">
        <f t="shared" si="88"/>
        <v>0</v>
      </c>
      <c r="Q276" s="206">
        <f t="shared" si="78"/>
        <v>0</v>
      </c>
      <c r="R276" s="206">
        <f t="shared" si="79"/>
        <v>0</v>
      </c>
      <c r="S276" s="206">
        <f t="shared" si="80"/>
        <v>0</v>
      </c>
      <c r="T276" s="206">
        <f t="shared" si="81"/>
        <v>0</v>
      </c>
      <c r="AA276" s="71" t="str">
        <f t="shared" si="89"/>
        <v/>
      </c>
      <c r="AB276">
        <f t="shared" si="90"/>
        <v>0</v>
      </c>
      <c r="AC276">
        <f t="shared" si="91"/>
        <v>0</v>
      </c>
      <c r="AD276">
        <f t="shared" si="92"/>
        <v>0</v>
      </c>
      <c r="AE276">
        <f t="shared" si="93"/>
        <v>0</v>
      </c>
      <c r="AF276" t="str">
        <f t="shared" si="94"/>
        <v/>
      </c>
    </row>
    <row r="277" spans="1:32" x14ac:dyDescent="0.4">
      <c r="A277" s="189"/>
      <c r="B277" s="189"/>
      <c r="C277" s="189"/>
      <c r="D277" s="189"/>
      <c r="E277" s="189"/>
      <c r="F277" s="189"/>
      <c r="G277" s="189"/>
      <c r="H277" s="189"/>
      <c r="J277" t="str">
        <f t="shared" si="82"/>
        <v/>
      </c>
      <c r="K277" t="str">
        <f t="shared" si="83"/>
        <v/>
      </c>
      <c r="L277" t="str">
        <f t="shared" si="84"/>
        <v/>
      </c>
      <c r="M277" t="str">
        <f t="shared" si="85"/>
        <v/>
      </c>
      <c r="N277" s="76" t="str">
        <f t="shared" si="86"/>
        <v/>
      </c>
      <c r="O277" s="20">
        <f t="shared" si="87"/>
        <v>0</v>
      </c>
      <c r="P277" s="76">
        <f t="shared" si="88"/>
        <v>0</v>
      </c>
      <c r="Q277" s="206">
        <f t="shared" si="78"/>
        <v>0</v>
      </c>
      <c r="R277" s="206">
        <f t="shared" si="79"/>
        <v>0</v>
      </c>
      <c r="S277" s="206">
        <f t="shared" si="80"/>
        <v>0</v>
      </c>
      <c r="T277" s="206">
        <f t="shared" si="81"/>
        <v>0</v>
      </c>
      <c r="AA277" s="71" t="str">
        <f t="shared" si="89"/>
        <v/>
      </c>
      <c r="AB277">
        <f t="shared" si="90"/>
        <v>0</v>
      </c>
      <c r="AC277">
        <f t="shared" si="91"/>
        <v>0</v>
      </c>
      <c r="AD277">
        <f t="shared" si="92"/>
        <v>0</v>
      </c>
      <c r="AE277">
        <f t="shared" si="93"/>
        <v>0</v>
      </c>
      <c r="AF277" t="str">
        <f t="shared" si="94"/>
        <v/>
      </c>
    </row>
    <row r="278" spans="1:32" x14ac:dyDescent="0.4">
      <c r="A278" s="189"/>
      <c r="B278" s="189"/>
      <c r="C278" s="189"/>
      <c r="D278" s="189"/>
      <c r="E278" s="189"/>
      <c r="F278" s="189"/>
      <c r="G278" s="189"/>
      <c r="H278" s="189"/>
      <c r="J278" t="str">
        <f t="shared" si="82"/>
        <v/>
      </c>
      <c r="K278" t="str">
        <f t="shared" si="83"/>
        <v/>
      </c>
      <c r="L278" t="str">
        <f t="shared" si="84"/>
        <v/>
      </c>
      <c r="M278" t="str">
        <f t="shared" si="85"/>
        <v/>
      </c>
      <c r="N278" s="76" t="str">
        <f t="shared" si="86"/>
        <v/>
      </c>
      <c r="O278" s="20">
        <f t="shared" si="87"/>
        <v>0</v>
      </c>
      <c r="P278" s="76">
        <f t="shared" si="88"/>
        <v>0</v>
      </c>
      <c r="Q278" s="206">
        <f t="shared" si="78"/>
        <v>0</v>
      </c>
      <c r="R278" s="206">
        <f t="shared" si="79"/>
        <v>0</v>
      </c>
      <c r="S278" s="206">
        <f t="shared" si="80"/>
        <v>0</v>
      </c>
      <c r="T278" s="206">
        <f t="shared" si="81"/>
        <v>0</v>
      </c>
      <c r="AA278" s="71" t="str">
        <f t="shared" si="89"/>
        <v/>
      </c>
      <c r="AB278">
        <f t="shared" si="90"/>
        <v>0</v>
      </c>
      <c r="AC278">
        <f t="shared" si="91"/>
        <v>0</v>
      </c>
      <c r="AD278">
        <f t="shared" si="92"/>
        <v>0</v>
      </c>
      <c r="AE278">
        <f t="shared" si="93"/>
        <v>0</v>
      </c>
      <c r="AF278" t="str">
        <f t="shared" si="94"/>
        <v/>
      </c>
    </row>
    <row r="279" spans="1:32" x14ac:dyDescent="0.4">
      <c r="A279" s="189"/>
      <c r="B279" s="189"/>
      <c r="C279" s="189"/>
      <c r="D279" s="189"/>
      <c r="E279" s="189"/>
      <c r="F279" s="189"/>
      <c r="G279" s="189"/>
      <c r="H279" s="189"/>
      <c r="J279" t="str">
        <f t="shared" si="82"/>
        <v/>
      </c>
      <c r="K279" t="str">
        <f t="shared" si="83"/>
        <v/>
      </c>
      <c r="L279" t="str">
        <f t="shared" si="84"/>
        <v/>
      </c>
      <c r="M279" t="str">
        <f t="shared" si="85"/>
        <v/>
      </c>
      <c r="N279" s="76" t="str">
        <f t="shared" si="86"/>
        <v/>
      </c>
      <c r="O279" s="20">
        <f t="shared" si="87"/>
        <v>0</v>
      </c>
      <c r="P279" s="76">
        <f t="shared" si="88"/>
        <v>0</v>
      </c>
      <c r="Q279" s="206">
        <f t="shared" si="78"/>
        <v>0</v>
      </c>
      <c r="R279" s="206">
        <f t="shared" si="79"/>
        <v>0</v>
      </c>
      <c r="S279" s="206">
        <f t="shared" si="80"/>
        <v>0</v>
      </c>
      <c r="T279" s="206">
        <f t="shared" si="81"/>
        <v>0</v>
      </c>
      <c r="AA279" s="71" t="str">
        <f t="shared" si="89"/>
        <v/>
      </c>
      <c r="AB279">
        <f t="shared" si="90"/>
        <v>0</v>
      </c>
      <c r="AC279">
        <f t="shared" si="91"/>
        <v>0</v>
      </c>
      <c r="AD279">
        <f t="shared" si="92"/>
        <v>0</v>
      </c>
      <c r="AE279">
        <f t="shared" si="93"/>
        <v>0</v>
      </c>
      <c r="AF279" t="str">
        <f t="shared" si="94"/>
        <v/>
      </c>
    </row>
    <row r="280" spans="1:32" x14ac:dyDescent="0.4">
      <c r="A280" s="189"/>
      <c r="B280" s="189"/>
      <c r="C280" s="189"/>
      <c r="D280" s="189"/>
      <c r="E280" s="189"/>
      <c r="F280" s="189"/>
      <c r="G280" s="189"/>
      <c r="H280" s="189"/>
      <c r="J280" t="str">
        <f t="shared" si="82"/>
        <v/>
      </c>
      <c r="K280" t="str">
        <f t="shared" si="83"/>
        <v/>
      </c>
      <c r="L280" t="str">
        <f t="shared" si="84"/>
        <v/>
      </c>
      <c r="M280" t="str">
        <f t="shared" si="85"/>
        <v/>
      </c>
      <c r="N280" s="76" t="str">
        <f t="shared" si="86"/>
        <v/>
      </c>
      <c r="O280" s="20">
        <f t="shared" si="87"/>
        <v>0</v>
      </c>
      <c r="P280" s="76">
        <f t="shared" si="88"/>
        <v>0</v>
      </c>
      <c r="Q280" s="206">
        <f t="shared" si="78"/>
        <v>0</v>
      </c>
      <c r="R280" s="206">
        <f t="shared" si="79"/>
        <v>0</v>
      </c>
      <c r="S280" s="206">
        <f t="shared" si="80"/>
        <v>0</v>
      </c>
      <c r="T280" s="206">
        <f t="shared" si="81"/>
        <v>0</v>
      </c>
      <c r="AA280" s="71" t="str">
        <f t="shared" si="89"/>
        <v/>
      </c>
      <c r="AB280">
        <f t="shared" si="90"/>
        <v>0</v>
      </c>
      <c r="AC280">
        <f t="shared" si="91"/>
        <v>0</v>
      </c>
      <c r="AD280">
        <f t="shared" si="92"/>
        <v>0</v>
      </c>
      <c r="AE280">
        <f t="shared" si="93"/>
        <v>0</v>
      </c>
      <c r="AF280" t="str">
        <f t="shared" si="94"/>
        <v/>
      </c>
    </row>
    <row r="281" spans="1:32" x14ac:dyDescent="0.4">
      <c r="A281" s="189"/>
      <c r="B281" s="189"/>
      <c r="C281" s="189"/>
      <c r="D281" s="189"/>
      <c r="E281" s="189"/>
      <c r="F281" s="189"/>
      <c r="G281" s="189"/>
      <c r="H281" s="189"/>
      <c r="J281" t="str">
        <f t="shared" si="82"/>
        <v/>
      </c>
      <c r="K281" t="str">
        <f t="shared" si="83"/>
        <v/>
      </c>
      <c r="L281" t="str">
        <f t="shared" si="84"/>
        <v/>
      </c>
      <c r="M281" t="str">
        <f t="shared" si="85"/>
        <v/>
      </c>
      <c r="N281" s="76" t="str">
        <f t="shared" si="86"/>
        <v/>
      </c>
      <c r="O281" s="20">
        <f t="shared" si="87"/>
        <v>0</v>
      </c>
      <c r="P281" s="76">
        <f t="shared" si="88"/>
        <v>0</v>
      </c>
      <c r="Q281" s="206">
        <f t="shared" si="78"/>
        <v>0</v>
      </c>
      <c r="R281" s="206">
        <f t="shared" si="79"/>
        <v>0</v>
      </c>
      <c r="S281" s="206">
        <f t="shared" si="80"/>
        <v>0</v>
      </c>
      <c r="T281" s="206">
        <f t="shared" si="81"/>
        <v>0</v>
      </c>
      <c r="AA281" s="71" t="str">
        <f t="shared" si="89"/>
        <v/>
      </c>
      <c r="AB281">
        <f t="shared" si="90"/>
        <v>0</v>
      </c>
      <c r="AC281">
        <f t="shared" si="91"/>
        <v>0</v>
      </c>
      <c r="AD281">
        <f t="shared" si="92"/>
        <v>0</v>
      </c>
      <c r="AE281">
        <f t="shared" si="93"/>
        <v>0</v>
      </c>
      <c r="AF281" t="str">
        <f t="shared" si="94"/>
        <v/>
      </c>
    </row>
    <row r="282" spans="1:32" x14ac:dyDescent="0.4">
      <c r="A282" s="189"/>
      <c r="B282" s="189"/>
      <c r="C282" s="189"/>
      <c r="D282" s="189"/>
      <c r="E282" s="189"/>
      <c r="F282" s="189"/>
      <c r="G282" s="189"/>
      <c r="H282" s="189"/>
      <c r="J282" t="str">
        <f t="shared" si="82"/>
        <v/>
      </c>
      <c r="K282" t="str">
        <f t="shared" si="83"/>
        <v/>
      </c>
      <c r="L282" t="str">
        <f t="shared" si="84"/>
        <v/>
      </c>
      <c r="M282" t="str">
        <f t="shared" si="85"/>
        <v/>
      </c>
      <c r="N282" s="76" t="str">
        <f t="shared" si="86"/>
        <v/>
      </c>
      <c r="O282" s="20">
        <f t="shared" si="87"/>
        <v>0</v>
      </c>
      <c r="P282" s="76">
        <f t="shared" si="88"/>
        <v>0</v>
      </c>
      <c r="Q282" s="206">
        <f t="shared" si="78"/>
        <v>0</v>
      </c>
      <c r="R282" s="206">
        <f t="shared" si="79"/>
        <v>0</v>
      </c>
      <c r="S282" s="206">
        <f t="shared" si="80"/>
        <v>0</v>
      </c>
      <c r="T282" s="206">
        <f t="shared" si="81"/>
        <v>0</v>
      </c>
      <c r="AA282" s="71" t="str">
        <f t="shared" si="89"/>
        <v/>
      </c>
      <c r="AB282">
        <f t="shared" si="90"/>
        <v>0</v>
      </c>
      <c r="AC282">
        <f t="shared" si="91"/>
        <v>0</v>
      </c>
      <c r="AD282">
        <f t="shared" si="92"/>
        <v>0</v>
      </c>
      <c r="AE282">
        <f t="shared" si="93"/>
        <v>0</v>
      </c>
      <c r="AF282" t="str">
        <f t="shared" si="94"/>
        <v/>
      </c>
    </row>
    <row r="283" spans="1:32" x14ac:dyDescent="0.4">
      <c r="A283" s="189"/>
      <c r="B283" s="189"/>
      <c r="C283" s="189"/>
      <c r="D283" s="189"/>
      <c r="E283" s="189"/>
      <c r="F283" s="189"/>
      <c r="G283" s="189"/>
      <c r="H283" s="189"/>
      <c r="J283" t="str">
        <f t="shared" si="82"/>
        <v/>
      </c>
      <c r="K283" t="str">
        <f t="shared" si="83"/>
        <v/>
      </c>
      <c r="L283" t="str">
        <f t="shared" si="84"/>
        <v/>
      </c>
      <c r="M283" t="str">
        <f t="shared" si="85"/>
        <v/>
      </c>
      <c r="N283" s="76" t="str">
        <f t="shared" si="86"/>
        <v/>
      </c>
      <c r="O283" s="20">
        <f t="shared" si="87"/>
        <v>0</v>
      </c>
      <c r="P283" s="76">
        <f t="shared" si="88"/>
        <v>0</v>
      </c>
      <c r="Q283" s="206">
        <f t="shared" si="78"/>
        <v>0</v>
      </c>
      <c r="R283" s="206">
        <f t="shared" si="79"/>
        <v>0</v>
      </c>
      <c r="S283" s="206">
        <f t="shared" si="80"/>
        <v>0</v>
      </c>
      <c r="T283" s="206">
        <f t="shared" si="81"/>
        <v>0</v>
      </c>
      <c r="AA283" s="71" t="str">
        <f t="shared" si="89"/>
        <v/>
      </c>
      <c r="AB283">
        <f t="shared" si="90"/>
        <v>0</v>
      </c>
      <c r="AC283">
        <f t="shared" si="91"/>
        <v>0</v>
      </c>
      <c r="AD283">
        <f t="shared" si="92"/>
        <v>0</v>
      </c>
      <c r="AE283">
        <f t="shared" si="93"/>
        <v>0</v>
      </c>
      <c r="AF283" t="str">
        <f t="shared" si="94"/>
        <v/>
      </c>
    </row>
    <row r="284" spans="1:32" x14ac:dyDescent="0.4">
      <c r="A284" s="189"/>
      <c r="B284" s="189"/>
      <c r="C284" s="189"/>
      <c r="D284" s="189"/>
      <c r="E284" s="189"/>
      <c r="F284" s="189"/>
      <c r="G284" s="189"/>
      <c r="H284" s="189"/>
      <c r="J284" t="str">
        <f t="shared" si="82"/>
        <v/>
      </c>
      <c r="K284" t="str">
        <f t="shared" si="83"/>
        <v/>
      </c>
      <c r="L284" t="str">
        <f t="shared" si="84"/>
        <v/>
      </c>
      <c r="M284" t="str">
        <f t="shared" si="85"/>
        <v/>
      </c>
      <c r="N284" s="76" t="str">
        <f t="shared" si="86"/>
        <v/>
      </c>
      <c r="O284" s="20">
        <f t="shared" si="87"/>
        <v>0</v>
      </c>
      <c r="P284" s="76">
        <f t="shared" si="88"/>
        <v>0</v>
      </c>
      <c r="Q284" s="206">
        <f t="shared" si="78"/>
        <v>0</v>
      </c>
      <c r="R284" s="206">
        <f t="shared" si="79"/>
        <v>0</v>
      </c>
      <c r="S284" s="206">
        <f t="shared" si="80"/>
        <v>0</v>
      </c>
      <c r="T284" s="206">
        <f t="shared" si="81"/>
        <v>0</v>
      </c>
      <c r="AA284" s="71" t="str">
        <f t="shared" si="89"/>
        <v/>
      </c>
      <c r="AB284">
        <f t="shared" si="90"/>
        <v>0</v>
      </c>
      <c r="AC284">
        <f t="shared" si="91"/>
        <v>0</v>
      </c>
      <c r="AD284">
        <f t="shared" si="92"/>
        <v>0</v>
      </c>
      <c r="AE284">
        <f t="shared" si="93"/>
        <v>0</v>
      </c>
      <c r="AF284" t="str">
        <f t="shared" si="94"/>
        <v/>
      </c>
    </row>
    <row r="285" spans="1:32" x14ac:dyDescent="0.4">
      <c r="A285" s="189"/>
      <c r="B285" s="189"/>
      <c r="C285" s="189"/>
      <c r="D285" s="189"/>
      <c r="E285" s="189"/>
      <c r="F285" s="189"/>
      <c r="G285" s="189"/>
      <c r="H285" s="189"/>
      <c r="J285" t="str">
        <f t="shared" si="82"/>
        <v/>
      </c>
      <c r="K285" t="str">
        <f t="shared" si="83"/>
        <v/>
      </c>
      <c r="L285" t="str">
        <f t="shared" si="84"/>
        <v/>
      </c>
      <c r="M285" t="str">
        <f t="shared" si="85"/>
        <v/>
      </c>
      <c r="N285" s="76" t="str">
        <f t="shared" si="86"/>
        <v/>
      </c>
      <c r="O285" s="20">
        <f t="shared" si="87"/>
        <v>0</v>
      </c>
      <c r="P285" s="76">
        <f t="shared" si="88"/>
        <v>0</v>
      </c>
      <c r="Q285" s="206">
        <f t="shared" si="78"/>
        <v>0</v>
      </c>
      <c r="R285" s="206">
        <f t="shared" si="79"/>
        <v>0</v>
      </c>
      <c r="S285" s="206">
        <f t="shared" si="80"/>
        <v>0</v>
      </c>
      <c r="T285" s="206">
        <f t="shared" si="81"/>
        <v>0</v>
      </c>
      <c r="AA285" s="71" t="str">
        <f t="shared" si="89"/>
        <v/>
      </c>
      <c r="AB285">
        <f t="shared" si="90"/>
        <v>0</v>
      </c>
      <c r="AC285">
        <f t="shared" si="91"/>
        <v>0</v>
      </c>
      <c r="AD285">
        <f t="shared" si="92"/>
        <v>0</v>
      </c>
      <c r="AE285">
        <f t="shared" si="93"/>
        <v>0</v>
      </c>
      <c r="AF285" t="str">
        <f t="shared" si="94"/>
        <v/>
      </c>
    </row>
    <row r="286" spans="1:32" x14ac:dyDescent="0.4">
      <c r="A286" s="189"/>
      <c r="B286" s="189"/>
      <c r="C286" s="189"/>
      <c r="D286" s="189"/>
      <c r="E286" s="189"/>
      <c r="F286" s="189"/>
      <c r="G286" s="189"/>
      <c r="H286" s="189"/>
      <c r="J286" t="str">
        <f t="shared" si="82"/>
        <v/>
      </c>
      <c r="K286" t="str">
        <f t="shared" si="83"/>
        <v/>
      </c>
      <c r="L286" t="str">
        <f t="shared" si="84"/>
        <v/>
      </c>
      <c r="M286" t="str">
        <f t="shared" si="85"/>
        <v/>
      </c>
      <c r="N286" s="76" t="str">
        <f t="shared" si="86"/>
        <v/>
      </c>
      <c r="O286" s="20">
        <f t="shared" si="87"/>
        <v>0</v>
      </c>
      <c r="P286" s="76">
        <f t="shared" si="88"/>
        <v>0</v>
      </c>
      <c r="Q286" s="206">
        <f t="shared" si="78"/>
        <v>0</v>
      </c>
      <c r="R286" s="206">
        <f t="shared" si="79"/>
        <v>0</v>
      </c>
      <c r="S286" s="206">
        <f t="shared" si="80"/>
        <v>0</v>
      </c>
      <c r="T286" s="206">
        <f t="shared" si="81"/>
        <v>0</v>
      </c>
      <c r="AA286" s="71" t="str">
        <f t="shared" si="89"/>
        <v/>
      </c>
      <c r="AB286">
        <f t="shared" si="90"/>
        <v>0</v>
      </c>
      <c r="AC286">
        <f t="shared" si="91"/>
        <v>0</v>
      </c>
      <c r="AD286">
        <f t="shared" si="92"/>
        <v>0</v>
      </c>
      <c r="AE286">
        <f t="shared" si="93"/>
        <v>0</v>
      </c>
      <c r="AF286" t="str">
        <f t="shared" si="94"/>
        <v/>
      </c>
    </row>
    <row r="287" spans="1:32" x14ac:dyDescent="0.4">
      <c r="A287" s="189"/>
      <c r="B287" s="189"/>
      <c r="C287" s="189"/>
      <c r="D287" s="189"/>
      <c r="E287" s="189"/>
      <c r="F287" s="189"/>
      <c r="G287" s="189"/>
      <c r="H287" s="189"/>
      <c r="J287" t="str">
        <f t="shared" si="82"/>
        <v/>
      </c>
      <c r="K287" t="str">
        <f t="shared" si="83"/>
        <v/>
      </c>
      <c r="L287" t="str">
        <f t="shared" si="84"/>
        <v/>
      </c>
      <c r="M287" t="str">
        <f t="shared" si="85"/>
        <v/>
      </c>
      <c r="N287" s="76" t="str">
        <f t="shared" si="86"/>
        <v/>
      </c>
      <c r="O287" s="20">
        <f t="shared" si="87"/>
        <v>0</v>
      </c>
      <c r="P287" s="76">
        <f t="shared" si="88"/>
        <v>0</v>
      </c>
      <c r="Q287" s="206">
        <f t="shared" si="78"/>
        <v>0</v>
      </c>
      <c r="R287" s="206">
        <f t="shared" si="79"/>
        <v>0</v>
      </c>
      <c r="S287" s="206">
        <f t="shared" si="80"/>
        <v>0</v>
      </c>
      <c r="T287" s="206">
        <f t="shared" si="81"/>
        <v>0</v>
      </c>
      <c r="AA287" s="71" t="str">
        <f t="shared" si="89"/>
        <v/>
      </c>
      <c r="AB287">
        <f t="shared" si="90"/>
        <v>0</v>
      </c>
      <c r="AC287">
        <f t="shared" si="91"/>
        <v>0</v>
      </c>
      <c r="AD287">
        <f t="shared" si="92"/>
        <v>0</v>
      </c>
      <c r="AE287">
        <f t="shared" si="93"/>
        <v>0</v>
      </c>
      <c r="AF287" t="str">
        <f t="shared" si="94"/>
        <v/>
      </c>
    </row>
    <row r="288" spans="1:32" x14ac:dyDescent="0.4">
      <c r="A288" s="189"/>
      <c r="B288" s="189"/>
      <c r="C288" s="189"/>
      <c r="D288" s="189"/>
      <c r="E288" s="189"/>
      <c r="F288" s="189"/>
      <c r="G288" s="189"/>
      <c r="H288" s="189"/>
      <c r="J288" t="str">
        <f t="shared" si="82"/>
        <v/>
      </c>
      <c r="K288" t="str">
        <f t="shared" si="83"/>
        <v/>
      </c>
      <c r="L288" t="str">
        <f t="shared" si="84"/>
        <v/>
      </c>
      <c r="M288" t="str">
        <f t="shared" si="85"/>
        <v/>
      </c>
      <c r="N288" s="76" t="str">
        <f t="shared" si="86"/>
        <v/>
      </c>
      <c r="O288" s="20">
        <f t="shared" si="87"/>
        <v>0</v>
      </c>
      <c r="P288" s="76">
        <f t="shared" si="88"/>
        <v>0</v>
      </c>
      <c r="Q288" s="206">
        <f t="shared" si="78"/>
        <v>0</v>
      </c>
      <c r="R288" s="206">
        <f t="shared" si="79"/>
        <v>0</v>
      </c>
      <c r="S288" s="206">
        <f t="shared" si="80"/>
        <v>0</v>
      </c>
      <c r="T288" s="206">
        <f t="shared" si="81"/>
        <v>0</v>
      </c>
      <c r="AA288" s="71" t="str">
        <f t="shared" si="89"/>
        <v/>
      </c>
      <c r="AB288">
        <f t="shared" si="90"/>
        <v>0</v>
      </c>
      <c r="AC288">
        <f t="shared" si="91"/>
        <v>0</v>
      </c>
      <c r="AD288">
        <f t="shared" si="92"/>
        <v>0</v>
      </c>
      <c r="AE288">
        <f t="shared" si="93"/>
        <v>0</v>
      </c>
      <c r="AF288" t="str">
        <f t="shared" si="94"/>
        <v/>
      </c>
    </row>
    <row r="289" spans="1:32" x14ac:dyDescent="0.4">
      <c r="A289" s="189"/>
      <c r="B289" s="189"/>
      <c r="C289" s="189"/>
      <c r="D289" s="189"/>
      <c r="E289" s="189"/>
      <c r="F289" s="189"/>
      <c r="G289" s="189"/>
      <c r="H289" s="189"/>
      <c r="J289" t="str">
        <f t="shared" si="82"/>
        <v/>
      </c>
      <c r="K289" t="str">
        <f t="shared" si="83"/>
        <v/>
      </c>
      <c r="L289" t="str">
        <f t="shared" si="84"/>
        <v/>
      </c>
      <c r="M289" t="str">
        <f t="shared" si="85"/>
        <v/>
      </c>
      <c r="N289" s="76" t="str">
        <f t="shared" si="86"/>
        <v/>
      </c>
      <c r="O289" s="20">
        <f t="shared" si="87"/>
        <v>0</v>
      </c>
      <c r="P289" s="76">
        <f t="shared" si="88"/>
        <v>0</v>
      </c>
      <c r="Q289" s="206">
        <f t="shared" si="78"/>
        <v>0</v>
      </c>
      <c r="R289" s="206">
        <f t="shared" si="79"/>
        <v>0</v>
      </c>
      <c r="S289" s="206">
        <f t="shared" si="80"/>
        <v>0</v>
      </c>
      <c r="T289" s="206">
        <f t="shared" si="81"/>
        <v>0</v>
      </c>
      <c r="AA289" s="71" t="str">
        <f t="shared" si="89"/>
        <v/>
      </c>
      <c r="AB289">
        <f t="shared" si="90"/>
        <v>0</v>
      </c>
      <c r="AC289">
        <f t="shared" si="91"/>
        <v>0</v>
      </c>
      <c r="AD289">
        <f t="shared" si="92"/>
        <v>0</v>
      </c>
      <c r="AE289">
        <f t="shared" si="93"/>
        <v>0</v>
      </c>
      <c r="AF289" t="str">
        <f t="shared" si="94"/>
        <v/>
      </c>
    </row>
    <row r="290" spans="1:32" x14ac:dyDescent="0.4">
      <c r="A290" s="189"/>
      <c r="B290" s="189"/>
      <c r="C290" s="189"/>
      <c r="D290" s="189"/>
      <c r="E290" s="189"/>
      <c r="F290" s="189"/>
      <c r="G290" s="189"/>
      <c r="H290" s="189"/>
      <c r="J290" t="str">
        <f t="shared" si="82"/>
        <v/>
      </c>
      <c r="K290" t="str">
        <f t="shared" si="83"/>
        <v/>
      </c>
      <c r="L290" t="str">
        <f t="shared" si="84"/>
        <v/>
      </c>
      <c r="M290" t="str">
        <f t="shared" si="85"/>
        <v/>
      </c>
      <c r="N290" s="76" t="str">
        <f t="shared" si="86"/>
        <v/>
      </c>
      <c r="O290" s="20">
        <f t="shared" si="87"/>
        <v>0</v>
      </c>
      <c r="P290" s="76">
        <f t="shared" si="88"/>
        <v>0</v>
      </c>
      <c r="Q290" s="206">
        <f t="shared" si="78"/>
        <v>0</v>
      </c>
      <c r="R290" s="206">
        <f t="shared" si="79"/>
        <v>0</v>
      </c>
      <c r="S290" s="206">
        <f t="shared" si="80"/>
        <v>0</v>
      </c>
      <c r="T290" s="206">
        <f t="shared" si="81"/>
        <v>0</v>
      </c>
      <c r="AA290" s="71" t="str">
        <f t="shared" si="89"/>
        <v/>
      </c>
      <c r="AB290">
        <f t="shared" si="90"/>
        <v>0</v>
      </c>
      <c r="AC290">
        <f t="shared" si="91"/>
        <v>0</v>
      </c>
      <c r="AD290">
        <f t="shared" si="92"/>
        <v>0</v>
      </c>
      <c r="AE290">
        <f t="shared" si="93"/>
        <v>0</v>
      </c>
      <c r="AF290" t="str">
        <f t="shared" si="94"/>
        <v/>
      </c>
    </row>
    <row r="291" spans="1:32" x14ac:dyDescent="0.4">
      <c r="A291" s="189"/>
      <c r="B291" s="189"/>
      <c r="C291" s="189"/>
      <c r="D291" s="189"/>
      <c r="E291" s="189"/>
      <c r="F291" s="189"/>
      <c r="G291" s="189"/>
      <c r="H291" s="189"/>
      <c r="J291" t="str">
        <f t="shared" si="82"/>
        <v/>
      </c>
      <c r="K291" t="str">
        <f t="shared" si="83"/>
        <v/>
      </c>
      <c r="L291" t="str">
        <f t="shared" si="84"/>
        <v/>
      </c>
      <c r="M291" t="str">
        <f t="shared" si="85"/>
        <v/>
      </c>
      <c r="N291" s="76" t="str">
        <f t="shared" si="86"/>
        <v/>
      </c>
      <c r="O291" s="20">
        <f t="shared" si="87"/>
        <v>0</v>
      </c>
      <c r="P291" s="76">
        <f t="shared" si="88"/>
        <v>0</v>
      </c>
      <c r="Q291" s="206">
        <f t="shared" si="78"/>
        <v>0</v>
      </c>
      <c r="R291" s="206">
        <f t="shared" si="79"/>
        <v>0</v>
      </c>
      <c r="S291" s="206">
        <f t="shared" si="80"/>
        <v>0</v>
      </c>
      <c r="T291" s="206">
        <f t="shared" si="81"/>
        <v>0</v>
      </c>
      <c r="AA291" s="71" t="str">
        <f t="shared" si="89"/>
        <v/>
      </c>
      <c r="AB291">
        <f t="shared" si="90"/>
        <v>0</v>
      </c>
      <c r="AC291">
        <f t="shared" si="91"/>
        <v>0</v>
      </c>
      <c r="AD291">
        <f t="shared" si="92"/>
        <v>0</v>
      </c>
      <c r="AE291">
        <f t="shared" si="93"/>
        <v>0</v>
      </c>
      <c r="AF291" t="str">
        <f t="shared" si="94"/>
        <v/>
      </c>
    </row>
    <row r="292" spans="1:32" x14ac:dyDescent="0.4">
      <c r="A292" s="189"/>
      <c r="B292" s="189"/>
      <c r="C292" s="189"/>
      <c r="D292" s="189"/>
      <c r="E292" s="189"/>
      <c r="F292" s="189"/>
      <c r="G292" s="189"/>
      <c r="H292" s="189"/>
      <c r="J292" t="str">
        <f t="shared" si="82"/>
        <v/>
      </c>
      <c r="K292" t="str">
        <f t="shared" si="83"/>
        <v/>
      </c>
      <c r="L292" t="str">
        <f t="shared" si="84"/>
        <v/>
      </c>
      <c r="M292" t="str">
        <f t="shared" si="85"/>
        <v/>
      </c>
      <c r="N292" s="76" t="str">
        <f t="shared" si="86"/>
        <v/>
      </c>
      <c r="O292" s="20">
        <f t="shared" si="87"/>
        <v>0</v>
      </c>
      <c r="P292" s="76">
        <f t="shared" si="88"/>
        <v>0</v>
      </c>
      <c r="Q292" s="206">
        <f t="shared" si="78"/>
        <v>0</v>
      </c>
      <c r="R292" s="206">
        <f t="shared" si="79"/>
        <v>0</v>
      </c>
      <c r="S292" s="206">
        <f t="shared" si="80"/>
        <v>0</v>
      </c>
      <c r="T292" s="206">
        <f t="shared" si="81"/>
        <v>0</v>
      </c>
      <c r="AA292" s="71" t="str">
        <f t="shared" si="89"/>
        <v/>
      </c>
      <c r="AB292">
        <f t="shared" si="90"/>
        <v>0</v>
      </c>
      <c r="AC292">
        <f t="shared" si="91"/>
        <v>0</v>
      </c>
      <c r="AD292">
        <f t="shared" si="92"/>
        <v>0</v>
      </c>
      <c r="AE292">
        <f t="shared" si="93"/>
        <v>0</v>
      </c>
      <c r="AF292" t="str">
        <f t="shared" si="94"/>
        <v/>
      </c>
    </row>
    <row r="293" spans="1:32" x14ac:dyDescent="0.4">
      <c r="A293" s="189"/>
      <c r="B293" s="189"/>
      <c r="C293" s="189"/>
      <c r="D293" s="189"/>
      <c r="E293" s="189"/>
      <c r="F293" s="189"/>
      <c r="G293" s="189"/>
      <c r="H293" s="189"/>
      <c r="J293" t="str">
        <f t="shared" si="82"/>
        <v/>
      </c>
      <c r="K293" t="str">
        <f t="shared" si="83"/>
        <v/>
      </c>
      <c r="L293" t="str">
        <f t="shared" si="84"/>
        <v/>
      </c>
      <c r="M293" t="str">
        <f t="shared" si="85"/>
        <v/>
      </c>
      <c r="N293" s="76" t="str">
        <f t="shared" si="86"/>
        <v/>
      </c>
      <c r="O293" s="20">
        <f t="shared" si="87"/>
        <v>0</v>
      </c>
      <c r="P293" s="76">
        <f t="shared" si="88"/>
        <v>0</v>
      </c>
      <c r="Q293" s="206">
        <f t="shared" si="78"/>
        <v>0</v>
      </c>
      <c r="R293" s="206">
        <f t="shared" si="79"/>
        <v>0</v>
      </c>
      <c r="S293" s="206">
        <f t="shared" si="80"/>
        <v>0</v>
      </c>
      <c r="T293" s="206">
        <f t="shared" si="81"/>
        <v>0</v>
      </c>
      <c r="AA293" s="71" t="str">
        <f t="shared" si="89"/>
        <v/>
      </c>
      <c r="AB293">
        <f t="shared" si="90"/>
        <v>0</v>
      </c>
      <c r="AC293">
        <f t="shared" si="91"/>
        <v>0</v>
      </c>
      <c r="AD293">
        <f t="shared" si="92"/>
        <v>0</v>
      </c>
      <c r="AE293">
        <f t="shared" si="93"/>
        <v>0</v>
      </c>
      <c r="AF293" t="str">
        <f t="shared" si="94"/>
        <v/>
      </c>
    </row>
    <row r="294" spans="1:32" x14ac:dyDescent="0.4">
      <c r="A294" s="189"/>
      <c r="B294" s="189"/>
      <c r="C294" s="189"/>
      <c r="D294" s="189"/>
      <c r="E294" s="189"/>
      <c r="F294" s="189"/>
      <c r="G294" s="189"/>
      <c r="H294" s="189"/>
      <c r="J294" t="str">
        <f t="shared" si="82"/>
        <v/>
      </c>
      <c r="K294" t="str">
        <f t="shared" si="83"/>
        <v/>
      </c>
      <c r="L294" t="str">
        <f t="shared" si="84"/>
        <v/>
      </c>
      <c r="M294" t="str">
        <f t="shared" si="85"/>
        <v/>
      </c>
      <c r="N294" s="76" t="str">
        <f t="shared" si="86"/>
        <v/>
      </c>
      <c r="O294" s="20">
        <f t="shared" si="87"/>
        <v>0</v>
      </c>
      <c r="P294" s="76">
        <f t="shared" si="88"/>
        <v>0</v>
      </c>
      <c r="Q294" s="206">
        <f t="shared" ref="Q294:Q357" si="95">IF(P294=0,0,VALUE(LEFT(C294,LEN(C294)-4)))</f>
        <v>0</v>
      </c>
      <c r="R294" s="206">
        <f t="shared" ref="R294:R357" si="96">IF(Q294=0,0,VALUE(LEFT(D294,LEN(D294)-4)))</f>
        <v>0</v>
      </c>
      <c r="S294" s="206">
        <f t="shared" ref="S294:S357" si="97">IF(R294=0,0,VALUE(LEFT(E294,LEN(E294)-4)))</f>
        <v>0</v>
      </c>
      <c r="T294" s="206">
        <f t="shared" ref="T294:T357" si="98">IF(S294=0,0,VALUE(LEFT(F294,LEN(F294)-7)))</f>
        <v>0</v>
      </c>
      <c r="AA294" s="71" t="str">
        <f t="shared" si="89"/>
        <v/>
      </c>
      <c r="AB294">
        <f t="shared" si="90"/>
        <v>0</v>
      </c>
      <c r="AC294">
        <f t="shared" si="91"/>
        <v>0</v>
      </c>
      <c r="AD294">
        <f t="shared" si="92"/>
        <v>0</v>
      </c>
      <c r="AE294">
        <f t="shared" si="93"/>
        <v>0</v>
      </c>
      <c r="AF294" t="str">
        <f t="shared" si="94"/>
        <v/>
      </c>
    </row>
    <row r="295" spans="1:32" x14ac:dyDescent="0.4">
      <c r="A295" s="189"/>
      <c r="B295" s="189"/>
      <c r="C295" s="189"/>
      <c r="D295" s="189"/>
      <c r="E295" s="189"/>
      <c r="F295" s="189"/>
      <c r="G295" s="189"/>
      <c r="H295" s="189"/>
      <c r="J295" t="str">
        <f t="shared" si="82"/>
        <v/>
      </c>
      <c r="K295" t="str">
        <f t="shared" si="83"/>
        <v/>
      </c>
      <c r="L295" t="str">
        <f t="shared" si="84"/>
        <v/>
      </c>
      <c r="M295" t="str">
        <f t="shared" si="85"/>
        <v/>
      </c>
      <c r="N295" s="76" t="str">
        <f t="shared" si="86"/>
        <v/>
      </c>
      <c r="O295" s="20">
        <f t="shared" si="87"/>
        <v>0</v>
      </c>
      <c r="P295" s="76">
        <f t="shared" si="88"/>
        <v>0</v>
      </c>
      <c r="Q295" s="206">
        <f t="shared" si="95"/>
        <v>0</v>
      </c>
      <c r="R295" s="206">
        <f t="shared" si="96"/>
        <v>0</v>
      </c>
      <c r="S295" s="206">
        <f t="shared" si="97"/>
        <v>0</v>
      </c>
      <c r="T295" s="206">
        <f t="shared" si="98"/>
        <v>0</v>
      </c>
      <c r="AA295" s="71" t="str">
        <f t="shared" si="89"/>
        <v/>
      </c>
      <c r="AB295">
        <f t="shared" si="90"/>
        <v>0</v>
      </c>
      <c r="AC295">
        <f t="shared" si="91"/>
        <v>0</v>
      </c>
      <c r="AD295">
        <f t="shared" si="92"/>
        <v>0</v>
      </c>
      <c r="AE295">
        <f t="shared" si="93"/>
        <v>0</v>
      </c>
      <c r="AF295" t="str">
        <f t="shared" si="94"/>
        <v/>
      </c>
    </row>
    <row r="296" spans="1:32" x14ac:dyDescent="0.4">
      <c r="A296" s="189"/>
      <c r="B296" s="189"/>
      <c r="C296" s="189"/>
      <c r="D296" s="189"/>
      <c r="E296" s="189"/>
      <c r="F296" s="189"/>
      <c r="G296" s="189"/>
      <c r="H296" s="189"/>
      <c r="J296" t="str">
        <f t="shared" si="82"/>
        <v/>
      </c>
      <c r="K296" t="str">
        <f t="shared" si="83"/>
        <v/>
      </c>
      <c r="L296" t="str">
        <f t="shared" si="84"/>
        <v/>
      </c>
      <c r="M296" t="str">
        <f t="shared" si="85"/>
        <v/>
      </c>
      <c r="N296" s="76" t="str">
        <f t="shared" si="86"/>
        <v/>
      </c>
      <c r="O296" s="20">
        <f t="shared" si="87"/>
        <v>0</v>
      </c>
      <c r="P296" s="76">
        <f t="shared" si="88"/>
        <v>0</v>
      </c>
      <c r="Q296" s="206">
        <f t="shared" si="95"/>
        <v>0</v>
      </c>
      <c r="R296" s="206">
        <f t="shared" si="96"/>
        <v>0</v>
      </c>
      <c r="S296" s="206">
        <f t="shared" si="97"/>
        <v>0</v>
      </c>
      <c r="T296" s="206">
        <f t="shared" si="98"/>
        <v>0</v>
      </c>
      <c r="AA296" s="71" t="str">
        <f t="shared" si="89"/>
        <v/>
      </c>
      <c r="AB296">
        <f t="shared" si="90"/>
        <v>0</v>
      </c>
      <c r="AC296">
        <f t="shared" si="91"/>
        <v>0</v>
      </c>
      <c r="AD296">
        <f t="shared" si="92"/>
        <v>0</v>
      </c>
      <c r="AE296">
        <f t="shared" si="93"/>
        <v>0</v>
      </c>
      <c r="AF296" t="str">
        <f t="shared" si="94"/>
        <v/>
      </c>
    </row>
    <row r="297" spans="1:32" x14ac:dyDescent="0.4">
      <c r="A297" s="189"/>
      <c r="B297" s="189"/>
      <c r="C297" s="189"/>
      <c r="D297" s="189"/>
      <c r="E297" s="189"/>
      <c r="F297" s="189"/>
      <c r="G297" s="189"/>
      <c r="H297" s="189"/>
      <c r="J297" t="str">
        <f t="shared" si="82"/>
        <v/>
      </c>
      <c r="K297" t="str">
        <f t="shared" si="83"/>
        <v/>
      </c>
      <c r="L297" t="str">
        <f t="shared" si="84"/>
        <v/>
      </c>
      <c r="M297" t="str">
        <f t="shared" si="85"/>
        <v/>
      </c>
      <c r="N297" s="76" t="str">
        <f t="shared" si="86"/>
        <v/>
      </c>
      <c r="O297" s="20">
        <f t="shared" si="87"/>
        <v>0</v>
      </c>
      <c r="P297" s="76">
        <f t="shared" si="88"/>
        <v>0</v>
      </c>
      <c r="Q297" s="206">
        <f t="shared" si="95"/>
        <v>0</v>
      </c>
      <c r="R297" s="206">
        <f t="shared" si="96"/>
        <v>0</v>
      </c>
      <c r="S297" s="206">
        <f t="shared" si="97"/>
        <v>0</v>
      </c>
      <c r="T297" s="206">
        <f t="shared" si="98"/>
        <v>0</v>
      </c>
      <c r="AA297" s="71" t="str">
        <f t="shared" si="89"/>
        <v/>
      </c>
      <c r="AB297">
        <f t="shared" si="90"/>
        <v>0</v>
      </c>
      <c r="AC297">
        <f t="shared" si="91"/>
        <v>0</v>
      </c>
      <c r="AD297">
        <f t="shared" si="92"/>
        <v>0</v>
      </c>
      <c r="AE297">
        <f t="shared" si="93"/>
        <v>0</v>
      </c>
      <c r="AF297" t="str">
        <f t="shared" si="94"/>
        <v/>
      </c>
    </row>
    <row r="298" spans="1:32" x14ac:dyDescent="0.4">
      <c r="A298" s="189"/>
      <c r="B298" s="189"/>
      <c r="C298" s="189"/>
      <c r="D298" s="189"/>
      <c r="E298" s="189"/>
      <c r="F298" s="189"/>
      <c r="G298" s="189"/>
      <c r="H298" s="189"/>
      <c r="J298" t="str">
        <f t="shared" si="82"/>
        <v/>
      </c>
      <c r="K298" t="str">
        <f t="shared" si="83"/>
        <v/>
      </c>
      <c r="L298" t="str">
        <f t="shared" si="84"/>
        <v/>
      </c>
      <c r="M298" t="str">
        <f t="shared" si="85"/>
        <v/>
      </c>
      <c r="N298" s="76" t="str">
        <f t="shared" si="86"/>
        <v/>
      </c>
      <c r="O298" s="20">
        <f t="shared" si="87"/>
        <v>0</v>
      </c>
      <c r="P298" s="76">
        <f t="shared" si="88"/>
        <v>0</v>
      </c>
      <c r="Q298" s="206">
        <f t="shared" si="95"/>
        <v>0</v>
      </c>
      <c r="R298" s="206">
        <f t="shared" si="96"/>
        <v>0</v>
      </c>
      <c r="S298" s="206">
        <f t="shared" si="97"/>
        <v>0</v>
      </c>
      <c r="T298" s="206">
        <f t="shared" si="98"/>
        <v>0</v>
      </c>
      <c r="AA298" s="71" t="str">
        <f t="shared" si="89"/>
        <v/>
      </c>
      <c r="AB298">
        <f t="shared" si="90"/>
        <v>0</v>
      </c>
      <c r="AC298">
        <f t="shared" si="91"/>
        <v>0</v>
      </c>
      <c r="AD298">
        <f t="shared" si="92"/>
        <v>0</v>
      </c>
      <c r="AE298">
        <f t="shared" si="93"/>
        <v>0</v>
      </c>
      <c r="AF298" t="str">
        <f t="shared" si="94"/>
        <v/>
      </c>
    </row>
    <row r="299" spans="1:32" x14ac:dyDescent="0.4">
      <c r="A299" s="189"/>
      <c r="B299" s="189"/>
      <c r="C299" s="189"/>
      <c r="D299" s="189"/>
      <c r="E299" s="189"/>
      <c r="F299" s="189"/>
      <c r="G299" s="189"/>
      <c r="H299" s="189"/>
      <c r="J299" t="str">
        <f t="shared" si="82"/>
        <v/>
      </c>
      <c r="K299" t="str">
        <f t="shared" si="83"/>
        <v/>
      </c>
      <c r="L299" t="str">
        <f t="shared" si="84"/>
        <v/>
      </c>
      <c r="M299" t="str">
        <f t="shared" si="85"/>
        <v/>
      </c>
      <c r="N299" s="76" t="str">
        <f t="shared" si="86"/>
        <v/>
      </c>
      <c r="O299" s="20">
        <f t="shared" si="87"/>
        <v>0</v>
      </c>
      <c r="P299" s="76">
        <f t="shared" si="88"/>
        <v>0</v>
      </c>
      <c r="Q299" s="206">
        <f t="shared" si="95"/>
        <v>0</v>
      </c>
      <c r="R299" s="206">
        <f t="shared" si="96"/>
        <v>0</v>
      </c>
      <c r="S299" s="206">
        <f t="shared" si="97"/>
        <v>0</v>
      </c>
      <c r="T299" s="206">
        <f t="shared" si="98"/>
        <v>0</v>
      </c>
      <c r="AA299" s="71" t="str">
        <f t="shared" si="89"/>
        <v/>
      </c>
      <c r="AB299">
        <f t="shared" si="90"/>
        <v>0</v>
      </c>
      <c r="AC299">
        <f t="shared" si="91"/>
        <v>0</v>
      </c>
      <c r="AD299">
        <f t="shared" si="92"/>
        <v>0</v>
      </c>
      <c r="AE299">
        <f t="shared" si="93"/>
        <v>0</v>
      </c>
      <c r="AF299" t="str">
        <f t="shared" si="94"/>
        <v/>
      </c>
    </row>
    <row r="300" spans="1:32" x14ac:dyDescent="0.4">
      <c r="A300" s="189"/>
      <c r="B300" s="189"/>
      <c r="C300" s="189"/>
      <c r="D300" s="189"/>
      <c r="E300" s="189"/>
      <c r="F300" s="189"/>
      <c r="G300" s="189"/>
      <c r="H300" s="189"/>
      <c r="J300" t="str">
        <f t="shared" si="82"/>
        <v/>
      </c>
      <c r="K300" t="str">
        <f t="shared" si="83"/>
        <v/>
      </c>
      <c r="L300" t="str">
        <f t="shared" si="84"/>
        <v/>
      </c>
      <c r="M300" t="str">
        <f t="shared" si="85"/>
        <v/>
      </c>
      <c r="N300" s="76" t="str">
        <f t="shared" si="86"/>
        <v/>
      </c>
      <c r="O300" s="20">
        <f t="shared" si="87"/>
        <v>0</v>
      </c>
      <c r="P300" s="76">
        <f t="shared" si="88"/>
        <v>0</v>
      </c>
      <c r="Q300" s="206">
        <f t="shared" si="95"/>
        <v>0</v>
      </c>
      <c r="R300" s="206">
        <f t="shared" si="96"/>
        <v>0</v>
      </c>
      <c r="S300" s="206">
        <f t="shared" si="97"/>
        <v>0</v>
      </c>
      <c r="T300" s="206">
        <f t="shared" si="98"/>
        <v>0</v>
      </c>
      <c r="AA300" s="71" t="str">
        <f t="shared" si="89"/>
        <v/>
      </c>
      <c r="AB300">
        <f t="shared" si="90"/>
        <v>0</v>
      </c>
      <c r="AC300">
        <f t="shared" si="91"/>
        <v>0</v>
      </c>
      <c r="AD300">
        <f t="shared" si="92"/>
        <v>0</v>
      </c>
      <c r="AE300">
        <f t="shared" si="93"/>
        <v>0</v>
      </c>
      <c r="AF300" t="str">
        <f t="shared" si="94"/>
        <v/>
      </c>
    </row>
    <row r="301" spans="1:32" x14ac:dyDescent="0.4">
      <c r="A301" s="189"/>
      <c r="B301" s="189"/>
      <c r="C301" s="189"/>
      <c r="D301" s="189"/>
      <c r="E301" s="189"/>
      <c r="F301" s="189"/>
      <c r="G301" s="189"/>
      <c r="H301" s="189"/>
      <c r="J301" t="str">
        <f t="shared" si="82"/>
        <v/>
      </c>
      <c r="K301" t="str">
        <f t="shared" si="83"/>
        <v/>
      </c>
      <c r="L301" t="str">
        <f t="shared" si="84"/>
        <v/>
      </c>
      <c r="M301" t="str">
        <f t="shared" si="85"/>
        <v/>
      </c>
      <c r="N301" s="76" t="str">
        <f t="shared" si="86"/>
        <v/>
      </c>
      <c r="O301" s="20">
        <f t="shared" si="87"/>
        <v>0</v>
      </c>
      <c r="P301" s="76">
        <f t="shared" si="88"/>
        <v>0</v>
      </c>
      <c r="Q301" s="206">
        <f t="shared" si="95"/>
        <v>0</v>
      </c>
      <c r="R301" s="206">
        <f t="shared" si="96"/>
        <v>0</v>
      </c>
      <c r="S301" s="206">
        <f t="shared" si="97"/>
        <v>0</v>
      </c>
      <c r="T301" s="206">
        <f t="shared" si="98"/>
        <v>0</v>
      </c>
      <c r="AA301" s="71" t="str">
        <f t="shared" si="89"/>
        <v/>
      </c>
      <c r="AB301">
        <f t="shared" si="90"/>
        <v>0</v>
      </c>
      <c r="AC301">
        <f t="shared" si="91"/>
        <v>0</v>
      </c>
      <c r="AD301">
        <f t="shared" si="92"/>
        <v>0</v>
      </c>
      <c r="AE301">
        <f t="shared" si="93"/>
        <v>0</v>
      </c>
      <c r="AF301" t="str">
        <f t="shared" si="94"/>
        <v/>
      </c>
    </row>
    <row r="302" spans="1:32" x14ac:dyDescent="0.4">
      <c r="A302" s="189"/>
      <c r="B302" s="189"/>
      <c r="C302" s="189"/>
      <c r="D302" s="189"/>
      <c r="E302" s="189"/>
      <c r="F302" s="189"/>
      <c r="G302" s="189"/>
      <c r="H302" s="189"/>
      <c r="J302" t="str">
        <f t="shared" si="82"/>
        <v/>
      </c>
      <c r="K302" t="str">
        <f t="shared" si="83"/>
        <v/>
      </c>
      <c r="L302" t="str">
        <f t="shared" si="84"/>
        <v/>
      </c>
      <c r="M302" t="str">
        <f t="shared" si="85"/>
        <v/>
      </c>
      <c r="N302" s="76" t="str">
        <f t="shared" si="86"/>
        <v/>
      </c>
      <c r="O302" s="20">
        <f t="shared" si="87"/>
        <v>0</v>
      </c>
      <c r="P302" s="76">
        <f t="shared" si="88"/>
        <v>0</v>
      </c>
      <c r="Q302" s="206">
        <f t="shared" si="95"/>
        <v>0</v>
      </c>
      <c r="R302" s="206">
        <f t="shared" si="96"/>
        <v>0</v>
      </c>
      <c r="S302" s="206">
        <f t="shared" si="97"/>
        <v>0</v>
      </c>
      <c r="T302" s="206">
        <f t="shared" si="98"/>
        <v>0</v>
      </c>
      <c r="AA302" s="71" t="str">
        <f t="shared" si="89"/>
        <v/>
      </c>
      <c r="AB302">
        <f t="shared" si="90"/>
        <v>0</v>
      </c>
      <c r="AC302">
        <f t="shared" si="91"/>
        <v>0</v>
      </c>
      <c r="AD302">
        <f t="shared" si="92"/>
        <v>0</v>
      </c>
      <c r="AE302">
        <f t="shared" si="93"/>
        <v>0</v>
      </c>
      <c r="AF302" t="str">
        <f t="shared" si="94"/>
        <v/>
      </c>
    </row>
    <row r="303" spans="1:32" x14ac:dyDescent="0.4">
      <c r="A303" s="189"/>
      <c r="B303" s="189"/>
      <c r="C303" s="189"/>
      <c r="D303" s="189"/>
      <c r="E303" s="189"/>
      <c r="F303" s="189"/>
      <c r="G303" s="189"/>
      <c r="H303" s="189"/>
      <c r="J303" t="str">
        <f t="shared" si="82"/>
        <v/>
      </c>
      <c r="K303" t="str">
        <f t="shared" si="83"/>
        <v/>
      </c>
      <c r="L303" t="str">
        <f t="shared" si="84"/>
        <v/>
      </c>
      <c r="M303" t="str">
        <f t="shared" si="85"/>
        <v/>
      </c>
      <c r="N303" s="76" t="str">
        <f t="shared" si="86"/>
        <v/>
      </c>
      <c r="O303" s="20">
        <f t="shared" si="87"/>
        <v>0</v>
      </c>
      <c r="P303" s="76">
        <f t="shared" si="88"/>
        <v>0</v>
      </c>
      <c r="Q303" s="206">
        <f t="shared" si="95"/>
        <v>0</v>
      </c>
      <c r="R303" s="206">
        <f t="shared" si="96"/>
        <v>0</v>
      </c>
      <c r="S303" s="206">
        <f t="shared" si="97"/>
        <v>0</v>
      </c>
      <c r="T303" s="206">
        <f t="shared" si="98"/>
        <v>0</v>
      </c>
      <c r="AA303" s="71" t="str">
        <f t="shared" si="89"/>
        <v/>
      </c>
      <c r="AB303">
        <f t="shared" si="90"/>
        <v>0</v>
      </c>
      <c r="AC303">
        <f t="shared" si="91"/>
        <v>0</v>
      </c>
      <c r="AD303">
        <f t="shared" si="92"/>
        <v>0</v>
      </c>
      <c r="AE303">
        <f t="shared" si="93"/>
        <v>0</v>
      </c>
      <c r="AF303" t="str">
        <f t="shared" si="94"/>
        <v/>
      </c>
    </row>
    <row r="304" spans="1:32" x14ac:dyDescent="0.4">
      <c r="A304" s="189"/>
      <c r="B304" s="189"/>
      <c r="C304" s="189"/>
      <c r="D304" s="189"/>
      <c r="E304" s="189"/>
      <c r="F304" s="189"/>
      <c r="G304" s="189"/>
      <c r="H304" s="189"/>
      <c r="J304" t="str">
        <f t="shared" si="82"/>
        <v/>
      </c>
      <c r="K304" t="str">
        <f t="shared" si="83"/>
        <v/>
      </c>
      <c r="L304" t="str">
        <f t="shared" si="84"/>
        <v/>
      </c>
      <c r="M304" t="str">
        <f t="shared" si="85"/>
        <v/>
      </c>
      <c r="N304" s="76" t="str">
        <f t="shared" si="86"/>
        <v/>
      </c>
      <c r="O304" s="20">
        <f t="shared" si="87"/>
        <v>0</v>
      </c>
      <c r="P304" s="76">
        <f t="shared" si="88"/>
        <v>0</v>
      </c>
      <c r="Q304" s="206">
        <f t="shared" si="95"/>
        <v>0</v>
      </c>
      <c r="R304" s="206">
        <f t="shared" si="96"/>
        <v>0</v>
      </c>
      <c r="S304" s="206">
        <f t="shared" si="97"/>
        <v>0</v>
      </c>
      <c r="T304" s="206">
        <f t="shared" si="98"/>
        <v>0</v>
      </c>
      <c r="AA304" s="71" t="str">
        <f t="shared" si="89"/>
        <v/>
      </c>
      <c r="AB304">
        <f t="shared" si="90"/>
        <v>0</v>
      </c>
      <c r="AC304">
        <f t="shared" si="91"/>
        <v>0</v>
      </c>
      <c r="AD304">
        <f t="shared" si="92"/>
        <v>0</v>
      </c>
      <c r="AE304">
        <f t="shared" si="93"/>
        <v>0</v>
      </c>
      <c r="AF304" t="str">
        <f t="shared" si="94"/>
        <v/>
      </c>
    </row>
    <row r="305" spans="1:32" x14ac:dyDescent="0.4">
      <c r="A305" s="189"/>
      <c r="B305" s="189"/>
      <c r="C305" s="189"/>
      <c r="D305" s="189"/>
      <c r="E305" s="189"/>
      <c r="F305" s="189"/>
      <c r="G305" s="189"/>
      <c r="H305" s="189"/>
      <c r="J305" t="str">
        <f t="shared" si="82"/>
        <v/>
      </c>
      <c r="K305" t="str">
        <f t="shared" si="83"/>
        <v/>
      </c>
      <c r="L305" t="str">
        <f t="shared" si="84"/>
        <v/>
      </c>
      <c r="M305" t="str">
        <f t="shared" si="85"/>
        <v/>
      </c>
      <c r="N305" s="76" t="str">
        <f t="shared" si="86"/>
        <v/>
      </c>
      <c r="O305" s="20">
        <f t="shared" si="87"/>
        <v>0</v>
      </c>
      <c r="P305" s="76">
        <f t="shared" si="88"/>
        <v>0</v>
      </c>
      <c r="Q305" s="206">
        <f t="shared" si="95"/>
        <v>0</v>
      </c>
      <c r="R305" s="206">
        <f t="shared" si="96"/>
        <v>0</v>
      </c>
      <c r="S305" s="206">
        <f t="shared" si="97"/>
        <v>0</v>
      </c>
      <c r="T305" s="206">
        <f t="shared" si="98"/>
        <v>0</v>
      </c>
      <c r="AA305" s="71" t="str">
        <f t="shared" si="89"/>
        <v/>
      </c>
      <c r="AB305">
        <f t="shared" si="90"/>
        <v>0</v>
      </c>
      <c r="AC305">
        <f t="shared" si="91"/>
        <v>0</v>
      </c>
      <c r="AD305">
        <f t="shared" si="92"/>
        <v>0</v>
      </c>
      <c r="AE305">
        <f t="shared" si="93"/>
        <v>0</v>
      </c>
      <c r="AF305" t="str">
        <f t="shared" si="94"/>
        <v/>
      </c>
    </row>
    <row r="306" spans="1:32" x14ac:dyDescent="0.4">
      <c r="A306" s="189"/>
      <c r="B306" s="189"/>
      <c r="C306" s="189"/>
      <c r="D306" s="189"/>
      <c r="E306" s="189"/>
      <c r="F306" s="189"/>
      <c r="G306" s="189"/>
      <c r="H306" s="189"/>
      <c r="J306" t="str">
        <f t="shared" si="82"/>
        <v/>
      </c>
      <c r="K306" t="str">
        <f t="shared" si="83"/>
        <v/>
      </c>
      <c r="L306" t="str">
        <f t="shared" si="84"/>
        <v/>
      </c>
      <c r="M306" t="str">
        <f t="shared" si="85"/>
        <v/>
      </c>
      <c r="N306" s="76" t="str">
        <f t="shared" si="86"/>
        <v/>
      </c>
      <c r="O306" s="20">
        <f t="shared" si="87"/>
        <v>0</v>
      </c>
      <c r="P306" s="76">
        <f t="shared" si="88"/>
        <v>0</v>
      </c>
      <c r="Q306" s="206">
        <f t="shared" si="95"/>
        <v>0</v>
      </c>
      <c r="R306" s="206">
        <f t="shared" si="96"/>
        <v>0</v>
      </c>
      <c r="S306" s="206">
        <f t="shared" si="97"/>
        <v>0</v>
      </c>
      <c r="T306" s="206">
        <f t="shared" si="98"/>
        <v>0</v>
      </c>
      <c r="AA306" s="71" t="str">
        <f t="shared" si="89"/>
        <v/>
      </c>
      <c r="AB306">
        <f t="shared" si="90"/>
        <v>0</v>
      </c>
      <c r="AC306">
        <f t="shared" si="91"/>
        <v>0</v>
      </c>
      <c r="AD306">
        <f t="shared" si="92"/>
        <v>0</v>
      </c>
      <c r="AE306">
        <f t="shared" si="93"/>
        <v>0</v>
      </c>
      <c r="AF306" t="str">
        <f t="shared" si="94"/>
        <v/>
      </c>
    </row>
    <row r="307" spans="1:32" x14ac:dyDescent="0.4">
      <c r="A307" s="189"/>
      <c r="B307" s="189"/>
      <c r="C307" s="189"/>
      <c r="D307" s="189"/>
      <c r="E307" s="189"/>
      <c r="F307" s="189"/>
      <c r="G307" s="189"/>
      <c r="H307" s="189"/>
      <c r="J307" t="str">
        <f t="shared" si="82"/>
        <v/>
      </c>
      <c r="K307" t="str">
        <f t="shared" si="83"/>
        <v/>
      </c>
      <c r="L307" t="str">
        <f t="shared" si="84"/>
        <v/>
      </c>
      <c r="M307" t="str">
        <f t="shared" si="85"/>
        <v/>
      </c>
      <c r="N307" s="76" t="str">
        <f t="shared" si="86"/>
        <v/>
      </c>
      <c r="O307" s="20">
        <f t="shared" si="87"/>
        <v>0</v>
      </c>
      <c r="P307" s="76">
        <f t="shared" si="88"/>
        <v>0</v>
      </c>
      <c r="Q307" s="206">
        <f t="shared" si="95"/>
        <v>0</v>
      </c>
      <c r="R307" s="206">
        <f t="shared" si="96"/>
        <v>0</v>
      </c>
      <c r="S307" s="206">
        <f t="shared" si="97"/>
        <v>0</v>
      </c>
      <c r="T307" s="206">
        <f t="shared" si="98"/>
        <v>0</v>
      </c>
      <c r="AA307" s="71" t="str">
        <f t="shared" si="89"/>
        <v/>
      </c>
      <c r="AB307">
        <f t="shared" si="90"/>
        <v>0</v>
      </c>
      <c r="AC307">
        <f t="shared" si="91"/>
        <v>0</v>
      </c>
      <c r="AD307">
        <f t="shared" si="92"/>
        <v>0</v>
      </c>
      <c r="AE307">
        <f t="shared" si="93"/>
        <v>0</v>
      </c>
      <c r="AF307" t="str">
        <f t="shared" si="94"/>
        <v/>
      </c>
    </row>
    <row r="308" spans="1:32" x14ac:dyDescent="0.4">
      <c r="A308" s="189"/>
      <c r="B308" s="189"/>
      <c r="C308" s="189"/>
      <c r="D308" s="189"/>
      <c r="E308" s="189"/>
      <c r="F308" s="189"/>
      <c r="G308" s="189"/>
      <c r="H308" s="189"/>
      <c r="J308" s="189" t="str">
        <f t="shared" ref="J308:J371" si="99">IF(G308="Détail des tarifs",LEN(A308),"")</f>
        <v/>
      </c>
      <c r="K308" s="189" t="str">
        <f t="shared" ref="K308:K371" si="100">IF(J308="","",LEFT(A308,3))</f>
        <v/>
      </c>
      <c r="L308" s="189" t="str">
        <f t="shared" ref="L308:L371" si="101">IF(K308&lt;&gt;"",MID(A308,7,3),"")</f>
        <v/>
      </c>
      <c r="M308" s="189" t="str">
        <f t="shared" ref="M308:M371" si="102">IF(K308&lt;&gt;"",RIGHT(A308,2),"")</f>
        <v/>
      </c>
      <c r="N308" s="76" t="str">
        <f t="shared" ref="N308:N371" si="103">IF(K308&lt;&gt;"",CONCATENATE(K308,"/",L308),"")</f>
        <v/>
      </c>
      <c r="O308" s="20">
        <f t="shared" ref="O308:O371" si="104">IF(J308&lt;&gt;"",LEFT(B308,LEN(B308)-3),0)</f>
        <v>0</v>
      </c>
      <c r="P308" s="76">
        <f t="shared" ref="P308:P371" si="105">IF(O308&lt;&gt;"",VALUE(O308),"")</f>
        <v>0</v>
      </c>
      <c r="Q308" s="206">
        <f t="shared" si="95"/>
        <v>0</v>
      </c>
      <c r="R308" s="206">
        <f t="shared" si="96"/>
        <v>0</v>
      </c>
      <c r="S308" s="206">
        <f t="shared" si="97"/>
        <v>0</v>
      </c>
      <c r="T308" s="206">
        <f t="shared" si="98"/>
        <v>0</v>
      </c>
      <c r="AA308" s="71" t="str">
        <f t="shared" ref="AA308:AA347" si="106">N308</f>
        <v/>
      </c>
      <c r="AB308" s="189">
        <f t="shared" ref="AB308:AB347" si="107">IFERROR(IF(FIND("Km",$B308),IF($B309="",IF(FIND("Pax",C309),VALUE((LEFT(C309,LEN(C309)-4))),))),0)</f>
        <v>0</v>
      </c>
      <c r="AC308" s="189">
        <f t="shared" ref="AC308:AC347" si="108">IFERROR(IF(FIND("Km",$B308),IF($B309="",IF(FIND("Pax",D309),VALUE((LEFT(D309,LEN(D309)-4))),))),0)</f>
        <v>0</v>
      </c>
      <c r="AD308" s="189">
        <f t="shared" ref="AD308:AD347" si="109">IFERROR(IF(FIND("Km",$B308),IF($B309="",IF(FIND("Pax",E309),VALUE((LEFT(E309,LEN(E309)-4))),))),0)</f>
        <v>0</v>
      </c>
      <c r="AE308" s="189">
        <f t="shared" ref="AE308:AE347" si="110">IFERROR(IF($J308&lt;&gt;"",VALUE(LEFT(F309,LEN(F309)-7)),0),1)</f>
        <v>0</v>
      </c>
    </row>
    <row r="309" spans="1:32" x14ac:dyDescent="0.4">
      <c r="A309" s="189"/>
      <c r="B309" s="189"/>
      <c r="C309" s="189"/>
      <c r="D309" s="189"/>
      <c r="E309" s="189"/>
      <c r="F309" s="189"/>
      <c r="G309" s="189"/>
      <c r="H309" s="189"/>
      <c r="J309" s="189" t="str">
        <f t="shared" si="99"/>
        <v/>
      </c>
      <c r="K309" s="189" t="str">
        <f t="shared" si="100"/>
        <v/>
      </c>
      <c r="L309" s="189" t="str">
        <f t="shared" si="101"/>
        <v/>
      </c>
      <c r="M309" s="189" t="str">
        <f t="shared" si="102"/>
        <v/>
      </c>
      <c r="N309" s="76" t="str">
        <f t="shared" si="103"/>
        <v/>
      </c>
      <c r="O309" s="20">
        <f t="shared" si="104"/>
        <v>0</v>
      </c>
      <c r="P309" s="76">
        <f t="shared" si="105"/>
        <v>0</v>
      </c>
      <c r="Q309" s="206">
        <f t="shared" si="95"/>
        <v>0</v>
      </c>
      <c r="R309" s="206">
        <f t="shared" si="96"/>
        <v>0</v>
      </c>
      <c r="S309" s="206">
        <f t="shared" si="97"/>
        <v>0</v>
      </c>
      <c r="T309" s="206">
        <f t="shared" si="98"/>
        <v>0</v>
      </c>
      <c r="AA309" s="71" t="str">
        <f t="shared" si="106"/>
        <v/>
      </c>
      <c r="AB309" s="189">
        <f t="shared" si="107"/>
        <v>0</v>
      </c>
      <c r="AC309" s="189">
        <f t="shared" si="108"/>
        <v>0</v>
      </c>
      <c r="AD309" s="189">
        <f t="shared" si="109"/>
        <v>0</v>
      </c>
      <c r="AE309" s="189">
        <f t="shared" si="110"/>
        <v>0</v>
      </c>
    </row>
    <row r="310" spans="1:32" x14ac:dyDescent="0.4">
      <c r="A310" s="189"/>
      <c r="B310" s="189"/>
      <c r="C310" s="189"/>
      <c r="D310" s="189"/>
      <c r="E310" s="189"/>
      <c r="F310" s="189"/>
      <c r="G310" s="189"/>
      <c r="H310" s="189"/>
      <c r="J310" s="189" t="str">
        <f t="shared" si="99"/>
        <v/>
      </c>
      <c r="K310" s="189" t="str">
        <f t="shared" si="100"/>
        <v/>
      </c>
      <c r="L310" s="189" t="str">
        <f t="shared" si="101"/>
        <v/>
      </c>
      <c r="M310" s="189" t="str">
        <f t="shared" si="102"/>
        <v/>
      </c>
      <c r="N310" s="76" t="str">
        <f t="shared" si="103"/>
        <v/>
      </c>
      <c r="O310" s="20">
        <f t="shared" si="104"/>
        <v>0</v>
      </c>
      <c r="P310" s="76">
        <f t="shared" si="105"/>
        <v>0</v>
      </c>
      <c r="Q310" s="206">
        <f t="shared" si="95"/>
        <v>0</v>
      </c>
      <c r="R310" s="206">
        <f t="shared" si="96"/>
        <v>0</v>
      </c>
      <c r="S310" s="206">
        <f t="shared" si="97"/>
        <v>0</v>
      </c>
      <c r="T310" s="206">
        <f t="shared" si="98"/>
        <v>0</v>
      </c>
      <c r="AA310" s="71" t="str">
        <f t="shared" si="106"/>
        <v/>
      </c>
      <c r="AB310" s="189">
        <f t="shared" si="107"/>
        <v>0</v>
      </c>
      <c r="AC310" s="189">
        <f t="shared" si="108"/>
        <v>0</v>
      </c>
      <c r="AD310" s="189">
        <f t="shared" si="109"/>
        <v>0</v>
      </c>
      <c r="AE310" s="189">
        <f t="shared" si="110"/>
        <v>0</v>
      </c>
    </row>
    <row r="311" spans="1:32" x14ac:dyDescent="0.4">
      <c r="A311" s="189"/>
      <c r="B311" s="189"/>
      <c r="C311" s="189"/>
      <c r="D311" s="189"/>
      <c r="E311" s="189"/>
      <c r="F311" s="189"/>
      <c r="G311" s="189"/>
      <c r="H311" s="189"/>
      <c r="J311" s="189" t="str">
        <f t="shared" si="99"/>
        <v/>
      </c>
      <c r="K311" s="189" t="str">
        <f t="shared" si="100"/>
        <v/>
      </c>
      <c r="L311" s="189" t="str">
        <f t="shared" si="101"/>
        <v/>
      </c>
      <c r="M311" s="189" t="str">
        <f t="shared" si="102"/>
        <v/>
      </c>
      <c r="N311" s="76" t="str">
        <f t="shared" si="103"/>
        <v/>
      </c>
      <c r="O311" s="20">
        <f t="shared" si="104"/>
        <v>0</v>
      </c>
      <c r="P311" s="76">
        <f t="shared" si="105"/>
        <v>0</v>
      </c>
      <c r="Q311" s="206">
        <f t="shared" si="95"/>
        <v>0</v>
      </c>
      <c r="R311" s="206">
        <f t="shared" si="96"/>
        <v>0</v>
      </c>
      <c r="S311" s="206">
        <f t="shared" si="97"/>
        <v>0</v>
      </c>
      <c r="T311" s="206">
        <f t="shared" si="98"/>
        <v>0</v>
      </c>
      <c r="AA311" s="71" t="str">
        <f t="shared" si="106"/>
        <v/>
      </c>
      <c r="AB311" s="189">
        <f t="shared" si="107"/>
        <v>0</v>
      </c>
      <c r="AC311" s="189">
        <f t="shared" si="108"/>
        <v>0</v>
      </c>
      <c r="AD311" s="189">
        <f t="shared" si="109"/>
        <v>0</v>
      </c>
      <c r="AE311" s="189">
        <f t="shared" si="110"/>
        <v>0</v>
      </c>
    </row>
    <row r="312" spans="1:32" x14ac:dyDescent="0.4">
      <c r="A312" s="189"/>
      <c r="B312" s="189"/>
      <c r="C312" s="189"/>
      <c r="D312" s="189"/>
      <c r="E312" s="189"/>
      <c r="F312" s="189"/>
      <c r="G312" s="189"/>
      <c r="H312" s="189"/>
      <c r="J312" s="189" t="str">
        <f t="shared" si="99"/>
        <v/>
      </c>
      <c r="K312" s="189" t="str">
        <f t="shared" si="100"/>
        <v/>
      </c>
      <c r="L312" s="189" t="str">
        <f t="shared" si="101"/>
        <v/>
      </c>
      <c r="M312" s="189" t="str">
        <f t="shared" si="102"/>
        <v/>
      </c>
      <c r="N312" s="76" t="str">
        <f t="shared" si="103"/>
        <v/>
      </c>
      <c r="O312" s="20">
        <f t="shared" si="104"/>
        <v>0</v>
      </c>
      <c r="P312" s="76">
        <f t="shared" si="105"/>
        <v>0</v>
      </c>
      <c r="Q312" s="206">
        <f t="shared" si="95"/>
        <v>0</v>
      </c>
      <c r="R312" s="206">
        <f t="shared" si="96"/>
        <v>0</v>
      </c>
      <c r="S312" s="206">
        <f t="shared" si="97"/>
        <v>0</v>
      </c>
      <c r="T312" s="206">
        <f t="shared" si="98"/>
        <v>0</v>
      </c>
      <c r="AA312" s="71" t="str">
        <f t="shared" si="106"/>
        <v/>
      </c>
      <c r="AB312" s="189">
        <f t="shared" si="107"/>
        <v>0</v>
      </c>
      <c r="AC312" s="189">
        <f t="shared" si="108"/>
        <v>0</v>
      </c>
      <c r="AD312" s="189">
        <f t="shared" si="109"/>
        <v>0</v>
      </c>
      <c r="AE312" s="189">
        <f t="shared" si="110"/>
        <v>0</v>
      </c>
    </row>
    <row r="313" spans="1:32" x14ac:dyDescent="0.4">
      <c r="A313" s="189"/>
      <c r="B313" s="189"/>
      <c r="C313" s="189"/>
      <c r="D313" s="189"/>
      <c r="E313" s="189"/>
      <c r="F313" s="189"/>
      <c r="G313" s="189"/>
      <c r="H313" s="189"/>
      <c r="J313" s="189" t="str">
        <f t="shared" si="99"/>
        <v/>
      </c>
      <c r="K313" s="189" t="str">
        <f t="shared" si="100"/>
        <v/>
      </c>
      <c r="L313" s="189" t="str">
        <f t="shared" si="101"/>
        <v/>
      </c>
      <c r="M313" s="189" t="str">
        <f t="shared" si="102"/>
        <v/>
      </c>
      <c r="N313" s="76" t="str">
        <f t="shared" si="103"/>
        <v/>
      </c>
      <c r="O313" s="20">
        <f t="shared" si="104"/>
        <v>0</v>
      </c>
      <c r="P313" s="76">
        <f t="shared" si="105"/>
        <v>0</v>
      </c>
      <c r="Q313" s="206">
        <f t="shared" si="95"/>
        <v>0</v>
      </c>
      <c r="R313" s="206">
        <f t="shared" si="96"/>
        <v>0</v>
      </c>
      <c r="S313" s="206">
        <f t="shared" si="97"/>
        <v>0</v>
      </c>
      <c r="T313" s="206">
        <f t="shared" si="98"/>
        <v>0</v>
      </c>
      <c r="AA313" s="71" t="str">
        <f t="shared" si="106"/>
        <v/>
      </c>
      <c r="AB313" s="189">
        <f t="shared" si="107"/>
        <v>0</v>
      </c>
      <c r="AC313" s="189">
        <f t="shared" si="108"/>
        <v>0</v>
      </c>
      <c r="AD313" s="189">
        <f t="shared" si="109"/>
        <v>0</v>
      </c>
      <c r="AE313" s="189">
        <f t="shared" si="110"/>
        <v>0</v>
      </c>
    </row>
    <row r="314" spans="1:32" x14ac:dyDescent="0.4">
      <c r="A314" s="189"/>
      <c r="B314" s="189"/>
      <c r="C314" s="189"/>
      <c r="D314" s="189"/>
      <c r="E314" s="189"/>
      <c r="F314" s="189"/>
      <c r="G314" s="189"/>
      <c r="H314" s="189"/>
      <c r="J314" s="189" t="str">
        <f t="shared" si="99"/>
        <v/>
      </c>
      <c r="K314" s="189" t="str">
        <f t="shared" si="100"/>
        <v/>
      </c>
      <c r="L314" s="189" t="str">
        <f t="shared" si="101"/>
        <v/>
      </c>
      <c r="M314" s="189" t="str">
        <f t="shared" si="102"/>
        <v/>
      </c>
      <c r="N314" s="76" t="str">
        <f t="shared" si="103"/>
        <v/>
      </c>
      <c r="O314" s="20">
        <f t="shared" si="104"/>
        <v>0</v>
      </c>
      <c r="P314" s="76">
        <f t="shared" si="105"/>
        <v>0</v>
      </c>
      <c r="Q314" s="206">
        <f t="shared" si="95"/>
        <v>0</v>
      </c>
      <c r="R314" s="206">
        <f t="shared" si="96"/>
        <v>0</v>
      </c>
      <c r="S314" s="206">
        <f t="shared" si="97"/>
        <v>0</v>
      </c>
      <c r="T314" s="206">
        <f t="shared" si="98"/>
        <v>0</v>
      </c>
      <c r="AA314" s="71" t="str">
        <f t="shared" si="106"/>
        <v/>
      </c>
      <c r="AB314" s="189">
        <f t="shared" si="107"/>
        <v>0</v>
      </c>
      <c r="AC314" s="189">
        <f t="shared" si="108"/>
        <v>0</v>
      </c>
      <c r="AD314" s="189">
        <f t="shared" si="109"/>
        <v>0</v>
      </c>
      <c r="AE314" s="189">
        <f t="shared" si="110"/>
        <v>0</v>
      </c>
    </row>
    <row r="315" spans="1:32" x14ac:dyDescent="0.4">
      <c r="A315" s="189"/>
      <c r="B315" s="189"/>
      <c r="C315" s="189"/>
      <c r="D315" s="189"/>
      <c r="E315" s="189"/>
      <c r="F315" s="189"/>
      <c r="G315" s="189"/>
      <c r="H315" s="189"/>
      <c r="J315" s="189" t="str">
        <f t="shared" si="99"/>
        <v/>
      </c>
      <c r="K315" s="189" t="str">
        <f t="shared" si="100"/>
        <v/>
      </c>
      <c r="L315" s="189" t="str">
        <f t="shared" si="101"/>
        <v/>
      </c>
      <c r="M315" s="189" t="str">
        <f t="shared" si="102"/>
        <v/>
      </c>
      <c r="N315" s="76" t="str">
        <f t="shared" si="103"/>
        <v/>
      </c>
      <c r="O315" s="20">
        <f t="shared" si="104"/>
        <v>0</v>
      </c>
      <c r="P315" s="76">
        <f t="shared" si="105"/>
        <v>0</v>
      </c>
      <c r="Q315" s="206">
        <f t="shared" si="95"/>
        <v>0</v>
      </c>
      <c r="R315" s="206">
        <f t="shared" si="96"/>
        <v>0</v>
      </c>
      <c r="S315" s="206">
        <f t="shared" si="97"/>
        <v>0</v>
      </c>
      <c r="T315" s="206">
        <f t="shared" si="98"/>
        <v>0</v>
      </c>
      <c r="AA315" s="71" t="str">
        <f t="shared" si="106"/>
        <v/>
      </c>
      <c r="AB315" s="189">
        <f t="shared" si="107"/>
        <v>0</v>
      </c>
      <c r="AC315" s="189">
        <f t="shared" si="108"/>
        <v>0</v>
      </c>
      <c r="AD315" s="189">
        <f t="shared" si="109"/>
        <v>0</v>
      </c>
      <c r="AE315" s="189">
        <f t="shared" si="110"/>
        <v>0</v>
      </c>
    </row>
    <row r="316" spans="1:32" x14ac:dyDescent="0.4">
      <c r="A316" s="189"/>
      <c r="B316" s="189"/>
      <c r="C316" s="189"/>
      <c r="D316" s="189"/>
      <c r="E316" s="189"/>
      <c r="F316" s="189"/>
      <c r="G316" s="189"/>
      <c r="H316" s="189"/>
      <c r="J316" s="189" t="str">
        <f t="shared" si="99"/>
        <v/>
      </c>
      <c r="K316" s="189" t="str">
        <f t="shared" si="100"/>
        <v/>
      </c>
      <c r="L316" s="189" t="str">
        <f t="shared" si="101"/>
        <v/>
      </c>
      <c r="M316" s="189" t="str">
        <f t="shared" si="102"/>
        <v/>
      </c>
      <c r="N316" s="76" t="str">
        <f t="shared" si="103"/>
        <v/>
      </c>
      <c r="O316" s="20">
        <f t="shared" si="104"/>
        <v>0</v>
      </c>
      <c r="P316" s="76">
        <f t="shared" si="105"/>
        <v>0</v>
      </c>
      <c r="Q316" s="206">
        <f t="shared" si="95"/>
        <v>0</v>
      </c>
      <c r="R316" s="206">
        <f t="shared" si="96"/>
        <v>0</v>
      </c>
      <c r="S316" s="206">
        <f t="shared" si="97"/>
        <v>0</v>
      </c>
      <c r="T316" s="206">
        <f t="shared" si="98"/>
        <v>0</v>
      </c>
      <c r="AA316" s="71" t="str">
        <f t="shared" si="106"/>
        <v/>
      </c>
      <c r="AB316" s="189">
        <f t="shared" si="107"/>
        <v>0</v>
      </c>
      <c r="AC316" s="189">
        <f t="shared" si="108"/>
        <v>0</v>
      </c>
      <c r="AD316" s="189">
        <f t="shared" si="109"/>
        <v>0</v>
      </c>
      <c r="AE316" s="189">
        <f t="shared" si="110"/>
        <v>0</v>
      </c>
    </row>
    <row r="317" spans="1:32" x14ac:dyDescent="0.4">
      <c r="A317" s="189"/>
      <c r="B317" s="189"/>
      <c r="C317" s="189"/>
      <c r="D317" s="189"/>
      <c r="E317" s="189"/>
      <c r="F317" s="189"/>
      <c r="G317" s="189"/>
      <c r="H317" s="189"/>
      <c r="J317" s="189" t="str">
        <f t="shared" si="99"/>
        <v/>
      </c>
      <c r="K317" s="189" t="str">
        <f t="shared" si="100"/>
        <v/>
      </c>
      <c r="L317" s="189" t="str">
        <f t="shared" si="101"/>
        <v/>
      </c>
      <c r="M317" s="189" t="str">
        <f t="shared" si="102"/>
        <v/>
      </c>
      <c r="N317" s="76" t="str">
        <f t="shared" si="103"/>
        <v/>
      </c>
      <c r="O317" s="20">
        <f t="shared" si="104"/>
        <v>0</v>
      </c>
      <c r="P317" s="76">
        <f t="shared" si="105"/>
        <v>0</v>
      </c>
      <c r="Q317" s="206">
        <f t="shared" si="95"/>
        <v>0</v>
      </c>
      <c r="R317" s="206">
        <f t="shared" si="96"/>
        <v>0</v>
      </c>
      <c r="S317" s="206">
        <f t="shared" si="97"/>
        <v>0</v>
      </c>
      <c r="T317" s="206">
        <f t="shared" si="98"/>
        <v>0</v>
      </c>
      <c r="AA317" s="71" t="str">
        <f t="shared" si="106"/>
        <v/>
      </c>
      <c r="AB317" s="189">
        <f t="shared" si="107"/>
        <v>0</v>
      </c>
      <c r="AC317" s="189">
        <f t="shared" si="108"/>
        <v>0</v>
      </c>
      <c r="AD317" s="189">
        <f t="shared" si="109"/>
        <v>0</v>
      </c>
      <c r="AE317" s="189">
        <f t="shared" si="110"/>
        <v>0</v>
      </c>
    </row>
    <row r="318" spans="1:32" x14ac:dyDescent="0.4">
      <c r="A318" s="189"/>
      <c r="B318" s="189"/>
      <c r="C318" s="189"/>
      <c r="D318" s="189"/>
      <c r="E318" s="189"/>
      <c r="F318" s="189"/>
      <c r="G318" s="189"/>
      <c r="H318" s="189"/>
      <c r="J318" s="189" t="str">
        <f t="shared" si="99"/>
        <v/>
      </c>
      <c r="K318" s="189" t="str">
        <f t="shared" si="100"/>
        <v/>
      </c>
      <c r="L318" s="189" t="str">
        <f t="shared" si="101"/>
        <v/>
      </c>
      <c r="M318" s="189" t="str">
        <f t="shared" si="102"/>
        <v/>
      </c>
      <c r="N318" s="76" t="str">
        <f t="shared" si="103"/>
        <v/>
      </c>
      <c r="O318" s="20">
        <f t="shared" si="104"/>
        <v>0</v>
      </c>
      <c r="P318" s="76">
        <f t="shared" si="105"/>
        <v>0</v>
      </c>
      <c r="Q318" s="206">
        <f t="shared" si="95"/>
        <v>0</v>
      </c>
      <c r="R318" s="206">
        <f t="shared" si="96"/>
        <v>0</v>
      </c>
      <c r="S318" s="206">
        <f t="shared" si="97"/>
        <v>0</v>
      </c>
      <c r="T318" s="206">
        <f t="shared" si="98"/>
        <v>0</v>
      </c>
      <c r="AA318" s="71" t="str">
        <f t="shared" si="106"/>
        <v/>
      </c>
      <c r="AB318" s="189">
        <f t="shared" si="107"/>
        <v>0</v>
      </c>
      <c r="AC318" s="189">
        <f t="shared" si="108"/>
        <v>0</v>
      </c>
      <c r="AD318" s="189">
        <f t="shared" si="109"/>
        <v>0</v>
      </c>
      <c r="AE318" s="189">
        <f t="shared" si="110"/>
        <v>0</v>
      </c>
    </row>
    <row r="319" spans="1:32" x14ac:dyDescent="0.4">
      <c r="A319" s="189"/>
      <c r="B319" s="189"/>
      <c r="C319" s="189"/>
      <c r="D319" s="189"/>
      <c r="E319" s="189"/>
      <c r="F319" s="189"/>
      <c r="G319" s="189"/>
      <c r="H319" s="189"/>
      <c r="J319" s="189" t="str">
        <f t="shared" si="99"/>
        <v/>
      </c>
      <c r="K319" s="189" t="str">
        <f t="shared" si="100"/>
        <v/>
      </c>
      <c r="L319" s="189" t="str">
        <f t="shared" si="101"/>
        <v/>
      </c>
      <c r="M319" s="189" t="str">
        <f t="shared" si="102"/>
        <v/>
      </c>
      <c r="N319" s="76" t="str">
        <f t="shared" si="103"/>
        <v/>
      </c>
      <c r="O319" s="20">
        <f t="shared" si="104"/>
        <v>0</v>
      </c>
      <c r="P319" s="76">
        <f t="shared" si="105"/>
        <v>0</v>
      </c>
      <c r="Q319" s="206">
        <f t="shared" si="95"/>
        <v>0</v>
      </c>
      <c r="R319" s="206">
        <f t="shared" si="96"/>
        <v>0</v>
      </c>
      <c r="S319" s="206">
        <f t="shared" si="97"/>
        <v>0</v>
      </c>
      <c r="T319" s="206">
        <f t="shared" si="98"/>
        <v>0</v>
      </c>
      <c r="AA319" s="71" t="str">
        <f t="shared" si="106"/>
        <v/>
      </c>
      <c r="AB319" s="189">
        <f t="shared" si="107"/>
        <v>0</v>
      </c>
      <c r="AC319" s="189">
        <f t="shared" si="108"/>
        <v>0</v>
      </c>
      <c r="AD319" s="189">
        <f t="shared" si="109"/>
        <v>0</v>
      </c>
      <c r="AE319" s="189">
        <f t="shared" si="110"/>
        <v>0</v>
      </c>
    </row>
    <row r="320" spans="1:32" x14ac:dyDescent="0.4">
      <c r="A320" s="189"/>
      <c r="B320" s="189"/>
      <c r="C320" s="189"/>
      <c r="D320" s="189"/>
      <c r="E320" s="189"/>
      <c r="F320" s="189"/>
      <c r="G320" s="189"/>
      <c r="H320" s="189"/>
      <c r="J320" s="189" t="str">
        <f t="shared" si="99"/>
        <v/>
      </c>
      <c r="K320" s="189" t="str">
        <f t="shared" si="100"/>
        <v/>
      </c>
      <c r="L320" s="189" t="str">
        <f t="shared" si="101"/>
        <v/>
      </c>
      <c r="M320" s="189" t="str">
        <f t="shared" si="102"/>
        <v/>
      </c>
      <c r="N320" s="76" t="str">
        <f t="shared" si="103"/>
        <v/>
      </c>
      <c r="O320" s="20">
        <f t="shared" si="104"/>
        <v>0</v>
      </c>
      <c r="P320" s="76">
        <f t="shared" si="105"/>
        <v>0</v>
      </c>
      <c r="Q320" s="206">
        <f t="shared" si="95"/>
        <v>0</v>
      </c>
      <c r="R320" s="206">
        <f t="shared" si="96"/>
        <v>0</v>
      </c>
      <c r="S320" s="206">
        <f t="shared" si="97"/>
        <v>0</v>
      </c>
      <c r="T320" s="206">
        <f t="shared" si="98"/>
        <v>0</v>
      </c>
      <c r="AA320" s="71" t="str">
        <f t="shared" si="106"/>
        <v/>
      </c>
      <c r="AB320" s="189">
        <f t="shared" si="107"/>
        <v>0</v>
      </c>
      <c r="AC320" s="189">
        <f t="shared" si="108"/>
        <v>0</v>
      </c>
      <c r="AD320" s="189">
        <f t="shared" si="109"/>
        <v>0</v>
      </c>
      <c r="AE320" s="189">
        <f t="shared" si="110"/>
        <v>0</v>
      </c>
    </row>
    <row r="321" spans="1:31" x14ac:dyDescent="0.4">
      <c r="A321" s="189"/>
      <c r="B321" s="189"/>
      <c r="C321" s="189"/>
      <c r="D321" s="189"/>
      <c r="E321" s="189"/>
      <c r="F321" s="189"/>
      <c r="G321" s="189"/>
      <c r="H321" s="189"/>
      <c r="J321" s="189" t="str">
        <f t="shared" si="99"/>
        <v/>
      </c>
      <c r="K321" s="189" t="str">
        <f t="shared" si="100"/>
        <v/>
      </c>
      <c r="L321" s="189" t="str">
        <f t="shared" si="101"/>
        <v/>
      </c>
      <c r="M321" s="189" t="str">
        <f t="shared" si="102"/>
        <v/>
      </c>
      <c r="N321" s="76" t="str">
        <f t="shared" si="103"/>
        <v/>
      </c>
      <c r="O321" s="20">
        <f t="shared" si="104"/>
        <v>0</v>
      </c>
      <c r="P321" s="76">
        <f t="shared" si="105"/>
        <v>0</v>
      </c>
      <c r="Q321" s="206">
        <f t="shared" si="95"/>
        <v>0</v>
      </c>
      <c r="R321" s="206">
        <f t="shared" si="96"/>
        <v>0</v>
      </c>
      <c r="S321" s="206">
        <f t="shared" si="97"/>
        <v>0</v>
      </c>
      <c r="T321" s="206">
        <f t="shared" si="98"/>
        <v>0</v>
      </c>
      <c r="AA321" s="71" t="str">
        <f t="shared" si="106"/>
        <v/>
      </c>
      <c r="AB321" s="189">
        <f t="shared" si="107"/>
        <v>0</v>
      </c>
      <c r="AC321" s="189">
        <f t="shared" si="108"/>
        <v>0</v>
      </c>
      <c r="AD321" s="189">
        <f t="shared" si="109"/>
        <v>0</v>
      </c>
      <c r="AE321" s="189">
        <f t="shared" si="110"/>
        <v>0</v>
      </c>
    </row>
    <row r="322" spans="1:31" x14ac:dyDescent="0.4">
      <c r="A322" s="189"/>
      <c r="B322" s="189"/>
      <c r="C322" s="189"/>
      <c r="D322" s="189"/>
      <c r="E322" s="189"/>
      <c r="F322" s="189"/>
      <c r="G322" s="189"/>
      <c r="H322" s="189"/>
      <c r="J322" s="189" t="str">
        <f t="shared" si="99"/>
        <v/>
      </c>
      <c r="K322" s="189" t="str">
        <f t="shared" si="100"/>
        <v/>
      </c>
      <c r="L322" s="189" t="str">
        <f t="shared" si="101"/>
        <v/>
      </c>
      <c r="M322" s="189" t="str">
        <f t="shared" si="102"/>
        <v/>
      </c>
      <c r="N322" s="76" t="str">
        <f t="shared" si="103"/>
        <v/>
      </c>
      <c r="O322" s="20">
        <f t="shared" si="104"/>
        <v>0</v>
      </c>
      <c r="P322" s="76">
        <f t="shared" si="105"/>
        <v>0</v>
      </c>
      <c r="Q322" s="206">
        <f t="shared" si="95"/>
        <v>0</v>
      </c>
      <c r="R322" s="206">
        <f t="shared" si="96"/>
        <v>0</v>
      </c>
      <c r="S322" s="206">
        <f t="shared" si="97"/>
        <v>0</v>
      </c>
      <c r="T322" s="206">
        <f t="shared" si="98"/>
        <v>0</v>
      </c>
      <c r="AA322" s="71" t="str">
        <f t="shared" si="106"/>
        <v/>
      </c>
      <c r="AB322" s="189">
        <f t="shared" si="107"/>
        <v>0</v>
      </c>
      <c r="AC322" s="189">
        <f t="shared" si="108"/>
        <v>0</v>
      </c>
      <c r="AD322" s="189">
        <f t="shared" si="109"/>
        <v>0</v>
      </c>
      <c r="AE322" s="189">
        <f t="shared" si="110"/>
        <v>0</v>
      </c>
    </row>
    <row r="323" spans="1:31" x14ac:dyDescent="0.4">
      <c r="A323" s="189"/>
      <c r="B323" s="189"/>
      <c r="C323" s="189"/>
      <c r="D323" s="189"/>
      <c r="E323" s="189"/>
      <c r="F323" s="189"/>
      <c r="G323" s="189"/>
      <c r="H323" s="189"/>
      <c r="J323" s="189" t="str">
        <f t="shared" si="99"/>
        <v/>
      </c>
      <c r="K323" s="189" t="str">
        <f t="shared" si="100"/>
        <v/>
      </c>
      <c r="L323" s="189" t="str">
        <f t="shared" si="101"/>
        <v/>
      </c>
      <c r="M323" s="189" t="str">
        <f t="shared" si="102"/>
        <v/>
      </c>
      <c r="N323" s="76" t="str">
        <f t="shared" si="103"/>
        <v/>
      </c>
      <c r="O323" s="20">
        <f t="shared" si="104"/>
        <v>0</v>
      </c>
      <c r="P323" s="76">
        <f t="shared" si="105"/>
        <v>0</v>
      </c>
      <c r="Q323" s="206">
        <f t="shared" si="95"/>
        <v>0</v>
      </c>
      <c r="R323" s="206">
        <f t="shared" si="96"/>
        <v>0</v>
      </c>
      <c r="S323" s="206">
        <f t="shared" si="97"/>
        <v>0</v>
      </c>
      <c r="T323" s="206">
        <f t="shared" si="98"/>
        <v>0</v>
      </c>
      <c r="AA323" s="71" t="str">
        <f t="shared" si="106"/>
        <v/>
      </c>
      <c r="AB323" s="189">
        <f t="shared" si="107"/>
        <v>0</v>
      </c>
      <c r="AC323" s="189">
        <f t="shared" si="108"/>
        <v>0</v>
      </c>
      <c r="AD323" s="189">
        <f t="shared" si="109"/>
        <v>0</v>
      </c>
      <c r="AE323" s="189">
        <f t="shared" si="110"/>
        <v>0</v>
      </c>
    </row>
    <row r="324" spans="1:31" x14ac:dyDescent="0.4">
      <c r="A324" s="189"/>
      <c r="B324" s="189"/>
      <c r="C324" s="189"/>
      <c r="D324" s="189"/>
      <c r="E324" s="189"/>
      <c r="F324" s="189"/>
      <c r="G324" s="189"/>
      <c r="H324" s="189"/>
      <c r="J324" s="189" t="str">
        <f t="shared" si="99"/>
        <v/>
      </c>
      <c r="K324" s="189" t="str">
        <f t="shared" si="100"/>
        <v/>
      </c>
      <c r="L324" s="189" t="str">
        <f t="shared" si="101"/>
        <v/>
      </c>
      <c r="M324" s="189" t="str">
        <f t="shared" si="102"/>
        <v/>
      </c>
      <c r="N324" s="76" t="str">
        <f t="shared" si="103"/>
        <v/>
      </c>
      <c r="O324" s="20">
        <f t="shared" si="104"/>
        <v>0</v>
      </c>
      <c r="P324" s="76">
        <f t="shared" si="105"/>
        <v>0</v>
      </c>
      <c r="Q324" s="206">
        <f t="shared" si="95"/>
        <v>0</v>
      </c>
      <c r="R324" s="206">
        <f t="shared" si="96"/>
        <v>0</v>
      </c>
      <c r="S324" s="206">
        <f t="shared" si="97"/>
        <v>0</v>
      </c>
      <c r="T324" s="206">
        <f t="shared" si="98"/>
        <v>0</v>
      </c>
      <c r="AA324" s="71" t="str">
        <f t="shared" si="106"/>
        <v/>
      </c>
      <c r="AB324" s="189">
        <f t="shared" si="107"/>
        <v>0</v>
      </c>
      <c r="AC324" s="189">
        <f t="shared" si="108"/>
        <v>0</v>
      </c>
      <c r="AD324" s="189">
        <f t="shared" si="109"/>
        <v>0</v>
      </c>
      <c r="AE324" s="189">
        <f t="shared" si="110"/>
        <v>0</v>
      </c>
    </row>
    <row r="325" spans="1:31" x14ac:dyDescent="0.4">
      <c r="A325" s="189"/>
      <c r="B325" s="189"/>
      <c r="C325" s="189"/>
      <c r="D325" s="189"/>
      <c r="E325" s="189"/>
      <c r="F325" s="189"/>
      <c r="G325" s="189"/>
      <c r="H325" s="189"/>
      <c r="J325" s="189" t="str">
        <f t="shared" si="99"/>
        <v/>
      </c>
      <c r="K325" s="189" t="str">
        <f t="shared" si="100"/>
        <v/>
      </c>
      <c r="L325" s="189" t="str">
        <f t="shared" si="101"/>
        <v/>
      </c>
      <c r="M325" s="189" t="str">
        <f t="shared" si="102"/>
        <v/>
      </c>
      <c r="N325" s="76" t="str">
        <f t="shared" si="103"/>
        <v/>
      </c>
      <c r="O325" s="20">
        <f t="shared" si="104"/>
        <v>0</v>
      </c>
      <c r="P325" s="76">
        <f t="shared" si="105"/>
        <v>0</v>
      </c>
      <c r="Q325" s="206">
        <f t="shared" si="95"/>
        <v>0</v>
      </c>
      <c r="R325" s="206">
        <f t="shared" si="96"/>
        <v>0</v>
      </c>
      <c r="S325" s="206">
        <f t="shared" si="97"/>
        <v>0</v>
      </c>
      <c r="T325" s="206">
        <f t="shared" si="98"/>
        <v>0</v>
      </c>
      <c r="AA325" s="71" t="str">
        <f t="shared" si="106"/>
        <v/>
      </c>
      <c r="AB325" s="189">
        <f t="shared" si="107"/>
        <v>0</v>
      </c>
      <c r="AC325" s="189">
        <f t="shared" si="108"/>
        <v>0</v>
      </c>
      <c r="AD325" s="189">
        <f t="shared" si="109"/>
        <v>0</v>
      </c>
      <c r="AE325" s="189">
        <f t="shared" si="110"/>
        <v>0</v>
      </c>
    </row>
    <row r="326" spans="1:31" x14ac:dyDescent="0.4">
      <c r="A326" s="189"/>
      <c r="B326" s="189"/>
      <c r="C326" s="189"/>
      <c r="D326" s="189"/>
      <c r="E326" s="189"/>
      <c r="F326" s="189"/>
      <c r="G326" s="189"/>
      <c r="H326" s="189"/>
      <c r="J326" s="189" t="str">
        <f t="shared" si="99"/>
        <v/>
      </c>
      <c r="K326" s="189" t="str">
        <f t="shared" si="100"/>
        <v/>
      </c>
      <c r="L326" s="189" t="str">
        <f t="shared" si="101"/>
        <v/>
      </c>
      <c r="M326" s="189" t="str">
        <f t="shared" si="102"/>
        <v/>
      </c>
      <c r="N326" s="76" t="str">
        <f t="shared" si="103"/>
        <v/>
      </c>
      <c r="O326" s="20">
        <f t="shared" si="104"/>
        <v>0</v>
      </c>
      <c r="P326" s="76">
        <f t="shared" si="105"/>
        <v>0</v>
      </c>
      <c r="Q326" s="206">
        <f t="shared" si="95"/>
        <v>0</v>
      </c>
      <c r="R326" s="206">
        <f t="shared" si="96"/>
        <v>0</v>
      </c>
      <c r="S326" s="206">
        <f t="shared" si="97"/>
        <v>0</v>
      </c>
      <c r="T326" s="206">
        <f t="shared" si="98"/>
        <v>0</v>
      </c>
      <c r="AA326" s="71" t="str">
        <f t="shared" si="106"/>
        <v/>
      </c>
      <c r="AB326" s="189">
        <f t="shared" si="107"/>
        <v>0</v>
      </c>
      <c r="AC326" s="189">
        <f t="shared" si="108"/>
        <v>0</v>
      </c>
      <c r="AD326" s="189">
        <f t="shared" si="109"/>
        <v>0</v>
      </c>
      <c r="AE326" s="189">
        <f t="shared" si="110"/>
        <v>0</v>
      </c>
    </row>
    <row r="327" spans="1:31" x14ac:dyDescent="0.4">
      <c r="A327" s="189"/>
      <c r="B327" s="189"/>
      <c r="C327" s="189"/>
      <c r="D327" s="189"/>
      <c r="E327" s="189"/>
      <c r="F327" s="189"/>
      <c r="G327" s="189"/>
      <c r="H327" s="189"/>
      <c r="J327" s="189" t="str">
        <f t="shared" si="99"/>
        <v/>
      </c>
      <c r="K327" s="189" t="str">
        <f t="shared" si="100"/>
        <v/>
      </c>
      <c r="L327" s="189" t="str">
        <f t="shared" si="101"/>
        <v/>
      </c>
      <c r="M327" s="189" t="str">
        <f t="shared" si="102"/>
        <v/>
      </c>
      <c r="N327" s="76" t="str">
        <f t="shared" si="103"/>
        <v/>
      </c>
      <c r="O327" s="20">
        <f t="shared" si="104"/>
        <v>0</v>
      </c>
      <c r="P327" s="76">
        <f t="shared" si="105"/>
        <v>0</v>
      </c>
      <c r="Q327" s="206">
        <f t="shared" si="95"/>
        <v>0</v>
      </c>
      <c r="R327" s="206">
        <f t="shared" si="96"/>
        <v>0</v>
      </c>
      <c r="S327" s="206">
        <f t="shared" si="97"/>
        <v>0</v>
      </c>
      <c r="T327" s="206">
        <f t="shared" si="98"/>
        <v>0</v>
      </c>
      <c r="AA327" s="71" t="str">
        <f t="shared" si="106"/>
        <v/>
      </c>
      <c r="AB327" s="189">
        <f t="shared" si="107"/>
        <v>0</v>
      </c>
      <c r="AC327" s="189">
        <f t="shared" si="108"/>
        <v>0</v>
      </c>
      <c r="AD327" s="189">
        <f t="shared" si="109"/>
        <v>0</v>
      </c>
      <c r="AE327" s="189">
        <f t="shared" si="110"/>
        <v>0</v>
      </c>
    </row>
    <row r="328" spans="1:31" x14ac:dyDescent="0.4">
      <c r="A328" s="189"/>
      <c r="B328" s="189"/>
      <c r="C328" s="189"/>
      <c r="D328" s="189"/>
      <c r="E328" s="189"/>
      <c r="F328" s="189"/>
      <c r="G328" s="189"/>
      <c r="H328" s="189"/>
      <c r="J328" s="189" t="str">
        <f t="shared" si="99"/>
        <v/>
      </c>
      <c r="K328" s="189" t="str">
        <f t="shared" si="100"/>
        <v/>
      </c>
      <c r="L328" s="189" t="str">
        <f t="shared" si="101"/>
        <v/>
      </c>
      <c r="M328" s="189" t="str">
        <f t="shared" si="102"/>
        <v/>
      </c>
      <c r="N328" s="76" t="str">
        <f t="shared" si="103"/>
        <v/>
      </c>
      <c r="O328" s="20">
        <f t="shared" si="104"/>
        <v>0</v>
      </c>
      <c r="P328" s="76">
        <f t="shared" si="105"/>
        <v>0</v>
      </c>
      <c r="Q328" s="206">
        <f t="shared" si="95"/>
        <v>0</v>
      </c>
      <c r="R328" s="206">
        <f t="shared" si="96"/>
        <v>0</v>
      </c>
      <c r="S328" s="206">
        <f t="shared" si="97"/>
        <v>0</v>
      </c>
      <c r="T328" s="206">
        <f t="shared" si="98"/>
        <v>0</v>
      </c>
      <c r="AA328" s="71" t="str">
        <f t="shared" si="106"/>
        <v/>
      </c>
      <c r="AB328" s="189">
        <f t="shared" si="107"/>
        <v>0</v>
      </c>
      <c r="AC328" s="189">
        <f t="shared" si="108"/>
        <v>0</v>
      </c>
      <c r="AD328" s="189">
        <f t="shared" si="109"/>
        <v>0</v>
      </c>
      <c r="AE328" s="189">
        <f t="shared" si="110"/>
        <v>0</v>
      </c>
    </row>
    <row r="329" spans="1:31" x14ac:dyDescent="0.4">
      <c r="A329" s="189"/>
      <c r="B329" s="189"/>
      <c r="C329" s="189"/>
      <c r="D329" s="189"/>
      <c r="E329" s="189"/>
      <c r="F329" s="189"/>
      <c r="G329" s="189"/>
      <c r="H329" s="189"/>
      <c r="J329" s="189" t="str">
        <f t="shared" si="99"/>
        <v/>
      </c>
      <c r="K329" s="189" t="str">
        <f t="shared" si="100"/>
        <v/>
      </c>
      <c r="L329" s="189" t="str">
        <f t="shared" si="101"/>
        <v/>
      </c>
      <c r="M329" s="189" t="str">
        <f t="shared" si="102"/>
        <v/>
      </c>
      <c r="N329" s="76" t="str">
        <f t="shared" si="103"/>
        <v/>
      </c>
      <c r="O329" s="20">
        <f t="shared" si="104"/>
        <v>0</v>
      </c>
      <c r="P329" s="76">
        <f t="shared" si="105"/>
        <v>0</v>
      </c>
      <c r="Q329" s="206">
        <f t="shared" si="95"/>
        <v>0</v>
      </c>
      <c r="R329" s="206">
        <f t="shared" si="96"/>
        <v>0</v>
      </c>
      <c r="S329" s="206">
        <f t="shared" si="97"/>
        <v>0</v>
      </c>
      <c r="T329" s="206">
        <f t="shared" si="98"/>
        <v>0</v>
      </c>
      <c r="AA329" s="71" t="str">
        <f t="shared" si="106"/>
        <v/>
      </c>
      <c r="AB329" s="189">
        <f t="shared" si="107"/>
        <v>0</v>
      </c>
      <c r="AC329" s="189">
        <f t="shared" si="108"/>
        <v>0</v>
      </c>
      <c r="AD329" s="189">
        <f t="shared" si="109"/>
        <v>0</v>
      </c>
      <c r="AE329" s="189">
        <f t="shared" si="110"/>
        <v>0</v>
      </c>
    </row>
    <row r="330" spans="1:31" x14ac:dyDescent="0.4">
      <c r="A330" s="189"/>
      <c r="B330" s="189"/>
      <c r="C330" s="189"/>
      <c r="D330" s="189"/>
      <c r="E330" s="189"/>
      <c r="F330" s="189"/>
      <c r="G330" s="189"/>
      <c r="H330" s="189"/>
      <c r="J330" s="189" t="str">
        <f t="shared" si="99"/>
        <v/>
      </c>
      <c r="K330" s="189" t="str">
        <f t="shared" si="100"/>
        <v/>
      </c>
      <c r="L330" s="189" t="str">
        <f t="shared" si="101"/>
        <v/>
      </c>
      <c r="M330" s="189" t="str">
        <f t="shared" si="102"/>
        <v/>
      </c>
      <c r="N330" s="76" t="str">
        <f t="shared" si="103"/>
        <v/>
      </c>
      <c r="O330" s="20">
        <f t="shared" si="104"/>
        <v>0</v>
      </c>
      <c r="P330" s="76">
        <f t="shared" si="105"/>
        <v>0</v>
      </c>
      <c r="Q330" s="206">
        <f t="shared" si="95"/>
        <v>0</v>
      </c>
      <c r="R330" s="206">
        <f t="shared" si="96"/>
        <v>0</v>
      </c>
      <c r="S330" s="206">
        <f t="shared" si="97"/>
        <v>0</v>
      </c>
      <c r="T330" s="206">
        <f t="shared" si="98"/>
        <v>0</v>
      </c>
      <c r="AA330" s="71" t="str">
        <f t="shared" si="106"/>
        <v/>
      </c>
      <c r="AB330" s="189">
        <f t="shared" si="107"/>
        <v>0</v>
      </c>
      <c r="AC330" s="189">
        <f t="shared" si="108"/>
        <v>0</v>
      </c>
      <c r="AD330" s="189">
        <f t="shared" si="109"/>
        <v>0</v>
      </c>
      <c r="AE330" s="189">
        <f t="shared" si="110"/>
        <v>0</v>
      </c>
    </row>
    <row r="331" spans="1:31" x14ac:dyDescent="0.4">
      <c r="A331" s="189"/>
      <c r="B331" s="189"/>
      <c r="C331" s="189"/>
      <c r="D331" s="189"/>
      <c r="E331" s="189"/>
      <c r="F331" s="189"/>
      <c r="G331" s="189"/>
      <c r="H331" s="189"/>
      <c r="J331" s="189" t="str">
        <f t="shared" si="99"/>
        <v/>
      </c>
      <c r="K331" s="189" t="str">
        <f t="shared" si="100"/>
        <v/>
      </c>
      <c r="L331" s="189" t="str">
        <f t="shared" si="101"/>
        <v/>
      </c>
      <c r="M331" s="189" t="str">
        <f t="shared" si="102"/>
        <v/>
      </c>
      <c r="N331" s="76" t="str">
        <f t="shared" si="103"/>
        <v/>
      </c>
      <c r="O331" s="20">
        <f t="shared" si="104"/>
        <v>0</v>
      </c>
      <c r="P331" s="76">
        <f t="shared" si="105"/>
        <v>0</v>
      </c>
      <c r="Q331" s="206">
        <f t="shared" si="95"/>
        <v>0</v>
      </c>
      <c r="R331" s="206">
        <f t="shared" si="96"/>
        <v>0</v>
      </c>
      <c r="S331" s="206">
        <f t="shared" si="97"/>
        <v>0</v>
      </c>
      <c r="T331" s="206">
        <f t="shared" si="98"/>
        <v>0</v>
      </c>
      <c r="AA331" s="71" t="str">
        <f t="shared" si="106"/>
        <v/>
      </c>
      <c r="AB331" s="189">
        <f t="shared" si="107"/>
        <v>0</v>
      </c>
      <c r="AC331" s="189">
        <f t="shared" si="108"/>
        <v>0</v>
      </c>
      <c r="AD331" s="189">
        <f t="shared" si="109"/>
        <v>0</v>
      </c>
      <c r="AE331" s="189">
        <f t="shared" si="110"/>
        <v>0</v>
      </c>
    </row>
    <row r="332" spans="1:31" x14ac:dyDescent="0.4">
      <c r="A332" s="189"/>
      <c r="B332" s="189"/>
      <c r="C332" s="189"/>
      <c r="D332" s="189"/>
      <c r="E332" s="189"/>
      <c r="F332" s="189"/>
      <c r="G332" s="189"/>
      <c r="H332" s="189"/>
      <c r="J332" s="189" t="str">
        <f t="shared" si="99"/>
        <v/>
      </c>
      <c r="K332" s="189" t="str">
        <f t="shared" si="100"/>
        <v/>
      </c>
      <c r="L332" s="189" t="str">
        <f t="shared" si="101"/>
        <v/>
      </c>
      <c r="M332" s="189" t="str">
        <f t="shared" si="102"/>
        <v/>
      </c>
      <c r="N332" s="76" t="str">
        <f t="shared" si="103"/>
        <v/>
      </c>
      <c r="O332" s="20">
        <f t="shared" si="104"/>
        <v>0</v>
      </c>
      <c r="P332" s="76">
        <f t="shared" si="105"/>
        <v>0</v>
      </c>
      <c r="Q332" s="206">
        <f t="shared" si="95"/>
        <v>0</v>
      </c>
      <c r="R332" s="206">
        <f t="shared" si="96"/>
        <v>0</v>
      </c>
      <c r="S332" s="206">
        <f t="shared" si="97"/>
        <v>0</v>
      </c>
      <c r="T332" s="206">
        <f t="shared" si="98"/>
        <v>0</v>
      </c>
      <c r="AA332" s="71" t="str">
        <f t="shared" si="106"/>
        <v/>
      </c>
      <c r="AB332" s="189">
        <f t="shared" si="107"/>
        <v>0</v>
      </c>
      <c r="AC332" s="189">
        <f t="shared" si="108"/>
        <v>0</v>
      </c>
      <c r="AD332" s="189">
        <f t="shared" si="109"/>
        <v>0</v>
      </c>
      <c r="AE332" s="189">
        <f t="shared" si="110"/>
        <v>0</v>
      </c>
    </row>
    <row r="333" spans="1:31" x14ac:dyDescent="0.4">
      <c r="A333" s="189"/>
      <c r="B333" s="189"/>
      <c r="C333" s="189"/>
      <c r="D333" s="189"/>
      <c r="E333" s="189"/>
      <c r="F333" s="189"/>
      <c r="G333" s="189"/>
      <c r="H333" s="189"/>
      <c r="J333" s="189" t="str">
        <f t="shared" si="99"/>
        <v/>
      </c>
      <c r="K333" s="189" t="str">
        <f t="shared" si="100"/>
        <v/>
      </c>
      <c r="L333" s="189" t="str">
        <f t="shared" si="101"/>
        <v/>
      </c>
      <c r="M333" s="189" t="str">
        <f t="shared" si="102"/>
        <v/>
      </c>
      <c r="N333" s="76" t="str">
        <f t="shared" si="103"/>
        <v/>
      </c>
      <c r="O333" s="20">
        <f t="shared" si="104"/>
        <v>0</v>
      </c>
      <c r="P333" s="76">
        <f t="shared" si="105"/>
        <v>0</v>
      </c>
      <c r="Q333" s="206">
        <f t="shared" si="95"/>
        <v>0</v>
      </c>
      <c r="R333" s="206">
        <f t="shared" si="96"/>
        <v>0</v>
      </c>
      <c r="S333" s="206">
        <f t="shared" si="97"/>
        <v>0</v>
      </c>
      <c r="T333" s="206">
        <f t="shared" si="98"/>
        <v>0</v>
      </c>
      <c r="AA333" s="71" t="str">
        <f t="shared" si="106"/>
        <v/>
      </c>
      <c r="AB333" s="189">
        <f t="shared" si="107"/>
        <v>0</v>
      </c>
      <c r="AC333" s="189">
        <f t="shared" si="108"/>
        <v>0</v>
      </c>
      <c r="AD333" s="189">
        <f t="shared" si="109"/>
        <v>0</v>
      </c>
      <c r="AE333" s="189">
        <f t="shared" si="110"/>
        <v>0</v>
      </c>
    </row>
    <row r="334" spans="1:31" x14ac:dyDescent="0.4">
      <c r="A334" s="189"/>
      <c r="B334" s="189"/>
      <c r="C334" s="189"/>
      <c r="D334" s="189"/>
      <c r="E334" s="189"/>
      <c r="F334" s="189"/>
      <c r="G334" s="189"/>
      <c r="H334" s="189"/>
      <c r="J334" s="189" t="str">
        <f t="shared" si="99"/>
        <v/>
      </c>
      <c r="K334" s="189" t="str">
        <f t="shared" si="100"/>
        <v/>
      </c>
      <c r="L334" s="189" t="str">
        <f t="shared" si="101"/>
        <v/>
      </c>
      <c r="M334" s="189" t="str">
        <f t="shared" si="102"/>
        <v/>
      </c>
      <c r="N334" s="76" t="str">
        <f t="shared" si="103"/>
        <v/>
      </c>
      <c r="O334" s="20">
        <f t="shared" si="104"/>
        <v>0</v>
      </c>
      <c r="P334" s="76">
        <f t="shared" si="105"/>
        <v>0</v>
      </c>
      <c r="Q334" s="206">
        <f t="shared" si="95"/>
        <v>0</v>
      </c>
      <c r="R334" s="206">
        <f t="shared" si="96"/>
        <v>0</v>
      </c>
      <c r="S334" s="206">
        <f t="shared" si="97"/>
        <v>0</v>
      </c>
      <c r="T334" s="206">
        <f t="shared" si="98"/>
        <v>0</v>
      </c>
      <c r="AA334" s="71" t="str">
        <f t="shared" si="106"/>
        <v/>
      </c>
      <c r="AB334" s="189">
        <f t="shared" si="107"/>
        <v>0</v>
      </c>
      <c r="AC334" s="189">
        <f t="shared" si="108"/>
        <v>0</v>
      </c>
      <c r="AD334" s="189">
        <f t="shared" si="109"/>
        <v>0</v>
      </c>
      <c r="AE334" s="189">
        <f t="shared" si="110"/>
        <v>0</v>
      </c>
    </row>
    <row r="335" spans="1:31" x14ac:dyDescent="0.4">
      <c r="A335" s="189"/>
      <c r="B335" s="189"/>
      <c r="C335" s="189"/>
      <c r="D335" s="189"/>
      <c r="E335" s="189"/>
      <c r="F335" s="189"/>
      <c r="G335" s="189"/>
      <c r="H335" s="189"/>
      <c r="J335" s="189" t="str">
        <f t="shared" si="99"/>
        <v/>
      </c>
      <c r="K335" s="189" t="str">
        <f t="shared" si="100"/>
        <v/>
      </c>
      <c r="L335" s="189" t="str">
        <f t="shared" si="101"/>
        <v/>
      </c>
      <c r="M335" s="189" t="str">
        <f t="shared" si="102"/>
        <v/>
      </c>
      <c r="N335" s="76" t="str">
        <f t="shared" si="103"/>
        <v/>
      </c>
      <c r="O335" s="20">
        <f t="shared" si="104"/>
        <v>0</v>
      </c>
      <c r="P335" s="76">
        <f t="shared" si="105"/>
        <v>0</v>
      </c>
      <c r="Q335" s="206">
        <f t="shared" si="95"/>
        <v>0</v>
      </c>
      <c r="R335" s="206">
        <f t="shared" si="96"/>
        <v>0</v>
      </c>
      <c r="S335" s="206">
        <f t="shared" si="97"/>
        <v>0</v>
      </c>
      <c r="T335" s="206">
        <f t="shared" si="98"/>
        <v>0</v>
      </c>
      <c r="AA335" s="71" t="str">
        <f t="shared" si="106"/>
        <v/>
      </c>
      <c r="AB335" s="189">
        <f t="shared" si="107"/>
        <v>0</v>
      </c>
      <c r="AC335" s="189">
        <f t="shared" si="108"/>
        <v>0</v>
      </c>
      <c r="AD335" s="189">
        <f t="shared" si="109"/>
        <v>0</v>
      </c>
      <c r="AE335" s="189">
        <f t="shared" si="110"/>
        <v>0</v>
      </c>
    </row>
    <row r="336" spans="1:31" x14ac:dyDescent="0.4">
      <c r="A336" s="189"/>
      <c r="B336" s="189"/>
      <c r="C336" s="189"/>
      <c r="D336" s="189"/>
      <c r="E336" s="189"/>
      <c r="F336" s="189"/>
      <c r="G336" s="189"/>
      <c r="H336" s="189"/>
      <c r="J336" s="189" t="str">
        <f t="shared" si="99"/>
        <v/>
      </c>
      <c r="K336" s="189" t="str">
        <f t="shared" si="100"/>
        <v/>
      </c>
      <c r="L336" s="189" t="str">
        <f t="shared" si="101"/>
        <v/>
      </c>
      <c r="M336" s="189" t="str">
        <f t="shared" si="102"/>
        <v/>
      </c>
      <c r="N336" s="76" t="str">
        <f t="shared" si="103"/>
        <v/>
      </c>
      <c r="O336" s="20">
        <f t="shared" si="104"/>
        <v>0</v>
      </c>
      <c r="P336" s="76">
        <f t="shared" si="105"/>
        <v>0</v>
      </c>
      <c r="Q336" s="206">
        <f t="shared" si="95"/>
        <v>0</v>
      </c>
      <c r="R336" s="206">
        <f t="shared" si="96"/>
        <v>0</v>
      </c>
      <c r="S336" s="206">
        <f t="shared" si="97"/>
        <v>0</v>
      </c>
      <c r="T336" s="206">
        <f t="shared" si="98"/>
        <v>0</v>
      </c>
      <c r="AA336" s="71" t="str">
        <f t="shared" si="106"/>
        <v/>
      </c>
      <c r="AB336" s="189">
        <f t="shared" si="107"/>
        <v>0</v>
      </c>
      <c r="AC336" s="189">
        <f t="shared" si="108"/>
        <v>0</v>
      </c>
      <c r="AD336" s="189">
        <f t="shared" si="109"/>
        <v>0</v>
      </c>
      <c r="AE336" s="189">
        <f t="shared" si="110"/>
        <v>0</v>
      </c>
    </row>
    <row r="337" spans="1:31" x14ac:dyDescent="0.4">
      <c r="A337" s="189"/>
      <c r="B337" s="189"/>
      <c r="C337" s="189"/>
      <c r="D337" s="189"/>
      <c r="E337" s="189"/>
      <c r="F337" s="189"/>
      <c r="G337" s="189"/>
      <c r="H337" s="189"/>
      <c r="J337" s="189" t="str">
        <f t="shared" si="99"/>
        <v/>
      </c>
      <c r="K337" s="189" t="str">
        <f t="shared" si="100"/>
        <v/>
      </c>
      <c r="L337" s="189" t="str">
        <f t="shared" si="101"/>
        <v/>
      </c>
      <c r="M337" s="189" t="str">
        <f t="shared" si="102"/>
        <v/>
      </c>
      <c r="N337" s="76" t="str">
        <f t="shared" si="103"/>
        <v/>
      </c>
      <c r="O337" s="20">
        <f t="shared" si="104"/>
        <v>0</v>
      </c>
      <c r="P337" s="76">
        <f t="shared" si="105"/>
        <v>0</v>
      </c>
      <c r="Q337" s="206">
        <f t="shared" si="95"/>
        <v>0</v>
      </c>
      <c r="R337" s="206">
        <f t="shared" si="96"/>
        <v>0</v>
      </c>
      <c r="S337" s="206">
        <f t="shared" si="97"/>
        <v>0</v>
      </c>
      <c r="T337" s="206">
        <f t="shared" si="98"/>
        <v>0</v>
      </c>
      <c r="AA337" s="71" t="str">
        <f t="shared" si="106"/>
        <v/>
      </c>
      <c r="AB337" s="189">
        <f t="shared" si="107"/>
        <v>0</v>
      </c>
      <c r="AC337" s="189">
        <f t="shared" si="108"/>
        <v>0</v>
      </c>
      <c r="AD337" s="189">
        <f t="shared" si="109"/>
        <v>0</v>
      </c>
      <c r="AE337" s="189">
        <f t="shared" si="110"/>
        <v>0</v>
      </c>
    </row>
    <row r="338" spans="1:31" x14ac:dyDescent="0.4">
      <c r="A338" s="189"/>
      <c r="B338" s="189"/>
      <c r="C338" s="189"/>
      <c r="D338" s="189"/>
      <c r="E338" s="189"/>
      <c r="F338" s="189"/>
      <c r="G338" s="189"/>
      <c r="H338" s="189"/>
      <c r="J338" s="189" t="str">
        <f t="shared" si="99"/>
        <v/>
      </c>
      <c r="K338" s="189" t="str">
        <f t="shared" si="100"/>
        <v/>
      </c>
      <c r="L338" s="189" t="str">
        <f t="shared" si="101"/>
        <v/>
      </c>
      <c r="M338" s="189" t="str">
        <f t="shared" si="102"/>
        <v/>
      </c>
      <c r="N338" s="76" t="str">
        <f t="shared" si="103"/>
        <v/>
      </c>
      <c r="O338" s="20">
        <f t="shared" si="104"/>
        <v>0</v>
      </c>
      <c r="P338" s="76">
        <f t="shared" si="105"/>
        <v>0</v>
      </c>
      <c r="Q338" s="206">
        <f t="shared" si="95"/>
        <v>0</v>
      </c>
      <c r="R338" s="206">
        <f t="shared" si="96"/>
        <v>0</v>
      </c>
      <c r="S338" s="206">
        <f t="shared" si="97"/>
        <v>0</v>
      </c>
      <c r="T338" s="206">
        <f t="shared" si="98"/>
        <v>0</v>
      </c>
      <c r="AA338" s="71" t="str">
        <f t="shared" si="106"/>
        <v/>
      </c>
      <c r="AB338" s="189">
        <f t="shared" si="107"/>
        <v>0</v>
      </c>
      <c r="AC338" s="189">
        <f t="shared" si="108"/>
        <v>0</v>
      </c>
      <c r="AD338" s="189">
        <f t="shared" si="109"/>
        <v>0</v>
      </c>
      <c r="AE338" s="189">
        <f t="shared" si="110"/>
        <v>0</v>
      </c>
    </row>
    <row r="339" spans="1:31" x14ac:dyDescent="0.4">
      <c r="A339" s="189"/>
      <c r="B339" s="189"/>
      <c r="C339" s="189"/>
      <c r="D339" s="189"/>
      <c r="E339" s="189"/>
      <c r="F339" s="189"/>
      <c r="G339" s="189"/>
      <c r="H339" s="189"/>
      <c r="J339" s="189" t="str">
        <f t="shared" si="99"/>
        <v/>
      </c>
      <c r="K339" s="189" t="str">
        <f t="shared" si="100"/>
        <v/>
      </c>
      <c r="L339" s="189" t="str">
        <f t="shared" si="101"/>
        <v/>
      </c>
      <c r="M339" s="189" t="str">
        <f t="shared" si="102"/>
        <v/>
      </c>
      <c r="N339" s="76" t="str">
        <f t="shared" si="103"/>
        <v/>
      </c>
      <c r="O339" s="20">
        <f t="shared" si="104"/>
        <v>0</v>
      </c>
      <c r="P339" s="76">
        <f t="shared" si="105"/>
        <v>0</v>
      </c>
      <c r="Q339" s="206">
        <f t="shared" si="95"/>
        <v>0</v>
      </c>
      <c r="R339" s="206">
        <f t="shared" si="96"/>
        <v>0</v>
      </c>
      <c r="S339" s="206">
        <f t="shared" si="97"/>
        <v>0</v>
      </c>
      <c r="T339" s="206">
        <f t="shared" si="98"/>
        <v>0</v>
      </c>
      <c r="AA339" s="71" t="str">
        <f t="shared" si="106"/>
        <v/>
      </c>
      <c r="AB339" s="189">
        <f t="shared" si="107"/>
        <v>0</v>
      </c>
      <c r="AC339" s="189">
        <f t="shared" si="108"/>
        <v>0</v>
      </c>
      <c r="AD339" s="189">
        <f t="shared" si="109"/>
        <v>0</v>
      </c>
      <c r="AE339" s="189">
        <f t="shared" si="110"/>
        <v>0</v>
      </c>
    </row>
    <row r="340" spans="1:31" x14ac:dyDescent="0.4">
      <c r="A340" s="189"/>
      <c r="B340" s="189"/>
      <c r="C340" s="189"/>
      <c r="D340" s="189"/>
      <c r="E340" s="189"/>
      <c r="F340" s="189"/>
      <c r="G340" s="189"/>
      <c r="H340" s="189"/>
      <c r="J340" s="189" t="str">
        <f t="shared" si="99"/>
        <v/>
      </c>
      <c r="K340" s="189" t="str">
        <f t="shared" si="100"/>
        <v/>
      </c>
      <c r="L340" s="189" t="str">
        <f t="shared" si="101"/>
        <v/>
      </c>
      <c r="M340" s="189" t="str">
        <f t="shared" si="102"/>
        <v/>
      </c>
      <c r="N340" s="76" t="str">
        <f t="shared" si="103"/>
        <v/>
      </c>
      <c r="O340" s="20">
        <f t="shared" si="104"/>
        <v>0</v>
      </c>
      <c r="P340" s="76">
        <f t="shared" si="105"/>
        <v>0</v>
      </c>
      <c r="Q340" s="206">
        <f t="shared" si="95"/>
        <v>0</v>
      </c>
      <c r="R340" s="206">
        <f t="shared" si="96"/>
        <v>0</v>
      </c>
      <c r="S340" s="206">
        <f t="shared" si="97"/>
        <v>0</v>
      </c>
      <c r="T340" s="206">
        <f t="shared" si="98"/>
        <v>0</v>
      </c>
      <c r="AA340" s="71" t="str">
        <f t="shared" si="106"/>
        <v/>
      </c>
      <c r="AB340" s="189">
        <f t="shared" si="107"/>
        <v>0</v>
      </c>
      <c r="AC340" s="189">
        <f t="shared" si="108"/>
        <v>0</v>
      </c>
      <c r="AD340" s="189">
        <f t="shared" si="109"/>
        <v>0</v>
      </c>
      <c r="AE340" s="189">
        <f t="shared" si="110"/>
        <v>0</v>
      </c>
    </row>
    <row r="341" spans="1:31" x14ac:dyDescent="0.4">
      <c r="A341" s="189"/>
      <c r="B341" s="189"/>
      <c r="C341" s="189"/>
      <c r="D341" s="189"/>
      <c r="E341" s="189"/>
      <c r="F341" s="189"/>
      <c r="G341" s="189"/>
      <c r="H341" s="189"/>
      <c r="J341" s="189" t="str">
        <f t="shared" si="99"/>
        <v/>
      </c>
      <c r="K341" s="189" t="str">
        <f t="shared" si="100"/>
        <v/>
      </c>
      <c r="L341" s="189" t="str">
        <f t="shared" si="101"/>
        <v/>
      </c>
      <c r="M341" s="189" t="str">
        <f t="shared" si="102"/>
        <v/>
      </c>
      <c r="N341" s="76" t="str">
        <f t="shared" si="103"/>
        <v/>
      </c>
      <c r="O341" s="20">
        <f t="shared" si="104"/>
        <v>0</v>
      </c>
      <c r="P341" s="76">
        <f t="shared" si="105"/>
        <v>0</v>
      </c>
      <c r="Q341" s="206">
        <f t="shared" si="95"/>
        <v>0</v>
      </c>
      <c r="R341" s="206">
        <f t="shared" si="96"/>
        <v>0</v>
      </c>
      <c r="S341" s="206">
        <f t="shared" si="97"/>
        <v>0</v>
      </c>
      <c r="T341" s="206">
        <f t="shared" si="98"/>
        <v>0</v>
      </c>
      <c r="AA341" s="71" t="str">
        <f t="shared" si="106"/>
        <v/>
      </c>
      <c r="AB341" s="189">
        <f t="shared" si="107"/>
        <v>0</v>
      </c>
      <c r="AC341" s="189">
        <f t="shared" si="108"/>
        <v>0</v>
      </c>
      <c r="AD341" s="189">
        <f t="shared" si="109"/>
        <v>0</v>
      </c>
      <c r="AE341" s="189">
        <f t="shared" si="110"/>
        <v>0</v>
      </c>
    </row>
    <row r="342" spans="1:31" x14ac:dyDescent="0.4">
      <c r="A342" s="189"/>
      <c r="B342" s="189"/>
      <c r="C342" s="189"/>
      <c r="D342" s="189"/>
      <c r="E342" s="189"/>
      <c r="F342" s="189"/>
      <c r="G342" s="189"/>
      <c r="H342" s="189"/>
      <c r="J342" s="189" t="str">
        <f t="shared" si="99"/>
        <v/>
      </c>
      <c r="K342" s="189" t="str">
        <f t="shared" si="100"/>
        <v/>
      </c>
      <c r="L342" s="189" t="str">
        <f t="shared" si="101"/>
        <v/>
      </c>
      <c r="M342" s="189" t="str">
        <f t="shared" si="102"/>
        <v/>
      </c>
      <c r="N342" s="76" t="str">
        <f t="shared" si="103"/>
        <v/>
      </c>
      <c r="O342" s="20">
        <f t="shared" si="104"/>
        <v>0</v>
      </c>
      <c r="P342" s="76">
        <f t="shared" si="105"/>
        <v>0</v>
      </c>
      <c r="Q342" s="206">
        <f t="shared" si="95"/>
        <v>0</v>
      </c>
      <c r="R342" s="206">
        <f t="shared" si="96"/>
        <v>0</v>
      </c>
      <c r="S342" s="206">
        <f t="shared" si="97"/>
        <v>0</v>
      </c>
      <c r="T342" s="206">
        <f t="shared" si="98"/>
        <v>0</v>
      </c>
      <c r="AA342" s="71" t="str">
        <f t="shared" si="106"/>
        <v/>
      </c>
      <c r="AB342" s="189">
        <f t="shared" si="107"/>
        <v>0</v>
      </c>
      <c r="AC342" s="189">
        <f t="shared" si="108"/>
        <v>0</v>
      </c>
      <c r="AD342" s="189">
        <f t="shared" si="109"/>
        <v>0</v>
      </c>
      <c r="AE342" s="189">
        <f t="shared" si="110"/>
        <v>0</v>
      </c>
    </row>
    <row r="343" spans="1:31" x14ac:dyDescent="0.4">
      <c r="A343" s="189"/>
      <c r="B343" s="189"/>
      <c r="C343" s="189"/>
      <c r="D343" s="189"/>
      <c r="E343" s="189"/>
      <c r="F343" s="189"/>
      <c r="G343" s="189"/>
      <c r="H343" s="189"/>
      <c r="J343" s="189" t="str">
        <f t="shared" si="99"/>
        <v/>
      </c>
      <c r="K343" s="189" t="str">
        <f t="shared" si="100"/>
        <v/>
      </c>
      <c r="L343" s="189" t="str">
        <f t="shared" si="101"/>
        <v/>
      </c>
      <c r="M343" s="189" t="str">
        <f t="shared" si="102"/>
        <v/>
      </c>
      <c r="N343" s="76" t="str">
        <f t="shared" si="103"/>
        <v/>
      </c>
      <c r="O343" s="20">
        <f t="shared" si="104"/>
        <v>0</v>
      </c>
      <c r="P343" s="76">
        <f t="shared" si="105"/>
        <v>0</v>
      </c>
      <c r="Q343" s="206">
        <f t="shared" si="95"/>
        <v>0</v>
      </c>
      <c r="R343" s="206">
        <f t="shared" si="96"/>
        <v>0</v>
      </c>
      <c r="S343" s="206">
        <f t="shared" si="97"/>
        <v>0</v>
      </c>
      <c r="T343" s="206">
        <f t="shared" si="98"/>
        <v>0</v>
      </c>
      <c r="AA343" s="71" t="str">
        <f t="shared" si="106"/>
        <v/>
      </c>
      <c r="AB343" s="189">
        <f t="shared" si="107"/>
        <v>0</v>
      </c>
      <c r="AC343" s="189">
        <f t="shared" si="108"/>
        <v>0</v>
      </c>
      <c r="AD343" s="189">
        <f t="shared" si="109"/>
        <v>0</v>
      </c>
      <c r="AE343" s="189">
        <f t="shared" si="110"/>
        <v>0</v>
      </c>
    </row>
    <row r="344" spans="1:31" x14ac:dyDescent="0.4">
      <c r="A344" s="189"/>
      <c r="B344" s="189"/>
      <c r="C344" s="189"/>
      <c r="D344" s="189"/>
      <c r="E344" s="189"/>
      <c r="F344" s="189"/>
      <c r="G344" s="189"/>
      <c r="H344" s="189"/>
      <c r="J344" s="189" t="str">
        <f t="shared" si="99"/>
        <v/>
      </c>
      <c r="K344" s="189" t="str">
        <f t="shared" si="100"/>
        <v/>
      </c>
      <c r="L344" s="189" t="str">
        <f t="shared" si="101"/>
        <v/>
      </c>
      <c r="M344" s="189" t="str">
        <f t="shared" si="102"/>
        <v/>
      </c>
      <c r="N344" s="76" t="str">
        <f t="shared" si="103"/>
        <v/>
      </c>
      <c r="O344" s="20">
        <f t="shared" si="104"/>
        <v>0</v>
      </c>
      <c r="P344" s="76">
        <f t="shared" si="105"/>
        <v>0</v>
      </c>
      <c r="Q344" s="206">
        <f t="shared" si="95"/>
        <v>0</v>
      </c>
      <c r="R344" s="206">
        <f t="shared" si="96"/>
        <v>0</v>
      </c>
      <c r="S344" s="206">
        <f t="shared" si="97"/>
        <v>0</v>
      </c>
      <c r="T344" s="206">
        <f t="shared" si="98"/>
        <v>0</v>
      </c>
      <c r="AA344" s="71" t="str">
        <f t="shared" si="106"/>
        <v/>
      </c>
      <c r="AB344" s="189">
        <f t="shared" si="107"/>
        <v>0</v>
      </c>
      <c r="AC344" s="189">
        <f t="shared" si="108"/>
        <v>0</v>
      </c>
      <c r="AD344" s="189">
        <f t="shared" si="109"/>
        <v>0</v>
      </c>
      <c r="AE344" s="189">
        <f t="shared" si="110"/>
        <v>0</v>
      </c>
    </row>
    <row r="345" spans="1:31" x14ac:dyDescent="0.4">
      <c r="A345" s="189"/>
      <c r="B345" s="189"/>
      <c r="C345" s="189"/>
      <c r="D345" s="189"/>
      <c r="E345" s="189"/>
      <c r="F345" s="189"/>
      <c r="G345" s="189"/>
      <c r="H345" s="189"/>
      <c r="J345" s="189" t="str">
        <f t="shared" si="99"/>
        <v/>
      </c>
      <c r="K345" s="189" t="str">
        <f t="shared" si="100"/>
        <v/>
      </c>
      <c r="L345" s="189" t="str">
        <f t="shared" si="101"/>
        <v/>
      </c>
      <c r="M345" s="189" t="str">
        <f t="shared" si="102"/>
        <v/>
      </c>
      <c r="N345" s="76" t="str">
        <f t="shared" si="103"/>
        <v/>
      </c>
      <c r="O345" s="20">
        <f t="shared" si="104"/>
        <v>0</v>
      </c>
      <c r="P345" s="76">
        <f t="shared" si="105"/>
        <v>0</v>
      </c>
      <c r="Q345" s="206">
        <f t="shared" si="95"/>
        <v>0</v>
      </c>
      <c r="R345" s="206">
        <f t="shared" si="96"/>
        <v>0</v>
      </c>
      <c r="S345" s="206">
        <f t="shared" si="97"/>
        <v>0</v>
      </c>
      <c r="T345" s="206">
        <f t="shared" si="98"/>
        <v>0</v>
      </c>
      <c r="AA345" s="71" t="str">
        <f t="shared" si="106"/>
        <v/>
      </c>
      <c r="AB345" s="189">
        <f t="shared" si="107"/>
        <v>0</v>
      </c>
      <c r="AC345" s="189">
        <f t="shared" si="108"/>
        <v>0</v>
      </c>
      <c r="AD345" s="189">
        <f t="shared" si="109"/>
        <v>0</v>
      </c>
      <c r="AE345" s="189">
        <f t="shared" si="110"/>
        <v>0</v>
      </c>
    </row>
    <row r="346" spans="1:31" x14ac:dyDescent="0.4">
      <c r="A346" s="189"/>
      <c r="B346" s="189"/>
      <c r="C346" s="189"/>
      <c r="D346" s="189"/>
      <c r="E346" s="189"/>
      <c r="F346" s="189"/>
      <c r="G346" s="189"/>
      <c r="H346" s="189"/>
      <c r="J346" s="189" t="str">
        <f t="shared" si="99"/>
        <v/>
      </c>
      <c r="K346" s="189" t="str">
        <f t="shared" si="100"/>
        <v/>
      </c>
      <c r="L346" s="189" t="str">
        <f t="shared" si="101"/>
        <v/>
      </c>
      <c r="M346" s="189" t="str">
        <f t="shared" si="102"/>
        <v/>
      </c>
      <c r="N346" s="76" t="str">
        <f t="shared" si="103"/>
        <v/>
      </c>
      <c r="O346" s="20">
        <f t="shared" si="104"/>
        <v>0</v>
      </c>
      <c r="P346" s="76">
        <f t="shared" si="105"/>
        <v>0</v>
      </c>
      <c r="Q346" s="206">
        <f t="shared" si="95"/>
        <v>0</v>
      </c>
      <c r="R346" s="206">
        <f t="shared" si="96"/>
        <v>0</v>
      </c>
      <c r="S346" s="206">
        <f t="shared" si="97"/>
        <v>0</v>
      </c>
      <c r="T346" s="206">
        <f t="shared" si="98"/>
        <v>0</v>
      </c>
      <c r="AA346" s="71" t="str">
        <f t="shared" si="106"/>
        <v/>
      </c>
      <c r="AB346" s="189">
        <f t="shared" si="107"/>
        <v>0</v>
      </c>
      <c r="AC346" s="189">
        <f t="shared" si="108"/>
        <v>0</v>
      </c>
      <c r="AD346" s="189">
        <f t="shared" si="109"/>
        <v>0</v>
      </c>
      <c r="AE346" s="189">
        <f t="shared" si="110"/>
        <v>0</v>
      </c>
    </row>
    <row r="347" spans="1:31" x14ac:dyDescent="0.4">
      <c r="A347" s="189"/>
      <c r="B347" s="189"/>
      <c r="C347" s="189"/>
      <c r="D347" s="189"/>
      <c r="E347" s="189"/>
      <c r="F347" s="189"/>
      <c r="G347" s="189"/>
      <c r="H347" s="189"/>
      <c r="J347" s="189" t="str">
        <f t="shared" si="99"/>
        <v/>
      </c>
      <c r="K347" s="189" t="str">
        <f t="shared" si="100"/>
        <v/>
      </c>
      <c r="L347" s="189" t="str">
        <f t="shared" si="101"/>
        <v/>
      </c>
      <c r="M347" s="189" t="str">
        <f t="shared" si="102"/>
        <v/>
      </c>
      <c r="N347" s="76" t="str">
        <f t="shared" si="103"/>
        <v/>
      </c>
      <c r="O347" s="20">
        <f t="shared" si="104"/>
        <v>0</v>
      </c>
      <c r="P347" s="76">
        <f t="shared" si="105"/>
        <v>0</v>
      </c>
      <c r="Q347" s="206">
        <f t="shared" si="95"/>
        <v>0</v>
      </c>
      <c r="R347" s="206">
        <f t="shared" si="96"/>
        <v>0</v>
      </c>
      <c r="S347" s="206">
        <f t="shared" si="97"/>
        <v>0</v>
      </c>
      <c r="T347" s="206">
        <f t="shared" si="98"/>
        <v>0</v>
      </c>
      <c r="AA347" s="71" t="str">
        <f t="shared" si="106"/>
        <v/>
      </c>
      <c r="AB347" s="189">
        <f t="shared" si="107"/>
        <v>0</v>
      </c>
      <c r="AC347" s="189">
        <f t="shared" si="108"/>
        <v>0</v>
      </c>
      <c r="AD347" s="189">
        <f t="shared" si="109"/>
        <v>0</v>
      </c>
      <c r="AE347" s="189">
        <f t="shared" si="110"/>
        <v>0</v>
      </c>
    </row>
    <row r="348" spans="1:31" x14ac:dyDescent="0.4">
      <c r="A348" s="189"/>
      <c r="B348" s="189"/>
      <c r="C348" s="189"/>
      <c r="D348" s="189"/>
      <c r="E348" s="189"/>
      <c r="F348" s="189"/>
      <c r="G348" s="189"/>
      <c r="H348" s="189"/>
      <c r="J348" s="189" t="str">
        <f t="shared" si="99"/>
        <v/>
      </c>
      <c r="K348" s="189" t="str">
        <f t="shared" si="100"/>
        <v/>
      </c>
      <c r="L348" s="189" t="str">
        <f t="shared" si="101"/>
        <v/>
      </c>
      <c r="M348" s="189" t="str">
        <f t="shared" si="102"/>
        <v/>
      </c>
      <c r="N348" s="76" t="str">
        <f t="shared" si="103"/>
        <v/>
      </c>
      <c r="O348" s="20">
        <f t="shared" si="104"/>
        <v>0</v>
      </c>
      <c r="P348" s="76">
        <f t="shared" si="105"/>
        <v>0</v>
      </c>
      <c r="Q348" s="206">
        <f t="shared" si="95"/>
        <v>0</v>
      </c>
      <c r="R348" s="206">
        <f t="shared" si="96"/>
        <v>0</v>
      </c>
      <c r="S348" s="206">
        <f t="shared" si="97"/>
        <v>0</v>
      </c>
      <c r="T348" s="206">
        <f t="shared" si="98"/>
        <v>0</v>
      </c>
      <c r="AA348" s="71" t="str">
        <f t="shared" ref="AA348:AA411" si="111">N348</f>
        <v/>
      </c>
      <c r="AB348" s="189">
        <f t="shared" ref="AB348:AB411" si="112">IFERROR(IF(FIND("Km",$B348),IF($B349="",IF(FIND("Pax",C349),VALUE((LEFT(C349,LEN(C349)-4))),))),0)</f>
        <v>0</v>
      </c>
      <c r="AC348" s="189">
        <f t="shared" ref="AC348:AC411" si="113">IFERROR(IF(FIND("Km",$B348),IF($B349="",IF(FIND("Pax",D349),VALUE((LEFT(D349,LEN(D349)-4))),))),0)</f>
        <v>0</v>
      </c>
      <c r="AD348" s="189">
        <f t="shared" ref="AD348:AD411" si="114">IFERROR(IF(FIND("Km",$B348),IF($B349="",IF(FIND("Pax",E349),VALUE((LEFT(E349,LEN(E349)-4))),))),0)</f>
        <v>0</v>
      </c>
      <c r="AE348" s="189">
        <f t="shared" ref="AE348:AE411" si="115">IFERROR(IF($J348&lt;&gt;"",VALUE(LEFT(F349,LEN(F349)-7)),0),1)</f>
        <v>0</v>
      </c>
    </row>
    <row r="349" spans="1:31" x14ac:dyDescent="0.4">
      <c r="A349" s="189"/>
      <c r="B349" s="189"/>
      <c r="C349" s="189"/>
      <c r="D349" s="189"/>
      <c r="E349" s="189"/>
      <c r="F349" s="189"/>
      <c r="G349" s="189"/>
      <c r="H349" s="189"/>
      <c r="J349" s="189" t="str">
        <f t="shared" si="99"/>
        <v/>
      </c>
      <c r="K349" s="189" t="str">
        <f t="shared" si="100"/>
        <v/>
      </c>
      <c r="L349" s="189" t="str">
        <f t="shared" si="101"/>
        <v/>
      </c>
      <c r="M349" s="189" t="str">
        <f t="shared" si="102"/>
        <v/>
      </c>
      <c r="N349" s="76" t="str">
        <f t="shared" si="103"/>
        <v/>
      </c>
      <c r="O349" s="20">
        <f t="shared" si="104"/>
        <v>0</v>
      </c>
      <c r="P349" s="76">
        <f t="shared" si="105"/>
        <v>0</v>
      </c>
      <c r="Q349" s="206">
        <f t="shared" si="95"/>
        <v>0</v>
      </c>
      <c r="R349" s="206">
        <f t="shared" si="96"/>
        <v>0</v>
      </c>
      <c r="S349" s="206">
        <f t="shared" si="97"/>
        <v>0</v>
      </c>
      <c r="T349" s="206">
        <f t="shared" si="98"/>
        <v>0</v>
      </c>
      <c r="AA349" s="71" t="str">
        <f t="shared" si="111"/>
        <v/>
      </c>
      <c r="AB349" s="189">
        <f t="shared" si="112"/>
        <v>0</v>
      </c>
      <c r="AC349" s="189">
        <f t="shared" si="113"/>
        <v>0</v>
      </c>
      <c r="AD349" s="189">
        <f t="shared" si="114"/>
        <v>0</v>
      </c>
      <c r="AE349" s="189">
        <f t="shared" si="115"/>
        <v>0</v>
      </c>
    </row>
    <row r="350" spans="1:31" x14ac:dyDescent="0.4">
      <c r="A350" s="189"/>
      <c r="B350" s="189"/>
      <c r="C350" s="189"/>
      <c r="D350" s="189"/>
      <c r="E350" s="189"/>
      <c r="F350" s="189"/>
      <c r="G350" s="189"/>
      <c r="H350" s="189"/>
      <c r="J350" s="189" t="str">
        <f t="shared" si="99"/>
        <v/>
      </c>
      <c r="K350" s="189" t="str">
        <f t="shared" si="100"/>
        <v/>
      </c>
      <c r="L350" s="189" t="str">
        <f t="shared" si="101"/>
        <v/>
      </c>
      <c r="M350" s="189" t="str">
        <f t="shared" si="102"/>
        <v/>
      </c>
      <c r="N350" s="76" t="str">
        <f t="shared" si="103"/>
        <v/>
      </c>
      <c r="O350" s="20">
        <f t="shared" si="104"/>
        <v>0</v>
      </c>
      <c r="P350" s="76">
        <f t="shared" si="105"/>
        <v>0</v>
      </c>
      <c r="Q350" s="206">
        <f t="shared" si="95"/>
        <v>0</v>
      </c>
      <c r="R350" s="206">
        <f t="shared" si="96"/>
        <v>0</v>
      </c>
      <c r="S350" s="206">
        <f t="shared" si="97"/>
        <v>0</v>
      </c>
      <c r="T350" s="206">
        <f t="shared" si="98"/>
        <v>0</v>
      </c>
      <c r="AA350" s="71" t="str">
        <f t="shared" si="111"/>
        <v/>
      </c>
      <c r="AB350" s="189">
        <f t="shared" si="112"/>
        <v>0</v>
      </c>
      <c r="AC350" s="189">
        <f t="shared" si="113"/>
        <v>0</v>
      </c>
      <c r="AD350" s="189">
        <f t="shared" si="114"/>
        <v>0</v>
      </c>
      <c r="AE350" s="189">
        <f t="shared" si="115"/>
        <v>0</v>
      </c>
    </row>
    <row r="351" spans="1:31" x14ac:dyDescent="0.4">
      <c r="A351" s="189"/>
      <c r="B351" s="189"/>
      <c r="C351" s="189"/>
      <c r="D351" s="189"/>
      <c r="E351" s="189"/>
      <c r="F351" s="189"/>
      <c r="G351" s="189"/>
      <c r="H351" s="189"/>
      <c r="J351" s="189" t="str">
        <f t="shared" si="99"/>
        <v/>
      </c>
      <c r="K351" s="189" t="str">
        <f t="shared" si="100"/>
        <v/>
      </c>
      <c r="L351" s="189" t="str">
        <f t="shared" si="101"/>
        <v/>
      </c>
      <c r="M351" s="189" t="str">
        <f t="shared" si="102"/>
        <v/>
      </c>
      <c r="N351" s="76" t="str">
        <f t="shared" si="103"/>
        <v/>
      </c>
      <c r="O351" s="20">
        <f t="shared" si="104"/>
        <v>0</v>
      </c>
      <c r="P351" s="76">
        <f t="shared" si="105"/>
        <v>0</v>
      </c>
      <c r="Q351" s="206">
        <f t="shared" si="95"/>
        <v>0</v>
      </c>
      <c r="R351" s="206">
        <f t="shared" si="96"/>
        <v>0</v>
      </c>
      <c r="S351" s="206">
        <f t="shared" si="97"/>
        <v>0</v>
      </c>
      <c r="T351" s="206">
        <f t="shared" si="98"/>
        <v>0</v>
      </c>
      <c r="AA351" s="71" t="str">
        <f t="shared" si="111"/>
        <v/>
      </c>
      <c r="AB351" s="189">
        <f t="shared" si="112"/>
        <v>0</v>
      </c>
      <c r="AC351" s="189">
        <f t="shared" si="113"/>
        <v>0</v>
      </c>
      <c r="AD351" s="189">
        <f t="shared" si="114"/>
        <v>0</v>
      </c>
      <c r="AE351" s="189">
        <f t="shared" si="115"/>
        <v>0</v>
      </c>
    </row>
    <row r="352" spans="1:31" x14ac:dyDescent="0.4">
      <c r="A352" s="189"/>
      <c r="B352" s="189"/>
      <c r="C352" s="189"/>
      <c r="D352" s="189"/>
      <c r="E352" s="189"/>
      <c r="F352" s="189"/>
      <c r="G352" s="189"/>
      <c r="H352" s="189"/>
      <c r="J352" s="189" t="str">
        <f t="shared" si="99"/>
        <v/>
      </c>
      <c r="K352" s="189" t="str">
        <f t="shared" si="100"/>
        <v/>
      </c>
      <c r="L352" s="189" t="str">
        <f t="shared" si="101"/>
        <v/>
      </c>
      <c r="M352" s="189" t="str">
        <f t="shared" si="102"/>
        <v/>
      </c>
      <c r="N352" s="76" t="str">
        <f t="shared" si="103"/>
        <v/>
      </c>
      <c r="O352" s="20">
        <f t="shared" si="104"/>
        <v>0</v>
      </c>
      <c r="P352" s="76">
        <f t="shared" si="105"/>
        <v>0</v>
      </c>
      <c r="Q352" s="206">
        <f t="shared" si="95"/>
        <v>0</v>
      </c>
      <c r="R352" s="206">
        <f t="shared" si="96"/>
        <v>0</v>
      </c>
      <c r="S352" s="206">
        <f t="shared" si="97"/>
        <v>0</v>
      </c>
      <c r="T352" s="206">
        <f t="shared" si="98"/>
        <v>0</v>
      </c>
      <c r="AA352" s="71" t="str">
        <f t="shared" si="111"/>
        <v/>
      </c>
      <c r="AB352" s="189">
        <f t="shared" si="112"/>
        <v>0</v>
      </c>
      <c r="AC352" s="189">
        <f t="shared" si="113"/>
        <v>0</v>
      </c>
      <c r="AD352" s="189">
        <f t="shared" si="114"/>
        <v>0</v>
      </c>
      <c r="AE352" s="189">
        <f t="shared" si="115"/>
        <v>0</v>
      </c>
    </row>
    <row r="353" spans="1:31" x14ac:dyDescent="0.4">
      <c r="A353" s="189"/>
      <c r="B353" s="189"/>
      <c r="C353" s="189"/>
      <c r="D353" s="189"/>
      <c r="E353" s="189"/>
      <c r="F353" s="189"/>
      <c r="G353" s="189"/>
      <c r="H353" s="189"/>
      <c r="J353" s="189" t="str">
        <f t="shared" si="99"/>
        <v/>
      </c>
      <c r="K353" s="189" t="str">
        <f t="shared" si="100"/>
        <v/>
      </c>
      <c r="L353" s="189" t="str">
        <f t="shared" si="101"/>
        <v/>
      </c>
      <c r="M353" s="189" t="str">
        <f t="shared" si="102"/>
        <v/>
      </c>
      <c r="N353" s="76" t="str">
        <f t="shared" si="103"/>
        <v/>
      </c>
      <c r="O353" s="20">
        <f t="shared" si="104"/>
        <v>0</v>
      </c>
      <c r="P353" s="76">
        <f t="shared" si="105"/>
        <v>0</v>
      </c>
      <c r="Q353" s="206">
        <f t="shared" si="95"/>
        <v>0</v>
      </c>
      <c r="R353" s="206">
        <f t="shared" si="96"/>
        <v>0</v>
      </c>
      <c r="S353" s="206">
        <f t="shared" si="97"/>
        <v>0</v>
      </c>
      <c r="T353" s="206">
        <f t="shared" si="98"/>
        <v>0</v>
      </c>
      <c r="AA353" s="71" t="str">
        <f t="shared" si="111"/>
        <v/>
      </c>
      <c r="AB353" s="189">
        <f t="shared" si="112"/>
        <v>0</v>
      </c>
      <c r="AC353" s="189">
        <f t="shared" si="113"/>
        <v>0</v>
      </c>
      <c r="AD353" s="189">
        <f t="shared" si="114"/>
        <v>0</v>
      </c>
      <c r="AE353" s="189">
        <f t="shared" si="115"/>
        <v>0</v>
      </c>
    </row>
    <row r="354" spans="1:31" x14ac:dyDescent="0.4">
      <c r="A354" s="189"/>
      <c r="B354" s="189"/>
      <c r="C354" s="189"/>
      <c r="D354" s="189"/>
      <c r="E354" s="189"/>
      <c r="F354" s="189"/>
      <c r="G354" s="189"/>
      <c r="H354" s="189"/>
      <c r="J354" s="189" t="str">
        <f t="shared" si="99"/>
        <v/>
      </c>
      <c r="K354" s="189" t="str">
        <f t="shared" si="100"/>
        <v/>
      </c>
      <c r="L354" s="189" t="str">
        <f t="shared" si="101"/>
        <v/>
      </c>
      <c r="M354" s="189" t="str">
        <f t="shared" si="102"/>
        <v/>
      </c>
      <c r="N354" s="76" t="str">
        <f t="shared" si="103"/>
        <v/>
      </c>
      <c r="O354" s="20">
        <f t="shared" si="104"/>
        <v>0</v>
      </c>
      <c r="P354" s="76">
        <f t="shared" si="105"/>
        <v>0</v>
      </c>
      <c r="Q354" s="206">
        <f t="shared" si="95"/>
        <v>0</v>
      </c>
      <c r="R354" s="206">
        <f t="shared" si="96"/>
        <v>0</v>
      </c>
      <c r="S354" s="206">
        <f t="shared" si="97"/>
        <v>0</v>
      </c>
      <c r="T354" s="206">
        <f t="shared" si="98"/>
        <v>0</v>
      </c>
      <c r="AA354" s="71" t="str">
        <f t="shared" si="111"/>
        <v/>
      </c>
      <c r="AB354" s="189">
        <f t="shared" si="112"/>
        <v>0</v>
      </c>
      <c r="AC354" s="189">
        <f t="shared" si="113"/>
        <v>0</v>
      </c>
      <c r="AD354" s="189">
        <f t="shared" si="114"/>
        <v>0</v>
      </c>
      <c r="AE354" s="189">
        <f t="shared" si="115"/>
        <v>0</v>
      </c>
    </row>
    <row r="355" spans="1:31" x14ac:dyDescent="0.4">
      <c r="A355" s="189"/>
      <c r="B355" s="189"/>
      <c r="C355" s="189"/>
      <c r="D355" s="189"/>
      <c r="E355" s="189"/>
      <c r="F355" s="189"/>
      <c r="G355" s="189"/>
      <c r="H355" s="189"/>
      <c r="J355" s="189" t="str">
        <f t="shared" si="99"/>
        <v/>
      </c>
      <c r="K355" s="189" t="str">
        <f t="shared" si="100"/>
        <v/>
      </c>
      <c r="L355" s="189" t="str">
        <f t="shared" si="101"/>
        <v/>
      </c>
      <c r="M355" s="189" t="str">
        <f t="shared" si="102"/>
        <v/>
      </c>
      <c r="N355" s="76" t="str">
        <f t="shared" si="103"/>
        <v/>
      </c>
      <c r="O355" s="20">
        <f t="shared" si="104"/>
        <v>0</v>
      </c>
      <c r="P355" s="76">
        <f t="shared" si="105"/>
        <v>0</v>
      </c>
      <c r="Q355" s="206">
        <f t="shared" si="95"/>
        <v>0</v>
      </c>
      <c r="R355" s="206">
        <f t="shared" si="96"/>
        <v>0</v>
      </c>
      <c r="S355" s="206">
        <f t="shared" si="97"/>
        <v>0</v>
      </c>
      <c r="T355" s="206">
        <f t="shared" si="98"/>
        <v>0</v>
      </c>
      <c r="AA355" s="71" t="str">
        <f t="shared" si="111"/>
        <v/>
      </c>
      <c r="AB355" s="189">
        <f t="shared" si="112"/>
        <v>0</v>
      </c>
      <c r="AC355" s="189">
        <f t="shared" si="113"/>
        <v>0</v>
      </c>
      <c r="AD355" s="189">
        <f t="shared" si="114"/>
        <v>0</v>
      </c>
      <c r="AE355" s="189">
        <f t="shared" si="115"/>
        <v>0</v>
      </c>
    </row>
    <row r="356" spans="1:31" x14ac:dyDescent="0.4">
      <c r="A356" s="189"/>
      <c r="B356" s="189"/>
      <c r="C356" s="189"/>
      <c r="D356" s="189"/>
      <c r="E356" s="189"/>
      <c r="F356" s="189"/>
      <c r="G356" s="189"/>
      <c r="H356" s="189"/>
      <c r="J356" s="189" t="str">
        <f t="shared" si="99"/>
        <v/>
      </c>
      <c r="K356" s="189" t="str">
        <f t="shared" si="100"/>
        <v/>
      </c>
      <c r="L356" s="189" t="str">
        <f t="shared" si="101"/>
        <v/>
      </c>
      <c r="M356" s="189" t="str">
        <f t="shared" si="102"/>
        <v/>
      </c>
      <c r="N356" s="76" t="str">
        <f t="shared" si="103"/>
        <v/>
      </c>
      <c r="O356" s="20">
        <f t="shared" si="104"/>
        <v>0</v>
      </c>
      <c r="P356" s="76">
        <f t="shared" si="105"/>
        <v>0</v>
      </c>
      <c r="Q356" s="206">
        <f t="shared" si="95"/>
        <v>0</v>
      </c>
      <c r="R356" s="206">
        <f t="shared" si="96"/>
        <v>0</v>
      </c>
      <c r="S356" s="206">
        <f t="shared" si="97"/>
        <v>0</v>
      </c>
      <c r="T356" s="206">
        <f t="shared" si="98"/>
        <v>0</v>
      </c>
      <c r="AA356" s="71" t="str">
        <f t="shared" si="111"/>
        <v/>
      </c>
      <c r="AB356" s="189">
        <f t="shared" si="112"/>
        <v>0</v>
      </c>
      <c r="AC356" s="189">
        <f t="shared" si="113"/>
        <v>0</v>
      </c>
      <c r="AD356" s="189">
        <f t="shared" si="114"/>
        <v>0</v>
      </c>
      <c r="AE356" s="189">
        <f t="shared" si="115"/>
        <v>0</v>
      </c>
    </row>
    <row r="357" spans="1:31" x14ac:dyDescent="0.4">
      <c r="A357" s="189"/>
      <c r="B357" s="189"/>
      <c r="C357" s="189"/>
      <c r="D357" s="189"/>
      <c r="E357" s="189"/>
      <c r="F357" s="189"/>
      <c r="G357" s="189"/>
      <c r="H357" s="189"/>
      <c r="J357" s="189" t="str">
        <f t="shared" si="99"/>
        <v/>
      </c>
      <c r="K357" s="189" t="str">
        <f t="shared" si="100"/>
        <v/>
      </c>
      <c r="L357" s="189" t="str">
        <f t="shared" si="101"/>
        <v/>
      </c>
      <c r="M357" s="189" t="str">
        <f t="shared" si="102"/>
        <v/>
      </c>
      <c r="N357" s="76" t="str">
        <f t="shared" si="103"/>
        <v/>
      </c>
      <c r="O357" s="20">
        <f t="shared" si="104"/>
        <v>0</v>
      </c>
      <c r="P357" s="76">
        <f t="shared" si="105"/>
        <v>0</v>
      </c>
      <c r="Q357" s="206">
        <f t="shared" si="95"/>
        <v>0</v>
      </c>
      <c r="R357" s="206">
        <f t="shared" si="96"/>
        <v>0</v>
      </c>
      <c r="S357" s="206">
        <f t="shared" si="97"/>
        <v>0</v>
      </c>
      <c r="T357" s="206">
        <f t="shared" si="98"/>
        <v>0</v>
      </c>
      <c r="AA357" s="71" t="str">
        <f t="shared" si="111"/>
        <v/>
      </c>
      <c r="AB357" s="189">
        <f t="shared" si="112"/>
        <v>0</v>
      </c>
      <c r="AC357" s="189">
        <f t="shared" si="113"/>
        <v>0</v>
      </c>
      <c r="AD357" s="189">
        <f t="shared" si="114"/>
        <v>0</v>
      </c>
      <c r="AE357" s="189">
        <f t="shared" si="115"/>
        <v>0</v>
      </c>
    </row>
    <row r="358" spans="1:31" x14ac:dyDescent="0.4">
      <c r="A358" s="189"/>
      <c r="B358" s="189"/>
      <c r="C358" s="189"/>
      <c r="D358" s="189"/>
      <c r="E358" s="189"/>
      <c r="F358" s="189"/>
      <c r="G358" s="189"/>
      <c r="H358" s="189"/>
      <c r="J358" s="189" t="str">
        <f t="shared" si="99"/>
        <v/>
      </c>
      <c r="K358" s="189" t="str">
        <f t="shared" si="100"/>
        <v/>
      </c>
      <c r="L358" s="189" t="str">
        <f t="shared" si="101"/>
        <v/>
      </c>
      <c r="M358" s="189" t="str">
        <f t="shared" si="102"/>
        <v/>
      </c>
      <c r="N358" s="76" t="str">
        <f t="shared" si="103"/>
        <v/>
      </c>
      <c r="O358" s="20">
        <f t="shared" si="104"/>
        <v>0</v>
      </c>
      <c r="P358" s="76">
        <f t="shared" si="105"/>
        <v>0</v>
      </c>
      <c r="Q358" s="206">
        <f t="shared" ref="Q358:Q421" si="116">IF(P358=0,0,VALUE(LEFT(C358,LEN(C358)-4)))</f>
        <v>0</v>
      </c>
      <c r="R358" s="206">
        <f t="shared" ref="R358:R421" si="117">IF(Q358=0,0,VALUE(LEFT(D358,LEN(D358)-4)))</f>
        <v>0</v>
      </c>
      <c r="S358" s="206">
        <f t="shared" ref="S358:S421" si="118">IF(R358=0,0,VALUE(LEFT(E358,LEN(E358)-4)))</f>
        <v>0</v>
      </c>
      <c r="T358" s="206">
        <f t="shared" ref="T358:T421" si="119">IF(S358=0,0,VALUE(LEFT(F358,LEN(F358)-7)))</f>
        <v>0</v>
      </c>
      <c r="AA358" s="71" t="str">
        <f t="shared" si="111"/>
        <v/>
      </c>
      <c r="AB358" s="189">
        <f t="shared" si="112"/>
        <v>0</v>
      </c>
      <c r="AC358" s="189">
        <f t="shared" si="113"/>
        <v>0</v>
      </c>
      <c r="AD358" s="189">
        <f t="shared" si="114"/>
        <v>0</v>
      </c>
      <c r="AE358" s="189">
        <f t="shared" si="115"/>
        <v>0</v>
      </c>
    </row>
    <row r="359" spans="1:31" x14ac:dyDescent="0.4">
      <c r="A359" s="189"/>
      <c r="B359" s="189"/>
      <c r="C359" s="189"/>
      <c r="D359" s="189"/>
      <c r="E359" s="189"/>
      <c r="F359" s="189"/>
      <c r="G359" s="189"/>
      <c r="H359" s="189"/>
      <c r="J359" s="189" t="str">
        <f t="shared" si="99"/>
        <v/>
      </c>
      <c r="K359" s="189" t="str">
        <f t="shared" si="100"/>
        <v/>
      </c>
      <c r="L359" s="189" t="str">
        <f t="shared" si="101"/>
        <v/>
      </c>
      <c r="M359" s="189" t="str">
        <f t="shared" si="102"/>
        <v/>
      </c>
      <c r="N359" s="76" t="str">
        <f t="shared" si="103"/>
        <v/>
      </c>
      <c r="O359" s="20">
        <f t="shared" si="104"/>
        <v>0</v>
      </c>
      <c r="P359" s="76">
        <f t="shared" si="105"/>
        <v>0</v>
      </c>
      <c r="Q359" s="206">
        <f t="shared" si="116"/>
        <v>0</v>
      </c>
      <c r="R359" s="206">
        <f t="shared" si="117"/>
        <v>0</v>
      </c>
      <c r="S359" s="206">
        <f t="shared" si="118"/>
        <v>0</v>
      </c>
      <c r="T359" s="206">
        <f t="shared" si="119"/>
        <v>0</v>
      </c>
      <c r="AA359" s="71" t="str">
        <f t="shared" si="111"/>
        <v/>
      </c>
      <c r="AB359" s="189">
        <f t="shared" si="112"/>
        <v>0</v>
      </c>
      <c r="AC359" s="189">
        <f t="shared" si="113"/>
        <v>0</v>
      </c>
      <c r="AD359" s="189">
        <f t="shared" si="114"/>
        <v>0</v>
      </c>
      <c r="AE359" s="189">
        <f t="shared" si="115"/>
        <v>0</v>
      </c>
    </row>
    <row r="360" spans="1:31" x14ac:dyDescent="0.4">
      <c r="A360" s="189"/>
      <c r="B360" s="189"/>
      <c r="C360" s="189"/>
      <c r="D360" s="189"/>
      <c r="E360" s="189"/>
      <c r="F360" s="189"/>
      <c r="G360" s="189"/>
      <c r="H360" s="189"/>
      <c r="J360" s="189" t="str">
        <f t="shared" si="99"/>
        <v/>
      </c>
      <c r="K360" s="189" t="str">
        <f t="shared" si="100"/>
        <v/>
      </c>
      <c r="L360" s="189" t="str">
        <f t="shared" si="101"/>
        <v/>
      </c>
      <c r="M360" s="189" t="str">
        <f t="shared" si="102"/>
        <v/>
      </c>
      <c r="N360" s="76" t="str">
        <f t="shared" si="103"/>
        <v/>
      </c>
      <c r="O360" s="20">
        <f t="shared" si="104"/>
        <v>0</v>
      </c>
      <c r="P360" s="76">
        <f t="shared" si="105"/>
        <v>0</v>
      </c>
      <c r="Q360" s="206">
        <f t="shared" si="116"/>
        <v>0</v>
      </c>
      <c r="R360" s="206">
        <f t="shared" si="117"/>
        <v>0</v>
      </c>
      <c r="S360" s="206">
        <f t="shared" si="118"/>
        <v>0</v>
      </c>
      <c r="T360" s="206">
        <f t="shared" si="119"/>
        <v>0</v>
      </c>
      <c r="AA360" s="71" t="str">
        <f t="shared" si="111"/>
        <v/>
      </c>
      <c r="AB360" s="189">
        <f t="shared" si="112"/>
        <v>0</v>
      </c>
      <c r="AC360" s="189">
        <f t="shared" si="113"/>
        <v>0</v>
      </c>
      <c r="AD360" s="189">
        <f t="shared" si="114"/>
        <v>0</v>
      </c>
      <c r="AE360" s="189">
        <f t="shared" si="115"/>
        <v>0</v>
      </c>
    </row>
    <row r="361" spans="1:31" x14ac:dyDescent="0.4">
      <c r="A361" s="189"/>
      <c r="B361" s="189"/>
      <c r="C361" s="189"/>
      <c r="D361" s="189"/>
      <c r="E361" s="189"/>
      <c r="F361" s="189"/>
      <c r="G361" s="189"/>
      <c r="H361" s="189"/>
      <c r="J361" s="189" t="str">
        <f t="shared" si="99"/>
        <v/>
      </c>
      <c r="K361" s="189" t="str">
        <f t="shared" si="100"/>
        <v/>
      </c>
      <c r="L361" s="189" t="str">
        <f t="shared" si="101"/>
        <v/>
      </c>
      <c r="M361" s="189" t="str">
        <f t="shared" si="102"/>
        <v/>
      </c>
      <c r="N361" s="76" t="str">
        <f t="shared" si="103"/>
        <v/>
      </c>
      <c r="O361" s="20">
        <f t="shared" si="104"/>
        <v>0</v>
      </c>
      <c r="P361" s="76">
        <f t="shared" si="105"/>
        <v>0</v>
      </c>
      <c r="Q361" s="206">
        <f t="shared" si="116"/>
        <v>0</v>
      </c>
      <c r="R361" s="206">
        <f t="shared" si="117"/>
        <v>0</v>
      </c>
      <c r="S361" s="206">
        <f t="shared" si="118"/>
        <v>0</v>
      </c>
      <c r="T361" s="206">
        <f t="shared" si="119"/>
        <v>0</v>
      </c>
      <c r="AA361" s="71" t="str">
        <f t="shared" si="111"/>
        <v/>
      </c>
      <c r="AB361" s="189">
        <f t="shared" si="112"/>
        <v>0</v>
      </c>
      <c r="AC361" s="189">
        <f t="shared" si="113"/>
        <v>0</v>
      </c>
      <c r="AD361" s="189">
        <f t="shared" si="114"/>
        <v>0</v>
      </c>
      <c r="AE361" s="189">
        <f t="shared" si="115"/>
        <v>0</v>
      </c>
    </row>
    <row r="362" spans="1:31" x14ac:dyDescent="0.4">
      <c r="A362" s="189"/>
      <c r="B362" s="189"/>
      <c r="C362" s="189"/>
      <c r="D362" s="189"/>
      <c r="E362" s="189"/>
      <c r="F362" s="189"/>
      <c r="G362" s="189"/>
      <c r="H362" s="189"/>
      <c r="J362" s="189" t="str">
        <f t="shared" si="99"/>
        <v/>
      </c>
      <c r="K362" s="189" t="str">
        <f t="shared" si="100"/>
        <v/>
      </c>
      <c r="L362" s="189" t="str">
        <f t="shared" si="101"/>
        <v/>
      </c>
      <c r="M362" s="189" t="str">
        <f t="shared" si="102"/>
        <v/>
      </c>
      <c r="N362" s="76" t="str">
        <f t="shared" si="103"/>
        <v/>
      </c>
      <c r="O362" s="20">
        <f t="shared" si="104"/>
        <v>0</v>
      </c>
      <c r="P362" s="76">
        <f t="shared" si="105"/>
        <v>0</v>
      </c>
      <c r="Q362" s="206">
        <f t="shared" si="116"/>
        <v>0</v>
      </c>
      <c r="R362" s="206">
        <f t="shared" si="117"/>
        <v>0</v>
      </c>
      <c r="S362" s="206">
        <f t="shared" si="118"/>
        <v>0</v>
      </c>
      <c r="T362" s="206">
        <f t="shared" si="119"/>
        <v>0</v>
      </c>
      <c r="AA362" s="71" t="str">
        <f t="shared" si="111"/>
        <v/>
      </c>
      <c r="AB362" s="189">
        <f t="shared" si="112"/>
        <v>0</v>
      </c>
      <c r="AC362" s="189">
        <f t="shared" si="113"/>
        <v>0</v>
      </c>
      <c r="AD362" s="189">
        <f t="shared" si="114"/>
        <v>0</v>
      </c>
      <c r="AE362" s="189">
        <f t="shared" si="115"/>
        <v>0</v>
      </c>
    </row>
    <row r="363" spans="1:31" x14ac:dyDescent="0.4">
      <c r="A363" s="189"/>
      <c r="B363" s="189"/>
      <c r="C363" s="189"/>
      <c r="D363" s="189"/>
      <c r="E363" s="189"/>
      <c r="F363" s="189"/>
      <c r="G363" s="189"/>
      <c r="H363" s="189"/>
      <c r="J363" s="189" t="str">
        <f t="shared" si="99"/>
        <v/>
      </c>
      <c r="K363" s="189" t="str">
        <f t="shared" si="100"/>
        <v/>
      </c>
      <c r="L363" s="189" t="str">
        <f t="shared" si="101"/>
        <v/>
      </c>
      <c r="M363" s="189" t="str">
        <f t="shared" si="102"/>
        <v/>
      </c>
      <c r="N363" s="76" t="str">
        <f t="shared" si="103"/>
        <v/>
      </c>
      <c r="O363" s="20">
        <f t="shared" si="104"/>
        <v>0</v>
      </c>
      <c r="P363" s="76">
        <f t="shared" si="105"/>
        <v>0</v>
      </c>
      <c r="Q363" s="206">
        <f t="shared" si="116"/>
        <v>0</v>
      </c>
      <c r="R363" s="206">
        <f t="shared" si="117"/>
        <v>0</v>
      </c>
      <c r="S363" s="206">
        <f t="shared" si="118"/>
        <v>0</v>
      </c>
      <c r="T363" s="206">
        <f t="shared" si="119"/>
        <v>0</v>
      </c>
      <c r="AA363" s="71" t="str">
        <f t="shared" si="111"/>
        <v/>
      </c>
      <c r="AB363" s="189">
        <f t="shared" si="112"/>
        <v>0</v>
      </c>
      <c r="AC363" s="189">
        <f t="shared" si="113"/>
        <v>0</v>
      </c>
      <c r="AD363" s="189">
        <f t="shared" si="114"/>
        <v>0</v>
      </c>
      <c r="AE363" s="189">
        <f t="shared" si="115"/>
        <v>0</v>
      </c>
    </row>
    <row r="364" spans="1:31" x14ac:dyDescent="0.4">
      <c r="A364" s="189"/>
      <c r="B364" s="189"/>
      <c r="C364" s="189"/>
      <c r="D364" s="189"/>
      <c r="E364" s="189"/>
      <c r="F364" s="189"/>
      <c r="G364" s="189"/>
      <c r="H364" s="189"/>
      <c r="J364" s="189" t="str">
        <f t="shared" si="99"/>
        <v/>
      </c>
      <c r="K364" s="189" t="str">
        <f t="shared" si="100"/>
        <v/>
      </c>
      <c r="L364" s="189" t="str">
        <f t="shared" si="101"/>
        <v/>
      </c>
      <c r="M364" s="189" t="str">
        <f t="shared" si="102"/>
        <v/>
      </c>
      <c r="N364" s="76" t="str">
        <f t="shared" si="103"/>
        <v/>
      </c>
      <c r="O364" s="20">
        <f t="shared" si="104"/>
        <v>0</v>
      </c>
      <c r="P364" s="76">
        <f t="shared" si="105"/>
        <v>0</v>
      </c>
      <c r="Q364" s="206">
        <f t="shared" si="116"/>
        <v>0</v>
      </c>
      <c r="R364" s="206">
        <f t="shared" si="117"/>
        <v>0</v>
      </c>
      <c r="S364" s="206">
        <f t="shared" si="118"/>
        <v>0</v>
      </c>
      <c r="T364" s="206">
        <f t="shared" si="119"/>
        <v>0</v>
      </c>
      <c r="AA364" s="71" t="str">
        <f t="shared" si="111"/>
        <v/>
      </c>
      <c r="AB364" s="189">
        <f t="shared" si="112"/>
        <v>0</v>
      </c>
      <c r="AC364" s="189">
        <f t="shared" si="113"/>
        <v>0</v>
      </c>
      <c r="AD364" s="189">
        <f t="shared" si="114"/>
        <v>0</v>
      </c>
      <c r="AE364" s="189">
        <f t="shared" si="115"/>
        <v>0</v>
      </c>
    </row>
    <row r="365" spans="1:31" x14ac:dyDescent="0.4">
      <c r="A365" s="189"/>
      <c r="B365" s="189"/>
      <c r="C365" s="189"/>
      <c r="D365" s="189"/>
      <c r="E365" s="189"/>
      <c r="F365" s="189"/>
      <c r="G365" s="189"/>
      <c r="H365" s="189"/>
      <c r="J365" s="189" t="str">
        <f t="shared" si="99"/>
        <v/>
      </c>
      <c r="K365" s="189" t="str">
        <f t="shared" si="100"/>
        <v/>
      </c>
      <c r="L365" s="189" t="str">
        <f t="shared" si="101"/>
        <v/>
      </c>
      <c r="M365" s="189" t="str">
        <f t="shared" si="102"/>
        <v/>
      </c>
      <c r="N365" s="76" t="str">
        <f t="shared" si="103"/>
        <v/>
      </c>
      <c r="O365" s="20">
        <f t="shared" si="104"/>
        <v>0</v>
      </c>
      <c r="P365" s="76">
        <f t="shared" si="105"/>
        <v>0</v>
      </c>
      <c r="Q365" s="206">
        <f t="shared" si="116"/>
        <v>0</v>
      </c>
      <c r="R365" s="206">
        <f t="shared" si="117"/>
        <v>0</v>
      </c>
      <c r="S365" s="206">
        <f t="shared" si="118"/>
        <v>0</v>
      </c>
      <c r="T365" s="206">
        <f t="shared" si="119"/>
        <v>0</v>
      </c>
      <c r="AA365" s="71" t="str">
        <f t="shared" si="111"/>
        <v/>
      </c>
      <c r="AB365" s="189">
        <f t="shared" si="112"/>
        <v>0</v>
      </c>
      <c r="AC365" s="189">
        <f t="shared" si="113"/>
        <v>0</v>
      </c>
      <c r="AD365" s="189">
        <f t="shared" si="114"/>
        <v>0</v>
      </c>
      <c r="AE365" s="189">
        <f t="shared" si="115"/>
        <v>0</v>
      </c>
    </row>
    <row r="366" spans="1:31" x14ac:dyDescent="0.4">
      <c r="A366" s="189"/>
      <c r="B366" s="189"/>
      <c r="C366" s="189"/>
      <c r="D366" s="189"/>
      <c r="E366" s="189"/>
      <c r="F366" s="189"/>
      <c r="G366" s="189"/>
      <c r="H366" s="189"/>
      <c r="J366" s="189" t="str">
        <f t="shared" si="99"/>
        <v/>
      </c>
      <c r="K366" s="189" t="str">
        <f t="shared" si="100"/>
        <v/>
      </c>
      <c r="L366" s="189" t="str">
        <f t="shared" si="101"/>
        <v/>
      </c>
      <c r="M366" s="189" t="str">
        <f t="shared" si="102"/>
        <v/>
      </c>
      <c r="N366" s="76" t="str">
        <f t="shared" si="103"/>
        <v/>
      </c>
      <c r="O366" s="20">
        <f t="shared" si="104"/>
        <v>0</v>
      </c>
      <c r="P366" s="76">
        <f t="shared" si="105"/>
        <v>0</v>
      </c>
      <c r="Q366" s="206">
        <f t="shared" si="116"/>
        <v>0</v>
      </c>
      <c r="R366" s="206">
        <f t="shared" si="117"/>
        <v>0</v>
      </c>
      <c r="S366" s="206">
        <f t="shared" si="118"/>
        <v>0</v>
      </c>
      <c r="T366" s="206">
        <f t="shared" si="119"/>
        <v>0</v>
      </c>
      <c r="AA366" s="71" t="str">
        <f t="shared" si="111"/>
        <v/>
      </c>
      <c r="AB366" s="189">
        <f t="shared" si="112"/>
        <v>0</v>
      </c>
      <c r="AC366" s="189">
        <f t="shared" si="113"/>
        <v>0</v>
      </c>
      <c r="AD366" s="189">
        <f t="shared" si="114"/>
        <v>0</v>
      </c>
      <c r="AE366" s="189">
        <f t="shared" si="115"/>
        <v>0</v>
      </c>
    </row>
    <row r="367" spans="1:31" x14ac:dyDescent="0.4">
      <c r="A367" s="189"/>
      <c r="B367" s="189"/>
      <c r="C367" s="189"/>
      <c r="D367" s="189"/>
      <c r="E367" s="189"/>
      <c r="F367" s="189"/>
      <c r="G367" s="189"/>
      <c r="H367" s="189"/>
      <c r="J367" s="189" t="str">
        <f t="shared" si="99"/>
        <v/>
      </c>
      <c r="K367" s="189" t="str">
        <f t="shared" si="100"/>
        <v/>
      </c>
      <c r="L367" s="189" t="str">
        <f t="shared" si="101"/>
        <v/>
      </c>
      <c r="M367" s="189" t="str">
        <f t="shared" si="102"/>
        <v/>
      </c>
      <c r="N367" s="76" t="str">
        <f t="shared" si="103"/>
        <v/>
      </c>
      <c r="O367" s="20">
        <f t="shared" si="104"/>
        <v>0</v>
      </c>
      <c r="P367" s="76">
        <f t="shared" si="105"/>
        <v>0</v>
      </c>
      <c r="Q367" s="206">
        <f t="shared" si="116"/>
        <v>0</v>
      </c>
      <c r="R367" s="206">
        <f t="shared" si="117"/>
        <v>0</v>
      </c>
      <c r="S367" s="206">
        <f t="shared" si="118"/>
        <v>0</v>
      </c>
      <c r="T367" s="206">
        <f t="shared" si="119"/>
        <v>0</v>
      </c>
      <c r="AA367" s="71" t="str">
        <f t="shared" si="111"/>
        <v/>
      </c>
      <c r="AB367" s="189">
        <f t="shared" si="112"/>
        <v>0</v>
      </c>
      <c r="AC367" s="189">
        <f t="shared" si="113"/>
        <v>0</v>
      </c>
      <c r="AD367" s="189">
        <f t="shared" si="114"/>
        <v>0</v>
      </c>
      <c r="AE367" s="189">
        <f t="shared" si="115"/>
        <v>0</v>
      </c>
    </row>
    <row r="368" spans="1:31" x14ac:dyDescent="0.4">
      <c r="A368" s="189"/>
      <c r="B368" s="189"/>
      <c r="C368" s="189"/>
      <c r="D368" s="189"/>
      <c r="E368" s="189"/>
      <c r="F368" s="189"/>
      <c r="G368" s="189"/>
      <c r="H368" s="189"/>
      <c r="J368" s="189" t="str">
        <f t="shared" si="99"/>
        <v/>
      </c>
      <c r="K368" s="189" t="str">
        <f t="shared" si="100"/>
        <v/>
      </c>
      <c r="L368" s="189" t="str">
        <f t="shared" si="101"/>
        <v/>
      </c>
      <c r="M368" s="189" t="str">
        <f t="shared" si="102"/>
        <v/>
      </c>
      <c r="N368" s="76" t="str">
        <f t="shared" si="103"/>
        <v/>
      </c>
      <c r="O368" s="20">
        <f t="shared" si="104"/>
        <v>0</v>
      </c>
      <c r="P368" s="76">
        <f t="shared" si="105"/>
        <v>0</v>
      </c>
      <c r="Q368" s="206">
        <f t="shared" si="116"/>
        <v>0</v>
      </c>
      <c r="R368" s="206">
        <f t="shared" si="117"/>
        <v>0</v>
      </c>
      <c r="S368" s="206">
        <f t="shared" si="118"/>
        <v>0</v>
      </c>
      <c r="T368" s="206">
        <f t="shared" si="119"/>
        <v>0</v>
      </c>
      <c r="AA368" s="71" t="str">
        <f t="shared" si="111"/>
        <v/>
      </c>
      <c r="AB368" s="189">
        <f t="shared" si="112"/>
        <v>0</v>
      </c>
      <c r="AC368" s="189">
        <f t="shared" si="113"/>
        <v>0</v>
      </c>
      <c r="AD368" s="189">
        <f t="shared" si="114"/>
        <v>0</v>
      </c>
      <c r="AE368" s="189">
        <f t="shared" si="115"/>
        <v>0</v>
      </c>
    </row>
    <row r="369" spans="1:31" x14ac:dyDescent="0.4">
      <c r="A369" s="189"/>
      <c r="B369" s="189"/>
      <c r="C369" s="189"/>
      <c r="D369" s="189"/>
      <c r="E369" s="189"/>
      <c r="F369" s="189"/>
      <c r="G369" s="189"/>
      <c r="H369" s="189"/>
      <c r="J369" s="189" t="str">
        <f t="shared" si="99"/>
        <v/>
      </c>
      <c r="K369" s="189" t="str">
        <f t="shared" si="100"/>
        <v/>
      </c>
      <c r="L369" s="189" t="str">
        <f t="shared" si="101"/>
        <v/>
      </c>
      <c r="M369" s="189" t="str">
        <f t="shared" si="102"/>
        <v/>
      </c>
      <c r="N369" s="76" t="str">
        <f t="shared" si="103"/>
        <v/>
      </c>
      <c r="O369" s="20">
        <f t="shared" si="104"/>
        <v>0</v>
      </c>
      <c r="P369" s="76">
        <f t="shared" si="105"/>
        <v>0</v>
      </c>
      <c r="Q369" s="206">
        <f t="shared" si="116"/>
        <v>0</v>
      </c>
      <c r="R369" s="206">
        <f t="shared" si="117"/>
        <v>0</v>
      </c>
      <c r="S369" s="206">
        <f t="shared" si="118"/>
        <v>0</v>
      </c>
      <c r="T369" s="206">
        <f t="shared" si="119"/>
        <v>0</v>
      </c>
      <c r="AA369" s="71" t="str">
        <f t="shared" si="111"/>
        <v/>
      </c>
      <c r="AB369" s="189">
        <f t="shared" si="112"/>
        <v>0</v>
      </c>
      <c r="AC369" s="189">
        <f t="shared" si="113"/>
        <v>0</v>
      </c>
      <c r="AD369" s="189">
        <f t="shared" si="114"/>
        <v>0</v>
      </c>
      <c r="AE369" s="189">
        <f t="shared" si="115"/>
        <v>0</v>
      </c>
    </row>
    <row r="370" spans="1:31" x14ac:dyDescent="0.4">
      <c r="A370" s="189"/>
      <c r="B370" s="189"/>
      <c r="C370" s="189"/>
      <c r="D370" s="189"/>
      <c r="E370" s="189"/>
      <c r="F370" s="189"/>
      <c r="G370" s="189"/>
      <c r="H370" s="189"/>
      <c r="J370" s="189" t="str">
        <f t="shared" si="99"/>
        <v/>
      </c>
      <c r="K370" s="189" t="str">
        <f t="shared" si="100"/>
        <v/>
      </c>
      <c r="L370" s="189" t="str">
        <f t="shared" si="101"/>
        <v/>
      </c>
      <c r="M370" s="189" t="str">
        <f t="shared" si="102"/>
        <v/>
      </c>
      <c r="N370" s="76" t="str">
        <f t="shared" si="103"/>
        <v/>
      </c>
      <c r="O370" s="20">
        <f t="shared" si="104"/>
        <v>0</v>
      </c>
      <c r="P370" s="76">
        <f t="shared" si="105"/>
        <v>0</v>
      </c>
      <c r="Q370" s="206">
        <f t="shared" si="116"/>
        <v>0</v>
      </c>
      <c r="R370" s="206">
        <f t="shared" si="117"/>
        <v>0</v>
      </c>
      <c r="S370" s="206">
        <f t="shared" si="118"/>
        <v>0</v>
      </c>
      <c r="T370" s="206">
        <f t="shared" si="119"/>
        <v>0</v>
      </c>
      <c r="AA370" s="71" t="str">
        <f t="shared" si="111"/>
        <v/>
      </c>
      <c r="AB370" s="189">
        <f t="shared" si="112"/>
        <v>0</v>
      </c>
      <c r="AC370" s="189">
        <f t="shared" si="113"/>
        <v>0</v>
      </c>
      <c r="AD370" s="189">
        <f t="shared" si="114"/>
        <v>0</v>
      </c>
      <c r="AE370" s="189">
        <f t="shared" si="115"/>
        <v>0</v>
      </c>
    </row>
    <row r="371" spans="1:31" x14ac:dyDescent="0.4">
      <c r="A371" s="189"/>
      <c r="B371" s="189"/>
      <c r="C371" s="189"/>
      <c r="D371" s="189"/>
      <c r="E371" s="189"/>
      <c r="F371" s="189"/>
      <c r="G371" s="189"/>
      <c r="H371" s="189"/>
      <c r="J371" s="189" t="str">
        <f t="shared" si="99"/>
        <v/>
      </c>
      <c r="K371" s="189" t="str">
        <f t="shared" si="100"/>
        <v/>
      </c>
      <c r="L371" s="189" t="str">
        <f t="shared" si="101"/>
        <v/>
      </c>
      <c r="M371" s="189" t="str">
        <f t="shared" si="102"/>
        <v/>
      </c>
      <c r="N371" s="76" t="str">
        <f t="shared" si="103"/>
        <v/>
      </c>
      <c r="O371" s="20">
        <f t="shared" si="104"/>
        <v>0</v>
      </c>
      <c r="P371" s="76">
        <f t="shared" si="105"/>
        <v>0</v>
      </c>
      <c r="Q371" s="206">
        <f t="shared" si="116"/>
        <v>0</v>
      </c>
      <c r="R371" s="206">
        <f t="shared" si="117"/>
        <v>0</v>
      </c>
      <c r="S371" s="206">
        <f t="shared" si="118"/>
        <v>0</v>
      </c>
      <c r="T371" s="206">
        <f t="shared" si="119"/>
        <v>0</v>
      </c>
      <c r="AA371" s="71" t="str">
        <f t="shared" si="111"/>
        <v/>
      </c>
      <c r="AB371" s="189">
        <f t="shared" si="112"/>
        <v>0</v>
      </c>
      <c r="AC371" s="189">
        <f t="shared" si="113"/>
        <v>0</v>
      </c>
      <c r="AD371" s="189">
        <f t="shared" si="114"/>
        <v>0</v>
      </c>
      <c r="AE371" s="189">
        <f t="shared" si="115"/>
        <v>0</v>
      </c>
    </row>
    <row r="372" spans="1:31" x14ac:dyDescent="0.4">
      <c r="A372" s="189"/>
      <c r="B372" s="189"/>
      <c r="C372" s="189"/>
      <c r="D372" s="189"/>
      <c r="E372" s="189"/>
      <c r="F372" s="189"/>
      <c r="G372" s="189"/>
      <c r="H372" s="189"/>
      <c r="J372" s="189" t="str">
        <f t="shared" ref="J372:J435" si="120">IF(G372="Détail des tarifs",LEN(A372),"")</f>
        <v/>
      </c>
      <c r="K372" s="189" t="str">
        <f t="shared" ref="K372:K435" si="121">IF(J372="","",LEFT(A372,3))</f>
        <v/>
      </c>
      <c r="L372" s="189" t="str">
        <f t="shared" ref="L372:L435" si="122">IF(K372&lt;&gt;"",MID(A372,7,3),"")</f>
        <v/>
      </c>
      <c r="M372" s="189" t="str">
        <f t="shared" ref="M372:M435" si="123">IF(K372&lt;&gt;"",RIGHT(A372,2),"")</f>
        <v/>
      </c>
      <c r="N372" s="76" t="str">
        <f t="shared" ref="N372:N435" si="124">IF(K372&lt;&gt;"",CONCATENATE(K372,"/",L372),"")</f>
        <v/>
      </c>
      <c r="O372" s="20">
        <f t="shared" ref="O372:O435" si="125">IF(J372&lt;&gt;"",LEFT(B372,LEN(B372)-3),0)</f>
        <v>0</v>
      </c>
      <c r="P372" s="76">
        <f t="shared" ref="P372:P435" si="126">IF(O372&lt;&gt;"",VALUE(O372),"")</f>
        <v>0</v>
      </c>
      <c r="Q372" s="206">
        <f t="shared" si="116"/>
        <v>0</v>
      </c>
      <c r="R372" s="206">
        <f t="shared" si="117"/>
        <v>0</v>
      </c>
      <c r="S372" s="206">
        <f t="shared" si="118"/>
        <v>0</v>
      </c>
      <c r="T372" s="206">
        <f t="shared" si="119"/>
        <v>0</v>
      </c>
      <c r="AA372" s="71" t="str">
        <f t="shared" si="111"/>
        <v/>
      </c>
      <c r="AB372" s="189">
        <f t="shared" si="112"/>
        <v>0</v>
      </c>
      <c r="AC372" s="189">
        <f t="shared" si="113"/>
        <v>0</v>
      </c>
      <c r="AD372" s="189">
        <f t="shared" si="114"/>
        <v>0</v>
      </c>
      <c r="AE372" s="189">
        <f t="shared" si="115"/>
        <v>0</v>
      </c>
    </row>
    <row r="373" spans="1:31" x14ac:dyDescent="0.4">
      <c r="A373" s="189"/>
      <c r="B373" s="189"/>
      <c r="C373" s="189"/>
      <c r="D373" s="189"/>
      <c r="E373" s="189"/>
      <c r="F373" s="189"/>
      <c r="G373" s="189"/>
      <c r="H373" s="189"/>
      <c r="J373" s="189" t="str">
        <f t="shared" si="120"/>
        <v/>
      </c>
      <c r="K373" s="189" t="str">
        <f t="shared" si="121"/>
        <v/>
      </c>
      <c r="L373" s="189" t="str">
        <f t="shared" si="122"/>
        <v/>
      </c>
      <c r="M373" s="189" t="str">
        <f t="shared" si="123"/>
        <v/>
      </c>
      <c r="N373" s="76" t="str">
        <f t="shared" si="124"/>
        <v/>
      </c>
      <c r="O373" s="20">
        <f t="shared" si="125"/>
        <v>0</v>
      </c>
      <c r="P373" s="76">
        <f t="shared" si="126"/>
        <v>0</v>
      </c>
      <c r="Q373" s="206">
        <f t="shared" si="116"/>
        <v>0</v>
      </c>
      <c r="R373" s="206">
        <f t="shared" si="117"/>
        <v>0</v>
      </c>
      <c r="S373" s="206">
        <f t="shared" si="118"/>
        <v>0</v>
      </c>
      <c r="T373" s="206">
        <f t="shared" si="119"/>
        <v>0</v>
      </c>
      <c r="AA373" s="71" t="str">
        <f t="shared" si="111"/>
        <v/>
      </c>
      <c r="AB373" s="189">
        <f t="shared" si="112"/>
        <v>0</v>
      </c>
      <c r="AC373" s="189">
        <f t="shared" si="113"/>
        <v>0</v>
      </c>
      <c r="AD373" s="189">
        <f t="shared" si="114"/>
        <v>0</v>
      </c>
      <c r="AE373" s="189">
        <f t="shared" si="115"/>
        <v>0</v>
      </c>
    </row>
    <row r="374" spans="1:31" x14ac:dyDescent="0.4">
      <c r="A374" s="189"/>
      <c r="B374" s="189"/>
      <c r="C374" s="189"/>
      <c r="D374" s="189"/>
      <c r="E374" s="189"/>
      <c r="F374" s="189"/>
      <c r="G374" s="189"/>
      <c r="H374" s="189"/>
      <c r="J374" s="189" t="str">
        <f t="shared" si="120"/>
        <v/>
      </c>
      <c r="K374" s="189" t="str">
        <f t="shared" si="121"/>
        <v/>
      </c>
      <c r="L374" s="189" t="str">
        <f t="shared" si="122"/>
        <v/>
      </c>
      <c r="M374" s="189" t="str">
        <f t="shared" si="123"/>
        <v/>
      </c>
      <c r="N374" s="76" t="str">
        <f t="shared" si="124"/>
        <v/>
      </c>
      <c r="O374" s="20">
        <f t="shared" si="125"/>
        <v>0</v>
      </c>
      <c r="P374" s="76">
        <f t="shared" si="126"/>
        <v>0</v>
      </c>
      <c r="Q374" s="206">
        <f t="shared" si="116"/>
        <v>0</v>
      </c>
      <c r="R374" s="206">
        <f t="shared" si="117"/>
        <v>0</v>
      </c>
      <c r="S374" s="206">
        <f t="shared" si="118"/>
        <v>0</v>
      </c>
      <c r="T374" s="206">
        <f t="shared" si="119"/>
        <v>0</v>
      </c>
      <c r="AA374" s="71" t="str">
        <f t="shared" si="111"/>
        <v/>
      </c>
      <c r="AB374" s="189">
        <f t="shared" si="112"/>
        <v>0</v>
      </c>
      <c r="AC374" s="189">
        <f t="shared" si="113"/>
        <v>0</v>
      </c>
      <c r="AD374" s="189">
        <f t="shared" si="114"/>
        <v>0</v>
      </c>
      <c r="AE374" s="189">
        <f t="shared" si="115"/>
        <v>0</v>
      </c>
    </row>
    <row r="375" spans="1:31" x14ac:dyDescent="0.4">
      <c r="A375" s="189"/>
      <c r="B375" s="189"/>
      <c r="C375" s="189"/>
      <c r="D375" s="189"/>
      <c r="E375" s="189"/>
      <c r="F375" s="189"/>
      <c r="G375" s="189"/>
      <c r="H375" s="189"/>
      <c r="J375" s="189" t="str">
        <f t="shared" si="120"/>
        <v/>
      </c>
      <c r="K375" s="189" t="str">
        <f t="shared" si="121"/>
        <v/>
      </c>
      <c r="L375" s="189" t="str">
        <f t="shared" si="122"/>
        <v/>
      </c>
      <c r="M375" s="189" t="str">
        <f t="shared" si="123"/>
        <v/>
      </c>
      <c r="N375" s="76" t="str">
        <f t="shared" si="124"/>
        <v/>
      </c>
      <c r="O375" s="20">
        <f t="shared" si="125"/>
        <v>0</v>
      </c>
      <c r="P375" s="76">
        <f t="shared" si="126"/>
        <v>0</v>
      </c>
      <c r="Q375" s="206">
        <f t="shared" si="116"/>
        <v>0</v>
      </c>
      <c r="R375" s="206">
        <f t="shared" si="117"/>
        <v>0</v>
      </c>
      <c r="S375" s="206">
        <f t="shared" si="118"/>
        <v>0</v>
      </c>
      <c r="T375" s="206">
        <f t="shared" si="119"/>
        <v>0</v>
      </c>
      <c r="AA375" s="71" t="str">
        <f t="shared" si="111"/>
        <v/>
      </c>
      <c r="AB375" s="189">
        <f t="shared" si="112"/>
        <v>0</v>
      </c>
      <c r="AC375" s="189">
        <f t="shared" si="113"/>
        <v>0</v>
      </c>
      <c r="AD375" s="189">
        <f t="shared" si="114"/>
        <v>0</v>
      </c>
      <c r="AE375" s="189">
        <f t="shared" si="115"/>
        <v>0</v>
      </c>
    </row>
    <row r="376" spans="1:31" x14ac:dyDescent="0.4">
      <c r="A376" s="189"/>
      <c r="B376" s="189"/>
      <c r="C376" s="189"/>
      <c r="D376" s="189"/>
      <c r="E376" s="189"/>
      <c r="F376" s="189"/>
      <c r="G376" s="189"/>
      <c r="H376" s="189"/>
      <c r="J376" s="189" t="str">
        <f t="shared" si="120"/>
        <v/>
      </c>
      <c r="K376" s="189" t="str">
        <f t="shared" si="121"/>
        <v/>
      </c>
      <c r="L376" s="189" t="str">
        <f t="shared" si="122"/>
        <v/>
      </c>
      <c r="M376" s="189" t="str">
        <f t="shared" si="123"/>
        <v/>
      </c>
      <c r="N376" s="76" t="str">
        <f t="shared" si="124"/>
        <v/>
      </c>
      <c r="O376" s="20">
        <f t="shared" si="125"/>
        <v>0</v>
      </c>
      <c r="P376" s="76">
        <f t="shared" si="126"/>
        <v>0</v>
      </c>
      <c r="Q376" s="206">
        <f t="shared" si="116"/>
        <v>0</v>
      </c>
      <c r="R376" s="206">
        <f t="shared" si="117"/>
        <v>0</v>
      </c>
      <c r="S376" s="206">
        <f t="shared" si="118"/>
        <v>0</v>
      </c>
      <c r="T376" s="206">
        <f t="shared" si="119"/>
        <v>0</v>
      </c>
      <c r="AA376" s="71" t="str">
        <f t="shared" si="111"/>
        <v/>
      </c>
      <c r="AB376" s="189">
        <f t="shared" si="112"/>
        <v>0</v>
      </c>
      <c r="AC376" s="189">
        <f t="shared" si="113"/>
        <v>0</v>
      </c>
      <c r="AD376" s="189">
        <f t="shared" si="114"/>
        <v>0</v>
      </c>
      <c r="AE376" s="189">
        <f t="shared" si="115"/>
        <v>0</v>
      </c>
    </row>
    <row r="377" spans="1:31" x14ac:dyDescent="0.4">
      <c r="A377" s="189"/>
      <c r="B377" s="189"/>
      <c r="C377" s="189"/>
      <c r="D377" s="189"/>
      <c r="E377" s="189"/>
      <c r="F377" s="189"/>
      <c r="G377" s="189"/>
      <c r="H377" s="189"/>
      <c r="J377" s="189" t="str">
        <f t="shared" si="120"/>
        <v/>
      </c>
      <c r="K377" s="189" t="str">
        <f t="shared" si="121"/>
        <v/>
      </c>
      <c r="L377" s="189" t="str">
        <f t="shared" si="122"/>
        <v/>
      </c>
      <c r="M377" s="189" t="str">
        <f t="shared" si="123"/>
        <v/>
      </c>
      <c r="N377" s="76" t="str">
        <f t="shared" si="124"/>
        <v/>
      </c>
      <c r="O377" s="20">
        <f t="shared" si="125"/>
        <v>0</v>
      </c>
      <c r="P377" s="76">
        <f t="shared" si="126"/>
        <v>0</v>
      </c>
      <c r="Q377" s="206">
        <f t="shared" si="116"/>
        <v>0</v>
      </c>
      <c r="R377" s="206">
        <f t="shared" si="117"/>
        <v>0</v>
      </c>
      <c r="S377" s="206">
        <f t="shared" si="118"/>
        <v>0</v>
      </c>
      <c r="T377" s="206">
        <f t="shared" si="119"/>
        <v>0</v>
      </c>
      <c r="AA377" s="71" t="str">
        <f t="shared" si="111"/>
        <v/>
      </c>
      <c r="AB377" s="189">
        <f t="shared" si="112"/>
        <v>0</v>
      </c>
      <c r="AC377" s="189">
        <f t="shared" si="113"/>
        <v>0</v>
      </c>
      <c r="AD377" s="189">
        <f t="shared" si="114"/>
        <v>0</v>
      </c>
      <c r="AE377" s="189">
        <f t="shared" si="115"/>
        <v>0</v>
      </c>
    </row>
    <row r="378" spans="1:31" x14ac:dyDescent="0.4">
      <c r="A378" s="189"/>
      <c r="B378" s="189"/>
      <c r="C378" s="189"/>
      <c r="D378" s="189"/>
      <c r="E378" s="189"/>
      <c r="F378" s="189"/>
      <c r="G378" s="189"/>
      <c r="H378" s="189"/>
      <c r="J378" s="189" t="str">
        <f t="shared" si="120"/>
        <v/>
      </c>
      <c r="K378" s="189" t="str">
        <f t="shared" si="121"/>
        <v/>
      </c>
      <c r="L378" s="189" t="str">
        <f t="shared" si="122"/>
        <v/>
      </c>
      <c r="M378" s="189" t="str">
        <f t="shared" si="123"/>
        <v/>
      </c>
      <c r="N378" s="76" t="str">
        <f t="shared" si="124"/>
        <v/>
      </c>
      <c r="O378" s="20">
        <f t="shared" si="125"/>
        <v>0</v>
      </c>
      <c r="P378" s="76">
        <f t="shared" si="126"/>
        <v>0</v>
      </c>
      <c r="Q378" s="206">
        <f t="shared" si="116"/>
        <v>0</v>
      </c>
      <c r="R378" s="206">
        <f t="shared" si="117"/>
        <v>0</v>
      </c>
      <c r="S378" s="206">
        <f t="shared" si="118"/>
        <v>0</v>
      </c>
      <c r="T378" s="206">
        <f t="shared" si="119"/>
        <v>0</v>
      </c>
      <c r="AA378" s="71" t="str">
        <f t="shared" si="111"/>
        <v/>
      </c>
      <c r="AB378" s="189">
        <f t="shared" si="112"/>
        <v>0</v>
      </c>
      <c r="AC378" s="189">
        <f t="shared" si="113"/>
        <v>0</v>
      </c>
      <c r="AD378" s="189">
        <f t="shared" si="114"/>
        <v>0</v>
      </c>
      <c r="AE378" s="189">
        <f t="shared" si="115"/>
        <v>0</v>
      </c>
    </row>
    <row r="379" spans="1:31" x14ac:dyDescent="0.4">
      <c r="A379" s="189"/>
      <c r="B379" s="189"/>
      <c r="C379" s="189"/>
      <c r="D379" s="189"/>
      <c r="E379" s="189"/>
      <c r="F379" s="189"/>
      <c r="G379" s="189"/>
      <c r="H379" s="189"/>
      <c r="J379" s="189" t="str">
        <f t="shared" si="120"/>
        <v/>
      </c>
      <c r="K379" s="189" t="str">
        <f t="shared" si="121"/>
        <v/>
      </c>
      <c r="L379" s="189" t="str">
        <f t="shared" si="122"/>
        <v/>
      </c>
      <c r="M379" s="189" t="str">
        <f t="shared" si="123"/>
        <v/>
      </c>
      <c r="N379" s="76" t="str">
        <f t="shared" si="124"/>
        <v/>
      </c>
      <c r="O379" s="20">
        <f t="shared" si="125"/>
        <v>0</v>
      </c>
      <c r="P379" s="76">
        <f t="shared" si="126"/>
        <v>0</v>
      </c>
      <c r="Q379" s="206">
        <f t="shared" si="116"/>
        <v>0</v>
      </c>
      <c r="R379" s="206">
        <f t="shared" si="117"/>
        <v>0</v>
      </c>
      <c r="S379" s="206">
        <f t="shared" si="118"/>
        <v>0</v>
      </c>
      <c r="T379" s="206">
        <f t="shared" si="119"/>
        <v>0</v>
      </c>
      <c r="AA379" s="71" t="str">
        <f t="shared" si="111"/>
        <v/>
      </c>
      <c r="AB379" s="189">
        <f t="shared" si="112"/>
        <v>0</v>
      </c>
      <c r="AC379" s="189">
        <f t="shared" si="113"/>
        <v>0</v>
      </c>
      <c r="AD379" s="189">
        <f t="shared" si="114"/>
        <v>0</v>
      </c>
      <c r="AE379" s="189">
        <f t="shared" si="115"/>
        <v>0</v>
      </c>
    </row>
    <row r="380" spans="1:31" x14ac:dyDescent="0.4">
      <c r="A380" s="189"/>
      <c r="B380" s="189"/>
      <c r="C380" s="189"/>
      <c r="D380" s="189"/>
      <c r="E380" s="189"/>
      <c r="F380" s="189"/>
      <c r="G380" s="189"/>
      <c r="H380" s="189"/>
      <c r="J380" s="189" t="str">
        <f t="shared" si="120"/>
        <v/>
      </c>
      <c r="K380" s="189" t="str">
        <f t="shared" si="121"/>
        <v/>
      </c>
      <c r="L380" s="189" t="str">
        <f t="shared" si="122"/>
        <v/>
      </c>
      <c r="M380" s="189" t="str">
        <f t="shared" si="123"/>
        <v/>
      </c>
      <c r="N380" s="76" t="str">
        <f t="shared" si="124"/>
        <v/>
      </c>
      <c r="O380" s="20">
        <f t="shared" si="125"/>
        <v>0</v>
      </c>
      <c r="P380" s="76">
        <f t="shared" si="126"/>
        <v>0</v>
      </c>
      <c r="Q380" s="206">
        <f t="shared" si="116"/>
        <v>0</v>
      </c>
      <c r="R380" s="206">
        <f t="shared" si="117"/>
        <v>0</v>
      </c>
      <c r="S380" s="206">
        <f t="shared" si="118"/>
        <v>0</v>
      </c>
      <c r="T380" s="206">
        <f t="shared" si="119"/>
        <v>0</v>
      </c>
      <c r="AA380" s="71" t="str">
        <f t="shared" si="111"/>
        <v/>
      </c>
      <c r="AB380" s="189">
        <f t="shared" si="112"/>
        <v>0</v>
      </c>
      <c r="AC380" s="189">
        <f t="shared" si="113"/>
        <v>0</v>
      </c>
      <c r="AD380" s="189">
        <f t="shared" si="114"/>
        <v>0</v>
      </c>
      <c r="AE380" s="189">
        <f t="shared" si="115"/>
        <v>0</v>
      </c>
    </row>
    <row r="381" spans="1:31" x14ac:dyDescent="0.4">
      <c r="A381" s="189"/>
      <c r="B381" s="189"/>
      <c r="C381" s="189"/>
      <c r="D381" s="189"/>
      <c r="E381" s="189"/>
      <c r="F381" s="189"/>
      <c r="G381" s="189"/>
      <c r="H381" s="189"/>
      <c r="J381" s="189" t="str">
        <f t="shared" si="120"/>
        <v/>
      </c>
      <c r="K381" s="189" t="str">
        <f t="shared" si="121"/>
        <v/>
      </c>
      <c r="L381" s="189" t="str">
        <f t="shared" si="122"/>
        <v/>
      </c>
      <c r="M381" s="189" t="str">
        <f t="shared" si="123"/>
        <v/>
      </c>
      <c r="N381" s="76" t="str">
        <f t="shared" si="124"/>
        <v/>
      </c>
      <c r="O381" s="20">
        <f t="shared" si="125"/>
        <v>0</v>
      </c>
      <c r="P381" s="76">
        <f t="shared" si="126"/>
        <v>0</v>
      </c>
      <c r="Q381" s="206">
        <f t="shared" si="116"/>
        <v>0</v>
      </c>
      <c r="R381" s="206">
        <f t="shared" si="117"/>
        <v>0</v>
      </c>
      <c r="S381" s="206">
        <f t="shared" si="118"/>
        <v>0</v>
      </c>
      <c r="T381" s="206">
        <f t="shared" si="119"/>
        <v>0</v>
      </c>
      <c r="AA381" s="71" t="str">
        <f t="shared" si="111"/>
        <v/>
      </c>
      <c r="AB381" s="189">
        <f t="shared" si="112"/>
        <v>0</v>
      </c>
      <c r="AC381" s="189">
        <f t="shared" si="113"/>
        <v>0</v>
      </c>
      <c r="AD381" s="189">
        <f t="shared" si="114"/>
        <v>0</v>
      </c>
      <c r="AE381" s="189">
        <f t="shared" si="115"/>
        <v>0</v>
      </c>
    </row>
    <row r="382" spans="1:31" x14ac:dyDescent="0.4">
      <c r="A382" s="189"/>
      <c r="B382" s="189"/>
      <c r="C382" s="189"/>
      <c r="D382" s="189"/>
      <c r="E382" s="189"/>
      <c r="F382" s="189"/>
      <c r="G382" s="189"/>
      <c r="H382" s="189"/>
      <c r="J382" s="189" t="str">
        <f t="shared" si="120"/>
        <v/>
      </c>
      <c r="K382" s="189" t="str">
        <f t="shared" si="121"/>
        <v/>
      </c>
      <c r="L382" s="189" t="str">
        <f t="shared" si="122"/>
        <v/>
      </c>
      <c r="M382" s="189" t="str">
        <f t="shared" si="123"/>
        <v/>
      </c>
      <c r="N382" s="76" t="str">
        <f t="shared" si="124"/>
        <v/>
      </c>
      <c r="O382" s="20">
        <f t="shared" si="125"/>
        <v>0</v>
      </c>
      <c r="P382" s="76">
        <f t="shared" si="126"/>
        <v>0</v>
      </c>
      <c r="Q382" s="206">
        <f t="shared" si="116"/>
        <v>0</v>
      </c>
      <c r="R382" s="206">
        <f t="shared" si="117"/>
        <v>0</v>
      </c>
      <c r="S382" s="206">
        <f t="shared" si="118"/>
        <v>0</v>
      </c>
      <c r="T382" s="206">
        <f t="shared" si="119"/>
        <v>0</v>
      </c>
      <c r="AA382" s="71" t="str">
        <f t="shared" si="111"/>
        <v/>
      </c>
      <c r="AB382" s="189">
        <f t="shared" si="112"/>
        <v>0</v>
      </c>
      <c r="AC382" s="189">
        <f t="shared" si="113"/>
        <v>0</v>
      </c>
      <c r="AD382" s="189">
        <f t="shared" si="114"/>
        <v>0</v>
      </c>
      <c r="AE382" s="189">
        <f t="shared" si="115"/>
        <v>0</v>
      </c>
    </row>
    <row r="383" spans="1:31" x14ac:dyDescent="0.4">
      <c r="A383" s="189"/>
      <c r="B383" s="189"/>
      <c r="C383" s="189"/>
      <c r="D383" s="189"/>
      <c r="E383" s="189"/>
      <c r="F383" s="189"/>
      <c r="G383" s="189"/>
      <c r="H383" s="189"/>
      <c r="J383" s="189" t="str">
        <f t="shared" si="120"/>
        <v/>
      </c>
      <c r="K383" s="189" t="str">
        <f t="shared" si="121"/>
        <v/>
      </c>
      <c r="L383" s="189" t="str">
        <f t="shared" si="122"/>
        <v/>
      </c>
      <c r="M383" s="189" t="str">
        <f t="shared" si="123"/>
        <v/>
      </c>
      <c r="N383" s="76" t="str">
        <f t="shared" si="124"/>
        <v/>
      </c>
      <c r="O383" s="20">
        <f t="shared" si="125"/>
        <v>0</v>
      </c>
      <c r="P383" s="76">
        <f t="shared" si="126"/>
        <v>0</v>
      </c>
      <c r="Q383" s="206">
        <f t="shared" si="116"/>
        <v>0</v>
      </c>
      <c r="R383" s="206">
        <f t="shared" si="117"/>
        <v>0</v>
      </c>
      <c r="S383" s="206">
        <f t="shared" si="118"/>
        <v>0</v>
      </c>
      <c r="T383" s="206">
        <f t="shared" si="119"/>
        <v>0</v>
      </c>
      <c r="AA383" s="71" t="str">
        <f t="shared" si="111"/>
        <v/>
      </c>
      <c r="AB383" s="189">
        <f t="shared" si="112"/>
        <v>0</v>
      </c>
      <c r="AC383" s="189">
        <f t="shared" si="113"/>
        <v>0</v>
      </c>
      <c r="AD383" s="189">
        <f t="shared" si="114"/>
        <v>0</v>
      </c>
      <c r="AE383" s="189">
        <f t="shared" si="115"/>
        <v>0</v>
      </c>
    </row>
    <row r="384" spans="1:31" x14ac:dyDescent="0.4">
      <c r="A384" s="189"/>
      <c r="B384" s="189"/>
      <c r="C384" s="189"/>
      <c r="D384" s="189"/>
      <c r="E384" s="189"/>
      <c r="F384" s="189"/>
      <c r="G384" s="189"/>
      <c r="H384" s="189"/>
      <c r="J384" s="189" t="str">
        <f t="shared" si="120"/>
        <v/>
      </c>
      <c r="K384" s="189" t="str">
        <f t="shared" si="121"/>
        <v/>
      </c>
      <c r="L384" s="189" t="str">
        <f t="shared" si="122"/>
        <v/>
      </c>
      <c r="M384" s="189" t="str">
        <f t="shared" si="123"/>
        <v/>
      </c>
      <c r="N384" s="76" t="str">
        <f t="shared" si="124"/>
        <v/>
      </c>
      <c r="O384" s="20">
        <f t="shared" si="125"/>
        <v>0</v>
      </c>
      <c r="P384" s="76">
        <f t="shared" si="126"/>
        <v>0</v>
      </c>
      <c r="Q384" s="206">
        <f t="shared" si="116"/>
        <v>0</v>
      </c>
      <c r="R384" s="206">
        <f t="shared" si="117"/>
        <v>0</v>
      </c>
      <c r="S384" s="206">
        <f t="shared" si="118"/>
        <v>0</v>
      </c>
      <c r="T384" s="206">
        <f t="shared" si="119"/>
        <v>0</v>
      </c>
      <c r="AA384" s="71" t="str">
        <f t="shared" si="111"/>
        <v/>
      </c>
      <c r="AB384" s="189">
        <f t="shared" si="112"/>
        <v>0</v>
      </c>
      <c r="AC384" s="189">
        <f t="shared" si="113"/>
        <v>0</v>
      </c>
      <c r="AD384" s="189">
        <f t="shared" si="114"/>
        <v>0</v>
      </c>
      <c r="AE384" s="189">
        <f t="shared" si="115"/>
        <v>0</v>
      </c>
    </row>
    <row r="385" spans="1:31" x14ac:dyDescent="0.4">
      <c r="A385" s="189"/>
      <c r="B385" s="189"/>
      <c r="C385" s="189"/>
      <c r="D385" s="189"/>
      <c r="E385" s="189"/>
      <c r="F385" s="189"/>
      <c r="G385" s="189"/>
      <c r="H385" s="189"/>
      <c r="J385" s="189" t="str">
        <f t="shared" si="120"/>
        <v/>
      </c>
      <c r="K385" s="189" t="str">
        <f t="shared" si="121"/>
        <v/>
      </c>
      <c r="L385" s="189" t="str">
        <f t="shared" si="122"/>
        <v/>
      </c>
      <c r="M385" s="189" t="str">
        <f t="shared" si="123"/>
        <v/>
      </c>
      <c r="N385" s="76" t="str">
        <f t="shared" si="124"/>
        <v/>
      </c>
      <c r="O385" s="20">
        <f t="shared" si="125"/>
        <v>0</v>
      </c>
      <c r="P385" s="76">
        <f t="shared" si="126"/>
        <v>0</v>
      </c>
      <c r="Q385" s="206">
        <f t="shared" si="116"/>
        <v>0</v>
      </c>
      <c r="R385" s="206">
        <f t="shared" si="117"/>
        <v>0</v>
      </c>
      <c r="S385" s="206">
        <f t="shared" si="118"/>
        <v>0</v>
      </c>
      <c r="T385" s="206">
        <f t="shared" si="119"/>
        <v>0</v>
      </c>
      <c r="AA385" s="71" t="str">
        <f t="shared" si="111"/>
        <v/>
      </c>
      <c r="AB385" s="189">
        <f t="shared" si="112"/>
        <v>0</v>
      </c>
      <c r="AC385" s="189">
        <f t="shared" si="113"/>
        <v>0</v>
      </c>
      <c r="AD385" s="189">
        <f t="shared" si="114"/>
        <v>0</v>
      </c>
      <c r="AE385" s="189">
        <f t="shared" si="115"/>
        <v>0</v>
      </c>
    </row>
    <row r="386" spans="1:31" x14ac:dyDescent="0.4">
      <c r="A386" s="189"/>
      <c r="B386" s="189"/>
      <c r="C386" s="189"/>
      <c r="D386" s="189"/>
      <c r="E386" s="189"/>
      <c r="F386" s="189"/>
      <c r="G386" s="189"/>
      <c r="H386" s="189"/>
      <c r="J386" s="189" t="str">
        <f t="shared" si="120"/>
        <v/>
      </c>
      <c r="K386" s="189" t="str">
        <f t="shared" si="121"/>
        <v/>
      </c>
      <c r="L386" s="189" t="str">
        <f t="shared" si="122"/>
        <v/>
      </c>
      <c r="M386" s="189" t="str">
        <f t="shared" si="123"/>
        <v/>
      </c>
      <c r="N386" s="76" t="str">
        <f t="shared" si="124"/>
        <v/>
      </c>
      <c r="O386" s="20">
        <f t="shared" si="125"/>
        <v>0</v>
      </c>
      <c r="P386" s="76">
        <f t="shared" si="126"/>
        <v>0</v>
      </c>
      <c r="Q386" s="206">
        <f t="shared" si="116"/>
        <v>0</v>
      </c>
      <c r="R386" s="206">
        <f t="shared" si="117"/>
        <v>0</v>
      </c>
      <c r="S386" s="206">
        <f t="shared" si="118"/>
        <v>0</v>
      </c>
      <c r="T386" s="206">
        <f t="shared" si="119"/>
        <v>0</v>
      </c>
      <c r="AA386" s="71" t="str">
        <f t="shared" si="111"/>
        <v/>
      </c>
      <c r="AB386" s="189">
        <f t="shared" si="112"/>
        <v>0</v>
      </c>
      <c r="AC386" s="189">
        <f t="shared" si="113"/>
        <v>0</v>
      </c>
      <c r="AD386" s="189">
        <f t="shared" si="114"/>
        <v>0</v>
      </c>
      <c r="AE386" s="189">
        <f t="shared" si="115"/>
        <v>0</v>
      </c>
    </row>
    <row r="387" spans="1:31" x14ac:dyDescent="0.4">
      <c r="A387" s="189"/>
      <c r="B387" s="189"/>
      <c r="C387" s="189"/>
      <c r="D387" s="189"/>
      <c r="E387" s="189"/>
      <c r="F387" s="189"/>
      <c r="G387" s="189"/>
      <c r="H387" s="189"/>
      <c r="J387" s="189" t="str">
        <f t="shared" si="120"/>
        <v/>
      </c>
      <c r="K387" s="189" t="str">
        <f t="shared" si="121"/>
        <v/>
      </c>
      <c r="L387" s="189" t="str">
        <f t="shared" si="122"/>
        <v/>
      </c>
      <c r="M387" s="189" t="str">
        <f t="shared" si="123"/>
        <v/>
      </c>
      <c r="N387" s="76" t="str">
        <f t="shared" si="124"/>
        <v/>
      </c>
      <c r="O387" s="20">
        <f t="shared" si="125"/>
        <v>0</v>
      </c>
      <c r="P387" s="76">
        <f t="shared" si="126"/>
        <v>0</v>
      </c>
      <c r="Q387" s="206">
        <f t="shared" si="116"/>
        <v>0</v>
      </c>
      <c r="R387" s="206">
        <f t="shared" si="117"/>
        <v>0</v>
      </c>
      <c r="S387" s="206">
        <f t="shared" si="118"/>
        <v>0</v>
      </c>
      <c r="T387" s="206">
        <f t="shared" si="119"/>
        <v>0</v>
      </c>
      <c r="AA387" s="71" t="str">
        <f t="shared" si="111"/>
        <v/>
      </c>
      <c r="AB387" s="189">
        <f t="shared" si="112"/>
        <v>0</v>
      </c>
      <c r="AC387" s="189">
        <f t="shared" si="113"/>
        <v>0</v>
      </c>
      <c r="AD387" s="189">
        <f t="shared" si="114"/>
        <v>0</v>
      </c>
      <c r="AE387" s="189">
        <f t="shared" si="115"/>
        <v>0</v>
      </c>
    </row>
    <row r="388" spans="1:31" x14ac:dyDescent="0.4">
      <c r="A388" s="189"/>
      <c r="B388" s="189"/>
      <c r="C388" s="189"/>
      <c r="D388" s="189"/>
      <c r="E388" s="189"/>
      <c r="F388" s="189"/>
      <c r="G388" s="189"/>
      <c r="H388" s="189"/>
      <c r="J388" s="189" t="str">
        <f t="shared" si="120"/>
        <v/>
      </c>
      <c r="K388" s="189" t="str">
        <f t="shared" si="121"/>
        <v/>
      </c>
      <c r="L388" s="189" t="str">
        <f t="shared" si="122"/>
        <v/>
      </c>
      <c r="M388" s="189" t="str">
        <f t="shared" si="123"/>
        <v/>
      </c>
      <c r="N388" s="76" t="str">
        <f t="shared" si="124"/>
        <v/>
      </c>
      <c r="O388" s="20">
        <f t="shared" si="125"/>
        <v>0</v>
      </c>
      <c r="P388" s="76">
        <f t="shared" si="126"/>
        <v>0</v>
      </c>
      <c r="Q388" s="206">
        <f t="shared" si="116"/>
        <v>0</v>
      </c>
      <c r="R388" s="206">
        <f t="shared" si="117"/>
        <v>0</v>
      </c>
      <c r="S388" s="206">
        <f t="shared" si="118"/>
        <v>0</v>
      </c>
      <c r="T388" s="206">
        <f t="shared" si="119"/>
        <v>0</v>
      </c>
      <c r="AA388" s="71" t="str">
        <f t="shared" si="111"/>
        <v/>
      </c>
      <c r="AB388" s="189">
        <f t="shared" si="112"/>
        <v>0</v>
      </c>
      <c r="AC388" s="189">
        <f t="shared" si="113"/>
        <v>0</v>
      </c>
      <c r="AD388" s="189">
        <f t="shared" si="114"/>
        <v>0</v>
      </c>
      <c r="AE388" s="189">
        <f t="shared" si="115"/>
        <v>0</v>
      </c>
    </row>
    <row r="389" spans="1:31" x14ac:dyDescent="0.4">
      <c r="A389" s="189"/>
      <c r="B389" s="189"/>
      <c r="C389" s="189"/>
      <c r="D389" s="189"/>
      <c r="E389" s="189"/>
      <c r="F389" s="189"/>
      <c r="G389" s="189"/>
      <c r="H389" s="189"/>
      <c r="J389" s="189" t="str">
        <f t="shared" si="120"/>
        <v/>
      </c>
      <c r="K389" s="189" t="str">
        <f t="shared" si="121"/>
        <v/>
      </c>
      <c r="L389" s="189" t="str">
        <f t="shared" si="122"/>
        <v/>
      </c>
      <c r="M389" s="189" t="str">
        <f t="shared" si="123"/>
        <v/>
      </c>
      <c r="N389" s="76" t="str">
        <f t="shared" si="124"/>
        <v/>
      </c>
      <c r="O389" s="20">
        <f t="shared" si="125"/>
        <v>0</v>
      </c>
      <c r="P389" s="76">
        <f t="shared" si="126"/>
        <v>0</v>
      </c>
      <c r="Q389" s="206">
        <f t="shared" si="116"/>
        <v>0</v>
      </c>
      <c r="R389" s="206">
        <f t="shared" si="117"/>
        <v>0</v>
      </c>
      <c r="S389" s="206">
        <f t="shared" si="118"/>
        <v>0</v>
      </c>
      <c r="T389" s="206">
        <f t="shared" si="119"/>
        <v>0</v>
      </c>
      <c r="AA389" s="71" t="str">
        <f t="shared" si="111"/>
        <v/>
      </c>
      <c r="AB389" s="189">
        <f t="shared" si="112"/>
        <v>0</v>
      </c>
      <c r="AC389" s="189">
        <f t="shared" si="113"/>
        <v>0</v>
      </c>
      <c r="AD389" s="189">
        <f t="shared" si="114"/>
        <v>0</v>
      </c>
      <c r="AE389" s="189">
        <f t="shared" si="115"/>
        <v>0</v>
      </c>
    </row>
    <row r="390" spans="1:31" x14ac:dyDescent="0.4">
      <c r="A390" s="189"/>
      <c r="B390" s="189"/>
      <c r="C390" s="189"/>
      <c r="D390" s="189"/>
      <c r="E390" s="189"/>
      <c r="F390" s="189"/>
      <c r="G390" s="189"/>
      <c r="H390" s="189"/>
      <c r="J390" s="189" t="str">
        <f t="shared" si="120"/>
        <v/>
      </c>
      <c r="K390" s="189" t="str">
        <f t="shared" si="121"/>
        <v/>
      </c>
      <c r="L390" s="189" t="str">
        <f t="shared" si="122"/>
        <v/>
      </c>
      <c r="M390" s="189" t="str">
        <f t="shared" si="123"/>
        <v/>
      </c>
      <c r="N390" s="76" t="str">
        <f t="shared" si="124"/>
        <v/>
      </c>
      <c r="O390" s="20">
        <f t="shared" si="125"/>
        <v>0</v>
      </c>
      <c r="P390" s="76">
        <f t="shared" si="126"/>
        <v>0</v>
      </c>
      <c r="Q390" s="206">
        <f t="shared" si="116"/>
        <v>0</v>
      </c>
      <c r="R390" s="206">
        <f t="shared" si="117"/>
        <v>0</v>
      </c>
      <c r="S390" s="206">
        <f t="shared" si="118"/>
        <v>0</v>
      </c>
      <c r="T390" s="206">
        <f t="shared" si="119"/>
        <v>0</v>
      </c>
      <c r="AA390" s="71" t="str">
        <f t="shared" si="111"/>
        <v/>
      </c>
      <c r="AB390" s="189">
        <f t="shared" si="112"/>
        <v>0</v>
      </c>
      <c r="AC390" s="189">
        <f t="shared" si="113"/>
        <v>0</v>
      </c>
      <c r="AD390" s="189">
        <f t="shared" si="114"/>
        <v>0</v>
      </c>
      <c r="AE390" s="189">
        <f t="shared" si="115"/>
        <v>0</v>
      </c>
    </row>
    <row r="391" spans="1:31" x14ac:dyDescent="0.4">
      <c r="A391" s="189"/>
      <c r="B391" s="189"/>
      <c r="C391" s="189"/>
      <c r="D391" s="189"/>
      <c r="E391" s="189"/>
      <c r="F391" s="189"/>
      <c r="G391" s="189"/>
      <c r="H391" s="189"/>
      <c r="J391" s="189" t="str">
        <f t="shared" si="120"/>
        <v/>
      </c>
      <c r="K391" s="189" t="str">
        <f t="shared" si="121"/>
        <v/>
      </c>
      <c r="L391" s="189" t="str">
        <f t="shared" si="122"/>
        <v/>
      </c>
      <c r="M391" s="189" t="str">
        <f t="shared" si="123"/>
        <v/>
      </c>
      <c r="N391" s="76" t="str">
        <f t="shared" si="124"/>
        <v/>
      </c>
      <c r="O391" s="20">
        <f t="shared" si="125"/>
        <v>0</v>
      </c>
      <c r="P391" s="76">
        <f t="shared" si="126"/>
        <v>0</v>
      </c>
      <c r="Q391" s="206">
        <f t="shared" si="116"/>
        <v>0</v>
      </c>
      <c r="R391" s="206">
        <f t="shared" si="117"/>
        <v>0</v>
      </c>
      <c r="S391" s="206">
        <f t="shared" si="118"/>
        <v>0</v>
      </c>
      <c r="T391" s="206">
        <f t="shared" si="119"/>
        <v>0</v>
      </c>
      <c r="AA391" s="71" t="str">
        <f t="shared" si="111"/>
        <v/>
      </c>
      <c r="AB391" s="189">
        <f t="shared" si="112"/>
        <v>0</v>
      </c>
      <c r="AC391" s="189">
        <f t="shared" si="113"/>
        <v>0</v>
      </c>
      <c r="AD391" s="189">
        <f t="shared" si="114"/>
        <v>0</v>
      </c>
      <c r="AE391" s="189">
        <f t="shared" si="115"/>
        <v>0</v>
      </c>
    </row>
    <row r="392" spans="1:31" x14ac:dyDescent="0.4">
      <c r="A392" s="189"/>
      <c r="B392" s="189"/>
      <c r="C392" s="189"/>
      <c r="D392" s="189"/>
      <c r="E392" s="189"/>
      <c r="F392" s="189"/>
      <c r="G392" s="189"/>
      <c r="H392" s="189"/>
      <c r="J392" s="189" t="str">
        <f t="shared" si="120"/>
        <v/>
      </c>
      <c r="K392" s="189" t="str">
        <f t="shared" si="121"/>
        <v/>
      </c>
      <c r="L392" s="189" t="str">
        <f t="shared" si="122"/>
        <v/>
      </c>
      <c r="M392" s="189" t="str">
        <f t="shared" si="123"/>
        <v/>
      </c>
      <c r="N392" s="76" t="str">
        <f t="shared" si="124"/>
        <v/>
      </c>
      <c r="O392" s="20">
        <f t="shared" si="125"/>
        <v>0</v>
      </c>
      <c r="P392" s="76">
        <f t="shared" si="126"/>
        <v>0</v>
      </c>
      <c r="Q392" s="206">
        <f t="shared" si="116"/>
        <v>0</v>
      </c>
      <c r="R392" s="206">
        <f t="shared" si="117"/>
        <v>0</v>
      </c>
      <c r="S392" s="206">
        <f t="shared" si="118"/>
        <v>0</v>
      </c>
      <c r="T392" s="206">
        <f t="shared" si="119"/>
        <v>0</v>
      </c>
      <c r="AA392" s="71" t="str">
        <f t="shared" si="111"/>
        <v/>
      </c>
      <c r="AB392" s="189">
        <f t="shared" si="112"/>
        <v>0</v>
      </c>
      <c r="AC392" s="189">
        <f t="shared" si="113"/>
        <v>0</v>
      </c>
      <c r="AD392" s="189">
        <f t="shared" si="114"/>
        <v>0</v>
      </c>
      <c r="AE392" s="189">
        <f t="shared" si="115"/>
        <v>0</v>
      </c>
    </row>
    <row r="393" spans="1:31" x14ac:dyDescent="0.4">
      <c r="A393" s="189"/>
      <c r="B393" s="189"/>
      <c r="C393" s="189"/>
      <c r="D393" s="189"/>
      <c r="E393" s="189"/>
      <c r="F393" s="189"/>
      <c r="G393" s="189"/>
      <c r="H393" s="189"/>
      <c r="J393" s="189" t="str">
        <f t="shared" si="120"/>
        <v/>
      </c>
      <c r="K393" s="189" t="str">
        <f t="shared" si="121"/>
        <v/>
      </c>
      <c r="L393" s="189" t="str">
        <f t="shared" si="122"/>
        <v/>
      </c>
      <c r="M393" s="189" t="str">
        <f t="shared" si="123"/>
        <v/>
      </c>
      <c r="N393" s="76" t="str">
        <f t="shared" si="124"/>
        <v/>
      </c>
      <c r="O393" s="20">
        <f t="shared" si="125"/>
        <v>0</v>
      </c>
      <c r="P393" s="76">
        <f t="shared" si="126"/>
        <v>0</v>
      </c>
      <c r="Q393" s="206">
        <f t="shared" si="116"/>
        <v>0</v>
      </c>
      <c r="R393" s="206">
        <f t="shared" si="117"/>
        <v>0</v>
      </c>
      <c r="S393" s="206">
        <f t="shared" si="118"/>
        <v>0</v>
      </c>
      <c r="T393" s="206">
        <f t="shared" si="119"/>
        <v>0</v>
      </c>
      <c r="AA393" s="71" t="str">
        <f t="shared" si="111"/>
        <v/>
      </c>
      <c r="AB393" s="189">
        <f t="shared" si="112"/>
        <v>0</v>
      </c>
      <c r="AC393" s="189">
        <f t="shared" si="113"/>
        <v>0</v>
      </c>
      <c r="AD393" s="189">
        <f t="shared" si="114"/>
        <v>0</v>
      </c>
      <c r="AE393" s="189">
        <f t="shared" si="115"/>
        <v>0</v>
      </c>
    </row>
    <row r="394" spans="1:31" x14ac:dyDescent="0.4">
      <c r="A394" s="189"/>
      <c r="B394" s="189"/>
      <c r="C394" s="189"/>
      <c r="D394" s="189"/>
      <c r="E394" s="189"/>
      <c r="F394" s="189"/>
      <c r="G394" s="189"/>
      <c r="H394" s="189"/>
      <c r="J394" s="189" t="str">
        <f t="shared" si="120"/>
        <v/>
      </c>
      <c r="K394" s="189" t="str">
        <f t="shared" si="121"/>
        <v/>
      </c>
      <c r="L394" s="189" t="str">
        <f t="shared" si="122"/>
        <v/>
      </c>
      <c r="M394" s="189" t="str">
        <f t="shared" si="123"/>
        <v/>
      </c>
      <c r="N394" s="76" t="str">
        <f t="shared" si="124"/>
        <v/>
      </c>
      <c r="O394" s="20">
        <f t="shared" si="125"/>
        <v>0</v>
      </c>
      <c r="P394" s="76">
        <f t="shared" si="126"/>
        <v>0</v>
      </c>
      <c r="Q394" s="206">
        <f t="shared" si="116"/>
        <v>0</v>
      </c>
      <c r="R394" s="206">
        <f t="shared" si="117"/>
        <v>0</v>
      </c>
      <c r="S394" s="206">
        <f t="shared" si="118"/>
        <v>0</v>
      </c>
      <c r="T394" s="206">
        <f t="shared" si="119"/>
        <v>0</v>
      </c>
      <c r="AA394" s="71" t="str">
        <f t="shared" si="111"/>
        <v/>
      </c>
      <c r="AB394" s="189">
        <f t="shared" si="112"/>
        <v>0</v>
      </c>
      <c r="AC394" s="189">
        <f t="shared" si="113"/>
        <v>0</v>
      </c>
      <c r="AD394" s="189">
        <f t="shared" si="114"/>
        <v>0</v>
      </c>
      <c r="AE394" s="189">
        <f t="shared" si="115"/>
        <v>0</v>
      </c>
    </row>
    <row r="395" spans="1:31" x14ac:dyDescent="0.4">
      <c r="A395" s="189"/>
      <c r="B395" s="189"/>
      <c r="C395" s="189"/>
      <c r="D395" s="189"/>
      <c r="E395" s="189"/>
      <c r="F395" s="189"/>
      <c r="G395" s="189"/>
      <c r="H395" s="189"/>
      <c r="J395" s="189" t="str">
        <f t="shared" si="120"/>
        <v/>
      </c>
      <c r="K395" s="189" t="str">
        <f t="shared" si="121"/>
        <v/>
      </c>
      <c r="L395" s="189" t="str">
        <f t="shared" si="122"/>
        <v/>
      </c>
      <c r="M395" s="189" t="str">
        <f t="shared" si="123"/>
        <v/>
      </c>
      <c r="N395" s="76" t="str">
        <f t="shared" si="124"/>
        <v/>
      </c>
      <c r="O395" s="20">
        <f t="shared" si="125"/>
        <v>0</v>
      </c>
      <c r="P395" s="76">
        <f t="shared" si="126"/>
        <v>0</v>
      </c>
      <c r="Q395" s="206">
        <f t="shared" si="116"/>
        <v>0</v>
      </c>
      <c r="R395" s="206">
        <f t="shared" si="117"/>
        <v>0</v>
      </c>
      <c r="S395" s="206">
        <f t="shared" si="118"/>
        <v>0</v>
      </c>
      <c r="T395" s="206">
        <f t="shared" si="119"/>
        <v>0</v>
      </c>
      <c r="AA395" s="71" t="str">
        <f t="shared" si="111"/>
        <v/>
      </c>
      <c r="AB395" s="189">
        <f t="shared" si="112"/>
        <v>0</v>
      </c>
      <c r="AC395" s="189">
        <f t="shared" si="113"/>
        <v>0</v>
      </c>
      <c r="AD395" s="189">
        <f t="shared" si="114"/>
        <v>0</v>
      </c>
      <c r="AE395" s="189">
        <f t="shared" si="115"/>
        <v>0</v>
      </c>
    </row>
    <row r="396" spans="1:31" x14ac:dyDescent="0.4">
      <c r="A396" s="189"/>
      <c r="B396" s="189"/>
      <c r="C396" s="189"/>
      <c r="D396" s="189"/>
      <c r="E396" s="189"/>
      <c r="F396" s="189"/>
      <c r="G396" s="189"/>
      <c r="H396" s="189"/>
      <c r="J396" s="189" t="str">
        <f t="shared" si="120"/>
        <v/>
      </c>
      <c r="K396" s="189" t="str">
        <f t="shared" si="121"/>
        <v/>
      </c>
      <c r="L396" s="189" t="str">
        <f t="shared" si="122"/>
        <v/>
      </c>
      <c r="M396" s="189" t="str">
        <f t="shared" si="123"/>
        <v/>
      </c>
      <c r="N396" s="76" t="str">
        <f t="shared" si="124"/>
        <v/>
      </c>
      <c r="O396" s="20">
        <f t="shared" si="125"/>
        <v>0</v>
      </c>
      <c r="P396" s="76">
        <f t="shared" si="126"/>
        <v>0</v>
      </c>
      <c r="Q396" s="206">
        <f t="shared" si="116"/>
        <v>0</v>
      </c>
      <c r="R396" s="206">
        <f t="shared" si="117"/>
        <v>0</v>
      </c>
      <c r="S396" s="206">
        <f t="shared" si="118"/>
        <v>0</v>
      </c>
      <c r="T396" s="206">
        <f t="shared" si="119"/>
        <v>0</v>
      </c>
      <c r="AA396" s="71" t="str">
        <f t="shared" si="111"/>
        <v/>
      </c>
      <c r="AB396" s="189">
        <f t="shared" si="112"/>
        <v>0</v>
      </c>
      <c r="AC396" s="189">
        <f t="shared" si="113"/>
        <v>0</v>
      </c>
      <c r="AD396" s="189">
        <f t="shared" si="114"/>
        <v>0</v>
      </c>
      <c r="AE396" s="189">
        <f t="shared" si="115"/>
        <v>0</v>
      </c>
    </row>
    <row r="397" spans="1:31" x14ac:dyDescent="0.4">
      <c r="A397" s="189"/>
      <c r="B397" s="189"/>
      <c r="C397" s="189"/>
      <c r="D397" s="189"/>
      <c r="E397" s="189"/>
      <c r="F397" s="189"/>
      <c r="G397" s="189"/>
      <c r="H397" s="189"/>
      <c r="J397" s="189" t="str">
        <f t="shared" si="120"/>
        <v/>
      </c>
      <c r="K397" s="189" t="str">
        <f t="shared" si="121"/>
        <v/>
      </c>
      <c r="L397" s="189" t="str">
        <f t="shared" si="122"/>
        <v/>
      </c>
      <c r="M397" s="189" t="str">
        <f t="shared" si="123"/>
        <v/>
      </c>
      <c r="N397" s="76" t="str">
        <f t="shared" si="124"/>
        <v/>
      </c>
      <c r="O397" s="20">
        <f t="shared" si="125"/>
        <v>0</v>
      </c>
      <c r="P397" s="76">
        <f t="shared" si="126"/>
        <v>0</v>
      </c>
      <c r="Q397" s="206">
        <f t="shared" si="116"/>
        <v>0</v>
      </c>
      <c r="R397" s="206">
        <f t="shared" si="117"/>
        <v>0</v>
      </c>
      <c r="S397" s="206">
        <f t="shared" si="118"/>
        <v>0</v>
      </c>
      <c r="T397" s="206">
        <f t="shared" si="119"/>
        <v>0</v>
      </c>
      <c r="AA397" s="71" t="str">
        <f t="shared" si="111"/>
        <v/>
      </c>
      <c r="AB397" s="189">
        <f t="shared" si="112"/>
        <v>0</v>
      </c>
      <c r="AC397" s="189">
        <f t="shared" si="113"/>
        <v>0</v>
      </c>
      <c r="AD397" s="189">
        <f t="shared" si="114"/>
        <v>0</v>
      </c>
      <c r="AE397" s="189">
        <f t="shared" si="115"/>
        <v>0</v>
      </c>
    </row>
    <row r="398" spans="1:31" x14ac:dyDescent="0.4">
      <c r="A398" s="204"/>
      <c r="B398" s="204"/>
      <c r="C398" s="204"/>
      <c r="D398" s="204"/>
      <c r="E398" s="204"/>
      <c r="F398" s="204"/>
      <c r="G398" s="204"/>
      <c r="H398" s="204"/>
      <c r="J398" s="189" t="str">
        <f t="shared" si="120"/>
        <v/>
      </c>
      <c r="K398" s="189" t="str">
        <f t="shared" si="121"/>
        <v/>
      </c>
      <c r="L398" s="189" t="str">
        <f t="shared" si="122"/>
        <v/>
      </c>
      <c r="M398" s="189" t="str">
        <f t="shared" si="123"/>
        <v/>
      </c>
      <c r="N398" s="76" t="str">
        <f t="shared" si="124"/>
        <v/>
      </c>
      <c r="O398" s="20">
        <f t="shared" si="125"/>
        <v>0</v>
      </c>
      <c r="P398" s="76">
        <f t="shared" si="126"/>
        <v>0</v>
      </c>
      <c r="Q398" s="206">
        <f t="shared" si="116"/>
        <v>0</v>
      </c>
      <c r="R398" s="206">
        <f t="shared" si="117"/>
        <v>0</v>
      </c>
      <c r="S398" s="206">
        <f t="shared" si="118"/>
        <v>0</v>
      </c>
      <c r="T398" s="206">
        <f t="shared" si="119"/>
        <v>0</v>
      </c>
      <c r="AA398" s="71" t="str">
        <f t="shared" si="111"/>
        <v/>
      </c>
      <c r="AB398" s="189">
        <f t="shared" si="112"/>
        <v>0</v>
      </c>
      <c r="AC398" s="189">
        <f t="shared" si="113"/>
        <v>0</v>
      </c>
      <c r="AD398" s="189">
        <f t="shared" si="114"/>
        <v>0</v>
      </c>
      <c r="AE398" s="189">
        <f t="shared" si="115"/>
        <v>0</v>
      </c>
    </row>
    <row r="399" spans="1:31" x14ac:dyDescent="0.4">
      <c r="A399" s="204"/>
      <c r="B399" s="204"/>
      <c r="C399" s="204"/>
      <c r="D399" s="204"/>
      <c r="E399" s="204"/>
      <c r="F399" s="204"/>
      <c r="G399" s="204"/>
      <c r="H399" s="204"/>
      <c r="J399" s="189" t="str">
        <f t="shared" si="120"/>
        <v/>
      </c>
      <c r="K399" s="189" t="str">
        <f t="shared" si="121"/>
        <v/>
      </c>
      <c r="L399" s="189" t="str">
        <f t="shared" si="122"/>
        <v/>
      </c>
      <c r="M399" s="189" t="str">
        <f t="shared" si="123"/>
        <v/>
      </c>
      <c r="N399" s="76" t="str">
        <f t="shared" si="124"/>
        <v/>
      </c>
      <c r="O399" s="20">
        <f t="shared" si="125"/>
        <v>0</v>
      </c>
      <c r="P399" s="76">
        <f t="shared" si="126"/>
        <v>0</v>
      </c>
      <c r="Q399" s="206">
        <f t="shared" si="116"/>
        <v>0</v>
      </c>
      <c r="R399" s="206">
        <f t="shared" si="117"/>
        <v>0</v>
      </c>
      <c r="S399" s="206">
        <f t="shared" si="118"/>
        <v>0</v>
      </c>
      <c r="T399" s="206">
        <f t="shared" si="119"/>
        <v>0</v>
      </c>
      <c r="AA399" s="71" t="str">
        <f t="shared" si="111"/>
        <v/>
      </c>
      <c r="AB399" s="189">
        <f t="shared" si="112"/>
        <v>0</v>
      </c>
      <c r="AC399" s="189">
        <f t="shared" si="113"/>
        <v>0</v>
      </c>
      <c r="AD399" s="189">
        <f t="shared" si="114"/>
        <v>0</v>
      </c>
      <c r="AE399" s="189">
        <f t="shared" si="115"/>
        <v>0</v>
      </c>
    </row>
    <row r="400" spans="1:31" x14ac:dyDescent="0.4">
      <c r="A400" s="204"/>
      <c r="B400" s="204"/>
      <c r="C400" s="204"/>
      <c r="D400" s="204"/>
      <c r="E400" s="204"/>
      <c r="F400" s="204"/>
      <c r="G400" s="204"/>
      <c r="H400" s="204"/>
      <c r="J400" s="189" t="str">
        <f t="shared" si="120"/>
        <v/>
      </c>
      <c r="K400" s="189" t="str">
        <f t="shared" si="121"/>
        <v/>
      </c>
      <c r="L400" s="189" t="str">
        <f t="shared" si="122"/>
        <v/>
      </c>
      <c r="M400" s="189" t="str">
        <f t="shared" si="123"/>
        <v/>
      </c>
      <c r="N400" s="76" t="str">
        <f t="shared" si="124"/>
        <v/>
      </c>
      <c r="O400" s="20">
        <f t="shared" si="125"/>
        <v>0</v>
      </c>
      <c r="P400" s="76">
        <f t="shared" si="126"/>
        <v>0</v>
      </c>
      <c r="Q400" s="206">
        <f t="shared" si="116"/>
        <v>0</v>
      </c>
      <c r="R400" s="206">
        <f t="shared" si="117"/>
        <v>0</v>
      </c>
      <c r="S400" s="206">
        <f t="shared" si="118"/>
        <v>0</v>
      </c>
      <c r="T400" s="206">
        <f t="shared" si="119"/>
        <v>0</v>
      </c>
      <c r="AA400" s="71" t="str">
        <f t="shared" si="111"/>
        <v/>
      </c>
      <c r="AB400" s="189">
        <f t="shared" si="112"/>
        <v>0</v>
      </c>
      <c r="AC400" s="189">
        <f t="shared" si="113"/>
        <v>0</v>
      </c>
      <c r="AD400" s="189">
        <f t="shared" si="114"/>
        <v>0</v>
      </c>
      <c r="AE400" s="189">
        <f t="shared" si="115"/>
        <v>0</v>
      </c>
    </row>
    <row r="401" spans="1:31" x14ac:dyDescent="0.4">
      <c r="A401" s="204"/>
      <c r="B401" s="204"/>
      <c r="C401" s="204"/>
      <c r="D401" s="204"/>
      <c r="E401" s="204"/>
      <c r="F401" s="204"/>
      <c r="G401" s="204"/>
      <c r="H401" s="204"/>
      <c r="J401" s="189" t="str">
        <f t="shared" si="120"/>
        <v/>
      </c>
      <c r="K401" s="189" t="str">
        <f t="shared" si="121"/>
        <v/>
      </c>
      <c r="L401" s="189" t="str">
        <f t="shared" si="122"/>
        <v/>
      </c>
      <c r="M401" s="189" t="str">
        <f t="shared" si="123"/>
        <v/>
      </c>
      <c r="N401" s="76" t="str">
        <f t="shared" si="124"/>
        <v/>
      </c>
      <c r="O401" s="20">
        <f t="shared" si="125"/>
        <v>0</v>
      </c>
      <c r="P401" s="76">
        <f t="shared" si="126"/>
        <v>0</v>
      </c>
      <c r="Q401" s="206">
        <f t="shared" si="116"/>
        <v>0</v>
      </c>
      <c r="R401" s="206">
        <f t="shared" si="117"/>
        <v>0</v>
      </c>
      <c r="S401" s="206">
        <f t="shared" si="118"/>
        <v>0</v>
      </c>
      <c r="T401" s="206">
        <f t="shared" si="119"/>
        <v>0</v>
      </c>
      <c r="AA401" s="71" t="str">
        <f t="shared" si="111"/>
        <v/>
      </c>
      <c r="AB401" s="189">
        <f t="shared" si="112"/>
        <v>0</v>
      </c>
      <c r="AC401" s="189">
        <f t="shared" si="113"/>
        <v>0</v>
      </c>
      <c r="AD401" s="189">
        <f t="shared" si="114"/>
        <v>0</v>
      </c>
      <c r="AE401" s="189">
        <f t="shared" si="115"/>
        <v>0</v>
      </c>
    </row>
    <row r="402" spans="1:31" x14ac:dyDescent="0.4">
      <c r="A402" s="204"/>
      <c r="B402" s="204"/>
      <c r="C402" s="204"/>
      <c r="D402" s="204"/>
      <c r="E402" s="204"/>
      <c r="F402" s="204"/>
      <c r="G402" s="204"/>
      <c r="H402" s="204"/>
      <c r="J402" s="189" t="str">
        <f t="shared" si="120"/>
        <v/>
      </c>
      <c r="K402" s="189" t="str">
        <f t="shared" si="121"/>
        <v/>
      </c>
      <c r="L402" s="189" t="str">
        <f t="shared" si="122"/>
        <v/>
      </c>
      <c r="M402" s="189" t="str">
        <f t="shared" si="123"/>
        <v/>
      </c>
      <c r="N402" s="76" t="str">
        <f t="shared" si="124"/>
        <v/>
      </c>
      <c r="O402" s="20">
        <f t="shared" si="125"/>
        <v>0</v>
      </c>
      <c r="P402" s="76">
        <f t="shared" si="126"/>
        <v>0</v>
      </c>
      <c r="Q402" s="206">
        <f t="shared" si="116"/>
        <v>0</v>
      </c>
      <c r="R402" s="206">
        <f t="shared" si="117"/>
        <v>0</v>
      </c>
      <c r="S402" s="206">
        <f t="shared" si="118"/>
        <v>0</v>
      </c>
      <c r="T402" s="206">
        <f t="shared" si="119"/>
        <v>0</v>
      </c>
      <c r="AA402" s="71" t="str">
        <f t="shared" si="111"/>
        <v/>
      </c>
      <c r="AB402" s="189">
        <f t="shared" si="112"/>
        <v>0</v>
      </c>
      <c r="AC402" s="189">
        <f t="shared" si="113"/>
        <v>0</v>
      </c>
      <c r="AD402" s="189">
        <f t="shared" si="114"/>
        <v>0</v>
      </c>
      <c r="AE402" s="189">
        <f t="shared" si="115"/>
        <v>0</v>
      </c>
    </row>
    <row r="403" spans="1:31" x14ac:dyDescent="0.4">
      <c r="A403" s="204"/>
      <c r="B403" s="204"/>
      <c r="C403" s="204"/>
      <c r="D403" s="204"/>
      <c r="E403" s="204"/>
      <c r="F403" s="204"/>
      <c r="G403" s="204"/>
      <c r="H403" s="204"/>
      <c r="J403" s="189" t="str">
        <f t="shared" si="120"/>
        <v/>
      </c>
      <c r="K403" s="189" t="str">
        <f t="shared" si="121"/>
        <v/>
      </c>
      <c r="L403" s="189" t="str">
        <f t="shared" si="122"/>
        <v/>
      </c>
      <c r="M403" s="189" t="str">
        <f t="shared" si="123"/>
        <v/>
      </c>
      <c r="N403" s="76" t="str">
        <f t="shared" si="124"/>
        <v/>
      </c>
      <c r="O403" s="20">
        <f t="shared" si="125"/>
        <v>0</v>
      </c>
      <c r="P403" s="76">
        <f t="shared" si="126"/>
        <v>0</v>
      </c>
      <c r="Q403" s="206">
        <f t="shared" si="116"/>
        <v>0</v>
      </c>
      <c r="R403" s="206">
        <f t="shared" si="117"/>
        <v>0</v>
      </c>
      <c r="S403" s="206">
        <f t="shared" si="118"/>
        <v>0</v>
      </c>
      <c r="T403" s="206">
        <f t="shared" si="119"/>
        <v>0</v>
      </c>
      <c r="AA403" s="71" t="str">
        <f t="shared" si="111"/>
        <v/>
      </c>
      <c r="AB403" s="189">
        <f t="shared" si="112"/>
        <v>0</v>
      </c>
      <c r="AC403" s="189">
        <f t="shared" si="113"/>
        <v>0</v>
      </c>
      <c r="AD403" s="189">
        <f t="shared" si="114"/>
        <v>0</v>
      </c>
      <c r="AE403" s="189">
        <f t="shared" si="115"/>
        <v>0</v>
      </c>
    </row>
    <row r="404" spans="1:31" x14ac:dyDescent="0.4">
      <c r="A404" s="204"/>
      <c r="B404" s="204"/>
      <c r="C404" s="204"/>
      <c r="D404" s="204"/>
      <c r="E404" s="204"/>
      <c r="F404" s="204"/>
      <c r="G404" s="204"/>
      <c r="H404" s="204"/>
      <c r="J404" s="189" t="str">
        <f t="shared" si="120"/>
        <v/>
      </c>
      <c r="K404" s="189" t="str">
        <f t="shared" si="121"/>
        <v/>
      </c>
      <c r="L404" s="189" t="str">
        <f t="shared" si="122"/>
        <v/>
      </c>
      <c r="M404" s="189" t="str">
        <f t="shared" si="123"/>
        <v/>
      </c>
      <c r="N404" s="76" t="str">
        <f t="shared" si="124"/>
        <v/>
      </c>
      <c r="O404" s="20">
        <f t="shared" si="125"/>
        <v>0</v>
      </c>
      <c r="P404" s="76">
        <f t="shared" si="126"/>
        <v>0</v>
      </c>
      <c r="Q404" s="206">
        <f t="shared" si="116"/>
        <v>0</v>
      </c>
      <c r="R404" s="206">
        <f t="shared" si="117"/>
        <v>0</v>
      </c>
      <c r="S404" s="206">
        <f t="shared" si="118"/>
        <v>0</v>
      </c>
      <c r="T404" s="206">
        <f t="shared" si="119"/>
        <v>0</v>
      </c>
      <c r="AA404" s="71" t="str">
        <f t="shared" si="111"/>
        <v/>
      </c>
      <c r="AB404" s="189">
        <f t="shared" si="112"/>
        <v>0</v>
      </c>
      <c r="AC404" s="189">
        <f t="shared" si="113"/>
        <v>0</v>
      </c>
      <c r="AD404" s="189">
        <f t="shared" si="114"/>
        <v>0</v>
      </c>
      <c r="AE404" s="189">
        <f t="shared" si="115"/>
        <v>0</v>
      </c>
    </row>
    <row r="405" spans="1:31" x14ac:dyDescent="0.4">
      <c r="A405" s="204"/>
      <c r="B405" s="204"/>
      <c r="C405" s="204"/>
      <c r="D405" s="204"/>
      <c r="E405" s="204"/>
      <c r="F405" s="204"/>
      <c r="G405" s="204"/>
      <c r="H405" s="204"/>
      <c r="J405" s="189" t="str">
        <f t="shared" si="120"/>
        <v/>
      </c>
      <c r="K405" s="189" t="str">
        <f t="shared" si="121"/>
        <v/>
      </c>
      <c r="L405" s="189" t="str">
        <f t="shared" si="122"/>
        <v/>
      </c>
      <c r="M405" s="189" t="str">
        <f t="shared" si="123"/>
        <v/>
      </c>
      <c r="N405" s="76" t="str">
        <f t="shared" si="124"/>
        <v/>
      </c>
      <c r="O405" s="20">
        <f t="shared" si="125"/>
        <v>0</v>
      </c>
      <c r="P405" s="76">
        <f t="shared" si="126"/>
        <v>0</v>
      </c>
      <c r="Q405" s="206">
        <f t="shared" si="116"/>
        <v>0</v>
      </c>
      <c r="R405" s="206">
        <f t="shared" si="117"/>
        <v>0</v>
      </c>
      <c r="S405" s="206">
        <f t="shared" si="118"/>
        <v>0</v>
      </c>
      <c r="T405" s="206">
        <f t="shared" si="119"/>
        <v>0</v>
      </c>
      <c r="AA405" s="71" t="str">
        <f t="shared" si="111"/>
        <v/>
      </c>
      <c r="AB405" s="189">
        <f t="shared" si="112"/>
        <v>0</v>
      </c>
      <c r="AC405" s="189">
        <f t="shared" si="113"/>
        <v>0</v>
      </c>
      <c r="AD405" s="189">
        <f t="shared" si="114"/>
        <v>0</v>
      </c>
      <c r="AE405" s="189">
        <f t="shared" si="115"/>
        <v>0</v>
      </c>
    </row>
    <row r="406" spans="1:31" x14ac:dyDescent="0.4">
      <c r="A406" s="204"/>
      <c r="B406" s="204"/>
      <c r="C406" s="204"/>
      <c r="D406" s="204"/>
      <c r="E406" s="204"/>
      <c r="F406" s="204"/>
      <c r="G406" s="204"/>
      <c r="H406" s="204"/>
      <c r="J406" s="189" t="str">
        <f t="shared" si="120"/>
        <v/>
      </c>
      <c r="K406" s="189" t="str">
        <f t="shared" si="121"/>
        <v/>
      </c>
      <c r="L406" s="189" t="str">
        <f t="shared" si="122"/>
        <v/>
      </c>
      <c r="M406" s="189" t="str">
        <f t="shared" si="123"/>
        <v/>
      </c>
      <c r="N406" s="76" t="str">
        <f t="shared" si="124"/>
        <v/>
      </c>
      <c r="O406" s="20">
        <f t="shared" si="125"/>
        <v>0</v>
      </c>
      <c r="P406" s="76">
        <f t="shared" si="126"/>
        <v>0</v>
      </c>
      <c r="Q406" s="206">
        <f t="shared" si="116"/>
        <v>0</v>
      </c>
      <c r="R406" s="206">
        <f t="shared" si="117"/>
        <v>0</v>
      </c>
      <c r="S406" s="206">
        <f t="shared" si="118"/>
        <v>0</v>
      </c>
      <c r="T406" s="206">
        <f t="shared" si="119"/>
        <v>0</v>
      </c>
      <c r="AA406" s="71" t="str">
        <f t="shared" si="111"/>
        <v/>
      </c>
      <c r="AB406" s="189">
        <f t="shared" si="112"/>
        <v>0</v>
      </c>
      <c r="AC406" s="189">
        <f t="shared" si="113"/>
        <v>0</v>
      </c>
      <c r="AD406" s="189">
        <f t="shared" si="114"/>
        <v>0</v>
      </c>
      <c r="AE406" s="189">
        <f t="shared" si="115"/>
        <v>0</v>
      </c>
    </row>
    <row r="407" spans="1:31" x14ac:dyDescent="0.4">
      <c r="A407" s="204"/>
      <c r="B407" s="204"/>
      <c r="C407" s="204"/>
      <c r="D407" s="204"/>
      <c r="E407" s="204"/>
      <c r="F407" s="204"/>
      <c r="G407" s="204"/>
      <c r="H407" s="204"/>
      <c r="J407" s="189" t="str">
        <f t="shared" si="120"/>
        <v/>
      </c>
      <c r="K407" s="189" t="str">
        <f t="shared" si="121"/>
        <v/>
      </c>
      <c r="L407" s="189" t="str">
        <f t="shared" si="122"/>
        <v/>
      </c>
      <c r="M407" s="189" t="str">
        <f t="shared" si="123"/>
        <v/>
      </c>
      <c r="N407" s="76" t="str">
        <f t="shared" si="124"/>
        <v/>
      </c>
      <c r="O407" s="20">
        <f t="shared" si="125"/>
        <v>0</v>
      </c>
      <c r="P407" s="76">
        <f t="shared" si="126"/>
        <v>0</v>
      </c>
      <c r="Q407" s="206">
        <f t="shared" si="116"/>
        <v>0</v>
      </c>
      <c r="R407" s="206">
        <f t="shared" si="117"/>
        <v>0</v>
      </c>
      <c r="S407" s="206">
        <f t="shared" si="118"/>
        <v>0</v>
      </c>
      <c r="T407" s="206">
        <f t="shared" si="119"/>
        <v>0</v>
      </c>
      <c r="AA407" s="71" t="str">
        <f t="shared" si="111"/>
        <v/>
      </c>
      <c r="AB407" s="189">
        <f t="shared" si="112"/>
        <v>0</v>
      </c>
      <c r="AC407" s="189">
        <f t="shared" si="113"/>
        <v>0</v>
      </c>
      <c r="AD407" s="189">
        <f t="shared" si="114"/>
        <v>0</v>
      </c>
      <c r="AE407" s="189">
        <f t="shared" si="115"/>
        <v>0</v>
      </c>
    </row>
    <row r="408" spans="1:31" x14ac:dyDescent="0.4">
      <c r="A408" s="204"/>
      <c r="B408" s="204"/>
      <c r="C408" s="204"/>
      <c r="D408" s="204"/>
      <c r="E408" s="204"/>
      <c r="F408" s="204"/>
      <c r="G408" s="204"/>
      <c r="H408" s="204"/>
      <c r="J408" s="189" t="str">
        <f t="shared" si="120"/>
        <v/>
      </c>
      <c r="K408" s="189" t="str">
        <f t="shared" si="121"/>
        <v/>
      </c>
      <c r="L408" s="189" t="str">
        <f t="shared" si="122"/>
        <v/>
      </c>
      <c r="M408" s="189" t="str">
        <f t="shared" si="123"/>
        <v/>
      </c>
      <c r="N408" s="76" t="str">
        <f t="shared" si="124"/>
        <v/>
      </c>
      <c r="O408" s="20">
        <f t="shared" si="125"/>
        <v>0</v>
      </c>
      <c r="P408" s="76">
        <f t="shared" si="126"/>
        <v>0</v>
      </c>
      <c r="Q408" s="206">
        <f t="shared" si="116"/>
        <v>0</v>
      </c>
      <c r="R408" s="206">
        <f t="shared" si="117"/>
        <v>0</v>
      </c>
      <c r="S408" s="206">
        <f t="shared" si="118"/>
        <v>0</v>
      </c>
      <c r="T408" s="206">
        <f t="shared" si="119"/>
        <v>0</v>
      </c>
      <c r="AA408" s="71" t="str">
        <f t="shared" si="111"/>
        <v/>
      </c>
      <c r="AB408" s="189">
        <f t="shared" si="112"/>
        <v>0</v>
      </c>
      <c r="AC408" s="189">
        <f t="shared" si="113"/>
        <v>0</v>
      </c>
      <c r="AD408" s="189">
        <f t="shared" si="114"/>
        <v>0</v>
      </c>
      <c r="AE408" s="189">
        <f t="shared" si="115"/>
        <v>0</v>
      </c>
    </row>
    <row r="409" spans="1:31" x14ac:dyDescent="0.4">
      <c r="A409" s="204"/>
      <c r="B409" s="204"/>
      <c r="C409" s="204"/>
      <c r="D409" s="204"/>
      <c r="E409" s="204"/>
      <c r="F409" s="204"/>
      <c r="G409" s="204"/>
      <c r="H409" s="204"/>
      <c r="J409" s="189" t="str">
        <f t="shared" si="120"/>
        <v/>
      </c>
      <c r="K409" s="189" t="str">
        <f t="shared" si="121"/>
        <v/>
      </c>
      <c r="L409" s="189" t="str">
        <f t="shared" si="122"/>
        <v/>
      </c>
      <c r="M409" s="189" t="str">
        <f t="shared" si="123"/>
        <v/>
      </c>
      <c r="N409" s="76" t="str">
        <f t="shared" si="124"/>
        <v/>
      </c>
      <c r="O409" s="20">
        <f t="shared" si="125"/>
        <v>0</v>
      </c>
      <c r="P409" s="76">
        <f t="shared" si="126"/>
        <v>0</v>
      </c>
      <c r="Q409" s="206">
        <f t="shared" si="116"/>
        <v>0</v>
      </c>
      <c r="R409" s="206">
        <f t="shared" si="117"/>
        <v>0</v>
      </c>
      <c r="S409" s="206">
        <f t="shared" si="118"/>
        <v>0</v>
      </c>
      <c r="T409" s="206">
        <f t="shared" si="119"/>
        <v>0</v>
      </c>
      <c r="AA409" s="71" t="str">
        <f t="shared" si="111"/>
        <v/>
      </c>
      <c r="AB409" s="189">
        <f t="shared" si="112"/>
        <v>0</v>
      </c>
      <c r="AC409" s="189">
        <f t="shared" si="113"/>
        <v>0</v>
      </c>
      <c r="AD409" s="189">
        <f t="shared" si="114"/>
        <v>0</v>
      </c>
      <c r="AE409" s="189">
        <f t="shared" si="115"/>
        <v>0</v>
      </c>
    </row>
    <row r="410" spans="1:31" x14ac:dyDescent="0.4">
      <c r="A410" s="204"/>
      <c r="B410" s="204"/>
      <c r="C410" s="204"/>
      <c r="D410" s="204"/>
      <c r="E410" s="204"/>
      <c r="F410" s="204"/>
      <c r="G410" s="204"/>
      <c r="H410" s="204"/>
      <c r="J410" s="189" t="str">
        <f t="shared" si="120"/>
        <v/>
      </c>
      <c r="K410" s="189" t="str">
        <f t="shared" si="121"/>
        <v/>
      </c>
      <c r="L410" s="189" t="str">
        <f t="shared" si="122"/>
        <v/>
      </c>
      <c r="M410" s="189" t="str">
        <f t="shared" si="123"/>
        <v/>
      </c>
      <c r="N410" s="76" t="str">
        <f t="shared" si="124"/>
        <v/>
      </c>
      <c r="O410" s="20">
        <f t="shared" si="125"/>
        <v>0</v>
      </c>
      <c r="P410" s="76">
        <f t="shared" si="126"/>
        <v>0</v>
      </c>
      <c r="Q410" s="206">
        <f t="shared" si="116"/>
        <v>0</v>
      </c>
      <c r="R410" s="206">
        <f t="shared" si="117"/>
        <v>0</v>
      </c>
      <c r="S410" s="206">
        <f t="shared" si="118"/>
        <v>0</v>
      </c>
      <c r="T410" s="206">
        <f t="shared" si="119"/>
        <v>0</v>
      </c>
      <c r="AA410" s="71" t="str">
        <f t="shared" si="111"/>
        <v/>
      </c>
      <c r="AB410" s="189">
        <f t="shared" si="112"/>
        <v>0</v>
      </c>
      <c r="AC410" s="189">
        <f t="shared" si="113"/>
        <v>0</v>
      </c>
      <c r="AD410" s="189">
        <f t="shared" si="114"/>
        <v>0</v>
      </c>
      <c r="AE410" s="189">
        <f t="shared" si="115"/>
        <v>0</v>
      </c>
    </row>
    <row r="411" spans="1:31" x14ac:dyDescent="0.4">
      <c r="A411" s="204"/>
      <c r="B411" s="204"/>
      <c r="C411" s="204"/>
      <c r="D411" s="204"/>
      <c r="E411" s="204"/>
      <c r="F411" s="204"/>
      <c r="G411" s="204"/>
      <c r="H411" s="204"/>
      <c r="J411" s="189" t="str">
        <f t="shared" si="120"/>
        <v/>
      </c>
      <c r="K411" s="189" t="str">
        <f t="shared" si="121"/>
        <v/>
      </c>
      <c r="L411" s="189" t="str">
        <f t="shared" si="122"/>
        <v/>
      </c>
      <c r="M411" s="189" t="str">
        <f t="shared" si="123"/>
        <v/>
      </c>
      <c r="N411" s="76" t="str">
        <f t="shared" si="124"/>
        <v/>
      </c>
      <c r="O411" s="20">
        <f t="shared" si="125"/>
        <v>0</v>
      </c>
      <c r="P411" s="76">
        <f t="shared" si="126"/>
        <v>0</v>
      </c>
      <c r="Q411" s="206">
        <f t="shared" si="116"/>
        <v>0</v>
      </c>
      <c r="R411" s="206">
        <f t="shared" si="117"/>
        <v>0</v>
      </c>
      <c r="S411" s="206">
        <f t="shared" si="118"/>
        <v>0</v>
      </c>
      <c r="T411" s="206">
        <f t="shared" si="119"/>
        <v>0</v>
      </c>
      <c r="AA411" s="71" t="str">
        <f t="shared" si="111"/>
        <v/>
      </c>
      <c r="AB411" s="189">
        <f t="shared" si="112"/>
        <v>0</v>
      </c>
      <c r="AC411" s="189">
        <f t="shared" si="113"/>
        <v>0</v>
      </c>
      <c r="AD411" s="189">
        <f t="shared" si="114"/>
        <v>0</v>
      </c>
      <c r="AE411" s="189">
        <f t="shared" si="115"/>
        <v>0</v>
      </c>
    </row>
    <row r="412" spans="1:31" x14ac:dyDescent="0.4">
      <c r="A412" s="204"/>
      <c r="B412" s="204"/>
      <c r="C412" s="204"/>
      <c r="D412" s="204"/>
      <c r="E412" s="204"/>
      <c r="F412" s="204"/>
      <c r="G412" s="204"/>
      <c r="H412" s="204"/>
      <c r="J412" s="189" t="str">
        <f t="shared" si="120"/>
        <v/>
      </c>
      <c r="K412" s="189" t="str">
        <f t="shared" si="121"/>
        <v/>
      </c>
      <c r="L412" s="189" t="str">
        <f t="shared" si="122"/>
        <v/>
      </c>
      <c r="M412" s="189" t="str">
        <f t="shared" si="123"/>
        <v/>
      </c>
      <c r="N412" s="76" t="str">
        <f t="shared" si="124"/>
        <v/>
      </c>
      <c r="O412" s="20">
        <f t="shared" si="125"/>
        <v>0</v>
      </c>
      <c r="P412" s="76">
        <f t="shared" si="126"/>
        <v>0</v>
      </c>
      <c r="Q412" s="206">
        <f t="shared" si="116"/>
        <v>0</v>
      </c>
      <c r="R412" s="206">
        <f t="shared" si="117"/>
        <v>0</v>
      </c>
      <c r="S412" s="206">
        <f t="shared" si="118"/>
        <v>0</v>
      </c>
      <c r="T412" s="206">
        <f t="shared" si="119"/>
        <v>0</v>
      </c>
      <c r="AA412" s="71" t="str">
        <f t="shared" ref="AA412:AA475" si="127">N412</f>
        <v/>
      </c>
      <c r="AB412" s="189">
        <f t="shared" ref="AB412:AB475" si="128">IFERROR(IF(FIND("Km",$B412),IF($B413="",IF(FIND("Pax",C413),VALUE((LEFT(C413,LEN(C413)-4))),))),0)</f>
        <v>0</v>
      </c>
      <c r="AC412" s="189">
        <f t="shared" ref="AC412:AC475" si="129">IFERROR(IF(FIND("Km",$B412),IF($B413="",IF(FIND("Pax",D413),VALUE((LEFT(D413,LEN(D413)-4))),))),0)</f>
        <v>0</v>
      </c>
      <c r="AD412" s="189">
        <f t="shared" ref="AD412:AD475" si="130">IFERROR(IF(FIND("Km",$B412),IF($B413="",IF(FIND("Pax",E413),VALUE((LEFT(E413,LEN(E413)-4))),))),0)</f>
        <v>0</v>
      </c>
      <c r="AE412" s="189">
        <f t="shared" ref="AE412:AE475" si="131">IFERROR(IF($J412&lt;&gt;"",VALUE(LEFT(F413,LEN(F413)-7)),0),1)</f>
        <v>0</v>
      </c>
    </row>
    <row r="413" spans="1:31" x14ac:dyDescent="0.4">
      <c r="A413" s="204"/>
      <c r="B413" s="204"/>
      <c r="C413" s="204"/>
      <c r="D413" s="204"/>
      <c r="E413" s="204"/>
      <c r="F413" s="204"/>
      <c r="G413" s="204"/>
      <c r="H413" s="204"/>
      <c r="J413" s="189" t="str">
        <f t="shared" si="120"/>
        <v/>
      </c>
      <c r="K413" s="189" t="str">
        <f t="shared" si="121"/>
        <v/>
      </c>
      <c r="L413" s="189" t="str">
        <f t="shared" si="122"/>
        <v/>
      </c>
      <c r="M413" s="189" t="str">
        <f t="shared" si="123"/>
        <v/>
      </c>
      <c r="N413" s="76" t="str">
        <f t="shared" si="124"/>
        <v/>
      </c>
      <c r="O413" s="20">
        <f t="shared" si="125"/>
        <v>0</v>
      </c>
      <c r="P413" s="76">
        <f t="shared" si="126"/>
        <v>0</v>
      </c>
      <c r="Q413" s="206">
        <f t="shared" si="116"/>
        <v>0</v>
      </c>
      <c r="R413" s="206">
        <f t="shared" si="117"/>
        <v>0</v>
      </c>
      <c r="S413" s="206">
        <f t="shared" si="118"/>
        <v>0</v>
      </c>
      <c r="T413" s="206">
        <f t="shared" si="119"/>
        <v>0</v>
      </c>
      <c r="AA413" s="71" t="str">
        <f t="shared" si="127"/>
        <v/>
      </c>
      <c r="AB413" s="189">
        <f t="shared" si="128"/>
        <v>0</v>
      </c>
      <c r="AC413" s="189">
        <f t="shared" si="129"/>
        <v>0</v>
      </c>
      <c r="AD413" s="189">
        <f t="shared" si="130"/>
        <v>0</v>
      </c>
      <c r="AE413" s="189">
        <f t="shared" si="131"/>
        <v>0</v>
      </c>
    </row>
    <row r="414" spans="1:31" x14ac:dyDescent="0.4">
      <c r="A414" s="204"/>
      <c r="B414" s="204"/>
      <c r="C414" s="204"/>
      <c r="D414" s="204"/>
      <c r="E414" s="204"/>
      <c r="F414" s="204"/>
      <c r="G414" s="204"/>
      <c r="H414" s="204"/>
      <c r="J414" s="189" t="str">
        <f t="shared" si="120"/>
        <v/>
      </c>
      <c r="K414" s="189" t="str">
        <f t="shared" si="121"/>
        <v/>
      </c>
      <c r="L414" s="189" t="str">
        <f t="shared" si="122"/>
        <v/>
      </c>
      <c r="M414" s="189" t="str">
        <f t="shared" si="123"/>
        <v/>
      </c>
      <c r="N414" s="76" t="str">
        <f t="shared" si="124"/>
        <v/>
      </c>
      <c r="O414" s="20">
        <f t="shared" si="125"/>
        <v>0</v>
      </c>
      <c r="P414" s="76">
        <f t="shared" si="126"/>
        <v>0</v>
      </c>
      <c r="Q414" s="206">
        <f t="shared" si="116"/>
        <v>0</v>
      </c>
      <c r="R414" s="206">
        <f t="shared" si="117"/>
        <v>0</v>
      </c>
      <c r="S414" s="206">
        <f t="shared" si="118"/>
        <v>0</v>
      </c>
      <c r="T414" s="206">
        <f t="shared" si="119"/>
        <v>0</v>
      </c>
      <c r="AA414" s="71" t="str">
        <f t="shared" si="127"/>
        <v/>
      </c>
      <c r="AB414" s="189">
        <f t="shared" si="128"/>
        <v>0</v>
      </c>
      <c r="AC414" s="189">
        <f t="shared" si="129"/>
        <v>0</v>
      </c>
      <c r="AD414" s="189">
        <f t="shared" si="130"/>
        <v>0</v>
      </c>
      <c r="AE414" s="189">
        <f t="shared" si="131"/>
        <v>0</v>
      </c>
    </row>
    <row r="415" spans="1:31" x14ac:dyDescent="0.4">
      <c r="A415" s="204"/>
      <c r="B415" s="204"/>
      <c r="C415" s="204"/>
      <c r="D415" s="204"/>
      <c r="E415" s="204"/>
      <c r="F415" s="204"/>
      <c r="G415" s="204"/>
      <c r="H415" s="204"/>
      <c r="J415" s="189" t="str">
        <f t="shared" si="120"/>
        <v/>
      </c>
      <c r="K415" s="189" t="str">
        <f t="shared" si="121"/>
        <v/>
      </c>
      <c r="L415" s="189" t="str">
        <f t="shared" si="122"/>
        <v/>
      </c>
      <c r="M415" s="189" t="str">
        <f t="shared" si="123"/>
        <v/>
      </c>
      <c r="N415" s="76" t="str">
        <f t="shared" si="124"/>
        <v/>
      </c>
      <c r="O415" s="20">
        <f t="shared" si="125"/>
        <v>0</v>
      </c>
      <c r="P415" s="76">
        <f t="shared" si="126"/>
        <v>0</v>
      </c>
      <c r="Q415" s="206">
        <f t="shared" si="116"/>
        <v>0</v>
      </c>
      <c r="R415" s="206">
        <f t="shared" si="117"/>
        <v>0</v>
      </c>
      <c r="S415" s="206">
        <f t="shared" si="118"/>
        <v>0</v>
      </c>
      <c r="T415" s="206">
        <f t="shared" si="119"/>
        <v>0</v>
      </c>
      <c r="AA415" s="71" t="str">
        <f t="shared" si="127"/>
        <v/>
      </c>
      <c r="AB415" s="189">
        <f t="shared" si="128"/>
        <v>0</v>
      </c>
      <c r="AC415" s="189">
        <f t="shared" si="129"/>
        <v>0</v>
      </c>
      <c r="AD415" s="189">
        <f t="shared" si="130"/>
        <v>0</v>
      </c>
      <c r="AE415" s="189">
        <f t="shared" si="131"/>
        <v>0</v>
      </c>
    </row>
    <row r="416" spans="1:31" x14ac:dyDescent="0.4">
      <c r="A416" s="204"/>
      <c r="B416" s="204"/>
      <c r="C416" s="204"/>
      <c r="D416" s="204"/>
      <c r="E416" s="204"/>
      <c r="F416" s="204"/>
      <c r="G416" s="204"/>
      <c r="H416" s="204"/>
      <c r="J416" s="189" t="str">
        <f t="shared" si="120"/>
        <v/>
      </c>
      <c r="K416" s="189" t="str">
        <f t="shared" si="121"/>
        <v/>
      </c>
      <c r="L416" s="189" t="str">
        <f t="shared" si="122"/>
        <v/>
      </c>
      <c r="M416" s="189" t="str">
        <f t="shared" si="123"/>
        <v/>
      </c>
      <c r="N416" s="76" t="str">
        <f t="shared" si="124"/>
        <v/>
      </c>
      <c r="O416" s="20">
        <f t="shared" si="125"/>
        <v>0</v>
      </c>
      <c r="P416" s="76">
        <f t="shared" si="126"/>
        <v>0</v>
      </c>
      <c r="Q416" s="206">
        <f t="shared" si="116"/>
        <v>0</v>
      </c>
      <c r="R416" s="206">
        <f t="shared" si="117"/>
        <v>0</v>
      </c>
      <c r="S416" s="206">
        <f t="shared" si="118"/>
        <v>0</v>
      </c>
      <c r="T416" s="206">
        <f t="shared" si="119"/>
        <v>0</v>
      </c>
      <c r="AA416" s="71" t="str">
        <f t="shared" si="127"/>
        <v/>
      </c>
      <c r="AB416" s="189">
        <f t="shared" si="128"/>
        <v>0</v>
      </c>
      <c r="AC416" s="189">
        <f t="shared" si="129"/>
        <v>0</v>
      </c>
      <c r="AD416" s="189">
        <f t="shared" si="130"/>
        <v>0</v>
      </c>
      <c r="AE416" s="189">
        <f t="shared" si="131"/>
        <v>0</v>
      </c>
    </row>
    <row r="417" spans="1:31" x14ac:dyDescent="0.4">
      <c r="A417" s="204"/>
      <c r="B417" s="204"/>
      <c r="C417" s="204"/>
      <c r="D417" s="204"/>
      <c r="E417" s="204"/>
      <c r="F417" s="204"/>
      <c r="G417" s="204"/>
      <c r="H417" s="204"/>
      <c r="J417" s="189" t="str">
        <f t="shared" si="120"/>
        <v/>
      </c>
      <c r="K417" s="189" t="str">
        <f t="shared" si="121"/>
        <v/>
      </c>
      <c r="L417" s="189" t="str">
        <f t="shared" si="122"/>
        <v/>
      </c>
      <c r="M417" s="189" t="str">
        <f t="shared" si="123"/>
        <v/>
      </c>
      <c r="N417" s="76" t="str">
        <f t="shared" si="124"/>
        <v/>
      </c>
      <c r="O417" s="20">
        <f t="shared" si="125"/>
        <v>0</v>
      </c>
      <c r="P417" s="76">
        <f t="shared" si="126"/>
        <v>0</v>
      </c>
      <c r="Q417" s="206">
        <f t="shared" si="116"/>
        <v>0</v>
      </c>
      <c r="R417" s="206">
        <f t="shared" si="117"/>
        <v>0</v>
      </c>
      <c r="S417" s="206">
        <f t="shared" si="118"/>
        <v>0</v>
      </c>
      <c r="T417" s="206">
        <f t="shared" si="119"/>
        <v>0</v>
      </c>
      <c r="AA417" s="71" t="str">
        <f t="shared" si="127"/>
        <v/>
      </c>
      <c r="AB417" s="189">
        <f t="shared" si="128"/>
        <v>0</v>
      </c>
      <c r="AC417" s="189">
        <f t="shared" si="129"/>
        <v>0</v>
      </c>
      <c r="AD417" s="189">
        <f t="shared" si="130"/>
        <v>0</v>
      </c>
      <c r="AE417" s="189">
        <f t="shared" si="131"/>
        <v>0</v>
      </c>
    </row>
    <row r="418" spans="1:31" x14ac:dyDescent="0.4">
      <c r="A418" s="204"/>
      <c r="B418" s="204"/>
      <c r="C418" s="204"/>
      <c r="D418" s="204"/>
      <c r="E418" s="204"/>
      <c r="F418" s="204"/>
      <c r="G418" s="204"/>
      <c r="H418" s="204"/>
      <c r="J418" s="189" t="str">
        <f t="shared" si="120"/>
        <v/>
      </c>
      <c r="K418" s="189" t="str">
        <f t="shared" si="121"/>
        <v/>
      </c>
      <c r="L418" s="189" t="str">
        <f t="shared" si="122"/>
        <v/>
      </c>
      <c r="M418" s="189" t="str">
        <f t="shared" si="123"/>
        <v/>
      </c>
      <c r="N418" s="76" t="str">
        <f t="shared" si="124"/>
        <v/>
      </c>
      <c r="O418" s="20">
        <f t="shared" si="125"/>
        <v>0</v>
      </c>
      <c r="P418" s="76">
        <f t="shared" si="126"/>
        <v>0</v>
      </c>
      <c r="Q418" s="206">
        <f t="shared" si="116"/>
        <v>0</v>
      </c>
      <c r="R418" s="206">
        <f t="shared" si="117"/>
        <v>0</v>
      </c>
      <c r="S418" s="206">
        <f t="shared" si="118"/>
        <v>0</v>
      </c>
      <c r="T418" s="206">
        <f t="shared" si="119"/>
        <v>0</v>
      </c>
      <c r="AA418" s="71" t="str">
        <f t="shared" si="127"/>
        <v/>
      </c>
      <c r="AB418" s="189">
        <f t="shared" si="128"/>
        <v>0</v>
      </c>
      <c r="AC418" s="189">
        <f t="shared" si="129"/>
        <v>0</v>
      </c>
      <c r="AD418" s="189">
        <f t="shared" si="130"/>
        <v>0</v>
      </c>
      <c r="AE418" s="189">
        <f t="shared" si="131"/>
        <v>0</v>
      </c>
    </row>
    <row r="419" spans="1:31" x14ac:dyDescent="0.4">
      <c r="A419" s="204"/>
      <c r="B419" s="204"/>
      <c r="C419" s="204"/>
      <c r="D419" s="204"/>
      <c r="E419" s="204"/>
      <c r="F419" s="204"/>
      <c r="G419" s="204"/>
      <c r="H419" s="204"/>
      <c r="J419" s="189" t="str">
        <f t="shared" si="120"/>
        <v/>
      </c>
      <c r="K419" s="189" t="str">
        <f t="shared" si="121"/>
        <v/>
      </c>
      <c r="L419" s="189" t="str">
        <f t="shared" si="122"/>
        <v/>
      </c>
      <c r="M419" s="189" t="str">
        <f t="shared" si="123"/>
        <v/>
      </c>
      <c r="N419" s="76" t="str">
        <f t="shared" si="124"/>
        <v/>
      </c>
      <c r="O419" s="20">
        <f t="shared" si="125"/>
        <v>0</v>
      </c>
      <c r="P419" s="76">
        <f t="shared" si="126"/>
        <v>0</v>
      </c>
      <c r="Q419" s="206">
        <f t="shared" si="116"/>
        <v>0</v>
      </c>
      <c r="R419" s="206">
        <f t="shared" si="117"/>
        <v>0</v>
      </c>
      <c r="S419" s="206">
        <f t="shared" si="118"/>
        <v>0</v>
      </c>
      <c r="T419" s="206">
        <f t="shared" si="119"/>
        <v>0</v>
      </c>
      <c r="AA419" s="71" t="str">
        <f t="shared" si="127"/>
        <v/>
      </c>
      <c r="AB419" s="189">
        <f t="shared" si="128"/>
        <v>0</v>
      </c>
      <c r="AC419" s="189">
        <f t="shared" si="129"/>
        <v>0</v>
      </c>
      <c r="AD419" s="189">
        <f t="shared" si="130"/>
        <v>0</v>
      </c>
      <c r="AE419" s="189">
        <f t="shared" si="131"/>
        <v>0</v>
      </c>
    </row>
    <row r="420" spans="1:31" x14ac:dyDescent="0.4">
      <c r="A420" s="204"/>
      <c r="B420" s="204"/>
      <c r="C420" s="204"/>
      <c r="D420" s="204"/>
      <c r="E420" s="204"/>
      <c r="F420" s="204"/>
      <c r="G420" s="204"/>
      <c r="H420" s="204"/>
      <c r="J420" s="189" t="str">
        <f t="shared" si="120"/>
        <v/>
      </c>
      <c r="K420" s="189" t="str">
        <f t="shared" si="121"/>
        <v/>
      </c>
      <c r="L420" s="189" t="str">
        <f t="shared" si="122"/>
        <v/>
      </c>
      <c r="M420" s="189" t="str">
        <f t="shared" si="123"/>
        <v/>
      </c>
      <c r="N420" s="76" t="str">
        <f t="shared" si="124"/>
        <v/>
      </c>
      <c r="O420" s="20">
        <f t="shared" si="125"/>
        <v>0</v>
      </c>
      <c r="P420" s="76">
        <f t="shared" si="126"/>
        <v>0</v>
      </c>
      <c r="Q420" s="206">
        <f t="shared" si="116"/>
        <v>0</v>
      </c>
      <c r="R420" s="206">
        <f t="shared" si="117"/>
        <v>0</v>
      </c>
      <c r="S420" s="206">
        <f t="shared" si="118"/>
        <v>0</v>
      </c>
      <c r="T420" s="206">
        <f t="shared" si="119"/>
        <v>0</v>
      </c>
      <c r="AA420" s="71" t="str">
        <f t="shared" si="127"/>
        <v/>
      </c>
      <c r="AB420" s="189">
        <f t="shared" si="128"/>
        <v>0</v>
      </c>
      <c r="AC420" s="189">
        <f t="shared" si="129"/>
        <v>0</v>
      </c>
      <c r="AD420" s="189">
        <f t="shared" si="130"/>
        <v>0</v>
      </c>
      <c r="AE420" s="189">
        <f t="shared" si="131"/>
        <v>0</v>
      </c>
    </row>
    <row r="421" spans="1:31" x14ac:dyDescent="0.4">
      <c r="A421" s="204"/>
      <c r="B421" s="204"/>
      <c r="C421" s="204"/>
      <c r="D421" s="204"/>
      <c r="E421" s="204"/>
      <c r="F421" s="204"/>
      <c r="G421" s="204"/>
      <c r="H421" s="204"/>
      <c r="J421" s="189" t="str">
        <f t="shared" si="120"/>
        <v/>
      </c>
      <c r="K421" s="189" t="str">
        <f t="shared" si="121"/>
        <v/>
      </c>
      <c r="L421" s="189" t="str">
        <f t="shared" si="122"/>
        <v/>
      </c>
      <c r="M421" s="189" t="str">
        <f t="shared" si="123"/>
        <v/>
      </c>
      <c r="N421" s="76" t="str">
        <f t="shared" si="124"/>
        <v/>
      </c>
      <c r="O421" s="20">
        <f t="shared" si="125"/>
        <v>0</v>
      </c>
      <c r="P421" s="76">
        <f t="shared" si="126"/>
        <v>0</v>
      </c>
      <c r="Q421" s="206">
        <f t="shared" si="116"/>
        <v>0</v>
      </c>
      <c r="R421" s="206">
        <f t="shared" si="117"/>
        <v>0</v>
      </c>
      <c r="S421" s="206">
        <f t="shared" si="118"/>
        <v>0</v>
      </c>
      <c r="T421" s="206">
        <f t="shared" si="119"/>
        <v>0</v>
      </c>
      <c r="AA421" s="71" t="str">
        <f t="shared" si="127"/>
        <v/>
      </c>
      <c r="AB421" s="189">
        <f t="shared" si="128"/>
        <v>0</v>
      </c>
      <c r="AC421" s="189">
        <f t="shared" si="129"/>
        <v>0</v>
      </c>
      <c r="AD421" s="189">
        <f t="shared" si="130"/>
        <v>0</v>
      </c>
      <c r="AE421" s="189">
        <f t="shared" si="131"/>
        <v>0</v>
      </c>
    </row>
    <row r="422" spans="1:31" x14ac:dyDescent="0.4">
      <c r="A422" s="204"/>
      <c r="B422" s="204"/>
      <c r="C422" s="204"/>
      <c r="D422" s="204"/>
      <c r="E422" s="204"/>
      <c r="F422" s="204"/>
      <c r="G422" s="204"/>
      <c r="H422" s="204"/>
      <c r="J422" s="189" t="str">
        <f t="shared" si="120"/>
        <v/>
      </c>
      <c r="K422" s="189" t="str">
        <f t="shared" si="121"/>
        <v/>
      </c>
      <c r="L422" s="189" t="str">
        <f t="shared" si="122"/>
        <v/>
      </c>
      <c r="M422" s="189" t="str">
        <f t="shared" si="123"/>
        <v/>
      </c>
      <c r="N422" s="76" t="str">
        <f t="shared" si="124"/>
        <v/>
      </c>
      <c r="O422" s="20">
        <f t="shared" si="125"/>
        <v>0</v>
      </c>
      <c r="P422" s="76">
        <f t="shared" si="126"/>
        <v>0</v>
      </c>
      <c r="Q422" s="206">
        <f t="shared" ref="Q422:Q485" si="132">IF(P422=0,0,VALUE(LEFT(C422,LEN(C422)-4)))</f>
        <v>0</v>
      </c>
      <c r="R422" s="206">
        <f t="shared" ref="R422:R485" si="133">IF(Q422=0,0,VALUE(LEFT(D422,LEN(D422)-4)))</f>
        <v>0</v>
      </c>
      <c r="S422" s="206">
        <f t="shared" ref="S422:S485" si="134">IF(R422=0,0,VALUE(LEFT(E422,LEN(E422)-4)))</f>
        <v>0</v>
      </c>
      <c r="T422" s="206">
        <f t="shared" ref="T422:T485" si="135">IF(S422=0,0,VALUE(LEFT(F422,LEN(F422)-7)))</f>
        <v>0</v>
      </c>
      <c r="AA422" s="71" t="str">
        <f t="shared" si="127"/>
        <v/>
      </c>
      <c r="AB422" s="189">
        <f t="shared" si="128"/>
        <v>0</v>
      </c>
      <c r="AC422" s="189">
        <f t="shared" si="129"/>
        <v>0</v>
      </c>
      <c r="AD422" s="189">
        <f t="shared" si="130"/>
        <v>0</v>
      </c>
      <c r="AE422" s="189">
        <f t="shared" si="131"/>
        <v>0</v>
      </c>
    </row>
    <row r="423" spans="1:31" x14ac:dyDescent="0.4">
      <c r="A423" s="204"/>
      <c r="B423" s="204"/>
      <c r="C423" s="204"/>
      <c r="D423" s="204"/>
      <c r="E423" s="204"/>
      <c r="F423" s="204"/>
      <c r="G423" s="204"/>
      <c r="H423" s="204"/>
      <c r="J423" s="189" t="str">
        <f t="shared" si="120"/>
        <v/>
      </c>
      <c r="K423" s="189" t="str">
        <f t="shared" si="121"/>
        <v/>
      </c>
      <c r="L423" s="189" t="str">
        <f t="shared" si="122"/>
        <v/>
      </c>
      <c r="M423" s="189" t="str">
        <f t="shared" si="123"/>
        <v/>
      </c>
      <c r="N423" s="76" t="str">
        <f t="shared" si="124"/>
        <v/>
      </c>
      <c r="O423" s="20">
        <f t="shared" si="125"/>
        <v>0</v>
      </c>
      <c r="P423" s="76">
        <f t="shared" si="126"/>
        <v>0</v>
      </c>
      <c r="Q423" s="206">
        <f t="shared" si="132"/>
        <v>0</v>
      </c>
      <c r="R423" s="206">
        <f t="shared" si="133"/>
        <v>0</v>
      </c>
      <c r="S423" s="206">
        <f t="shared" si="134"/>
        <v>0</v>
      </c>
      <c r="T423" s="206">
        <f t="shared" si="135"/>
        <v>0</v>
      </c>
      <c r="AA423" s="71" t="str">
        <f t="shared" si="127"/>
        <v/>
      </c>
      <c r="AB423" s="189">
        <f t="shared" si="128"/>
        <v>0</v>
      </c>
      <c r="AC423" s="189">
        <f t="shared" si="129"/>
        <v>0</v>
      </c>
      <c r="AD423" s="189">
        <f t="shared" si="130"/>
        <v>0</v>
      </c>
      <c r="AE423" s="189">
        <f t="shared" si="131"/>
        <v>0</v>
      </c>
    </row>
    <row r="424" spans="1:31" x14ac:dyDescent="0.4">
      <c r="A424" s="204"/>
      <c r="B424" s="204"/>
      <c r="C424" s="204"/>
      <c r="D424" s="204"/>
      <c r="E424" s="204"/>
      <c r="F424" s="204"/>
      <c r="G424" s="204"/>
      <c r="H424" s="204"/>
      <c r="J424" s="189" t="str">
        <f t="shared" si="120"/>
        <v/>
      </c>
      <c r="K424" s="189" t="str">
        <f t="shared" si="121"/>
        <v/>
      </c>
      <c r="L424" s="189" t="str">
        <f t="shared" si="122"/>
        <v/>
      </c>
      <c r="M424" s="189" t="str">
        <f t="shared" si="123"/>
        <v/>
      </c>
      <c r="N424" s="76" t="str">
        <f t="shared" si="124"/>
        <v/>
      </c>
      <c r="O424" s="20">
        <f t="shared" si="125"/>
        <v>0</v>
      </c>
      <c r="P424" s="76">
        <f t="shared" si="126"/>
        <v>0</v>
      </c>
      <c r="Q424" s="206">
        <f t="shared" si="132"/>
        <v>0</v>
      </c>
      <c r="R424" s="206">
        <f t="shared" si="133"/>
        <v>0</v>
      </c>
      <c r="S424" s="206">
        <f t="shared" si="134"/>
        <v>0</v>
      </c>
      <c r="T424" s="206">
        <f t="shared" si="135"/>
        <v>0</v>
      </c>
      <c r="AA424" s="71" t="str">
        <f t="shared" si="127"/>
        <v/>
      </c>
      <c r="AB424" s="189">
        <f t="shared" si="128"/>
        <v>0</v>
      </c>
      <c r="AC424" s="189">
        <f t="shared" si="129"/>
        <v>0</v>
      </c>
      <c r="AD424" s="189">
        <f t="shared" si="130"/>
        <v>0</v>
      </c>
      <c r="AE424" s="189">
        <f t="shared" si="131"/>
        <v>0</v>
      </c>
    </row>
    <row r="425" spans="1:31" x14ac:dyDescent="0.4">
      <c r="A425" s="204"/>
      <c r="B425" s="204"/>
      <c r="C425" s="204"/>
      <c r="D425" s="204"/>
      <c r="E425" s="204"/>
      <c r="F425" s="204"/>
      <c r="G425" s="204"/>
      <c r="H425" s="204"/>
      <c r="J425" s="189" t="str">
        <f t="shared" si="120"/>
        <v/>
      </c>
      <c r="K425" s="189" t="str">
        <f t="shared" si="121"/>
        <v/>
      </c>
      <c r="L425" s="189" t="str">
        <f t="shared" si="122"/>
        <v/>
      </c>
      <c r="M425" s="189" t="str">
        <f t="shared" si="123"/>
        <v/>
      </c>
      <c r="N425" s="76" t="str">
        <f t="shared" si="124"/>
        <v/>
      </c>
      <c r="O425" s="20">
        <f t="shared" si="125"/>
        <v>0</v>
      </c>
      <c r="P425" s="76">
        <f t="shared" si="126"/>
        <v>0</v>
      </c>
      <c r="Q425" s="206">
        <f t="shared" si="132"/>
        <v>0</v>
      </c>
      <c r="R425" s="206">
        <f t="shared" si="133"/>
        <v>0</v>
      </c>
      <c r="S425" s="206">
        <f t="shared" si="134"/>
        <v>0</v>
      </c>
      <c r="T425" s="206">
        <f t="shared" si="135"/>
        <v>0</v>
      </c>
      <c r="AA425" s="71" t="str">
        <f t="shared" si="127"/>
        <v/>
      </c>
      <c r="AB425" s="189">
        <f t="shared" si="128"/>
        <v>0</v>
      </c>
      <c r="AC425" s="189">
        <f t="shared" si="129"/>
        <v>0</v>
      </c>
      <c r="AD425" s="189">
        <f t="shared" si="130"/>
        <v>0</v>
      </c>
      <c r="AE425" s="189">
        <f t="shared" si="131"/>
        <v>0</v>
      </c>
    </row>
    <row r="426" spans="1:31" x14ac:dyDescent="0.4">
      <c r="A426" s="204"/>
      <c r="B426" s="204"/>
      <c r="C426" s="204"/>
      <c r="D426" s="204"/>
      <c r="E426" s="204"/>
      <c r="F426" s="204"/>
      <c r="G426" s="204"/>
      <c r="H426" s="204"/>
      <c r="J426" s="189" t="str">
        <f t="shared" si="120"/>
        <v/>
      </c>
      <c r="K426" s="189" t="str">
        <f t="shared" si="121"/>
        <v/>
      </c>
      <c r="L426" s="189" t="str">
        <f t="shared" si="122"/>
        <v/>
      </c>
      <c r="M426" s="189" t="str">
        <f t="shared" si="123"/>
        <v/>
      </c>
      <c r="N426" s="76" t="str">
        <f t="shared" si="124"/>
        <v/>
      </c>
      <c r="O426" s="20">
        <f t="shared" si="125"/>
        <v>0</v>
      </c>
      <c r="P426" s="76">
        <f t="shared" si="126"/>
        <v>0</v>
      </c>
      <c r="Q426" s="206">
        <f t="shared" si="132"/>
        <v>0</v>
      </c>
      <c r="R426" s="206">
        <f t="shared" si="133"/>
        <v>0</v>
      </c>
      <c r="S426" s="206">
        <f t="shared" si="134"/>
        <v>0</v>
      </c>
      <c r="T426" s="206">
        <f t="shared" si="135"/>
        <v>0</v>
      </c>
      <c r="AA426" s="71" t="str">
        <f t="shared" si="127"/>
        <v/>
      </c>
      <c r="AB426" s="189">
        <f t="shared" si="128"/>
        <v>0</v>
      </c>
      <c r="AC426" s="189">
        <f t="shared" si="129"/>
        <v>0</v>
      </c>
      <c r="AD426" s="189">
        <f t="shared" si="130"/>
        <v>0</v>
      </c>
      <c r="AE426" s="189">
        <f t="shared" si="131"/>
        <v>0</v>
      </c>
    </row>
    <row r="427" spans="1:31" x14ac:dyDescent="0.4">
      <c r="A427" s="204"/>
      <c r="B427" s="204"/>
      <c r="C427" s="204"/>
      <c r="D427" s="204"/>
      <c r="E427" s="204"/>
      <c r="F427" s="204"/>
      <c r="G427" s="204"/>
      <c r="H427" s="204"/>
      <c r="J427" s="189" t="str">
        <f t="shared" si="120"/>
        <v/>
      </c>
      <c r="K427" s="189" t="str">
        <f t="shared" si="121"/>
        <v/>
      </c>
      <c r="L427" s="189" t="str">
        <f t="shared" si="122"/>
        <v/>
      </c>
      <c r="M427" s="189" t="str">
        <f t="shared" si="123"/>
        <v/>
      </c>
      <c r="N427" s="76" t="str">
        <f t="shared" si="124"/>
        <v/>
      </c>
      <c r="O427" s="20">
        <f t="shared" si="125"/>
        <v>0</v>
      </c>
      <c r="P427" s="76">
        <f t="shared" si="126"/>
        <v>0</v>
      </c>
      <c r="Q427" s="206">
        <f t="shared" si="132"/>
        <v>0</v>
      </c>
      <c r="R427" s="206">
        <f t="shared" si="133"/>
        <v>0</v>
      </c>
      <c r="S427" s="206">
        <f t="shared" si="134"/>
        <v>0</v>
      </c>
      <c r="T427" s="206">
        <f t="shared" si="135"/>
        <v>0</v>
      </c>
      <c r="AA427" s="71" t="str">
        <f t="shared" si="127"/>
        <v/>
      </c>
      <c r="AB427" s="189">
        <f t="shared" si="128"/>
        <v>0</v>
      </c>
      <c r="AC427" s="189">
        <f t="shared" si="129"/>
        <v>0</v>
      </c>
      <c r="AD427" s="189">
        <f t="shared" si="130"/>
        <v>0</v>
      </c>
      <c r="AE427" s="189">
        <f t="shared" si="131"/>
        <v>0</v>
      </c>
    </row>
    <row r="428" spans="1:31" x14ac:dyDescent="0.4">
      <c r="A428" s="204"/>
      <c r="B428" s="204"/>
      <c r="C428" s="204"/>
      <c r="D428" s="204"/>
      <c r="E428" s="204"/>
      <c r="F428" s="204"/>
      <c r="G428" s="204"/>
      <c r="H428" s="204"/>
      <c r="J428" s="189" t="str">
        <f t="shared" si="120"/>
        <v/>
      </c>
      <c r="K428" s="189" t="str">
        <f t="shared" si="121"/>
        <v/>
      </c>
      <c r="L428" s="189" t="str">
        <f t="shared" si="122"/>
        <v/>
      </c>
      <c r="M428" s="189" t="str">
        <f t="shared" si="123"/>
        <v/>
      </c>
      <c r="N428" s="76" t="str">
        <f t="shared" si="124"/>
        <v/>
      </c>
      <c r="O428" s="20">
        <f t="shared" si="125"/>
        <v>0</v>
      </c>
      <c r="P428" s="76">
        <f t="shared" si="126"/>
        <v>0</v>
      </c>
      <c r="Q428" s="206">
        <f t="shared" si="132"/>
        <v>0</v>
      </c>
      <c r="R428" s="206">
        <f t="shared" si="133"/>
        <v>0</v>
      </c>
      <c r="S428" s="206">
        <f t="shared" si="134"/>
        <v>0</v>
      </c>
      <c r="T428" s="206">
        <f t="shared" si="135"/>
        <v>0</v>
      </c>
      <c r="AA428" s="71" t="str">
        <f t="shared" si="127"/>
        <v/>
      </c>
      <c r="AB428" s="189">
        <f t="shared" si="128"/>
        <v>0</v>
      </c>
      <c r="AC428" s="189">
        <f t="shared" si="129"/>
        <v>0</v>
      </c>
      <c r="AD428" s="189">
        <f t="shared" si="130"/>
        <v>0</v>
      </c>
      <c r="AE428" s="189">
        <f t="shared" si="131"/>
        <v>0</v>
      </c>
    </row>
    <row r="429" spans="1:31" x14ac:dyDescent="0.4">
      <c r="A429" s="204"/>
      <c r="B429" s="204"/>
      <c r="C429" s="204"/>
      <c r="D429" s="204"/>
      <c r="E429" s="204"/>
      <c r="F429" s="204"/>
      <c r="G429" s="204"/>
      <c r="H429" s="204"/>
      <c r="J429" s="189" t="str">
        <f t="shared" si="120"/>
        <v/>
      </c>
      <c r="K429" s="189" t="str">
        <f t="shared" si="121"/>
        <v/>
      </c>
      <c r="L429" s="189" t="str">
        <f t="shared" si="122"/>
        <v/>
      </c>
      <c r="M429" s="189" t="str">
        <f t="shared" si="123"/>
        <v/>
      </c>
      <c r="N429" s="76" t="str">
        <f t="shared" si="124"/>
        <v/>
      </c>
      <c r="O429" s="20">
        <f t="shared" si="125"/>
        <v>0</v>
      </c>
      <c r="P429" s="76">
        <f t="shared" si="126"/>
        <v>0</v>
      </c>
      <c r="Q429" s="206">
        <f t="shared" si="132"/>
        <v>0</v>
      </c>
      <c r="R429" s="206">
        <f t="shared" si="133"/>
        <v>0</v>
      </c>
      <c r="S429" s="206">
        <f t="shared" si="134"/>
        <v>0</v>
      </c>
      <c r="T429" s="206">
        <f t="shared" si="135"/>
        <v>0</v>
      </c>
      <c r="AA429" s="71" t="str">
        <f t="shared" si="127"/>
        <v/>
      </c>
      <c r="AB429" s="189">
        <f t="shared" si="128"/>
        <v>0</v>
      </c>
      <c r="AC429" s="189">
        <f t="shared" si="129"/>
        <v>0</v>
      </c>
      <c r="AD429" s="189">
        <f t="shared" si="130"/>
        <v>0</v>
      </c>
      <c r="AE429" s="189">
        <f t="shared" si="131"/>
        <v>0</v>
      </c>
    </row>
    <row r="430" spans="1:31" x14ac:dyDescent="0.4">
      <c r="A430" s="204"/>
      <c r="B430" s="204"/>
      <c r="C430" s="204"/>
      <c r="D430" s="204"/>
      <c r="E430" s="204"/>
      <c r="F430" s="204"/>
      <c r="G430" s="204"/>
      <c r="H430" s="204"/>
      <c r="J430" s="189" t="str">
        <f t="shared" si="120"/>
        <v/>
      </c>
      <c r="K430" s="189" t="str">
        <f t="shared" si="121"/>
        <v/>
      </c>
      <c r="L430" s="189" t="str">
        <f t="shared" si="122"/>
        <v/>
      </c>
      <c r="M430" s="189" t="str">
        <f t="shared" si="123"/>
        <v/>
      </c>
      <c r="N430" s="76" t="str">
        <f t="shared" si="124"/>
        <v/>
      </c>
      <c r="O430" s="20">
        <f t="shared" si="125"/>
        <v>0</v>
      </c>
      <c r="P430" s="76">
        <f t="shared" si="126"/>
        <v>0</v>
      </c>
      <c r="Q430" s="206">
        <f t="shared" si="132"/>
        <v>0</v>
      </c>
      <c r="R430" s="206">
        <f t="shared" si="133"/>
        <v>0</v>
      </c>
      <c r="S430" s="206">
        <f t="shared" si="134"/>
        <v>0</v>
      </c>
      <c r="T430" s="206">
        <f t="shared" si="135"/>
        <v>0</v>
      </c>
      <c r="AA430" s="71" t="str">
        <f t="shared" si="127"/>
        <v/>
      </c>
      <c r="AB430" s="189">
        <f t="shared" si="128"/>
        <v>0</v>
      </c>
      <c r="AC430" s="189">
        <f t="shared" si="129"/>
        <v>0</v>
      </c>
      <c r="AD430" s="189">
        <f t="shared" si="130"/>
        <v>0</v>
      </c>
      <c r="AE430" s="189">
        <f t="shared" si="131"/>
        <v>0</v>
      </c>
    </row>
    <row r="431" spans="1:31" x14ac:dyDescent="0.4">
      <c r="A431" s="204"/>
      <c r="B431" s="204"/>
      <c r="C431" s="204"/>
      <c r="D431" s="204"/>
      <c r="E431" s="204"/>
      <c r="F431" s="204"/>
      <c r="G431" s="204"/>
      <c r="H431" s="204"/>
      <c r="J431" s="189" t="str">
        <f t="shared" si="120"/>
        <v/>
      </c>
      <c r="K431" s="189" t="str">
        <f t="shared" si="121"/>
        <v/>
      </c>
      <c r="L431" s="189" t="str">
        <f t="shared" si="122"/>
        <v/>
      </c>
      <c r="M431" s="189" t="str">
        <f t="shared" si="123"/>
        <v/>
      </c>
      <c r="N431" s="76" t="str">
        <f t="shared" si="124"/>
        <v/>
      </c>
      <c r="O431" s="20">
        <f t="shared" si="125"/>
        <v>0</v>
      </c>
      <c r="P431" s="76">
        <f t="shared" si="126"/>
        <v>0</v>
      </c>
      <c r="Q431" s="206">
        <f t="shared" si="132"/>
        <v>0</v>
      </c>
      <c r="R431" s="206">
        <f t="shared" si="133"/>
        <v>0</v>
      </c>
      <c r="S431" s="206">
        <f t="shared" si="134"/>
        <v>0</v>
      </c>
      <c r="T431" s="206">
        <f t="shared" si="135"/>
        <v>0</v>
      </c>
      <c r="AA431" s="71" t="str">
        <f t="shared" si="127"/>
        <v/>
      </c>
      <c r="AB431" s="189">
        <f t="shared" si="128"/>
        <v>0</v>
      </c>
      <c r="AC431" s="189">
        <f t="shared" si="129"/>
        <v>0</v>
      </c>
      <c r="AD431" s="189">
        <f t="shared" si="130"/>
        <v>0</v>
      </c>
      <c r="AE431" s="189">
        <f t="shared" si="131"/>
        <v>0</v>
      </c>
    </row>
    <row r="432" spans="1:31" x14ac:dyDescent="0.4">
      <c r="A432" s="204"/>
      <c r="B432" s="204"/>
      <c r="C432" s="204"/>
      <c r="D432" s="204"/>
      <c r="E432" s="204"/>
      <c r="F432" s="204"/>
      <c r="G432" s="204"/>
      <c r="H432" s="204"/>
      <c r="J432" s="189" t="str">
        <f t="shared" si="120"/>
        <v/>
      </c>
      <c r="K432" s="189" t="str">
        <f t="shared" si="121"/>
        <v/>
      </c>
      <c r="L432" s="189" t="str">
        <f t="shared" si="122"/>
        <v/>
      </c>
      <c r="M432" s="189" t="str">
        <f t="shared" si="123"/>
        <v/>
      </c>
      <c r="N432" s="76" t="str">
        <f t="shared" si="124"/>
        <v/>
      </c>
      <c r="O432" s="20">
        <f t="shared" si="125"/>
        <v>0</v>
      </c>
      <c r="P432" s="76">
        <f t="shared" si="126"/>
        <v>0</v>
      </c>
      <c r="Q432" s="206">
        <f t="shared" si="132"/>
        <v>0</v>
      </c>
      <c r="R432" s="206">
        <f t="shared" si="133"/>
        <v>0</v>
      </c>
      <c r="S432" s="206">
        <f t="shared" si="134"/>
        <v>0</v>
      </c>
      <c r="T432" s="206">
        <f t="shared" si="135"/>
        <v>0</v>
      </c>
      <c r="AA432" s="71" t="str">
        <f t="shared" si="127"/>
        <v/>
      </c>
      <c r="AB432" s="189">
        <f t="shared" si="128"/>
        <v>0</v>
      </c>
      <c r="AC432" s="189">
        <f t="shared" si="129"/>
        <v>0</v>
      </c>
      <c r="AD432" s="189">
        <f t="shared" si="130"/>
        <v>0</v>
      </c>
      <c r="AE432" s="189">
        <f t="shared" si="131"/>
        <v>0</v>
      </c>
    </row>
    <row r="433" spans="1:31" x14ac:dyDescent="0.4">
      <c r="A433" s="204"/>
      <c r="B433" s="204"/>
      <c r="C433" s="204"/>
      <c r="D433" s="204"/>
      <c r="E433" s="204"/>
      <c r="F433" s="204"/>
      <c r="G433" s="204"/>
      <c r="H433" s="204"/>
      <c r="J433" s="189" t="str">
        <f t="shared" si="120"/>
        <v/>
      </c>
      <c r="K433" s="189" t="str">
        <f t="shared" si="121"/>
        <v/>
      </c>
      <c r="L433" s="189" t="str">
        <f t="shared" si="122"/>
        <v/>
      </c>
      <c r="M433" s="189" t="str">
        <f t="shared" si="123"/>
        <v/>
      </c>
      <c r="N433" s="76" t="str">
        <f t="shared" si="124"/>
        <v/>
      </c>
      <c r="O433" s="20">
        <f t="shared" si="125"/>
        <v>0</v>
      </c>
      <c r="P433" s="76">
        <f t="shared" si="126"/>
        <v>0</v>
      </c>
      <c r="Q433" s="206">
        <f t="shared" si="132"/>
        <v>0</v>
      </c>
      <c r="R433" s="206">
        <f t="shared" si="133"/>
        <v>0</v>
      </c>
      <c r="S433" s="206">
        <f t="shared" si="134"/>
        <v>0</v>
      </c>
      <c r="T433" s="206">
        <f t="shared" si="135"/>
        <v>0</v>
      </c>
      <c r="AA433" s="71" t="str">
        <f t="shared" si="127"/>
        <v/>
      </c>
      <c r="AB433" s="189">
        <f t="shared" si="128"/>
        <v>0</v>
      </c>
      <c r="AC433" s="189">
        <f t="shared" si="129"/>
        <v>0</v>
      </c>
      <c r="AD433" s="189">
        <f t="shared" si="130"/>
        <v>0</v>
      </c>
      <c r="AE433" s="189">
        <f t="shared" si="131"/>
        <v>0</v>
      </c>
    </row>
    <row r="434" spans="1:31" x14ac:dyDescent="0.4">
      <c r="A434" s="204"/>
      <c r="B434" s="204"/>
      <c r="C434" s="204"/>
      <c r="D434" s="204"/>
      <c r="E434" s="204"/>
      <c r="F434" s="204"/>
      <c r="G434" s="204"/>
      <c r="H434" s="204"/>
      <c r="J434" s="189" t="str">
        <f t="shared" si="120"/>
        <v/>
      </c>
      <c r="K434" s="189" t="str">
        <f t="shared" si="121"/>
        <v/>
      </c>
      <c r="L434" s="189" t="str">
        <f t="shared" si="122"/>
        <v/>
      </c>
      <c r="M434" s="189" t="str">
        <f t="shared" si="123"/>
        <v/>
      </c>
      <c r="N434" s="76" t="str">
        <f t="shared" si="124"/>
        <v/>
      </c>
      <c r="O434" s="20">
        <f t="shared" si="125"/>
        <v>0</v>
      </c>
      <c r="P434" s="76">
        <f t="shared" si="126"/>
        <v>0</v>
      </c>
      <c r="Q434" s="206">
        <f t="shared" si="132"/>
        <v>0</v>
      </c>
      <c r="R434" s="206">
        <f t="shared" si="133"/>
        <v>0</v>
      </c>
      <c r="S434" s="206">
        <f t="shared" si="134"/>
        <v>0</v>
      </c>
      <c r="T434" s="206">
        <f t="shared" si="135"/>
        <v>0</v>
      </c>
      <c r="AA434" s="71" t="str">
        <f t="shared" si="127"/>
        <v/>
      </c>
      <c r="AB434" s="189">
        <f t="shared" si="128"/>
        <v>0</v>
      </c>
      <c r="AC434" s="189">
        <f t="shared" si="129"/>
        <v>0</v>
      </c>
      <c r="AD434" s="189">
        <f t="shared" si="130"/>
        <v>0</v>
      </c>
      <c r="AE434" s="189">
        <f t="shared" si="131"/>
        <v>0</v>
      </c>
    </row>
    <row r="435" spans="1:31" x14ac:dyDescent="0.4">
      <c r="A435" s="204"/>
      <c r="B435" s="204"/>
      <c r="C435" s="204"/>
      <c r="D435" s="204"/>
      <c r="E435" s="204"/>
      <c r="F435" s="204"/>
      <c r="G435" s="204"/>
      <c r="H435" s="204"/>
      <c r="J435" s="189" t="str">
        <f t="shared" si="120"/>
        <v/>
      </c>
      <c r="K435" s="189" t="str">
        <f t="shared" si="121"/>
        <v/>
      </c>
      <c r="L435" s="189" t="str">
        <f t="shared" si="122"/>
        <v/>
      </c>
      <c r="M435" s="189" t="str">
        <f t="shared" si="123"/>
        <v/>
      </c>
      <c r="N435" s="76" t="str">
        <f t="shared" si="124"/>
        <v/>
      </c>
      <c r="O435" s="20">
        <f t="shared" si="125"/>
        <v>0</v>
      </c>
      <c r="P435" s="76">
        <f t="shared" si="126"/>
        <v>0</v>
      </c>
      <c r="Q435" s="206">
        <f t="shared" si="132"/>
        <v>0</v>
      </c>
      <c r="R435" s="206">
        <f t="shared" si="133"/>
        <v>0</v>
      </c>
      <c r="S435" s="206">
        <f t="shared" si="134"/>
        <v>0</v>
      </c>
      <c r="T435" s="206">
        <f t="shared" si="135"/>
        <v>0</v>
      </c>
      <c r="AA435" s="71" t="str">
        <f t="shared" si="127"/>
        <v/>
      </c>
      <c r="AB435" s="189">
        <f t="shared" si="128"/>
        <v>0</v>
      </c>
      <c r="AC435" s="189">
        <f t="shared" si="129"/>
        <v>0</v>
      </c>
      <c r="AD435" s="189">
        <f t="shared" si="130"/>
        <v>0</v>
      </c>
      <c r="AE435" s="189">
        <f t="shared" si="131"/>
        <v>0</v>
      </c>
    </row>
    <row r="436" spans="1:31" x14ac:dyDescent="0.4">
      <c r="A436" s="204"/>
      <c r="B436" s="204"/>
      <c r="C436" s="204"/>
      <c r="D436" s="204"/>
      <c r="E436" s="204"/>
      <c r="F436" s="204"/>
      <c r="G436" s="204"/>
      <c r="H436" s="204"/>
      <c r="J436" s="189" t="str">
        <f t="shared" ref="J436:J499" si="136">IF(G436="Détail des tarifs",LEN(A436),"")</f>
        <v/>
      </c>
      <c r="K436" s="189" t="str">
        <f t="shared" ref="K436:K499" si="137">IF(J436="","",LEFT(A436,3))</f>
        <v/>
      </c>
      <c r="L436" s="189" t="str">
        <f t="shared" ref="L436:L499" si="138">IF(K436&lt;&gt;"",MID(A436,7,3),"")</f>
        <v/>
      </c>
      <c r="M436" s="189" t="str">
        <f t="shared" ref="M436:M499" si="139">IF(K436&lt;&gt;"",RIGHT(A436,2),"")</f>
        <v/>
      </c>
      <c r="N436" s="76" t="str">
        <f t="shared" ref="N436:N499" si="140">IF(K436&lt;&gt;"",CONCATENATE(K436,"/",L436),"")</f>
        <v/>
      </c>
      <c r="O436" s="20">
        <f t="shared" ref="O436:O499" si="141">IF(J436&lt;&gt;"",LEFT(B436,LEN(B436)-3),0)</f>
        <v>0</v>
      </c>
      <c r="P436" s="76">
        <f t="shared" ref="P436:P499" si="142">IF(O436&lt;&gt;"",VALUE(O436),"")</f>
        <v>0</v>
      </c>
      <c r="Q436" s="206">
        <f t="shared" si="132"/>
        <v>0</v>
      </c>
      <c r="R436" s="206">
        <f t="shared" si="133"/>
        <v>0</v>
      </c>
      <c r="S436" s="206">
        <f t="shared" si="134"/>
        <v>0</v>
      </c>
      <c r="T436" s="206">
        <f t="shared" si="135"/>
        <v>0</v>
      </c>
      <c r="AA436" s="71" t="str">
        <f t="shared" si="127"/>
        <v/>
      </c>
      <c r="AB436" s="189">
        <f t="shared" si="128"/>
        <v>0</v>
      </c>
      <c r="AC436" s="189">
        <f t="shared" si="129"/>
        <v>0</v>
      </c>
      <c r="AD436" s="189">
        <f t="shared" si="130"/>
        <v>0</v>
      </c>
      <c r="AE436" s="189">
        <f t="shared" si="131"/>
        <v>0</v>
      </c>
    </row>
    <row r="437" spans="1:31" x14ac:dyDescent="0.4">
      <c r="A437" s="204"/>
      <c r="B437" s="204"/>
      <c r="C437" s="204"/>
      <c r="D437" s="204"/>
      <c r="E437" s="204"/>
      <c r="F437" s="204"/>
      <c r="G437" s="204"/>
      <c r="H437" s="204"/>
      <c r="J437" s="189" t="str">
        <f t="shared" si="136"/>
        <v/>
      </c>
      <c r="K437" s="189" t="str">
        <f t="shared" si="137"/>
        <v/>
      </c>
      <c r="L437" s="189" t="str">
        <f t="shared" si="138"/>
        <v/>
      </c>
      <c r="M437" s="189" t="str">
        <f t="shared" si="139"/>
        <v/>
      </c>
      <c r="N437" s="76" t="str">
        <f t="shared" si="140"/>
        <v/>
      </c>
      <c r="O437" s="20">
        <f t="shared" si="141"/>
        <v>0</v>
      </c>
      <c r="P437" s="76">
        <f t="shared" si="142"/>
        <v>0</v>
      </c>
      <c r="Q437" s="206">
        <f t="shared" si="132"/>
        <v>0</v>
      </c>
      <c r="R437" s="206">
        <f t="shared" si="133"/>
        <v>0</v>
      </c>
      <c r="S437" s="206">
        <f t="shared" si="134"/>
        <v>0</v>
      </c>
      <c r="T437" s="206">
        <f t="shared" si="135"/>
        <v>0</v>
      </c>
      <c r="AA437" s="71" t="str">
        <f t="shared" si="127"/>
        <v/>
      </c>
      <c r="AB437" s="189">
        <f t="shared" si="128"/>
        <v>0</v>
      </c>
      <c r="AC437" s="189">
        <f t="shared" si="129"/>
        <v>0</v>
      </c>
      <c r="AD437" s="189">
        <f t="shared" si="130"/>
        <v>0</v>
      </c>
      <c r="AE437" s="189">
        <f t="shared" si="131"/>
        <v>0</v>
      </c>
    </row>
    <row r="438" spans="1:31" x14ac:dyDescent="0.4">
      <c r="A438" s="204"/>
      <c r="B438" s="204"/>
      <c r="C438" s="204"/>
      <c r="D438" s="204"/>
      <c r="E438" s="204"/>
      <c r="F438" s="204"/>
      <c r="G438" s="204"/>
      <c r="H438" s="204"/>
      <c r="J438" s="189" t="str">
        <f t="shared" si="136"/>
        <v/>
      </c>
      <c r="K438" s="189" t="str">
        <f t="shared" si="137"/>
        <v/>
      </c>
      <c r="L438" s="189" t="str">
        <f t="shared" si="138"/>
        <v/>
      </c>
      <c r="M438" s="189" t="str">
        <f t="shared" si="139"/>
        <v/>
      </c>
      <c r="N438" s="76" t="str">
        <f t="shared" si="140"/>
        <v/>
      </c>
      <c r="O438" s="20">
        <f t="shared" si="141"/>
        <v>0</v>
      </c>
      <c r="P438" s="76">
        <f t="shared" si="142"/>
        <v>0</v>
      </c>
      <c r="Q438" s="206">
        <f t="shared" si="132"/>
        <v>0</v>
      </c>
      <c r="R438" s="206">
        <f t="shared" si="133"/>
        <v>0</v>
      </c>
      <c r="S438" s="206">
        <f t="shared" si="134"/>
        <v>0</v>
      </c>
      <c r="T438" s="206">
        <f t="shared" si="135"/>
        <v>0</v>
      </c>
      <c r="AA438" s="71" t="str">
        <f t="shared" si="127"/>
        <v/>
      </c>
      <c r="AB438" s="189">
        <f t="shared" si="128"/>
        <v>0</v>
      </c>
      <c r="AC438" s="189">
        <f t="shared" si="129"/>
        <v>0</v>
      </c>
      <c r="AD438" s="189">
        <f t="shared" si="130"/>
        <v>0</v>
      </c>
      <c r="AE438" s="189">
        <f t="shared" si="131"/>
        <v>0</v>
      </c>
    </row>
    <row r="439" spans="1:31" x14ac:dyDescent="0.4">
      <c r="A439" s="204"/>
      <c r="B439" s="204"/>
      <c r="C439" s="204"/>
      <c r="D439" s="204"/>
      <c r="E439" s="204"/>
      <c r="F439" s="204"/>
      <c r="G439" s="204"/>
      <c r="H439" s="204"/>
      <c r="J439" s="189" t="str">
        <f t="shared" si="136"/>
        <v/>
      </c>
      <c r="K439" s="189" t="str">
        <f t="shared" si="137"/>
        <v/>
      </c>
      <c r="L439" s="189" t="str">
        <f t="shared" si="138"/>
        <v/>
      </c>
      <c r="M439" s="189" t="str">
        <f t="shared" si="139"/>
        <v/>
      </c>
      <c r="N439" s="76" t="str">
        <f t="shared" si="140"/>
        <v/>
      </c>
      <c r="O439" s="20">
        <f t="shared" si="141"/>
        <v>0</v>
      </c>
      <c r="P439" s="76">
        <f t="shared" si="142"/>
        <v>0</v>
      </c>
      <c r="Q439" s="206">
        <f t="shared" si="132"/>
        <v>0</v>
      </c>
      <c r="R439" s="206">
        <f t="shared" si="133"/>
        <v>0</v>
      </c>
      <c r="S439" s="206">
        <f t="shared" si="134"/>
        <v>0</v>
      </c>
      <c r="T439" s="206">
        <f t="shared" si="135"/>
        <v>0</v>
      </c>
      <c r="AA439" s="71" t="str">
        <f t="shared" si="127"/>
        <v/>
      </c>
      <c r="AB439" s="189">
        <f t="shared" si="128"/>
        <v>0</v>
      </c>
      <c r="AC439" s="189">
        <f t="shared" si="129"/>
        <v>0</v>
      </c>
      <c r="AD439" s="189">
        <f t="shared" si="130"/>
        <v>0</v>
      </c>
      <c r="AE439" s="189">
        <f t="shared" si="131"/>
        <v>0</v>
      </c>
    </row>
    <row r="440" spans="1:31" x14ac:dyDescent="0.4">
      <c r="A440" s="204"/>
      <c r="B440" s="204"/>
      <c r="C440" s="204"/>
      <c r="D440" s="204"/>
      <c r="E440" s="204"/>
      <c r="F440" s="204"/>
      <c r="G440" s="204"/>
      <c r="H440" s="204"/>
      <c r="J440" s="189" t="str">
        <f t="shared" si="136"/>
        <v/>
      </c>
      <c r="K440" s="189" t="str">
        <f t="shared" si="137"/>
        <v/>
      </c>
      <c r="L440" s="189" t="str">
        <f t="shared" si="138"/>
        <v/>
      </c>
      <c r="M440" s="189" t="str">
        <f t="shared" si="139"/>
        <v/>
      </c>
      <c r="N440" s="76" t="str">
        <f t="shared" si="140"/>
        <v/>
      </c>
      <c r="O440" s="20">
        <f t="shared" si="141"/>
        <v>0</v>
      </c>
      <c r="P440" s="76">
        <f t="shared" si="142"/>
        <v>0</v>
      </c>
      <c r="Q440" s="206">
        <f t="shared" si="132"/>
        <v>0</v>
      </c>
      <c r="R440" s="206">
        <f t="shared" si="133"/>
        <v>0</v>
      </c>
      <c r="S440" s="206">
        <f t="shared" si="134"/>
        <v>0</v>
      </c>
      <c r="T440" s="206">
        <f t="shared" si="135"/>
        <v>0</v>
      </c>
      <c r="AA440" s="71" t="str">
        <f t="shared" si="127"/>
        <v/>
      </c>
      <c r="AB440" s="189">
        <f t="shared" si="128"/>
        <v>0</v>
      </c>
      <c r="AC440" s="189">
        <f t="shared" si="129"/>
        <v>0</v>
      </c>
      <c r="AD440" s="189">
        <f t="shared" si="130"/>
        <v>0</v>
      </c>
      <c r="AE440" s="189">
        <f t="shared" si="131"/>
        <v>0</v>
      </c>
    </row>
    <row r="441" spans="1:31" x14ac:dyDescent="0.4">
      <c r="A441" s="204"/>
      <c r="B441" s="204"/>
      <c r="C441" s="204"/>
      <c r="D441" s="204"/>
      <c r="E441" s="204"/>
      <c r="F441" s="204"/>
      <c r="G441" s="204"/>
      <c r="H441" s="204"/>
      <c r="J441" s="189" t="str">
        <f t="shared" si="136"/>
        <v/>
      </c>
      <c r="K441" s="189" t="str">
        <f t="shared" si="137"/>
        <v/>
      </c>
      <c r="L441" s="189" t="str">
        <f t="shared" si="138"/>
        <v/>
      </c>
      <c r="M441" s="189" t="str">
        <f t="shared" si="139"/>
        <v/>
      </c>
      <c r="N441" s="76" t="str">
        <f t="shared" si="140"/>
        <v/>
      </c>
      <c r="O441" s="20">
        <f t="shared" si="141"/>
        <v>0</v>
      </c>
      <c r="P441" s="76">
        <f t="shared" si="142"/>
        <v>0</v>
      </c>
      <c r="Q441" s="206">
        <f t="shared" si="132"/>
        <v>0</v>
      </c>
      <c r="R441" s="206">
        <f t="shared" si="133"/>
        <v>0</v>
      </c>
      <c r="S441" s="206">
        <f t="shared" si="134"/>
        <v>0</v>
      </c>
      <c r="T441" s="206">
        <f t="shared" si="135"/>
        <v>0</v>
      </c>
      <c r="AA441" s="71" t="str">
        <f t="shared" si="127"/>
        <v/>
      </c>
      <c r="AB441" s="189">
        <f t="shared" si="128"/>
        <v>0</v>
      </c>
      <c r="AC441" s="189">
        <f t="shared" si="129"/>
        <v>0</v>
      </c>
      <c r="AD441" s="189">
        <f t="shared" si="130"/>
        <v>0</v>
      </c>
      <c r="AE441" s="189">
        <f t="shared" si="131"/>
        <v>0</v>
      </c>
    </row>
    <row r="442" spans="1:31" x14ac:dyDescent="0.4">
      <c r="A442" s="204"/>
      <c r="B442" s="204"/>
      <c r="C442" s="204"/>
      <c r="D442" s="204"/>
      <c r="E442" s="204"/>
      <c r="F442" s="204"/>
      <c r="G442" s="204"/>
      <c r="H442" s="204"/>
      <c r="J442" s="189" t="str">
        <f t="shared" si="136"/>
        <v/>
      </c>
      <c r="K442" s="189" t="str">
        <f t="shared" si="137"/>
        <v/>
      </c>
      <c r="L442" s="189" t="str">
        <f t="shared" si="138"/>
        <v/>
      </c>
      <c r="M442" s="189" t="str">
        <f t="shared" si="139"/>
        <v/>
      </c>
      <c r="N442" s="76" t="str">
        <f t="shared" si="140"/>
        <v/>
      </c>
      <c r="O442" s="20">
        <f t="shared" si="141"/>
        <v>0</v>
      </c>
      <c r="P442" s="76">
        <f t="shared" si="142"/>
        <v>0</v>
      </c>
      <c r="Q442" s="206">
        <f t="shared" si="132"/>
        <v>0</v>
      </c>
      <c r="R442" s="206">
        <f t="shared" si="133"/>
        <v>0</v>
      </c>
      <c r="S442" s="206">
        <f t="shared" si="134"/>
        <v>0</v>
      </c>
      <c r="T442" s="206">
        <f t="shared" si="135"/>
        <v>0</v>
      </c>
      <c r="AA442" s="71" t="str">
        <f t="shared" si="127"/>
        <v/>
      </c>
      <c r="AB442" s="189">
        <f t="shared" si="128"/>
        <v>0</v>
      </c>
      <c r="AC442" s="189">
        <f t="shared" si="129"/>
        <v>0</v>
      </c>
      <c r="AD442" s="189">
        <f t="shared" si="130"/>
        <v>0</v>
      </c>
      <c r="AE442" s="189">
        <f t="shared" si="131"/>
        <v>0</v>
      </c>
    </row>
    <row r="443" spans="1:31" x14ac:dyDescent="0.4">
      <c r="A443" s="204"/>
      <c r="B443" s="204"/>
      <c r="C443" s="204"/>
      <c r="D443" s="204"/>
      <c r="E443" s="204"/>
      <c r="F443" s="204"/>
      <c r="G443" s="204"/>
      <c r="H443" s="204"/>
      <c r="J443" s="189" t="str">
        <f t="shared" si="136"/>
        <v/>
      </c>
      <c r="K443" s="189" t="str">
        <f t="shared" si="137"/>
        <v/>
      </c>
      <c r="L443" s="189" t="str">
        <f t="shared" si="138"/>
        <v/>
      </c>
      <c r="M443" s="189" t="str">
        <f t="shared" si="139"/>
        <v/>
      </c>
      <c r="N443" s="76" t="str">
        <f t="shared" si="140"/>
        <v/>
      </c>
      <c r="O443" s="20">
        <f t="shared" si="141"/>
        <v>0</v>
      </c>
      <c r="P443" s="76">
        <f t="shared" si="142"/>
        <v>0</v>
      </c>
      <c r="Q443" s="206">
        <f t="shared" si="132"/>
        <v>0</v>
      </c>
      <c r="R443" s="206">
        <f t="shared" si="133"/>
        <v>0</v>
      </c>
      <c r="S443" s="206">
        <f t="shared" si="134"/>
        <v>0</v>
      </c>
      <c r="T443" s="206">
        <f t="shared" si="135"/>
        <v>0</v>
      </c>
      <c r="AA443" s="71" t="str">
        <f t="shared" si="127"/>
        <v/>
      </c>
      <c r="AB443" s="189">
        <f t="shared" si="128"/>
        <v>0</v>
      </c>
      <c r="AC443" s="189">
        <f t="shared" si="129"/>
        <v>0</v>
      </c>
      <c r="AD443" s="189">
        <f t="shared" si="130"/>
        <v>0</v>
      </c>
      <c r="AE443" s="189">
        <f t="shared" si="131"/>
        <v>0</v>
      </c>
    </row>
    <row r="444" spans="1:31" x14ac:dyDescent="0.4">
      <c r="A444" s="204"/>
      <c r="B444" s="204"/>
      <c r="C444" s="204"/>
      <c r="D444" s="204"/>
      <c r="E444" s="204"/>
      <c r="F444" s="204"/>
      <c r="G444" s="204"/>
      <c r="H444" s="204"/>
      <c r="J444" s="189" t="str">
        <f t="shared" si="136"/>
        <v/>
      </c>
      <c r="K444" s="189" t="str">
        <f t="shared" si="137"/>
        <v/>
      </c>
      <c r="L444" s="189" t="str">
        <f t="shared" si="138"/>
        <v/>
      </c>
      <c r="M444" s="189" t="str">
        <f t="shared" si="139"/>
        <v/>
      </c>
      <c r="N444" s="76" t="str">
        <f t="shared" si="140"/>
        <v/>
      </c>
      <c r="O444" s="20">
        <f t="shared" si="141"/>
        <v>0</v>
      </c>
      <c r="P444" s="76">
        <f t="shared" si="142"/>
        <v>0</v>
      </c>
      <c r="Q444" s="206">
        <f t="shared" si="132"/>
        <v>0</v>
      </c>
      <c r="R444" s="206">
        <f t="shared" si="133"/>
        <v>0</v>
      </c>
      <c r="S444" s="206">
        <f t="shared" si="134"/>
        <v>0</v>
      </c>
      <c r="T444" s="206">
        <f t="shared" si="135"/>
        <v>0</v>
      </c>
      <c r="AA444" s="71" t="str">
        <f t="shared" si="127"/>
        <v/>
      </c>
      <c r="AB444" s="189">
        <f t="shared" si="128"/>
        <v>0</v>
      </c>
      <c r="AC444" s="189">
        <f t="shared" si="129"/>
        <v>0</v>
      </c>
      <c r="AD444" s="189">
        <f t="shared" si="130"/>
        <v>0</v>
      </c>
      <c r="AE444" s="189">
        <f t="shared" si="131"/>
        <v>0</v>
      </c>
    </row>
    <row r="445" spans="1:31" x14ac:dyDescent="0.4">
      <c r="A445" s="204"/>
      <c r="B445" s="204"/>
      <c r="C445" s="204"/>
      <c r="D445" s="204"/>
      <c r="E445" s="204"/>
      <c r="F445" s="204"/>
      <c r="G445" s="204"/>
      <c r="H445" s="204"/>
      <c r="J445" s="189" t="str">
        <f t="shared" si="136"/>
        <v/>
      </c>
      <c r="K445" s="189" t="str">
        <f t="shared" si="137"/>
        <v/>
      </c>
      <c r="L445" s="189" t="str">
        <f t="shared" si="138"/>
        <v/>
      </c>
      <c r="M445" s="189" t="str">
        <f t="shared" si="139"/>
        <v/>
      </c>
      <c r="N445" s="76" t="str">
        <f t="shared" si="140"/>
        <v/>
      </c>
      <c r="O445" s="20">
        <f t="shared" si="141"/>
        <v>0</v>
      </c>
      <c r="P445" s="76">
        <f t="shared" si="142"/>
        <v>0</v>
      </c>
      <c r="Q445" s="206">
        <f t="shared" si="132"/>
        <v>0</v>
      </c>
      <c r="R445" s="206">
        <f t="shared" si="133"/>
        <v>0</v>
      </c>
      <c r="S445" s="206">
        <f t="shared" si="134"/>
        <v>0</v>
      </c>
      <c r="T445" s="206">
        <f t="shared" si="135"/>
        <v>0</v>
      </c>
      <c r="AA445" s="71" t="str">
        <f t="shared" si="127"/>
        <v/>
      </c>
      <c r="AB445" s="189">
        <f t="shared" si="128"/>
        <v>0</v>
      </c>
      <c r="AC445" s="189">
        <f t="shared" si="129"/>
        <v>0</v>
      </c>
      <c r="AD445" s="189">
        <f t="shared" si="130"/>
        <v>0</v>
      </c>
      <c r="AE445" s="189">
        <f t="shared" si="131"/>
        <v>0</v>
      </c>
    </row>
    <row r="446" spans="1:31" x14ac:dyDescent="0.4">
      <c r="A446" s="204"/>
      <c r="B446" s="204"/>
      <c r="C446" s="204"/>
      <c r="D446" s="204"/>
      <c r="E446" s="204"/>
      <c r="F446" s="204"/>
      <c r="G446" s="204"/>
      <c r="H446" s="204"/>
      <c r="J446" s="189" t="str">
        <f t="shared" si="136"/>
        <v/>
      </c>
      <c r="K446" s="189" t="str">
        <f t="shared" si="137"/>
        <v/>
      </c>
      <c r="L446" s="189" t="str">
        <f t="shared" si="138"/>
        <v/>
      </c>
      <c r="M446" s="189" t="str">
        <f t="shared" si="139"/>
        <v/>
      </c>
      <c r="N446" s="76" t="str">
        <f t="shared" si="140"/>
        <v/>
      </c>
      <c r="O446" s="20">
        <f t="shared" si="141"/>
        <v>0</v>
      </c>
      <c r="P446" s="76">
        <f t="shared" si="142"/>
        <v>0</v>
      </c>
      <c r="Q446" s="206">
        <f t="shared" si="132"/>
        <v>0</v>
      </c>
      <c r="R446" s="206">
        <f t="shared" si="133"/>
        <v>0</v>
      </c>
      <c r="S446" s="206">
        <f t="shared" si="134"/>
        <v>0</v>
      </c>
      <c r="T446" s="206">
        <f t="shared" si="135"/>
        <v>0</v>
      </c>
      <c r="AA446" s="71" t="str">
        <f t="shared" si="127"/>
        <v/>
      </c>
      <c r="AB446" s="189">
        <f t="shared" si="128"/>
        <v>0</v>
      </c>
      <c r="AC446" s="189">
        <f t="shared" si="129"/>
        <v>0</v>
      </c>
      <c r="AD446" s="189">
        <f t="shared" si="130"/>
        <v>0</v>
      </c>
      <c r="AE446" s="189">
        <f t="shared" si="131"/>
        <v>0</v>
      </c>
    </row>
    <row r="447" spans="1:31" x14ac:dyDescent="0.4">
      <c r="A447" s="204"/>
      <c r="B447" s="204"/>
      <c r="C447" s="204"/>
      <c r="D447" s="204"/>
      <c r="E447" s="204"/>
      <c r="F447" s="204"/>
      <c r="G447" s="204"/>
      <c r="H447" s="204"/>
      <c r="J447" s="189" t="str">
        <f t="shared" si="136"/>
        <v/>
      </c>
      <c r="K447" s="189" t="str">
        <f t="shared" si="137"/>
        <v/>
      </c>
      <c r="L447" s="189" t="str">
        <f t="shared" si="138"/>
        <v/>
      </c>
      <c r="M447" s="189" t="str">
        <f t="shared" si="139"/>
        <v/>
      </c>
      <c r="N447" s="76" t="str">
        <f t="shared" si="140"/>
        <v/>
      </c>
      <c r="O447" s="20">
        <f t="shared" si="141"/>
        <v>0</v>
      </c>
      <c r="P447" s="76">
        <f t="shared" si="142"/>
        <v>0</v>
      </c>
      <c r="Q447" s="206">
        <f t="shared" si="132"/>
        <v>0</v>
      </c>
      <c r="R447" s="206">
        <f t="shared" si="133"/>
        <v>0</v>
      </c>
      <c r="S447" s="206">
        <f t="shared" si="134"/>
        <v>0</v>
      </c>
      <c r="T447" s="206">
        <f t="shared" si="135"/>
        <v>0</v>
      </c>
      <c r="AA447" s="71" t="str">
        <f t="shared" si="127"/>
        <v/>
      </c>
      <c r="AB447" s="189">
        <f t="shared" si="128"/>
        <v>0</v>
      </c>
      <c r="AC447" s="189">
        <f t="shared" si="129"/>
        <v>0</v>
      </c>
      <c r="AD447" s="189">
        <f t="shared" si="130"/>
        <v>0</v>
      </c>
      <c r="AE447" s="189">
        <f t="shared" si="131"/>
        <v>0</v>
      </c>
    </row>
    <row r="448" spans="1:31" x14ac:dyDescent="0.4">
      <c r="A448" s="204"/>
      <c r="B448" s="204"/>
      <c r="C448" s="204"/>
      <c r="D448" s="204"/>
      <c r="E448" s="204"/>
      <c r="F448" s="204"/>
      <c r="G448" s="204"/>
      <c r="H448" s="204"/>
      <c r="J448" s="189" t="str">
        <f t="shared" si="136"/>
        <v/>
      </c>
      <c r="K448" s="189" t="str">
        <f t="shared" si="137"/>
        <v/>
      </c>
      <c r="L448" s="189" t="str">
        <f t="shared" si="138"/>
        <v/>
      </c>
      <c r="M448" s="189" t="str">
        <f t="shared" si="139"/>
        <v/>
      </c>
      <c r="N448" s="76" t="str">
        <f t="shared" si="140"/>
        <v/>
      </c>
      <c r="O448" s="20">
        <f t="shared" si="141"/>
        <v>0</v>
      </c>
      <c r="P448" s="76">
        <f t="shared" si="142"/>
        <v>0</v>
      </c>
      <c r="Q448" s="206">
        <f t="shared" si="132"/>
        <v>0</v>
      </c>
      <c r="R448" s="206">
        <f t="shared" si="133"/>
        <v>0</v>
      </c>
      <c r="S448" s="206">
        <f t="shared" si="134"/>
        <v>0</v>
      </c>
      <c r="T448" s="206">
        <f t="shared" si="135"/>
        <v>0</v>
      </c>
      <c r="AA448" s="71" t="str">
        <f t="shared" si="127"/>
        <v/>
      </c>
      <c r="AB448" s="189">
        <f t="shared" si="128"/>
        <v>0</v>
      </c>
      <c r="AC448" s="189">
        <f t="shared" si="129"/>
        <v>0</v>
      </c>
      <c r="AD448" s="189">
        <f t="shared" si="130"/>
        <v>0</v>
      </c>
      <c r="AE448" s="189">
        <f t="shared" si="131"/>
        <v>0</v>
      </c>
    </row>
    <row r="449" spans="1:31" x14ac:dyDescent="0.4">
      <c r="A449" s="204"/>
      <c r="B449" s="204"/>
      <c r="C449" s="204"/>
      <c r="D449" s="204"/>
      <c r="E449" s="204"/>
      <c r="F449" s="204"/>
      <c r="G449" s="204"/>
      <c r="H449" s="204"/>
      <c r="J449" s="189" t="str">
        <f t="shared" si="136"/>
        <v/>
      </c>
      <c r="K449" s="189" t="str">
        <f t="shared" si="137"/>
        <v/>
      </c>
      <c r="L449" s="189" t="str">
        <f t="shared" si="138"/>
        <v/>
      </c>
      <c r="M449" s="189" t="str">
        <f t="shared" si="139"/>
        <v/>
      </c>
      <c r="N449" s="76" t="str">
        <f t="shared" si="140"/>
        <v/>
      </c>
      <c r="O449" s="20">
        <f t="shared" si="141"/>
        <v>0</v>
      </c>
      <c r="P449" s="76">
        <f t="shared" si="142"/>
        <v>0</v>
      </c>
      <c r="Q449" s="206">
        <f t="shared" si="132"/>
        <v>0</v>
      </c>
      <c r="R449" s="206">
        <f t="shared" si="133"/>
        <v>0</v>
      </c>
      <c r="S449" s="206">
        <f t="shared" si="134"/>
        <v>0</v>
      </c>
      <c r="T449" s="206">
        <f t="shared" si="135"/>
        <v>0</v>
      </c>
      <c r="AA449" s="71" t="str">
        <f t="shared" si="127"/>
        <v/>
      </c>
      <c r="AB449" s="189">
        <f t="shared" si="128"/>
        <v>0</v>
      </c>
      <c r="AC449" s="189">
        <f t="shared" si="129"/>
        <v>0</v>
      </c>
      <c r="AD449" s="189">
        <f t="shared" si="130"/>
        <v>0</v>
      </c>
      <c r="AE449" s="189">
        <f t="shared" si="131"/>
        <v>0</v>
      </c>
    </row>
    <row r="450" spans="1:31" x14ac:dyDescent="0.4">
      <c r="A450" s="204"/>
      <c r="B450" s="204"/>
      <c r="C450" s="204"/>
      <c r="D450" s="204"/>
      <c r="E450" s="204"/>
      <c r="F450" s="204"/>
      <c r="G450" s="204"/>
      <c r="H450" s="204"/>
      <c r="J450" s="189" t="str">
        <f t="shared" si="136"/>
        <v/>
      </c>
      <c r="K450" s="189" t="str">
        <f t="shared" si="137"/>
        <v/>
      </c>
      <c r="L450" s="189" t="str">
        <f t="shared" si="138"/>
        <v/>
      </c>
      <c r="M450" s="189" t="str">
        <f t="shared" si="139"/>
        <v/>
      </c>
      <c r="N450" s="76" t="str">
        <f t="shared" si="140"/>
        <v/>
      </c>
      <c r="O450" s="20">
        <f t="shared" si="141"/>
        <v>0</v>
      </c>
      <c r="P450" s="76">
        <f t="shared" si="142"/>
        <v>0</v>
      </c>
      <c r="Q450" s="206">
        <f t="shared" si="132"/>
        <v>0</v>
      </c>
      <c r="R450" s="206">
        <f t="shared" si="133"/>
        <v>0</v>
      </c>
      <c r="S450" s="206">
        <f t="shared" si="134"/>
        <v>0</v>
      </c>
      <c r="T450" s="206">
        <f t="shared" si="135"/>
        <v>0</v>
      </c>
      <c r="AA450" s="71" t="str">
        <f t="shared" si="127"/>
        <v/>
      </c>
      <c r="AB450" s="189">
        <f t="shared" si="128"/>
        <v>0</v>
      </c>
      <c r="AC450" s="189">
        <f t="shared" si="129"/>
        <v>0</v>
      </c>
      <c r="AD450" s="189">
        <f t="shared" si="130"/>
        <v>0</v>
      </c>
      <c r="AE450" s="189">
        <f t="shared" si="131"/>
        <v>0</v>
      </c>
    </row>
    <row r="451" spans="1:31" x14ac:dyDescent="0.4">
      <c r="A451" s="204"/>
      <c r="B451" s="204"/>
      <c r="C451" s="204"/>
      <c r="D451" s="204"/>
      <c r="E451" s="204"/>
      <c r="F451" s="204"/>
      <c r="G451" s="204"/>
      <c r="H451" s="204"/>
      <c r="J451" s="189" t="str">
        <f t="shared" si="136"/>
        <v/>
      </c>
      <c r="K451" s="189" t="str">
        <f t="shared" si="137"/>
        <v/>
      </c>
      <c r="L451" s="189" t="str">
        <f t="shared" si="138"/>
        <v/>
      </c>
      <c r="M451" s="189" t="str">
        <f t="shared" si="139"/>
        <v/>
      </c>
      <c r="N451" s="76" t="str">
        <f t="shared" si="140"/>
        <v/>
      </c>
      <c r="O451" s="20">
        <f t="shared" si="141"/>
        <v>0</v>
      </c>
      <c r="P451" s="76">
        <f t="shared" si="142"/>
        <v>0</v>
      </c>
      <c r="Q451" s="206">
        <f t="shared" si="132"/>
        <v>0</v>
      </c>
      <c r="R451" s="206">
        <f t="shared" si="133"/>
        <v>0</v>
      </c>
      <c r="S451" s="206">
        <f t="shared" si="134"/>
        <v>0</v>
      </c>
      <c r="T451" s="206">
        <f t="shared" si="135"/>
        <v>0</v>
      </c>
      <c r="AA451" s="71" t="str">
        <f t="shared" si="127"/>
        <v/>
      </c>
      <c r="AB451" s="189">
        <f t="shared" si="128"/>
        <v>0</v>
      </c>
      <c r="AC451" s="189">
        <f t="shared" si="129"/>
        <v>0</v>
      </c>
      <c r="AD451" s="189">
        <f t="shared" si="130"/>
        <v>0</v>
      </c>
      <c r="AE451" s="189">
        <f t="shared" si="131"/>
        <v>0</v>
      </c>
    </row>
    <row r="452" spans="1:31" x14ac:dyDescent="0.4">
      <c r="A452" s="204"/>
      <c r="B452" s="204"/>
      <c r="C452" s="204"/>
      <c r="D452" s="204"/>
      <c r="E452" s="204"/>
      <c r="F452" s="204"/>
      <c r="G452" s="204"/>
      <c r="H452" s="204"/>
      <c r="J452" s="189" t="str">
        <f t="shared" si="136"/>
        <v/>
      </c>
      <c r="K452" s="189" t="str">
        <f t="shared" si="137"/>
        <v/>
      </c>
      <c r="L452" s="189" t="str">
        <f t="shared" si="138"/>
        <v/>
      </c>
      <c r="M452" s="189" t="str">
        <f t="shared" si="139"/>
        <v/>
      </c>
      <c r="N452" s="76" t="str">
        <f t="shared" si="140"/>
        <v/>
      </c>
      <c r="O452" s="20">
        <f t="shared" si="141"/>
        <v>0</v>
      </c>
      <c r="P452" s="76">
        <f t="shared" si="142"/>
        <v>0</v>
      </c>
      <c r="Q452" s="206">
        <f t="shared" si="132"/>
        <v>0</v>
      </c>
      <c r="R452" s="206">
        <f t="shared" si="133"/>
        <v>0</v>
      </c>
      <c r="S452" s="206">
        <f t="shared" si="134"/>
        <v>0</v>
      </c>
      <c r="T452" s="206">
        <f t="shared" si="135"/>
        <v>0</v>
      </c>
      <c r="AA452" s="71" t="str">
        <f t="shared" si="127"/>
        <v/>
      </c>
      <c r="AB452" s="189">
        <f t="shared" si="128"/>
        <v>0</v>
      </c>
      <c r="AC452" s="189">
        <f t="shared" si="129"/>
        <v>0</v>
      </c>
      <c r="AD452" s="189">
        <f t="shared" si="130"/>
        <v>0</v>
      </c>
      <c r="AE452" s="189">
        <f t="shared" si="131"/>
        <v>0</v>
      </c>
    </row>
    <row r="453" spans="1:31" x14ac:dyDescent="0.4">
      <c r="A453" s="204"/>
      <c r="B453" s="204"/>
      <c r="C453" s="204"/>
      <c r="D453" s="204"/>
      <c r="E453" s="204"/>
      <c r="F453" s="204"/>
      <c r="G453" s="204"/>
      <c r="H453" s="204"/>
      <c r="J453" s="189" t="str">
        <f t="shared" si="136"/>
        <v/>
      </c>
      <c r="K453" s="189" t="str">
        <f t="shared" si="137"/>
        <v/>
      </c>
      <c r="L453" s="189" t="str">
        <f t="shared" si="138"/>
        <v/>
      </c>
      <c r="M453" s="189" t="str">
        <f t="shared" si="139"/>
        <v/>
      </c>
      <c r="N453" s="76" t="str">
        <f t="shared" si="140"/>
        <v/>
      </c>
      <c r="O453" s="20">
        <f t="shared" si="141"/>
        <v>0</v>
      </c>
      <c r="P453" s="76">
        <f t="shared" si="142"/>
        <v>0</v>
      </c>
      <c r="Q453" s="206">
        <f t="shared" si="132"/>
        <v>0</v>
      </c>
      <c r="R453" s="206">
        <f t="shared" si="133"/>
        <v>0</v>
      </c>
      <c r="S453" s="206">
        <f t="shared" si="134"/>
        <v>0</v>
      </c>
      <c r="T453" s="206">
        <f t="shared" si="135"/>
        <v>0</v>
      </c>
      <c r="AA453" s="71" t="str">
        <f t="shared" si="127"/>
        <v/>
      </c>
      <c r="AB453" s="189">
        <f t="shared" si="128"/>
        <v>0</v>
      </c>
      <c r="AC453" s="189">
        <f t="shared" si="129"/>
        <v>0</v>
      </c>
      <c r="AD453" s="189">
        <f t="shared" si="130"/>
        <v>0</v>
      </c>
      <c r="AE453" s="189">
        <f t="shared" si="131"/>
        <v>0</v>
      </c>
    </row>
    <row r="454" spans="1:31" x14ac:dyDescent="0.4">
      <c r="A454" s="204"/>
      <c r="B454" s="204"/>
      <c r="C454" s="204"/>
      <c r="D454" s="204"/>
      <c r="E454" s="204"/>
      <c r="F454" s="204"/>
      <c r="G454" s="204"/>
      <c r="H454" s="204"/>
      <c r="J454" s="189" t="str">
        <f t="shared" si="136"/>
        <v/>
      </c>
      <c r="K454" s="189" t="str">
        <f t="shared" si="137"/>
        <v/>
      </c>
      <c r="L454" s="189" t="str">
        <f t="shared" si="138"/>
        <v/>
      </c>
      <c r="M454" s="189" t="str">
        <f t="shared" si="139"/>
        <v/>
      </c>
      <c r="N454" s="76" t="str">
        <f t="shared" si="140"/>
        <v/>
      </c>
      <c r="O454" s="20">
        <f t="shared" si="141"/>
        <v>0</v>
      </c>
      <c r="P454" s="76">
        <f t="shared" si="142"/>
        <v>0</v>
      </c>
      <c r="Q454" s="206">
        <f t="shared" si="132"/>
        <v>0</v>
      </c>
      <c r="R454" s="206">
        <f t="shared" si="133"/>
        <v>0</v>
      </c>
      <c r="S454" s="206">
        <f t="shared" si="134"/>
        <v>0</v>
      </c>
      <c r="T454" s="206">
        <f t="shared" si="135"/>
        <v>0</v>
      </c>
      <c r="AA454" s="71" t="str">
        <f t="shared" si="127"/>
        <v/>
      </c>
      <c r="AB454" s="189">
        <f t="shared" si="128"/>
        <v>0</v>
      </c>
      <c r="AC454" s="189">
        <f t="shared" si="129"/>
        <v>0</v>
      </c>
      <c r="AD454" s="189">
        <f t="shared" si="130"/>
        <v>0</v>
      </c>
      <c r="AE454" s="189">
        <f t="shared" si="131"/>
        <v>0</v>
      </c>
    </row>
    <row r="455" spans="1:31" x14ac:dyDescent="0.4">
      <c r="A455" s="204"/>
      <c r="B455" s="204"/>
      <c r="C455" s="204"/>
      <c r="D455" s="204"/>
      <c r="E455" s="204"/>
      <c r="F455" s="204"/>
      <c r="G455" s="204"/>
      <c r="H455" s="204"/>
      <c r="J455" s="189" t="str">
        <f t="shared" si="136"/>
        <v/>
      </c>
      <c r="K455" s="189" t="str">
        <f t="shared" si="137"/>
        <v/>
      </c>
      <c r="L455" s="189" t="str">
        <f t="shared" si="138"/>
        <v/>
      </c>
      <c r="M455" s="189" t="str">
        <f t="shared" si="139"/>
        <v/>
      </c>
      <c r="N455" s="76" t="str">
        <f t="shared" si="140"/>
        <v/>
      </c>
      <c r="O455" s="20">
        <f t="shared" si="141"/>
        <v>0</v>
      </c>
      <c r="P455" s="76">
        <f t="shared" si="142"/>
        <v>0</v>
      </c>
      <c r="Q455" s="206">
        <f t="shared" si="132"/>
        <v>0</v>
      </c>
      <c r="R455" s="206">
        <f t="shared" si="133"/>
        <v>0</v>
      </c>
      <c r="S455" s="206">
        <f t="shared" si="134"/>
        <v>0</v>
      </c>
      <c r="T455" s="206">
        <f t="shared" si="135"/>
        <v>0</v>
      </c>
      <c r="AA455" s="71" t="str">
        <f t="shared" si="127"/>
        <v/>
      </c>
      <c r="AB455" s="189">
        <f t="shared" si="128"/>
        <v>0</v>
      </c>
      <c r="AC455" s="189">
        <f t="shared" si="129"/>
        <v>0</v>
      </c>
      <c r="AD455" s="189">
        <f t="shared" si="130"/>
        <v>0</v>
      </c>
      <c r="AE455" s="189">
        <f t="shared" si="131"/>
        <v>0</v>
      </c>
    </row>
    <row r="456" spans="1:31" x14ac:dyDescent="0.4">
      <c r="A456" s="204"/>
      <c r="B456" s="204"/>
      <c r="C456" s="204"/>
      <c r="D456" s="204"/>
      <c r="E456" s="204"/>
      <c r="F456" s="204"/>
      <c r="G456" s="204"/>
      <c r="H456" s="204"/>
      <c r="J456" s="189" t="str">
        <f t="shared" si="136"/>
        <v/>
      </c>
      <c r="K456" s="189" t="str">
        <f t="shared" si="137"/>
        <v/>
      </c>
      <c r="L456" s="189" t="str">
        <f t="shared" si="138"/>
        <v/>
      </c>
      <c r="M456" s="189" t="str">
        <f t="shared" si="139"/>
        <v/>
      </c>
      <c r="N456" s="76" t="str">
        <f t="shared" si="140"/>
        <v/>
      </c>
      <c r="O456" s="20">
        <f t="shared" si="141"/>
        <v>0</v>
      </c>
      <c r="P456" s="76">
        <f t="shared" si="142"/>
        <v>0</v>
      </c>
      <c r="Q456" s="206">
        <f t="shared" si="132"/>
        <v>0</v>
      </c>
      <c r="R456" s="206">
        <f t="shared" si="133"/>
        <v>0</v>
      </c>
      <c r="S456" s="206">
        <f t="shared" si="134"/>
        <v>0</v>
      </c>
      <c r="T456" s="206">
        <f t="shared" si="135"/>
        <v>0</v>
      </c>
      <c r="AA456" s="71" t="str">
        <f t="shared" si="127"/>
        <v/>
      </c>
      <c r="AB456" s="189">
        <f t="shared" si="128"/>
        <v>0</v>
      </c>
      <c r="AC456" s="189">
        <f t="shared" si="129"/>
        <v>0</v>
      </c>
      <c r="AD456" s="189">
        <f t="shared" si="130"/>
        <v>0</v>
      </c>
      <c r="AE456" s="189">
        <f t="shared" si="131"/>
        <v>0</v>
      </c>
    </row>
    <row r="457" spans="1:31" x14ac:dyDescent="0.4">
      <c r="A457" s="204"/>
      <c r="B457" s="204"/>
      <c r="C457" s="204"/>
      <c r="D457" s="204"/>
      <c r="E457" s="204"/>
      <c r="F457" s="204"/>
      <c r="G457" s="204"/>
      <c r="H457" s="204"/>
      <c r="J457" s="189" t="str">
        <f t="shared" si="136"/>
        <v/>
      </c>
      <c r="K457" s="189" t="str">
        <f t="shared" si="137"/>
        <v/>
      </c>
      <c r="L457" s="189" t="str">
        <f t="shared" si="138"/>
        <v/>
      </c>
      <c r="M457" s="189" t="str">
        <f t="shared" si="139"/>
        <v/>
      </c>
      <c r="N457" s="76" t="str">
        <f t="shared" si="140"/>
        <v/>
      </c>
      <c r="O457" s="20">
        <f t="shared" si="141"/>
        <v>0</v>
      </c>
      <c r="P457" s="76">
        <f t="shared" si="142"/>
        <v>0</v>
      </c>
      <c r="Q457" s="206">
        <f t="shared" si="132"/>
        <v>0</v>
      </c>
      <c r="R457" s="206">
        <f t="shared" si="133"/>
        <v>0</v>
      </c>
      <c r="S457" s="206">
        <f t="shared" si="134"/>
        <v>0</v>
      </c>
      <c r="T457" s="206">
        <f t="shared" si="135"/>
        <v>0</v>
      </c>
      <c r="AA457" s="71" t="str">
        <f t="shared" si="127"/>
        <v/>
      </c>
      <c r="AB457" s="189">
        <f t="shared" si="128"/>
        <v>0</v>
      </c>
      <c r="AC457" s="189">
        <f t="shared" si="129"/>
        <v>0</v>
      </c>
      <c r="AD457" s="189">
        <f t="shared" si="130"/>
        <v>0</v>
      </c>
      <c r="AE457" s="189">
        <f t="shared" si="131"/>
        <v>0</v>
      </c>
    </row>
    <row r="458" spans="1:31" x14ac:dyDescent="0.4">
      <c r="A458" s="204"/>
      <c r="B458" s="204"/>
      <c r="C458" s="204"/>
      <c r="D458" s="204"/>
      <c r="E458" s="204"/>
      <c r="F458" s="204"/>
      <c r="G458" s="204"/>
      <c r="H458" s="204"/>
      <c r="J458" s="189" t="str">
        <f t="shared" si="136"/>
        <v/>
      </c>
      <c r="K458" s="189" t="str">
        <f t="shared" si="137"/>
        <v/>
      </c>
      <c r="L458" s="189" t="str">
        <f t="shared" si="138"/>
        <v/>
      </c>
      <c r="M458" s="189" t="str">
        <f t="shared" si="139"/>
        <v/>
      </c>
      <c r="N458" s="76" t="str">
        <f t="shared" si="140"/>
        <v/>
      </c>
      <c r="O458" s="20">
        <f t="shared" si="141"/>
        <v>0</v>
      </c>
      <c r="P458" s="76">
        <f t="shared" si="142"/>
        <v>0</v>
      </c>
      <c r="Q458" s="206">
        <f t="shared" si="132"/>
        <v>0</v>
      </c>
      <c r="R458" s="206">
        <f t="shared" si="133"/>
        <v>0</v>
      </c>
      <c r="S458" s="206">
        <f t="shared" si="134"/>
        <v>0</v>
      </c>
      <c r="T458" s="206">
        <f t="shared" si="135"/>
        <v>0</v>
      </c>
      <c r="AA458" s="71" t="str">
        <f t="shared" si="127"/>
        <v/>
      </c>
      <c r="AB458" s="189">
        <f t="shared" si="128"/>
        <v>0</v>
      </c>
      <c r="AC458" s="189">
        <f t="shared" si="129"/>
        <v>0</v>
      </c>
      <c r="AD458" s="189">
        <f t="shared" si="130"/>
        <v>0</v>
      </c>
      <c r="AE458" s="189">
        <f t="shared" si="131"/>
        <v>0</v>
      </c>
    </row>
    <row r="459" spans="1:31" x14ac:dyDescent="0.4">
      <c r="A459" s="204"/>
      <c r="B459" s="204"/>
      <c r="C459" s="204"/>
      <c r="D459" s="204"/>
      <c r="E459" s="204"/>
      <c r="F459" s="204"/>
      <c r="G459" s="204"/>
      <c r="H459" s="204"/>
      <c r="J459" s="189" t="str">
        <f t="shared" si="136"/>
        <v/>
      </c>
      <c r="K459" s="189" t="str">
        <f t="shared" si="137"/>
        <v/>
      </c>
      <c r="L459" s="189" t="str">
        <f t="shared" si="138"/>
        <v/>
      </c>
      <c r="M459" s="189" t="str">
        <f t="shared" si="139"/>
        <v/>
      </c>
      <c r="N459" s="76" t="str">
        <f t="shared" si="140"/>
        <v/>
      </c>
      <c r="O459" s="20">
        <f t="shared" si="141"/>
        <v>0</v>
      </c>
      <c r="P459" s="76">
        <f t="shared" si="142"/>
        <v>0</v>
      </c>
      <c r="Q459" s="206">
        <f t="shared" si="132"/>
        <v>0</v>
      </c>
      <c r="R459" s="206">
        <f t="shared" si="133"/>
        <v>0</v>
      </c>
      <c r="S459" s="206">
        <f t="shared" si="134"/>
        <v>0</v>
      </c>
      <c r="T459" s="206">
        <f t="shared" si="135"/>
        <v>0</v>
      </c>
      <c r="AA459" s="71" t="str">
        <f t="shared" si="127"/>
        <v/>
      </c>
      <c r="AB459" s="189">
        <f t="shared" si="128"/>
        <v>0</v>
      </c>
      <c r="AC459" s="189">
        <f t="shared" si="129"/>
        <v>0</v>
      </c>
      <c r="AD459" s="189">
        <f t="shared" si="130"/>
        <v>0</v>
      </c>
      <c r="AE459" s="189">
        <f t="shared" si="131"/>
        <v>0</v>
      </c>
    </row>
    <row r="460" spans="1:31" x14ac:dyDescent="0.4">
      <c r="A460" s="204"/>
      <c r="B460" s="204"/>
      <c r="C460" s="204"/>
      <c r="D460" s="204"/>
      <c r="E460" s="204"/>
      <c r="F460" s="204"/>
      <c r="G460" s="204"/>
      <c r="H460" s="204"/>
      <c r="J460" s="189" t="str">
        <f t="shared" si="136"/>
        <v/>
      </c>
      <c r="K460" s="189" t="str">
        <f t="shared" si="137"/>
        <v/>
      </c>
      <c r="L460" s="189" t="str">
        <f t="shared" si="138"/>
        <v/>
      </c>
      <c r="M460" s="189" t="str">
        <f t="shared" si="139"/>
        <v/>
      </c>
      <c r="N460" s="76" t="str">
        <f t="shared" si="140"/>
        <v/>
      </c>
      <c r="O460" s="20">
        <f t="shared" si="141"/>
        <v>0</v>
      </c>
      <c r="P460" s="76">
        <f t="shared" si="142"/>
        <v>0</v>
      </c>
      <c r="Q460" s="206">
        <f t="shared" si="132"/>
        <v>0</v>
      </c>
      <c r="R460" s="206">
        <f t="shared" si="133"/>
        <v>0</v>
      </c>
      <c r="S460" s="206">
        <f t="shared" si="134"/>
        <v>0</v>
      </c>
      <c r="T460" s="206">
        <f t="shared" si="135"/>
        <v>0</v>
      </c>
      <c r="AA460" s="71" t="str">
        <f t="shared" si="127"/>
        <v/>
      </c>
      <c r="AB460" s="189">
        <f t="shared" si="128"/>
        <v>0</v>
      </c>
      <c r="AC460" s="189">
        <f t="shared" si="129"/>
        <v>0</v>
      </c>
      <c r="AD460" s="189">
        <f t="shared" si="130"/>
        <v>0</v>
      </c>
      <c r="AE460" s="189">
        <f t="shared" si="131"/>
        <v>0</v>
      </c>
    </row>
    <row r="461" spans="1:31" x14ac:dyDescent="0.4">
      <c r="A461" s="204"/>
      <c r="B461" s="204"/>
      <c r="C461" s="204"/>
      <c r="D461" s="204"/>
      <c r="E461" s="204"/>
      <c r="F461" s="204"/>
      <c r="G461" s="204"/>
      <c r="H461" s="204"/>
      <c r="J461" s="189" t="str">
        <f t="shared" si="136"/>
        <v/>
      </c>
      <c r="K461" s="189" t="str">
        <f t="shared" si="137"/>
        <v/>
      </c>
      <c r="L461" s="189" t="str">
        <f t="shared" si="138"/>
        <v/>
      </c>
      <c r="M461" s="189" t="str">
        <f t="shared" si="139"/>
        <v/>
      </c>
      <c r="N461" s="76" t="str">
        <f t="shared" si="140"/>
        <v/>
      </c>
      <c r="O461" s="20">
        <f t="shared" si="141"/>
        <v>0</v>
      </c>
      <c r="P461" s="76">
        <f t="shared" si="142"/>
        <v>0</v>
      </c>
      <c r="Q461" s="206">
        <f t="shared" si="132"/>
        <v>0</v>
      </c>
      <c r="R461" s="206">
        <f t="shared" si="133"/>
        <v>0</v>
      </c>
      <c r="S461" s="206">
        <f t="shared" si="134"/>
        <v>0</v>
      </c>
      <c r="T461" s="206">
        <f t="shared" si="135"/>
        <v>0</v>
      </c>
      <c r="AA461" s="71" t="str">
        <f t="shared" si="127"/>
        <v/>
      </c>
      <c r="AB461" s="189">
        <f t="shared" si="128"/>
        <v>0</v>
      </c>
      <c r="AC461" s="189">
        <f t="shared" si="129"/>
        <v>0</v>
      </c>
      <c r="AD461" s="189">
        <f t="shared" si="130"/>
        <v>0</v>
      </c>
      <c r="AE461" s="189">
        <f t="shared" si="131"/>
        <v>0</v>
      </c>
    </row>
    <row r="462" spans="1:31" x14ac:dyDescent="0.4">
      <c r="A462" s="204"/>
      <c r="B462" s="204"/>
      <c r="C462" s="204"/>
      <c r="D462" s="204"/>
      <c r="E462" s="204"/>
      <c r="F462" s="204"/>
      <c r="G462" s="204"/>
      <c r="H462" s="204"/>
      <c r="J462" s="189" t="str">
        <f t="shared" si="136"/>
        <v/>
      </c>
      <c r="K462" s="189" t="str">
        <f t="shared" si="137"/>
        <v/>
      </c>
      <c r="L462" s="189" t="str">
        <f t="shared" si="138"/>
        <v/>
      </c>
      <c r="M462" s="189" t="str">
        <f t="shared" si="139"/>
        <v/>
      </c>
      <c r="N462" s="76" t="str">
        <f t="shared" si="140"/>
        <v/>
      </c>
      <c r="O462" s="20">
        <f t="shared" si="141"/>
        <v>0</v>
      </c>
      <c r="P462" s="76">
        <f t="shared" si="142"/>
        <v>0</v>
      </c>
      <c r="Q462" s="206">
        <f t="shared" si="132"/>
        <v>0</v>
      </c>
      <c r="R462" s="206">
        <f t="shared" si="133"/>
        <v>0</v>
      </c>
      <c r="S462" s="206">
        <f t="shared" si="134"/>
        <v>0</v>
      </c>
      <c r="T462" s="206">
        <f t="shared" si="135"/>
        <v>0</v>
      </c>
      <c r="AA462" s="71" t="str">
        <f t="shared" si="127"/>
        <v/>
      </c>
      <c r="AB462" s="189">
        <f t="shared" si="128"/>
        <v>0</v>
      </c>
      <c r="AC462" s="189">
        <f t="shared" si="129"/>
        <v>0</v>
      </c>
      <c r="AD462" s="189">
        <f t="shared" si="130"/>
        <v>0</v>
      </c>
      <c r="AE462" s="189">
        <f t="shared" si="131"/>
        <v>0</v>
      </c>
    </row>
    <row r="463" spans="1:31" x14ac:dyDescent="0.4">
      <c r="A463" s="204"/>
      <c r="B463" s="204"/>
      <c r="C463" s="204"/>
      <c r="D463" s="204"/>
      <c r="E463" s="204"/>
      <c r="F463" s="204"/>
      <c r="G463" s="204"/>
      <c r="H463" s="204"/>
      <c r="J463" s="189" t="str">
        <f t="shared" si="136"/>
        <v/>
      </c>
      <c r="K463" s="189" t="str">
        <f t="shared" si="137"/>
        <v/>
      </c>
      <c r="L463" s="189" t="str">
        <f t="shared" si="138"/>
        <v/>
      </c>
      <c r="M463" s="189" t="str">
        <f t="shared" si="139"/>
        <v/>
      </c>
      <c r="N463" s="76" t="str">
        <f t="shared" si="140"/>
        <v/>
      </c>
      <c r="O463" s="20">
        <f t="shared" si="141"/>
        <v>0</v>
      </c>
      <c r="P463" s="76">
        <f t="shared" si="142"/>
        <v>0</v>
      </c>
      <c r="Q463" s="206">
        <f t="shared" si="132"/>
        <v>0</v>
      </c>
      <c r="R463" s="206">
        <f t="shared" si="133"/>
        <v>0</v>
      </c>
      <c r="S463" s="206">
        <f t="shared" si="134"/>
        <v>0</v>
      </c>
      <c r="T463" s="206">
        <f t="shared" si="135"/>
        <v>0</v>
      </c>
      <c r="AA463" s="71" t="str">
        <f t="shared" si="127"/>
        <v/>
      </c>
      <c r="AB463" s="189">
        <f t="shared" si="128"/>
        <v>0</v>
      </c>
      <c r="AC463" s="189">
        <f t="shared" si="129"/>
        <v>0</v>
      </c>
      <c r="AD463" s="189">
        <f t="shared" si="130"/>
        <v>0</v>
      </c>
      <c r="AE463" s="189">
        <f t="shared" si="131"/>
        <v>0</v>
      </c>
    </row>
    <row r="464" spans="1:31" x14ac:dyDescent="0.4">
      <c r="A464" s="204"/>
      <c r="B464" s="204"/>
      <c r="C464" s="204"/>
      <c r="D464" s="204"/>
      <c r="E464" s="204"/>
      <c r="F464" s="204"/>
      <c r="G464" s="204"/>
      <c r="H464" s="204"/>
      <c r="J464" s="189" t="str">
        <f t="shared" si="136"/>
        <v/>
      </c>
      <c r="K464" s="189" t="str">
        <f t="shared" si="137"/>
        <v/>
      </c>
      <c r="L464" s="189" t="str">
        <f t="shared" si="138"/>
        <v/>
      </c>
      <c r="M464" s="189" t="str">
        <f t="shared" si="139"/>
        <v/>
      </c>
      <c r="N464" s="76" t="str">
        <f t="shared" si="140"/>
        <v/>
      </c>
      <c r="O464" s="20">
        <f t="shared" si="141"/>
        <v>0</v>
      </c>
      <c r="P464" s="76">
        <f t="shared" si="142"/>
        <v>0</v>
      </c>
      <c r="Q464" s="206">
        <f t="shared" si="132"/>
        <v>0</v>
      </c>
      <c r="R464" s="206">
        <f t="shared" si="133"/>
        <v>0</v>
      </c>
      <c r="S464" s="206">
        <f t="shared" si="134"/>
        <v>0</v>
      </c>
      <c r="T464" s="206">
        <f t="shared" si="135"/>
        <v>0</v>
      </c>
      <c r="AA464" s="71" t="str">
        <f t="shared" si="127"/>
        <v/>
      </c>
      <c r="AB464" s="189">
        <f t="shared" si="128"/>
        <v>0</v>
      </c>
      <c r="AC464" s="189">
        <f t="shared" si="129"/>
        <v>0</v>
      </c>
      <c r="AD464" s="189">
        <f t="shared" si="130"/>
        <v>0</v>
      </c>
      <c r="AE464" s="189">
        <f t="shared" si="131"/>
        <v>0</v>
      </c>
    </row>
    <row r="465" spans="1:31" x14ac:dyDescent="0.4">
      <c r="A465" s="204"/>
      <c r="B465" s="204"/>
      <c r="C465" s="204"/>
      <c r="D465" s="204"/>
      <c r="E465" s="204"/>
      <c r="F465" s="204"/>
      <c r="G465" s="204"/>
      <c r="H465" s="204"/>
      <c r="J465" s="189" t="str">
        <f t="shared" si="136"/>
        <v/>
      </c>
      <c r="K465" s="189" t="str">
        <f t="shared" si="137"/>
        <v/>
      </c>
      <c r="L465" s="189" t="str">
        <f t="shared" si="138"/>
        <v/>
      </c>
      <c r="M465" s="189" t="str">
        <f t="shared" si="139"/>
        <v/>
      </c>
      <c r="N465" s="76" t="str">
        <f t="shared" si="140"/>
        <v/>
      </c>
      <c r="O465" s="20">
        <f t="shared" si="141"/>
        <v>0</v>
      </c>
      <c r="P465" s="76">
        <f t="shared" si="142"/>
        <v>0</v>
      </c>
      <c r="Q465" s="206">
        <f t="shared" si="132"/>
        <v>0</v>
      </c>
      <c r="R465" s="206">
        <f t="shared" si="133"/>
        <v>0</v>
      </c>
      <c r="S465" s="206">
        <f t="shared" si="134"/>
        <v>0</v>
      </c>
      <c r="T465" s="206">
        <f t="shared" si="135"/>
        <v>0</v>
      </c>
      <c r="AA465" s="71" t="str">
        <f t="shared" si="127"/>
        <v/>
      </c>
      <c r="AB465" s="189">
        <f t="shared" si="128"/>
        <v>0</v>
      </c>
      <c r="AC465" s="189">
        <f t="shared" si="129"/>
        <v>0</v>
      </c>
      <c r="AD465" s="189">
        <f t="shared" si="130"/>
        <v>0</v>
      </c>
      <c r="AE465" s="189">
        <f t="shared" si="131"/>
        <v>0</v>
      </c>
    </row>
    <row r="466" spans="1:31" x14ac:dyDescent="0.4">
      <c r="A466" s="204"/>
      <c r="B466" s="204"/>
      <c r="C466" s="204"/>
      <c r="D466" s="204"/>
      <c r="E466" s="204"/>
      <c r="F466" s="204"/>
      <c r="G466" s="204"/>
      <c r="H466" s="204"/>
      <c r="J466" s="189" t="str">
        <f t="shared" si="136"/>
        <v/>
      </c>
      <c r="K466" s="189" t="str">
        <f t="shared" si="137"/>
        <v/>
      </c>
      <c r="L466" s="189" t="str">
        <f t="shared" si="138"/>
        <v/>
      </c>
      <c r="M466" s="189" t="str">
        <f t="shared" si="139"/>
        <v/>
      </c>
      <c r="N466" s="76" t="str">
        <f t="shared" si="140"/>
        <v/>
      </c>
      <c r="O466" s="20">
        <f t="shared" si="141"/>
        <v>0</v>
      </c>
      <c r="P466" s="76">
        <f t="shared" si="142"/>
        <v>0</v>
      </c>
      <c r="Q466" s="206">
        <f t="shared" si="132"/>
        <v>0</v>
      </c>
      <c r="R466" s="206">
        <f t="shared" si="133"/>
        <v>0</v>
      </c>
      <c r="S466" s="206">
        <f t="shared" si="134"/>
        <v>0</v>
      </c>
      <c r="T466" s="206">
        <f t="shared" si="135"/>
        <v>0</v>
      </c>
      <c r="AA466" s="71" t="str">
        <f t="shared" si="127"/>
        <v/>
      </c>
      <c r="AB466" s="189">
        <f t="shared" si="128"/>
        <v>0</v>
      </c>
      <c r="AC466" s="189">
        <f t="shared" si="129"/>
        <v>0</v>
      </c>
      <c r="AD466" s="189">
        <f t="shared" si="130"/>
        <v>0</v>
      </c>
      <c r="AE466" s="189">
        <f t="shared" si="131"/>
        <v>0</v>
      </c>
    </row>
    <row r="467" spans="1:31" x14ac:dyDescent="0.4">
      <c r="A467" s="204"/>
      <c r="B467" s="204"/>
      <c r="C467" s="204"/>
      <c r="D467" s="204"/>
      <c r="E467" s="204"/>
      <c r="F467" s="204"/>
      <c r="G467" s="204"/>
      <c r="H467" s="204"/>
      <c r="J467" s="189" t="str">
        <f t="shared" si="136"/>
        <v/>
      </c>
      <c r="K467" s="189" t="str">
        <f t="shared" si="137"/>
        <v/>
      </c>
      <c r="L467" s="189" t="str">
        <f t="shared" si="138"/>
        <v/>
      </c>
      <c r="M467" s="189" t="str">
        <f t="shared" si="139"/>
        <v/>
      </c>
      <c r="N467" s="76" t="str">
        <f t="shared" si="140"/>
        <v/>
      </c>
      <c r="O467" s="20">
        <f t="shared" si="141"/>
        <v>0</v>
      </c>
      <c r="P467" s="76">
        <f t="shared" si="142"/>
        <v>0</v>
      </c>
      <c r="Q467" s="206">
        <f t="shared" si="132"/>
        <v>0</v>
      </c>
      <c r="R467" s="206">
        <f t="shared" si="133"/>
        <v>0</v>
      </c>
      <c r="S467" s="206">
        <f t="shared" si="134"/>
        <v>0</v>
      </c>
      <c r="T467" s="206">
        <f t="shared" si="135"/>
        <v>0</v>
      </c>
      <c r="AA467" s="71" t="str">
        <f t="shared" si="127"/>
        <v/>
      </c>
      <c r="AB467" s="189">
        <f t="shared" si="128"/>
        <v>0</v>
      </c>
      <c r="AC467" s="189">
        <f t="shared" si="129"/>
        <v>0</v>
      </c>
      <c r="AD467" s="189">
        <f t="shared" si="130"/>
        <v>0</v>
      </c>
      <c r="AE467" s="189">
        <f t="shared" si="131"/>
        <v>0</v>
      </c>
    </row>
    <row r="468" spans="1:31" x14ac:dyDescent="0.4">
      <c r="A468" s="204"/>
      <c r="B468" s="204"/>
      <c r="C468" s="204"/>
      <c r="D468" s="204"/>
      <c r="E468" s="204"/>
      <c r="F468" s="204"/>
      <c r="G468" s="204"/>
      <c r="H468" s="204"/>
      <c r="J468" s="189" t="str">
        <f t="shared" si="136"/>
        <v/>
      </c>
      <c r="K468" s="189" t="str">
        <f t="shared" si="137"/>
        <v/>
      </c>
      <c r="L468" s="189" t="str">
        <f t="shared" si="138"/>
        <v/>
      </c>
      <c r="M468" s="189" t="str">
        <f t="shared" si="139"/>
        <v/>
      </c>
      <c r="N468" s="76" t="str">
        <f t="shared" si="140"/>
        <v/>
      </c>
      <c r="O468" s="20">
        <f t="shared" si="141"/>
        <v>0</v>
      </c>
      <c r="P468" s="76">
        <f t="shared" si="142"/>
        <v>0</v>
      </c>
      <c r="Q468" s="206">
        <f t="shared" si="132"/>
        <v>0</v>
      </c>
      <c r="R468" s="206">
        <f t="shared" si="133"/>
        <v>0</v>
      </c>
      <c r="S468" s="206">
        <f t="shared" si="134"/>
        <v>0</v>
      </c>
      <c r="T468" s="206">
        <f t="shared" si="135"/>
        <v>0</v>
      </c>
      <c r="AA468" s="71" t="str">
        <f t="shared" si="127"/>
        <v/>
      </c>
      <c r="AB468" s="189">
        <f t="shared" si="128"/>
        <v>0</v>
      </c>
      <c r="AC468" s="189">
        <f t="shared" si="129"/>
        <v>0</v>
      </c>
      <c r="AD468" s="189">
        <f t="shared" si="130"/>
        <v>0</v>
      </c>
      <c r="AE468" s="189">
        <f t="shared" si="131"/>
        <v>0</v>
      </c>
    </row>
    <row r="469" spans="1:31" x14ac:dyDescent="0.4">
      <c r="A469" s="204"/>
      <c r="B469" s="204"/>
      <c r="C469" s="204"/>
      <c r="D469" s="204"/>
      <c r="E469" s="204"/>
      <c r="F469" s="204"/>
      <c r="G469" s="204"/>
      <c r="H469" s="204"/>
      <c r="J469" s="189" t="str">
        <f t="shared" si="136"/>
        <v/>
      </c>
      <c r="K469" s="189" t="str">
        <f t="shared" si="137"/>
        <v/>
      </c>
      <c r="L469" s="189" t="str">
        <f t="shared" si="138"/>
        <v/>
      </c>
      <c r="M469" s="189" t="str">
        <f t="shared" si="139"/>
        <v/>
      </c>
      <c r="N469" s="76" t="str">
        <f t="shared" si="140"/>
        <v/>
      </c>
      <c r="O469" s="20">
        <f t="shared" si="141"/>
        <v>0</v>
      </c>
      <c r="P469" s="76">
        <f t="shared" si="142"/>
        <v>0</v>
      </c>
      <c r="Q469" s="206">
        <f t="shared" si="132"/>
        <v>0</v>
      </c>
      <c r="R469" s="206">
        <f t="shared" si="133"/>
        <v>0</v>
      </c>
      <c r="S469" s="206">
        <f t="shared" si="134"/>
        <v>0</v>
      </c>
      <c r="T469" s="206">
        <f t="shared" si="135"/>
        <v>0</v>
      </c>
      <c r="AA469" s="71" t="str">
        <f t="shared" si="127"/>
        <v/>
      </c>
      <c r="AB469" s="189">
        <f t="shared" si="128"/>
        <v>0</v>
      </c>
      <c r="AC469" s="189">
        <f t="shared" si="129"/>
        <v>0</v>
      </c>
      <c r="AD469" s="189">
        <f t="shared" si="130"/>
        <v>0</v>
      </c>
      <c r="AE469" s="189">
        <f t="shared" si="131"/>
        <v>0</v>
      </c>
    </row>
    <row r="470" spans="1:31" x14ac:dyDescent="0.4">
      <c r="A470" s="204"/>
      <c r="B470" s="204"/>
      <c r="C470" s="204"/>
      <c r="D470" s="204"/>
      <c r="E470" s="204"/>
      <c r="F470" s="204"/>
      <c r="G470" s="204"/>
      <c r="H470" s="204"/>
      <c r="J470" s="189" t="str">
        <f t="shared" si="136"/>
        <v/>
      </c>
      <c r="K470" s="189" t="str">
        <f t="shared" si="137"/>
        <v/>
      </c>
      <c r="L470" s="189" t="str">
        <f t="shared" si="138"/>
        <v/>
      </c>
      <c r="M470" s="189" t="str">
        <f t="shared" si="139"/>
        <v/>
      </c>
      <c r="N470" s="76" t="str">
        <f t="shared" si="140"/>
        <v/>
      </c>
      <c r="O470" s="20">
        <f t="shared" si="141"/>
        <v>0</v>
      </c>
      <c r="P470" s="76">
        <f t="shared" si="142"/>
        <v>0</v>
      </c>
      <c r="Q470" s="206">
        <f t="shared" si="132"/>
        <v>0</v>
      </c>
      <c r="R470" s="206">
        <f t="shared" si="133"/>
        <v>0</v>
      </c>
      <c r="S470" s="206">
        <f t="shared" si="134"/>
        <v>0</v>
      </c>
      <c r="T470" s="206">
        <f t="shared" si="135"/>
        <v>0</v>
      </c>
      <c r="AA470" s="71" t="str">
        <f t="shared" si="127"/>
        <v/>
      </c>
      <c r="AB470" s="189">
        <f t="shared" si="128"/>
        <v>0</v>
      </c>
      <c r="AC470" s="189">
        <f t="shared" si="129"/>
        <v>0</v>
      </c>
      <c r="AD470" s="189">
        <f t="shared" si="130"/>
        <v>0</v>
      </c>
      <c r="AE470" s="189">
        <f t="shared" si="131"/>
        <v>0</v>
      </c>
    </row>
    <row r="471" spans="1:31" x14ac:dyDescent="0.4">
      <c r="A471" s="204"/>
      <c r="B471" s="204"/>
      <c r="C471" s="204"/>
      <c r="D471" s="204"/>
      <c r="E471" s="204"/>
      <c r="F471" s="204"/>
      <c r="G471" s="204"/>
      <c r="H471" s="204"/>
      <c r="J471" s="189" t="str">
        <f t="shared" si="136"/>
        <v/>
      </c>
      <c r="K471" s="189" t="str">
        <f t="shared" si="137"/>
        <v/>
      </c>
      <c r="L471" s="189" t="str">
        <f t="shared" si="138"/>
        <v/>
      </c>
      <c r="M471" s="189" t="str">
        <f t="shared" si="139"/>
        <v/>
      </c>
      <c r="N471" s="76" t="str">
        <f t="shared" si="140"/>
        <v/>
      </c>
      <c r="O471" s="20">
        <f t="shared" si="141"/>
        <v>0</v>
      </c>
      <c r="P471" s="76">
        <f t="shared" si="142"/>
        <v>0</v>
      </c>
      <c r="Q471" s="206">
        <f t="shared" si="132"/>
        <v>0</v>
      </c>
      <c r="R471" s="206">
        <f t="shared" si="133"/>
        <v>0</v>
      </c>
      <c r="S471" s="206">
        <f t="shared" si="134"/>
        <v>0</v>
      </c>
      <c r="T471" s="206">
        <f t="shared" si="135"/>
        <v>0</v>
      </c>
      <c r="AA471" s="71" t="str">
        <f t="shared" si="127"/>
        <v/>
      </c>
      <c r="AB471" s="189">
        <f t="shared" si="128"/>
        <v>0</v>
      </c>
      <c r="AC471" s="189">
        <f t="shared" si="129"/>
        <v>0</v>
      </c>
      <c r="AD471" s="189">
        <f t="shared" si="130"/>
        <v>0</v>
      </c>
      <c r="AE471" s="189">
        <f t="shared" si="131"/>
        <v>0</v>
      </c>
    </row>
    <row r="472" spans="1:31" x14ac:dyDescent="0.4">
      <c r="A472" s="204"/>
      <c r="B472" s="204"/>
      <c r="C472" s="204"/>
      <c r="D472" s="204"/>
      <c r="E472" s="204"/>
      <c r="F472" s="204"/>
      <c r="G472" s="204"/>
      <c r="H472" s="204"/>
      <c r="J472" s="189" t="str">
        <f t="shared" si="136"/>
        <v/>
      </c>
      <c r="K472" s="189" t="str">
        <f t="shared" si="137"/>
        <v/>
      </c>
      <c r="L472" s="189" t="str">
        <f t="shared" si="138"/>
        <v/>
      </c>
      <c r="M472" s="189" t="str">
        <f t="shared" si="139"/>
        <v/>
      </c>
      <c r="N472" s="76" t="str">
        <f t="shared" si="140"/>
        <v/>
      </c>
      <c r="O472" s="20">
        <f t="shared" si="141"/>
        <v>0</v>
      </c>
      <c r="P472" s="76">
        <f t="shared" si="142"/>
        <v>0</v>
      </c>
      <c r="Q472" s="206">
        <f t="shared" si="132"/>
        <v>0</v>
      </c>
      <c r="R472" s="206">
        <f t="shared" si="133"/>
        <v>0</v>
      </c>
      <c r="S472" s="206">
        <f t="shared" si="134"/>
        <v>0</v>
      </c>
      <c r="T472" s="206">
        <f t="shared" si="135"/>
        <v>0</v>
      </c>
      <c r="AA472" s="71" t="str">
        <f t="shared" si="127"/>
        <v/>
      </c>
      <c r="AB472" s="189">
        <f t="shared" si="128"/>
        <v>0</v>
      </c>
      <c r="AC472" s="189">
        <f t="shared" si="129"/>
        <v>0</v>
      </c>
      <c r="AD472" s="189">
        <f t="shared" si="130"/>
        <v>0</v>
      </c>
      <c r="AE472" s="189">
        <f t="shared" si="131"/>
        <v>0</v>
      </c>
    </row>
    <row r="473" spans="1:31" x14ac:dyDescent="0.4">
      <c r="A473" s="204"/>
      <c r="B473" s="204"/>
      <c r="C473" s="204"/>
      <c r="D473" s="204"/>
      <c r="E473" s="204"/>
      <c r="F473" s="204"/>
      <c r="G473" s="204"/>
      <c r="H473" s="204"/>
      <c r="J473" s="189" t="str">
        <f t="shared" si="136"/>
        <v/>
      </c>
      <c r="K473" s="189" t="str">
        <f t="shared" si="137"/>
        <v/>
      </c>
      <c r="L473" s="189" t="str">
        <f t="shared" si="138"/>
        <v/>
      </c>
      <c r="M473" s="189" t="str">
        <f t="shared" si="139"/>
        <v/>
      </c>
      <c r="N473" s="76" t="str">
        <f t="shared" si="140"/>
        <v/>
      </c>
      <c r="O473" s="20">
        <f t="shared" si="141"/>
        <v>0</v>
      </c>
      <c r="P473" s="76">
        <f t="shared" si="142"/>
        <v>0</v>
      </c>
      <c r="Q473" s="206">
        <f t="shared" si="132"/>
        <v>0</v>
      </c>
      <c r="R473" s="206">
        <f t="shared" si="133"/>
        <v>0</v>
      </c>
      <c r="S473" s="206">
        <f t="shared" si="134"/>
        <v>0</v>
      </c>
      <c r="T473" s="206">
        <f t="shared" si="135"/>
        <v>0</v>
      </c>
      <c r="AA473" s="71" t="str">
        <f t="shared" si="127"/>
        <v/>
      </c>
      <c r="AB473" s="189">
        <f t="shared" si="128"/>
        <v>0</v>
      </c>
      <c r="AC473" s="189">
        <f t="shared" si="129"/>
        <v>0</v>
      </c>
      <c r="AD473" s="189">
        <f t="shared" si="130"/>
        <v>0</v>
      </c>
      <c r="AE473" s="189">
        <f t="shared" si="131"/>
        <v>0</v>
      </c>
    </row>
    <row r="474" spans="1:31" x14ac:dyDescent="0.4">
      <c r="A474" s="204"/>
      <c r="B474" s="204"/>
      <c r="C474" s="204"/>
      <c r="D474" s="204"/>
      <c r="E474" s="204"/>
      <c r="F474" s="204"/>
      <c r="G474" s="204"/>
      <c r="H474" s="204"/>
      <c r="J474" s="189" t="str">
        <f t="shared" si="136"/>
        <v/>
      </c>
      <c r="K474" s="189" t="str">
        <f t="shared" si="137"/>
        <v/>
      </c>
      <c r="L474" s="189" t="str">
        <f t="shared" si="138"/>
        <v/>
      </c>
      <c r="M474" s="189" t="str">
        <f t="shared" si="139"/>
        <v/>
      </c>
      <c r="N474" s="76" t="str">
        <f t="shared" si="140"/>
        <v/>
      </c>
      <c r="O474" s="20">
        <f t="shared" si="141"/>
        <v>0</v>
      </c>
      <c r="P474" s="76">
        <f t="shared" si="142"/>
        <v>0</v>
      </c>
      <c r="Q474" s="206">
        <f t="shared" si="132"/>
        <v>0</v>
      </c>
      <c r="R474" s="206">
        <f t="shared" si="133"/>
        <v>0</v>
      </c>
      <c r="S474" s="206">
        <f t="shared" si="134"/>
        <v>0</v>
      </c>
      <c r="T474" s="206">
        <f t="shared" si="135"/>
        <v>0</v>
      </c>
      <c r="AA474" s="71" t="str">
        <f t="shared" si="127"/>
        <v/>
      </c>
      <c r="AB474" s="189">
        <f t="shared" si="128"/>
        <v>0</v>
      </c>
      <c r="AC474" s="189">
        <f t="shared" si="129"/>
        <v>0</v>
      </c>
      <c r="AD474" s="189">
        <f t="shared" si="130"/>
        <v>0</v>
      </c>
      <c r="AE474" s="189">
        <f t="shared" si="131"/>
        <v>0</v>
      </c>
    </row>
    <row r="475" spans="1:31" x14ac:dyDescent="0.4">
      <c r="A475" s="204"/>
      <c r="B475" s="204"/>
      <c r="C475" s="204"/>
      <c r="D475" s="204"/>
      <c r="E475" s="204"/>
      <c r="F475" s="204"/>
      <c r="G475" s="204"/>
      <c r="H475" s="204"/>
      <c r="J475" s="189" t="str">
        <f t="shared" si="136"/>
        <v/>
      </c>
      <c r="K475" s="189" t="str">
        <f t="shared" si="137"/>
        <v/>
      </c>
      <c r="L475" s="189" t="str">
        <f t="shared" si="138"/>
        <v/>
      </c>
      <c r="M475" s="189" t="str">
        <f t="shared" si="139"/>
        <v/>
      </c>
      <c r="N475" s="76" t="str">
        <f t="shared" si="140"/>
        <v/>
      </c>
      <c r="O475" s="20">
        <f t="shared" si="141"/>
        <v>0</v>
      </c>
      <c r="P475" s="76">
        <f t="shared" si="142"/>
        <v>0</v>
      </c>
      <c r="Q475" s="206">
        <f t="shared" si="132"/>
        <v>0</v>
      </c>
      <c r="R475" s="206">
        <f t="shared" si="133"/>
        <v>0</v>
      </c>
      <c r="S475" s="206">
        <f t="shared" si="134"/>
        <v>0</v>
      </c>
      <c r="T475" s="206">
        <f t="shared" si="135"/>
        <v>0</v>
      </c>
      <c r="AA475" s="71" t="str">
        <f t="shared" si="127"/>
        <v/>
      </c>
      <c r="AB475" s="189">
        <f t="shared" si="128"/>
        <v>0</v>
      </c>
      <c r="AC475" s="189">
        <f t="shared" si="129"/>
        <v>0</v>
      </c>
      <c r="AD475" s="189">
        <f t="shared" si="130"/>
        <v>0</v>
      </c>
      <c r="AE475" s="189">
        <f t="shared" si="131"/>
        <v>0</v>
      </c>
    </row>
    <row r="476" spans="1:31" x14ac:dyDescent="0.4">
      <c r="A476" s="204"/>
      <c r="B476" s="204"/>
      <c r="C476" s="204"/>
      <c r="D476" s="204"/>
      <c r="E476" s="204"/>
      <c r="F476" s="204"/>
      <c r="G476" s="204"/>
      <c r="H476" s="204"/>
      <c r="J476" s="189" t="str">
        <f t="shared" si="136"/>
        <v/>
      </c>
      <c r="K476" s="189" t="str">
        <f t="shared" si="137"/>
        <v/>
      </c>
      <c r="L476" s="189" t="str">
        <f t="shared" si="138"/>
        <v/>
      </c>
      <c r="M476" s="189" t="str">
        <f t="shared" si="139"/>
        <v/>
      </c>
      <c r="N476" s="76" t="str">
        <f t="shared" si="140"/>
        <v/>
      </c>
      <c r="O476" s="20">
        <f t="shared" si="141"/>
        <v>0</v>
      </c>
      <c r="P476" s="76">
        <f t="shared" si="142"/>
        <v>0</v>
      </c>
      <c r="Q476" s="206">
        <f t="shared" si="132"/>
        <v>0</v>
      </c>
      <c r="R476" s="206">
        <f t="shared" si="133"/>
        <v>0</v>
      </c>
      <c r="S476" s="206">
        <f t="shared" si="134"/>
        <v>0</v>
      </c>
      <c r="T476" s="206">
        <f t="shared" si="135"/>
        <v>0</v>
      </c>
      <c r="AA476" s="71" t="str">
        <f t="shared" ref="AA476:AA539" si="143">N476</f>
        <v/>
      </c>
      <c r="AB476" s="189">
        <f t="shared" ref="AB476:AB539" si="144">IFERROR(IF(FIND("Km",$B476),IF($B477="",IF(FIND("Pax",C477),VALUE((LEFT(C477,LEN(C477)-4))),))),0)</f>
        <v>0</v>
      </c>
      <c r="AC476" s="189">
        <f t="shared" ref="AC476:AC539" si="145">IFERROR(IF(FIND("Km",$B476),IF($B477="",IF(FIND("Pax",D477),VALUE((LEFT(D477,LEN(D477)-4))),))),0)</f>
        <v>0</v>
      </c>
      <c r="AD476" s="189">
        <f t="shared" ref="AD476:AD539" si="146">IFERROR(IF(FIND("Km",$B476),IF($B477="",IF(FIND("Pax",E477),VALUE((LEFT(E477,LEN(E477)-4))),))),0)</f>
        <v>0</v>
      </c>
      <c r="AE476" s="189">
        <f t="shared" ref="AE476:AE539" si="147">IFERROR(IF($J476&lt;&gt;"",VALUE(LEFT(F477,LEN(F477)-7)),0),1)</f>
        <v>0</v>
      </c>
    </row>
    <row r="477" spans="1:31" x14ac:dyDescent="0.4">
      <c r="A477" s="204"/>
      <c r="B477" s="204"/>
      <c r="C477" s="204"/>
      <c r="D477" s="204"/>
      <c r="E477" s="204"/>
      <c r="F477" s="204"/>
      <c r="G477" s="204"/>
      <c r="H477" s="204"/>
      <c r="J477" s="189" t="str">
        <f t="shared" si="136"/>
        <v/>
      </c>
      <c r="K477" s="189" t="str">
        <f t="shared" si="137"/>
        <v/>
      </c>
      <c r="L477" s="189" t="str">
        <f t="shared" si="138"/>
        <v/>
      </c>
      <c r="M477" s="189" t="str">
        <f t="shared" si="139"/>
        <v/>
      </c>
      <c r="N477" s="76" t="str">
        <f t="shared" si="140"/>
        <v/>
      </c>
      <c r="O477" s="20">
        <f t="shared" si="141"/>
        <v>0</v>
      </c>
      <c r="P477" s="76">
        <f t="shared" si="142"/>
        <v>0</v>
      </c>
      <c r="Q477" s="206">
        <f t="shared" si="132"/>
        <v>0</v>
      </c>
      <c r="R477" s="206">
        <f t="shared" si="133"/>
        <v>0</v>
      </c>
      <c r="S477" s="206">
        <f t="shared" si="134"/>
        <v>0</v>
      </c>
      <c r="T477" s="206">
        <f t="shared" si="135"/>
        <v>0</v>
      </c>
      <c r="AA477" s="71" t="str">
        <f t="shared" si="143"/>
        <v/>
      </c>
      <c r="AB477" s="189">
        <f t="shared" si="144"/>
        <v>0</v>
      </c>
      <c r="AC477" s="189">
        <f t="shared" si="145"/>
        <v>0</v>
      </c>
      <c r="AD477" s="189">
        <f t="shared" si="146"/>
        <v>0</v>
      </c>
      <c r="AE477" s="189">
        <f t="shared" si="147"/>
        <v>0</v>
      </c>
    </row>
    <row r="478" spans="1:31" x14ac:dyDescent="0.4">
      <c r="A478" s="204"/>
      <c r="B478" s="204"/>
      <c r="C478" s="204"/>
      <c r="D478" s="204"/>
      <c r="E478" s="204"/>
      <c r="F478" s="204"/>
      <c r="G478" s="204"/>
      <c r="H478" s="204"/>
      <c r="J478" s="189" t="str">
        <f t="shared" si="136"/>
        <v/>
      </c>
      <c r="K478" s="189" t="str">
        <f t="shared" si="137"/>
        <v/>
      </c>
      <c r="L478" s="189" t="str">
        <f t="shared" si="138"/>
        <v/>
      </c>
      <c r="M478" s="189" t="str">
        <f t="shared" si="139"/>
        <v/>
      </c>
      <c r="N478" s="76" t="str">
        <f t="shared" si="140"/>
        <v/>
      </c>
      <c r="O478" s="20">
        <f t="shared" si="141"/>
        <v>0</v>
      </c>
      <c r="P478" s="76">
        <f t="shared" si="142"/>
        <v>0</v>
      </c>
      <c r="Q478" s="206">
        <f t="shared" si="132"/>
        <v>0</v>
      </c>
      <c r="R478" s="206">
        <f t="shared" si="133"/>
        <v>0</v>
      </c>
      <c r="S478" s="206">
        <f t="shared" si="134"/>
        <v>0</v>
      </c>
      <c r="T478" s="206">
        <f t="shared" si="135"/>
        <v>0</v>
      </c>
      <c r="AA478" s="71" t="str">
        <f t="shared" si="143"/>
        <v/>
      </c>
      <c r="AB478" s="189">
        <f t="shared" si="144"/>
        <v>0</v>
      </c>
      <c r="AC478" s="189">
        <f t="shared" si="145"/>
        <v>0</v>
      </c>
      <c r="AD478" s="189">
        <f t="shared" si="146"/>
        <v>0</v>
      </c>
      <c r="AE478" s="189">
        <f t="shared" si="147"/>
        <v>0</v>
      </c>
    </row>
    <row r="479" spans="1:31" x14ac:dyDescent="0.4">
      <c r="A479" s="204"/>
      <c r="B479" s="204"/>
      <c r="C479" s="204"/>
      <c r="D479" s="204"/>
      <c r="E479" s="204"/>
      <c r="F479" s="204"/>
      <c r="G479" s="204"/>
      <c r="H479" s="204"/>
      <c r="J479" s="189" t="str">
        <f t="shared" si="136"/>
        <v/>
      </c>
      <c r="K479" s="189" t="str">
        <f t="shared" si="137"/>
        <v/>
      </c>
      <c r="L479" s="189" t="str">
        <f t="shared" si="138"/>
        <v/>
      </c>
      <c r="M479" s="189" t="str">
        <f t="shared" si="139"/>
        <v/>
      </c>
      <c r="N479" s="76" t="str">
        <f t="shared" si="140"/>
        <v/>
      </c>
      <c r="O479" s="20">
        <f t="shared" si="141"/>
        <v>0</v>
      </c>
      <c r="P479" s="76">
        <f t="shared" si="142"/>
        <v>0</v>
      </c>
      <c r="Q479" s="206">
        <f t="shared" si="132"/>
        <v>0</v>
      </c>
      <c r="R479" s="206">
        <f t="shared" si="133"/>
        <v>0</v>
      </c>
      <c r="S479" s="206">
        <f t="shared" si="134"/>
        <v>0</v>
      </c>
      <c r="T479" s="206">
        <f t="shared" si="135"/>
        <v>0</v>
      </c>
      <c r="AA479" s="71" t="str">
        <f t="shared" si="143"/>
        <v/>
      </c>
      <c r="AB479" s="189">
        <f t="shared" si="144"/>
        <v>0</v>
      </c>
      <c r="AC479" s="189">
        <f t="shared" si="145"/>
        <v>0</v>
      </c>
      <c r="AD479" s="189">
        <f t="shared" si="146"/>
        <v>0</v>
      </c>
      <c r="AE479" s="189">
        <f t="shared" si="147"/>
        <v>0</v>
      </c>
    </row>
    <row r="480" spans="1:31" x14ac:dyDescent="0.4">
      <c r="A480" s="204"/>
      <c r="B480" s="204"/>
      <c r="C480" s="204"/>
      <c r="D480" s="204"/>
      <c r="E480" s="204"/>
      <c r="F480" s="204"/>
      <c r="G480" s="204"/>
      <c r="H480" s="204"/>
      <c r="J480" s="189" t="str">
        <f t="shared" si="136"/>
        <v/>
      </c>
      <c r="K480" s="189" t="str">
        <f t="shared" si="137"/>
        <v/>
      </c>
      <c r="L480" s="189" t="str">
        <f t="shared" si="138"/>
        <v/>
      </c>
      <c r="M480" s="189" t="str">
        <f t="shared" si="139"/>
        <v/>
      </c>
      <c r="N480" s="76" t="str">
        <f t="shared" si="140"/>
        <v/>
      </c>
      <c r="O480" s="20">
        <f t="shared" si="141"/>
        <v>0</v>
      </c>
      <c r="P480" s="76">
        <f t="shared" si="142"/>
        <v>0</v>
      </c>
      <c r="Q480" s="206">
        <f t="shared" si="132"/>
        <v>0</v>
      </c>
      <c r="R480" s="206">
        <f t="shared" si="133"/>
        <v>0</v>
      </c>
      <c r="S480" s="206">
        <f t="shared" si="134"/>
        <v>0</v>
      </c>
      <c r="T480" s="206">
        <f t="shared" si="135"/>
        <v>0</v>
      </c>
      <c r="AA480" s="71" t="str">
        <f t="shared" si="143"/>
        <v/>
      </c>
      <c r="AB480" s="189">
        <f t="shared" si="144"/>
        <v>0</v>
      </c>
      <c r="AC480" s="189">
        <f t="shared" si="145"/>
        <v>0</v>
      </c>
      <c r="AD480" s="189">
        <f t="shared" si="146"/>
        <v>0</v>
      </c>
      <c r="AE480" s="189">
        <f t="shared" si="147"/>
        <v>0</v>
      </c>
    </row>
    <row r="481" spans="1:31" x14ac:dyDescent="0.4">
      <c r="A481" s="204"/>
      <c r="B481" s="204"/>
      <c r="C481" s="204"/>
      <c r="D481" s="204"/>
      <c r="E481" s="204"/>
      <c r="F481" s="204"/>
      <c r="G481" s="204"/>
      <c r="H481" s="204"/>
      <c r="J481" s="189" t="str">
        <f t="shared" si="136"/>
        <v/>
      </c>
      <c r="K481" s="189" t="str">
        <f t="shared" si="137"/>
        <v/>
      </c>
      <c r="L481" s="189" t="str">
        <f t="shared" si="138"/>
        <v/>
      </c>
      <c r="M481" s="189" t="str">
        <f t="shared" si="139"/>
        <v/>
      </c>
      <c r="N481" s="76" t="str">
        <f t="shared" si="140"/>
        <v/>
      </c>
      <c r="O481" s="20">
        <f t="shared" si="141"/>
        <v>0</v>
      </c>
      <c r="P481" s="76">
        <f t="shared" si="142"/>
        <v>0</v>
      </c>
      <c r="Q481" s="206">
        <f t="shared" si="132"/>
        <v>0</v>
      </c>
      <c r="R481" s="206">
        <f t="shared" si="133"/>
        <v>0</v>
      </c>
      <c r="S481" s="206">
        <f t="shared" si="134"/>
        <v>0</v>
      </c>
      <c r="T481" s="206">
        <f t="shared" si="135"/>
        <v>0</v>
      </c>
      <c r="AA481" s="71" t="str">
        <f t="shared" si="143"/>
        <v/>
      </c>
      <c r="AB481" s="189">
        <f t="shared" si="144"/>
        <v>0</v>
      </c>
      <c r="AC481" s="189">
        <f t="shared" si="145"/>
        <v>0</v>
      </c>
      <c r="AD481" s="189">
        <f t="shared" si="146"/>
        <v>0</v>
      </c>
      <c r="AE481" s="189">
        <f t="shared" si="147"/>
        <v>0</v>
      </c>
    </row>
    <row r="482" spans="1:31" x14ac:dyDescent="0.4">
      <c r="A482" s="204"/>
      <c r="B482" s="204"/>
      <c r="C482" s="204"/>
      <c r="D482" s="204"/>
      <c r="E482" s="204"/>
      <c r="F482" s="204"/>
      <c r="G482" s="204"/>
      <c r="H482" s="204"/>
      <c r="J482" s="189" t="str">
        <f t="shared" si="136"/>
        <v/>
      </c>
      <c r="K482" s="189" t="str">
        <f t="shared" si="137"/>
        <v/>
      </c>
      <c r="L482" s="189" t="str">
        <f t="shared" si="138"/>
        <v/>
      </c>
      <c r="M482" s="189" t="str">
        <f t="shared" si="139"/>
        <v/>
      </c>
      <c r="N482" s="76" t="str">
        <f t="shared" si="140"/>
        <v/>
      </c>
      <c r="O482" s="20">
        <f t="shared" si="141"/>
        <v>0</v>
      </c>
      <c r="P482" s="76">
        <f t="shared" si="142"/>
        <v>0</v>
      </c>
      <c r="Q482" s="206">
        <f t="shared" si="132"/>
        <v>0</v>
      </c>
      <c r="R482" s="206">
        <f t="shared" si="133"/>
        <v>0</v>
      </c>
      <c r="S482" s="206">
        <f t="shared" si="134"/>
        <v>0</v>
      </c>
      <c r="T482" s="206">
        <f t="shared" si="135"/>
        <v>0</v>
      </c>
      <c r="AA482" s="71" t="str">
        <f t="shared" si="143"/>
        <v/>
      </c>
      <c r="AB482" s="189">
        <f t="shared" si="144"/>
        <v>0</v>
      </c>
      <c r="AC482" s="189">
        <f t="shared" si="145"/>
        <v>0</v>
      </c>
      <c r="AD482" s="189">
        <f t="shared" si="146"/>
        <v>0</v>
      </c>
      <c r="AE482" s="189">
        <f t="shared" si="147"/>
        <v>0</v>
      </c>
    </row>
    <row r="483" spans="1:31" x14ac:dyDescent="0.4">
      <c r="A483" s="204"/>
      <c r="B483" s="204"/>
      <c r="C483" s="204"/>
      <c r="D483" s="204"/>
      <c r="E483" s="204"/>
      <c r="F483" s="204"/>
      <c r="G483" s="204"/>
      <c r="H483" s="204"/>
      <c r="J483" s="189" t="str">
        <f t="shared" si="136"/>
        <v/>
      </c>
      <c r="K483" s="189" t="str">
        <f t="shared" si="137"/>
        <v/>
      </c>
      <c r="L483" s="189" t="str">
        <f t="shared" si="138"/>
        <v/>
      </c>
      <c r="M483" s="189" t="str">
        <f t="shared" si="139"/>
        <v/>
      </c>
      <c r="N483" s="76" t="str">
        <f t="shared" si="140"/>
        <v/>
      </c>
      <c r="O483" s="20">
        <f t="shared" si="141"/>
        <v>0</v>
      </c>
      <c r="P483" s="76">
        <f t="shared" si="142"/>
        <v>0</v>
      </c>
      <c r="Q483" s="206">
        <f t="shared" si="132"/>
        <v>0</v>
      </c>
      <c r="R483" s="206">
        <f t="shared" si="133"/>
        <v>0</v>
      </c>
      <c r="S483" s="206">
        <f t="shared" si="134"/>
        <v>0</v>
      </c>
      <c r="T483" s="206">
        <f t="shared" si="135"/>
        <v>0</v>
      </c>
      <c r="AA483" s="71" t="str">
        <f t="shared" si="143"/>
        <v/>
      </c>
      <c r="AB483" s="189">
        <f t="shared" si="144"/>
        <v>0</v>
      </c>
      <c r="AC483" s="189">
        <f t="shared" si="145"/>
        <v>0</v>
      </c>
      <c r="AD483" s="189">
        <f t="shared" si="146"/>
        <v>0</v>
      </c>
      <c r="AE483" s="189">
        <f t="shared" si="147"/>
        <v>0</v>
      </c>
    </row>
    <row r="484" spans="1:31" x14ac:dyDescent="0.4">
      <c r="J484" s="189" t="str">
        <f t="shared" si="136"/>
        <v/>
      </c>
      <c r="K484" s="189" t="str">
        <f t="shared" si="137"/>
        <v/>
      </c>
      <c r="L484" s="189" t="str">
        <f t="shared" si="138"/>
        <v/>
      </c>
      <c r="M484" s="189" t="str">
        <f t="shared" si="139"/>
        <v/>
      </c>
      <c r="N484" s="76" t="str">
        <f t="shared" si="140"/>
        <v/>
      </c>
      <c r="O484" s="20">
        <f t="shared" si="141"/>
        <v>0</v>
      </c>
      <c r="P484" s="76">
        <f t="shared" si="142"/>
        <v>0</v>
      </c>
      <c r="Q484" s="206">
        <f t="shared" si="132"/>
        <v>0</v>
      </c>
      <c r="R484" s="206">
        <f t="shared" si="133"/>
        <v>0</v>
      </c>
      <c r="S484" s="206">
        <f t="shared" si="134"/>
        <v>0</v>
      </c>
      <c r="T484" s="206">
        <f t="shared" si="135"/>
        <v>0</v>
      </c>
      <c r="AA484" s="71" t="str">
        <f t="shared" si="143"/>
        <v/>
      </c>
      <c r="AB484" s="189">
        <f t="shared" si="144"/>
        <v>0</v>
      </c>
      <c r="AC484" s="189">
        <f t="shared" si="145"/>
        <v>0</v>
      </c>
      <c r="AD484" s="189">
        <f t="shared" si="146"/>
        <v>0</v>
      </c>
      <c r="AE484" s="189">
        <f t="shared" si="147"/>
        <v>0</v>
      </c>
    </row>
    <row r="485" spans="1:31" x14ac:dyDescent="0.4">
      <c r="J485" s="189" t="str">
        <f t="shared" si="136"/>
        <v/>
      </c>
      <c r="K485" s="189" t="str">
        <f t="shared" si="137"/>
        <v/>
      </c>
      <c r="L485" s="189" t="str">
        <f t="shared" si="138"/>
        <v/>
      </c>
      <c r="M485" s="189" t="str">
        <f t="shared" si="139"/>
        <v/>
      </c>
      <c r="N485" s="76" t="str">
        <f t="shared" si="140"/>
        <v/>
      </c>
      <c r="O485" s="20">
        <f t="shared" si="141"/>
        <v>0</v>
      </c>
      <c r="P485" s="76">
        <f t="shared" si="142"/>
        <v>0</v>
      </c>
      <c r="Q485" s="206">
        <f t="shared" si="132"/>
        <v>0</v>
      </c>
      <c r="R485" s="206">
        <f t="shared" si="133"/>
        <v>0</v>
      </c>
      <c r="S485" s="206">
        <f t="shared" si="134"/>
        <v>0</v>
      </c>
      <c r="T485" s="206">
        <f t="shared" si="135"/>
        <v>0</v>
      </c>
      <c r="AA485" s="71" t="str">
        <f t="shared" si="143"/>
        <v/>
      </c>
      <c r="AB485" s="189">
        <f t="shared" si="144"/>
        <v>0</v>
      </c>
      <c r="AC485" s="189">
        <f t="shared" si="145"/>
        <v>0</v>
      </c>
      <c r="AD485" s="189">
        <f t="shared" si="146"/>
        <v>0</v>
      </c>
      <c r="AE485" s="189">
        <f t="shared" si="147"/>
        <v>0</v>
      </c>
    </row>
    <row r="486" spans="1:31" x14ac:dyDescent="0.4">
      <c r="J486" s="189" t="str">
        <f t="shared" si="136"/>
        <v/>
      </c>
      <c r="K486" s="189" t="str">
        <f t="shared" si="137"/>
        <v/>
      </c>
      <c r="L486" s="189" t="str">
        <f t="shared" si="138"/>
        <v/>
      </c>
      <c r="M486" s="189" t="str">
        <f t="shared" si="139"/>
        <v/>
      </c>
      <c r="N486" s="76" t="str">
        <f t="shared" si="140"/>
        <v/>
      </c>
      <c r="O486" s="20">
        <f t="shared" si="141"/>
        <v>0</v>
      </c>
      <c r="P486" s="76">
        <f t="shared" si="142"/>
        <v>0</v>
      </c>
      <c r="Q486" s="206">
        <f t="shared" ref="Q486:Q549" si="148">IF(P486=0,0,VALUE(LEFT(C486,LEN(C486)-4)))</f>
        <v>0</v>
      </c>
      <c r="R486" s="206">
        <f t="shared" ref="R486:R549" si="149">IF(Q486=0,0,VALUE(LEFT(D486,LEN(D486)-4)))</f>
        <v>0</v>
      </c>
      <c r="S486" s="206">
        <f t="shared" ref="S486:S549" si="150">IF(R486=0,0,VALUE(LEFT(E486,LEN(E486)-4)))</f>
        <v>0</v>
      </c>
      <c r="T486" s="206">
        <f t="shared" ref="T486:T549" si="151">IF(S486=0,0,VALUE(LEFT(F486,LEN(F486)-7)))</f>
        <v>0</v>
      </c>
      <c r="AA486" s="71" t="str">
        <f t="shared" si="143"/>
        <v/>
      </c>
      <c r="AB486" s="189">
        <f t="shared" si="144"/>
        <v>0</v>
      </c>
      <c r="AC486" s="189">
        <f t="shared" si="145"/>
        <v>0</v>
      </c>
      <c r="AD486" s="189">
        <f t="shared" si="146"/>
        <v>0</v>
      </c>
      <c r="AE486" s="189">
        <f t="shared" si="147"/>
        <v>0</v>
      </c>
    </row>
    <row r="487" spans="1:31" x14ac:dyDescent="0.4">
      <c r="J487" s="189" t="str">
        <f t="shared" si="136"/>
        <v/>
      </c>
      <c r="K487" s="189" t="str">
        <f t="shared" si="137"/>
        <v/>
      </c>
      <c r="L487" s="189" t="str">
        <f t="shared" si="138"/>
        <v/>
      </c>
      <c r="M487" s="189" t="str">
        <f t="shared" si="139"/>
        <v/>
      </c>
      <c r="N487" s="76" t="str">
        <f t="shared" si="140"/>
        <v/>
      </c>
      <c r="O487" s="20">
        <f t="shared" si="141"/>
        <v>0</v>
      </c>
      <c r="P487" s="76">
        <f t="shared" si="142"/>
        <v>0</v>
      </c>
      <c r="Q487" s="206">
        <f t="shared" si="148"/>
        <v>0</v>
      </c>
      <c r="R487" s="206">
        <f t="shared" si="149"/>
        <v>0</v>
      </c>
      <c r="S487" s="206">
        <f t="shared" si="150"/>
        <v>0</v>
      </c>
      <c r="T487" s="206">
        <f t="shared" si="151"/>
        <v>0</v>
      </c>
      <c r="AA487" s="71" t="str">
        <f t="shared" si="143"/>
        <v/>
      </c>
      <c r="AB487" s="189">
        <f t="shared" si="144"/>
        <v>0</v>
      </c>
      <c r="AC487" s="189">
        <f t="shared" si="145"/>
        <v>0</v>
      </c>
      <c r="AD487" s="189">
        <f t="shared" si="146"/>
        <v>0</v>
      </c>
      <c r="AE487" s="189">
        <f t="shared" si="147"/>
        <v>0</v>
      </c>
    </row>
    <row r="488" spans="1:31" x14ac:dyDescent="0.4">
      <c r="J488" s="189" t="str">
        <f t="shared" si="136"/>
        <v/>
      </c>
      <c r="K488" s="189" t="str">
        <f t="shared" si="137"/>
        <v/>
      </c>
      <c r="L488" s="189" t="str">
        <f t="shared" si="138"/>
        <v/>
      </c>
      <c r="M488" s="189" t="str">
        <f t="shared" si="139"/>
        <v/>
      </c>
      <c r="N488" s="76" t="str">
        <f t="shared" si="140"/>
        <v/>
      </c>
      <c r="O488" s="20">
        <f t="shared" si="141"/>
        <v>0</v>
      </c>
      <c r="P488" s="76">
        <f t="shared" si="142"/>
        <v>0</v>
      </c>
      <c r="Q488" s="206">
        <f t="shared" si="148"/>
        <v>0</v>
      </c>
      <c r="R488" s="206">
        <f t="shared" si="149"/>
        <v>0</v>
      </c>
      <c r="S488" s="206">
        <f t="shared" si="150"/>
        <v>0</v>
      </c>
      <c r="T488" s="206">
        <f t="shared" si="151"/>
        <v>0</v>
      </c>
      <c r="AA488" s="71" t="str">
        <f t="shared" si="143"/>
        <v/>
      </c>
      <c r="AB488" s="189">
        <f t="shared" si="144"/>
        <v>0</v>
      </c>
      <c r="AC488" s="189">
        <f t="shared" si="145"/>
        <v>0</v>
      </c>
      <c r="AD488" s="189">
        <f t="shared" si="146"/>
        <v>0</v>
      </c>
      <c r="AE488" s="189">
        <f t="shared" si="147"/>
        <v>0</v>
      </c>
    </row>
    <row r="489" spans="1:31" x14ac:dyDescent="0.4">
      <c r="J489" s="189" t="str">
        <f t="shared" si="136"/>
        <v/>
      </c>
      <c r="K489" s="189" t="str">
        <f t="shared" si="137"/>
        <v/>
      </c>
      <c r="L489" s="189" t="str">
        <f t="shared" si="138"/>
        <v/>
      </c>
      <c r="M489" s="189" t="str">
        <f t="shared" si="139"/>
        <v/>
      </c>
      <c r="N489" s="76" t="str">
        <f t="shared" si="140"/>
        <v/>
      </c>
      <c r="O489" s="20">
        <f t="shared" si="141"/>
        <v>0</v>
      </c>
      <c r="P489" s="76">
        <f t="shared" si="142"/>
        <v>0</v>
      </c>
      <c r="Q489" s="206">
        <f t="shared" si="148"/>
        <v>0</v>
      </c>
      <c r="R489" s="206">
        <f t="shared" si="149"/>
        <v>0</v>
      </c>
      <c r="S489" s="206">
        <f t="shared" si="150"/>
        <v>0</v>
      </c>
      <c r="T489" s="206">
        <f t="shared" si="151"/>
        <v>0</v>
      </c>
      <c r="AA489" s="71" t="str">
        <f t="shared" si="143"/>
        <v/>
      </c>
      <c r="AB489" s="189">
        <f t="shared" si="144"/>
        <v>0</v>
      </c>
      <c r="AC489" s="189">
        <f t="shared" si="145"/>
        <v>0</v>
      </c>
      <c r="AD489" s="189">
        <f t="shared" si="146"/>
        <v>0</v>
      </c>
      <c r="AE489" s="189">
        <f t="shared" si="147"/>
        <v>0</v>
      </c>
    </row>
    <row r="490" spans="1:31" x14ac:dyDescent="0.4">
      <c r="J490" s="189" t="str">
        <f t="shared" si="136"/>
        <v/>
      </c>
      <c r="K490" s="189" t="str">
        <f t="shared" si="137"/>
        <v/>
      </c>
      <c r="L490" s="189" t="str">
        <f t="shared" si="138"/>
        <v/>
      </c>
      <c r="M490" s="189" t="str">
        <f t="shared" si="139"/>
        <v/>
      </c>
      <c r="N490" s="76" t="str">
        <f t="shared" si="140"/>
        <v/>
      </c>
      <c r="O490" s="20">
        <f t="shared" si="141"/>
        <v>0</v>
      </c>
      <c r="P490" s="76">
        <f t="shared" si="142"/>
        <v>0</v>
      </c>
      <c r="Q490" s="206">
        <f t="shared" si="148"/>
        <v>0</v>
      </c>
      <c r="R490" s="206">
        <f t="shared" si="149"/>
        <v>0</v>
      </c>
      <c r="S490" s="206">
        <f t="shared" si="150"/>
        <v>0</v>
      </c>
      <c r="T490" s="206">
        <f t="shared" si="151"/>
        <v>0</v>
      </c>
      <c r="AA490" s="71" t="str">
        <f t="shared" si="143"/>
        <v/>
      </c>
      <c r="AB490" s="189">
        <f t="shared" si="144"/>
        <v>0</v>
      </c>
      <c r="AC490" s="189">
        <f t="shared" si="145"/>
        <v>0</v>
      </c>
      <c r="AD490" s="189">
        <f t="shared" si="146"/>
        <v>0</v>
      </c>
      <c r="AE490" s="189">
        <f t="shared" si="147"/>
        <v>0</v>
      </c>
    </row>
    <row r="491" spans="1:31" x14ac:dyDescent="0.4">
      <c r="J491" s="189" t="str">
        <f t="shared" si="136"/>
        <v/>
      </c>
      <c r="K491" s="189" t="str">
        <f t="shared" si="137"/>
        <v/>
      </c>
      <c r="L491" s="189" t="str">
        <f t="shared" si="138"/>
        <v/>
      </c>
      <c r="M491" s="189" t="str">
        <f t="shared" si="139"/>
        <v/>
      </c>
      <c r="N491" s="76" t="str">
        <f t="shared" si="140"/>
        <v/>
      </c>
      <c r="O491" s="20">
        <f t="shared" si="141"/>
        <v>0</v>
      </c>
      <c r="P491" s="76">
        <f t="shared" si="142"/>
        <v>0</v>
      </c>
      <c r="Q491" s="206">
        <f t="shared" si="148"/>
        <v>0</v>
      </c>
      <c r="R491" s="206">
        <f t="shared" si="149"/>
        <v>0</v>
      </c>
      <c r="S491" s="206">
        <f t="shared" si="150"/>
        <v>0</v>
      </c>
      <c r="T491" s="206">
        <f t="shared" si="151"/>
        <v>0</v>
      </c>
      <c r="AA491" s="71" t="str">
        <f t="shared" si="143"/>
        <v/>
      </c>
      <c r="AB491" s="189">
        <f t="shared" si="144"/>
        <v>0</v>
      </c>
      <c r="AC491" s="189">
        <f t="shared" si="145"/>
        <v>0</v>
      </c>
      <c r="AD491" s="189">
        <f t="shared" si="146"/>
        <v>0</v>
      </c>
      <c r="AE491" s="189">
        <f t="shared" si="147"/>
        <v>0</v>
      </c>
    </row>
    <row r="492" spans="1:31" x14ac:dyDescent="0.4">
      <c r="J492" s="189" t="str">
        <f t="shared" si="136"/>
        <v/>
      </c>
      <c r="K492" s="189" t="str">
        <f t="shared" si="137"/>
        <v/>
      </c>
      <c r="L492" s="189" t="str">
        <f t="shared" si="138"/>
        <v/>
      </c>
      <c r="M492" s="189" t="str">
        <f t="shared" si="139"/>
        <v/>
      </c>
      <c r="N492" s="76" t="str">
        <f t="shared" si="140"/>
        <v/>
      </c>
      <c r="O492" s="20">
        <f t="shared" si="141"/>
        <v>0</v>
      </c>
      <c r="P492" s="76">
        <f t="shared" si="142"/>
        <v>0</v>
      </c>
      <c r="Q492" s="206">
        <f t="shared" si="148"/>
        <v>0</v>
      </c>
      <c r="R492" s="206">
        <f t="shared" si="149"/>
        <v>0</v>
      </c>
      <c r="S492" s="206">
        <f t="shared" si="150"/>
        <v>0</v>
      </c>
      <c r="T492" s="206">
        <f t="shared" si="151"/>
        <v>0</v>
      </c>
      <c r="AA492" s="71" t="str">
        <f t="shared" si="143"/>
        <v/>
      </c>
      <c r="AB492" s="189">
        <f t="shared" si="144"/>
        <v>0</v>
      </c>
      <c r="AC492" s="189">
        <f t="shared" si="145"/>
        <v>0</v>
      </c>
      <c r="AD492" s="189">
        <f t="shared" si="146"/>
        <v>0</v>
      </c>
      <c r="AE492" s="189">
        <f t="shared" si="147"/>
        <v>0</v>
      </c>
    </row>
    <row r="493" spans="1:31" x14ac:dyDescent="0.4">
      <c r="J493" s="189" t="str">
        <f t="shared" si="136"/>
        <v/>
      </c>
      <c r="K493" s="189" t="str">
        <f t="shared" si="137"/>
        <v/>
      </c>
      <c r="L493" s="189" t="str">
        <f t="shared" si="138"/>
        <v/>
      </c>
      <c r="M493" s="189" t="str">
        <f t="shared" si="139"/>
        <v/>
      </c>
      <c r="N493" s="76" t="str">
        <f t="shared" si="140"/>
        <v/>
      </c>
      <c r="O493" s="20">
        <f t="shared" si="141"/>
        <v>0</v>
      </c>
      <c r="P493" s="76">
        <f t="shared" si="142"/>
        <v>0</v>
      </c>
      <c r="Q493" s="206">
        <f t="shared" si="148"/>
        <v>0</v>
      </c>
      <c r="R493" s="206">
        <f t="shared" si="149"/>
        <v>0</v>
      </c>
      <c r="S493" s="206">
        <f t="shared" si="150"/>
        <v>0</v>
      </c>
      <c r="T493" s="206">
        <f t="shared" si="151"/>
        <v>0</v>
      </c>
      <c r="AA493" s="71" t="str">
        <f t="shared" si="143"/>
        <v/>
      </c>
      <c r="AB493" s="189">
        <f t="shared" si="144"/>
        <v>0</v>
      </c>
      <c r="AC493" s="189">
        <f t="shared" si="145"/>
        <v>0</v>
      </c>
      <c r="AD493" s="189">
        <f t="shared" si="146"/>
        <v>0</v>
      </c>
      <c r="AE493" s="189">
        <f t="shared" si="147"/>
        <v>0</v>
      </c>
    </row>
    <row r="494" spans="1:31" x14ac:dyDescent="0.4">
      <c r="J494" s="189" t="str">
        <f t="shared" si="136"/>
        <v/>
      </c>
      <c r="K494" s="189" t="str">
        <f t="shared" si="137"/>
        <v/>
      </c>
      <c r="L494" s="189" t="str">
        <f t="shared" si="138"/>
        <v/>
      </c>
      <c r="M494" s="189" t="str">
        <f t="shared" si="139"/>
        <v/>
      </c>
      <c r="N494" s="76" t="str">
        <f t="shared" si="140"/>
        <v/>
      </c>
      <c r="O494" s="20">
        <f t="shared" si="141"/>
        <v>0</v>
      </c>
      <c r="P494" s="76">
        <f t="shared" si="142"/>
        <v>0</v>
      </c>
      <c r="Q494" s="206">
        <f t="shared" si="148"/>
        <v>0</v>
      </c>
      <c r="R494" s="206">
        <f t="shared" si="149"/>
        <v>0</v>
      </c>
      <c r="S494" s="206">
        <f t="shared" si="150"/>
        <v>0</v>
      </c>
      <c r="T494" s="206">
        <f t="shared" si="151"/>
        <v>0</v>
      </c>
      <c r="AA494" s="71" t="str">
        <f t="shared" si="143"/>
        <v/>
      </c>
      <c r="AB494" s="189">
        <f t="shared" si="144"/>
        <v>0</v>
      </c>
      <c r="AC494" s="189">
        <f t="shared" si="145"/>
        <v>0</v>
      </c>
      <c r="AD494" s="189">
        <f t="shared" si="146"/>
        <v>0</v>
      </c>
      <c r="AE494" s="189">
        <f t="shared" si="147"/>
        <v>0</v>
      </c>
    </row>
    <row r="495" spans="1:31" x14ac:dyDescent="0.4">
      <c r="J495" s="189" t="str">
        <f t="shared" si="136"/>
        <v/>
      </c>
      <c r="K495" s="189" t="str">
        <f t="shared" si="137"/>
        <v/>
      </c>
      <c r="L495" s="189" t="str">
        <f t="shared" si="138"/>
        <v/>
      </c>
      <c r="M495" s="189" t="str">
        <f t="shared" si="139"/>
        <v/>
      </c>
      <c r="N495" s="76" t="str">
        <f t="shared" si="140"/>
        <v/>
      </c>
      <c r="O495" s="20">
        <f t="shared" si="141"/>
        <v>0</v>
      </c>
      <c r="P495" s="76">
        <f t="shared" si="142"/>
        <v>0</v>
      </c>
      <c r="Q495" s="206">
        <f t="shared" si="148"/>
        <v>0</v>
      </c>
      <c r="R495" s="206">
        <f t="shared" si="149"/>
        <v>0</v>
      </c>
      <c r="S495" s="206">
        <f t="shared" si="150"/>
        <v>0</v>
      </c>
      <c r="T495" s="206">
        <f t="shared" si="151"/>
        <v>0</v>
      </c>
      <c r="AA495" s="71" t="str">
        <f t="shared" si="143"/>
        <v/>
      </c>
      <c r="AB495" s="189">
        <f t="shared" si="144"/>
        <v>0</v>
      </c>
      <c r="AC495" s="189">
        <f t="shared" si="145"/>
        <v>0</v>
      </c>
      <c r="AD495" s="189">
        <f t="shared" si="146"/>
        <v>0</v>
      </c>
      <c r="AE495" s="189">
        <f t="shared" si="147"/>
        <v>0</v>
      </c>
    </row>
    <row r="496" spans="1:31" x14ac:dyDescent="0.4">
      <c r="J496" s="189" t="str">
        <f t="shared" si="136"/>
        <v/>
      </c>
      <c r="K496" s="189" t="str">
        <f t="shared" si="137"/>
        <v/>
      </c>
      <c r="L496" s="189" t="str">
        <f t="shared" si="138"/>
        <v/>
      </c>
      <c r="M496" s="189" t="str">
        <f t="shared" si="139"/>
        <v/>
      </c>
      <c r="N496" s="76" t="str">
        <f t="shared" si="140"/>
        <v/>
      </c>
      <c r="O496" s="20">
        <f t="shared" si="141"/>
        <v>0</v>
      </c>
      <c r="P496" s="76">
        <f t="shared" si="142"/>
        <v>0</v>
      </c>
      <c r="Q496" s="206">
        <f t="shared" si="148"/>
        <v>0</v>
      </c>
      <c r="R496" s="206">
        <f t="shared" si="149"/>
        <v>0</v>
      </c>
      <c r="S496" s="206">
        <f t="shared" si="150"/>
        <v>0</v>
      </c>
      <c r="T496" s="206">
        <f t="shared" si="151"/>
        <v>0</v>
      </c>
      <c r="AA496" s="71" t="str">
        <f t="shared" si="143"/>
        <v/>
      </c>
      <c r="AB496" s="189">
        <f t="shared" si="144"/>
        <v>0</v>
      </c>
      <c r="AC496" s="189">
        <f t="shared" si="145"/>
        <v>0</v>
      </c>
      <c r="AD496" s="189">
        <f t="shared" si="146"/>
        <v>0</v>
      </c>
      <c r="AE496" s="189">
        <f t="shared" si="147"/>
        <v>0</v>
      </c>
    </row>
    <row r="497" spans="10:31" x14ac:dyDescent="0.4">
      <c r="J497" s="189" t="str">
        <f t="shared" si="136"/>
        <v/>
      </c>
      <c r="K497" s="189" t="str">
        <f t="shared" si="137"/>
        <v/>
      </c>
      <c r="L497" s="189" t="str">
        <f t="shared" si="138"/>
        <v/>
      </c>
      <c r="M497" s="189" t="str">
        <f t="shared" si="139"/>
        <v/>
      </c>
      <c r="N497" s="76" t="str">
        <f t="shared" si="140"/>
        <v/>
      </c>
      <c r="O497" s="20">
        <f t="shared" si="141"/>
        <v>0</v>
      </c>
      <c r="P497" s="76">
        <f t="shared" si="142"/>
        <v>0</v>
      </c>
      <c r="Q497" s="206">
        <f t="shared" si="148"/>
        <v>0</v>
      </c>
      <c r="R497" s="206">
        <f t="shared" si="149"/>
        <v>0</v>
      </c>
      <c r="S497" s="206">
        <f t="shared" si="150"/>
        <v>0</v>
      </c>
      <c r="T497" s="206">
        <f t="shared" si="151"/>
        <v>0</v>
      </c>
      <c r="AA497" s="71" t="str">
        <f t="shared" si="143"/>
        <v/>
      </c>
      <c r="AB497" s="189">
        <f t="shared" si="144"/>
        <v>0</v>
      </c>
      <c r="AC497" s="189">
        <f t="shared" si="145"/>
        <v>0</v>
      </c>
      <c r="AD497" s="189">
        <f t="shared" si="146"/>
        <v>0</v>
      </c>
      <c r="AE497" s="189">
        <f t="shared" si="147"/>
        <v>0</v>
      </c>
    </row>
    <row r="498" spans="10:31" x14ac:dyDescent="0.4">
      <c r="J498" s="189" t="str">
        <f t="shared" si="136"/>
        <v/>
      </c>
      <c r="K498" s="189" t="str">
        <f t="shared" si="137"/>
        <v/>
      </c>
      <c r="L498" s="189" t="str">
        <f t="shared" si="138"/>
        <v/>
      </c>
      <c r="M498" s="189" t="str">
        <f t="shared" si="139"/>
        <v/>
      </c>
      <c r="N498" s="76" t="str">
        <f t="shared" si="140"/>
        <v/>
      </c>
      <c r="O498" s="20">
        <f t="shared" si="141"/>
        <v>0</v>
      </c>
      <c r="P498" s="76">
        <f t="shared" si="142"/>
        <v>0</v>
      </c>
      <c r="Q498" s="206">
        <f t="shared" si="148"/>
        <v>0</v>
      </c>
      <c r="R498" s="206">
        <f t="shared" si="149"/>
        <v>0</v>
      </c>
      <c r="S498" s="206">
        <f t="shared" si="150"/>
        <v>0</v>
      </c>
      <c r="T498" s="206">
        <f t="shared" si="151"/>
        <v>0</v>
      </c>
      <c r="AA498" s="71" t="str">
        <f t="shared" si="143"/>
        <v/>
      </c>
      <c r="AB498" s="189">
        <f t="shared" si="144"/>
        <v>0</v>
      </c>
      <c r="AC498" s="189">
        <f t="shared" si="145"/>
        <v>0</v>
      </c>
      <c r="AD498" s="189">
        <f t="shared" si="146"/>
        <v>0</v>
      </c>
      <c r="AE498" s="189">
        <f t="shared" si="147"/>
        <v>0</v>
      </c>
    </row>
    <row r="499" spans="10:31" x14ac:dyDescent="0.4">
      <c r="J499" s="189" t="str">
        <f t="shared" si="136"/>
        <v/>
      </c>
      <c r="K499" s="189" t="str">
        <f t="shared" si="137"/>
        <v/>
      </c>
      <c r="L499" s="189" t="str">
        <f t="shared" si="138"/>
        <v/>
      </c>
      <c r="M499" s="189" t="str">
        <f t="shared" si="139"/>
        <v/>
      </c>
      <c r="N499" s="76" t="str">
        <f t="shared" si="140"/>
        <v/>
      </c>
      <c r="O499" s="20">
        <f t="shared" si="141"/>
        <v>0</v>
      </c>
      <c r="P499" s="76">
        <f t="shared" si="142"/>
        <v>0</v>
      </c>
      <c r="Q499" s="206">
        <f t="shared" si="148"/>
        <v>0</v>
      </c>
      <c r="R499" s="206">
        <f t="shared" si="149"/>
        <v>0</v>
      </c>
      <c r="S499" s="206">
        <f t="shared" si="150"/>
        <v>0</v>
      </c>
      <c r="T499" s="206">
        <f t="shared" si="151"/>
        <v>0</v>
      </c>
      <c r="AA499" s="71" t="str">
        <f t="shared" si="143"/>
        <v/>
      </c>
      <c r="AB499" s="189">
        <f t="shared" si="144"/>
        <v>0</v>
      </c>
      <c r="AC499" s="189">
        <f t="shared" si="145"/>
        <v>0</v>
      </c>
      <c r="AD499" s="189">
        <f t="shared" si="146"/>
        <v>0</v>
      </c>
      <c r="AE499" s="189">
        <f t="shared" si="147"/>
        <v>0</v>
      </c>
    </row>
    <row r="500" spans="10:31" x14ac:dyDescent="0.4">
      <c r="J500" s="189" t="str">
        <f t="shared" ref="J500:J563" si="152">IF(G500="Détail des tarifs",LEN(A500),"")</f>
        <v/>
      </c>
      <c r="K500" s="189" t="str">
        <f t="shared" ref="K500:K563" si="153">IF(J500="","",LEFT(A500,3))</f>
        <v/>
      </c>
      <c r="L500" s="189" t="str">
        <f t="shared" ref="L500:L563" si="154">IF(K500&lt;&gt;"",MID(A500,7,3),"")</f>
        <v/>
      </c>
      <c r="M500" s="189" t="str">
        <f t="shared" ref="M500:M563" si="155">IF(K500&lt;&gt;"",RIGHT(A500,2),"")</f>
        <v/>
      </c>
      <c r="N500" s="76" t="str">
        <f t="shared" ref="N500:N563" si="156">IF(K500&lt;&gt;"",CONCATENATE(K500,"/",L500),"")</f>
        <v/>
      </c>
      <c r="O500" s="20">
        <f t="shared" ref="O500:O563" si="157">IF(J500&lt;&gt;"",LEFT(B500,LEN(B500)-3),0)</f>
        <v>0</v>
      </c>
      <c r="P500" s="76">
        <f t="shared" ref="P500:P563" si="158">IF(O500&lt;&gt;"",VALUE(O500),"")</f>
        <v>0</v>
      </c>
      <c r="Q500" s="206">
        <f t="shared" si="148"/>
        <v>0</v>
      </c>
      <c r="R500" s="206">
        <f t="shared" si="149"/>
        <v>0</v>
      </c>
      <c r="S500" s="206">
        <f t="shared" si="150"/>
        <v>0</v>
      </c>
      <c r="T500" s="206">
        <f t="shared" si="151"/>
        <v>0</v>
      </c>
      <c r="AA500" s="71" t="str">
        <f t="shared" si="143"/>
        <v/>
      </c>
      <c r="AB500" s="189">
        <f t="shared" si="144"/>
        <v>0</v>
      </c>
      <c r="AC500" s="189">
        <f t="shared" si="145"/>
        <v>0</v>
      </c>
      <c r="AD500" s="189">
        <f t="shared" si="146"/>
        <v>0</v>
      </c>
      <c r="AE500" s="189">
        <f t="shared" si="147"/>
        <v>0</v>
      </c>
    </row>
    <row r="501" spans="10:31" x14ac:dyDescent="0.4">
      <c r="J501" s="189" t="str">
        <f t="shared" si="152"/>
        <v/>
      </c>
      <c r="K501" s="189" t="str">
        <f t="shared" si="153"/>
        <v/>
      </c>
      <c r="L501" s="189" t="str">
        <f t="shared" si="154"/>
        <v/>
      </c>
      <c r="M501" s="189" t="str">
        <f t="shared" si="155"/>
        <v/>
      </c>
      <c r="N501" s="76" t="str">
        <f t="shared" si="156"/>
        <v/>
      </c>
      <c r="O501" s="20">
        <f t="shared" si="157"/>
        <v>0</v>
      </c>
      <c r="P501" s="76">
        <f t="shared" si="158"/>
        <v>0</v>
      </c>
      <c r="Q501" s="206">
        <f t="shared" si="148"/>
        <v>0</v>
      </c>
      <c r="R501" s="206">
        <f t="shared" si="149"/>
        <v>0</v>
      </c>
      <c r="S501" s="206">
        <f t="shared" si="150"/>
        <v>0</v>
      </c>
      <c r="T501" s="206">
        <f t="shared" si="151"/>
        <v>0</v>
      </c>
      <c r="AA501" s="71" t="str">
        <f t="shared" si="143"/>
        <v/>
      </c>
      <c r="AB501" s="189">
        <f t="shared" si="144"/>
        <v>0</v>
      </c>
      <c r="AC501" s="189">
        <f t="shared" si="145"/>
        <v>0</v>
      </c>
      <c r="AD501" s="189">
        <f t="shared" si="146"/>
        <v>0</v>
      </c>
      <c r="AE501" s="189">
        <f t="shared" si="147"/>
        <v>0</v>
      </c>
    </row>
    <row r="502" spans="10:31" x14ac:dyDescent="0.4">
      <c r="J502" s="189" t="str">
        <f t="shared" si="152"/>
        <v/>
      </c>
      <c r="K502" s="189" t="str">
        <f t="shared" si="153"/>
        <v/>
      </c>
      <c r="L502" s="189" t="str">
        <f t="shared" si="154"/>
        <v/>
      </c>
      <c r="M502" s="189" t="str">
        <f t="shared" si="155"/>
        <v/>
      </c>
      <c r="N502" s="76" t="str">
        <f t="shared" si="156"/>
        <v/>
      </c>
      <c r="O502" s="20">
        <f t="shared" si="157"/>
        <v>0</v>
      </c>
      <c r="P502" s="76">
        <f t="shared" si="158"/>
        <v>0</v>
      </c>
      <c r="Q502" s="206">
        <f t="shared" si="148"/>
        <v>0</v>
      </c>
      <c r="R502" s="206">
        <f t="shared" si="149"/>
        <v>0</v>
      </c>
      <c r="S502" s="206">
        <f t="shared" si="150"/>
        <v>0</v>
      </c>
      <c r="T502" s="206">
        <f t="shared" si="151"/>
        <v>0</v>
      </c>
      <c r="AA502" s="71" t="str">
        <f t="shared" si="143"/>
        <v/>
      </c>
      <c r="AB502" s="189">
        <f t="shared" si="144"/>
        <v>0</v>
      </c>
      <c r="AC502" s="189">
        <f t="shared" si="145"/>
        <v>0</v>
      </c>
      <c r="AD502" s="189">
        <f t="shared" si="146"/>
        <v>0</v>
      </c>
      <c r="AE502" s="189">
        <f t="shared" si="147"/>
        <v>0</v>
      </c>
    </row>
    <row r="503" spans="10:31" x14ac:dyDescent="0.4">
      <c r="J503" s="189" t="str">
        <f t="shared" si="152"/>
        <v/>
      </c>
      <c r="K503" s="189" t="str">
        <f t="shared" si="153"/>
        <v/>
      </c>
      <c r="L503" s="189" t="str">
        <f t="shared" si="154"/>
        <v/>
      </c>
      <c r="M503" s="189" t="str">
        <f t="shared" si="155"/>
        <v/>
      </c>
      <c r="N503" s="76" t="str">
        <f t="shared" si="156"/>
        <v/>
      </c>
      <c r="O503" s="20">
        <f t="shared" si="157"/>
        <v>0</v>
      </c>
      <c r="P503" s="76">
        <f t="shared" si="158"/>
        <v>0</v>
      </c>
      <c r="Q503" s="206">
        <f t="shared" si="148"/>
        <v>0</v>
      </c>
      <c r="R503" s="206">
        <f t="shared" si="149"/>
        <v>0</v>
      </c>
      <c r="S503" s="206">
        <f t="shared" si="150"/>
        <v>0</v>
      </c>
      <c r="T503" s="206">
        <f t="shared" si="151"/>
        <v>0</v>
      </c>
      <c r="AA503" s="71" t="str">
        <f t="shared" si="143"/>
        <v/>
      </c>
      <c r="AB503" s="189">
        <f t="shared" si="144"/>
        <v>0</v>
      </c>
      <c r="AC503" s="189">
        <f t="shared" si="145"/>
        <v>0</v>
      </c>
      <c r="AD503" s="189">
        <f t="shared" si="146"/>
        <v>0</v>
      </c>
      <c r="AE503" s="189">
        <f t="shared" si="147"/>
        <v>0</v>
      </c>
    </row>
    <row r="504" spans="10:31" x14ac:dyDescent="0.4">
      <c r="J504" s="189" t="str">
        <f t="shared" si="152"/>
        <v/>
      </c>
      <c r="K504" s="189" t="str">
        <f t="shared" si="153"/>
        <v/>
      </c>
      <c r="L504" s="189" t="str">
        <f t="shared" si="154"/>
        <v/>
      </c>
      <c r="M504" s="189" t="str">
        <f t="shared" si="155"/>
        <v/>
      </c>
      <c r="N504" s="76" t="str">
        <f t="shared" si="156"/>
        <v/>
      </c>
      <c r="O504" s="20">
        <f t="shared" si="157"/>
        <v>0</v>
      </c>
      <c r="P504" s="76">
        <f t="shared" si="158"/>
        <v>0</v>
      </c>
      <c r="Q504" s="206">
        <f t="shared" si="148"/>
        <v>0</v>
      </c>
      <c r="R504" s="206">
        <f t="shared" si="149"/>
        <v>0</v>
      </c>
      <c r="S504" s="206">
        <f t="shared" si="150"/>
        <v>0</v>
      </c>
      <c r="T504" s="206">
        <f t="shared" si="151"/>
        <v>0</v>
      </c>
      <c r="AA504" s="71" t="str">
        <f t="shared" si="143"/>
        <v/>
      </c>
      <c r="AB504" s="189">
        <f t="shared" si="144"/>
        <v>0</v>
      </c>
      <c r="AC504" s="189">
        <f t="shared" si="145"/>
        <v>0</v>
      </c>
      <c r="AD504" s="189">
        <f t="shared" si="146"/>
        <v>0</v>
      </c>
      <c r="AE504" s="189">
        <f t="shared" si="147"/>
        <v>0</v>
      </c>
    </row>
    <row r="505" spans="10:31" x14ac:dyDescent="0.4">
      <c r="J505" s="189" t="str">
        <f t="shared" si="152"/>
        <v/>
      </c>
      <c r="K505" s="189" t="str">
        <f t="shared" si="153"/>
        <v/>
      </c>
      <c r="L505" s="189" t="str">
        <f t="shared" si="154"/>
        <v/>
      </c>
      <c r="M505" s="189" t="str">
        <f t="shared" si="155"/>
        <v/>
      </c>
      <c r="N505" s="76" t="str">
        <f t="shared" si="156"/>
        <v/>
      </c>
      <c r="O505" s="20">
        <f t="shared" si="157"/>
        <v>0</v>
      </c>
      <c r="P505" s="76">
        <f t="shared" si="158"/>
        <v>0</v>
      </c>
      <c r="Q505" s="206">
        <f t="shared" si="148"/>
        <v>0</v>
      </c>
      <c r="R505" s="206">
        <f t="shared" si="149"/>
        <v>0</v>
      </c>
      <c r="S505" s="206">
        <f t="shared" si="150"/>
        <v>0</v>
      </c>
      <c r="T505" s="206">
        <f t="shared" si="151"/>
        <v>0</v>
      </c>
      <c r="AA505" s="71" t="str">
        <f t="shared" si="143"/>
        <v/>
      </c>
      <c r="AB505" s="189">
        <f t="shared" si="144"/>
        <v>0</v>
      </c>
      <c r="AC505" s="189">
        <f t="shared" si="145"/>
        <v>0</v>
      </c>
      <c r="AD505" s="189">
        <f t="shared" si="146"/>
        <v>0</v>
      </c>
      <c r="AE505" s="189">
        <f t="shared" si="147"/>
        <v>0</v>
      </c>
    </row>
    <row r="506" spans="10:31" x14ac:dyDescent="0.4">
      <c r="J506" s="189" t="str">
        <f t="shared" si="152"/>
        <v/>
      </c>
      <c r="K506" s="189" t="str">
        <f t="shared" si="153"/>
        <v/>
      </c>
      <c r="L506" s="189" t="str">
        <f t="shared" si="154"/>
        <v/>
      </c>
      <c r="M506" s="189" t="str">
        <f t="shared" si="155"/>
        <v/>
      </c>
      <c r="N506" s="76" t="str">
        <f t="shared" si="156"/>
        <v/>
      </c>
      <c r="O506" s="20">
        <f t="shared" si="157"/>
        <v>0</v>
      </c>
      <c r="P506" s="76">
        <f t="shared" si="158"/>
        <v>0</v>
      </c>
      <c r="Q506" s="206">
        <f t="shared" si="148"/>
        <v>0</v>
      </c>
      <c r="R506" s="206">
        <f t="shared" si="149"/>
        <v>0</v>
      </c>
      <c r="S506" s="206">
        <f t="shared" si="150"/>
        <v>0</v>
      </c>
      <c r="T506" s="206">
        <f t="shared" si="151"/>
        <v>0</v>
      </c>
      <c r="AA506" s="71" t="str">
        <f t="shared" si="143"/>
        <v/>
      </c>
      <c r="AB506" s="189">
        <f t="shared" si="144"/>
        <v>0</v>
      </c>
      <c r="AC506" s="189">
        <f t="shared" si="145"/>
        <v>0</v>
      </c>
      <c r="AD506" s="189">
        <f t="shared" si="146"/>
        <v>0</v>
      </c>
      <c r="AE506" s="189">
        <f t="shared" si="147"/>
        <v>0</v>
      </c>
    </row>
    <row r="507" spans="10:31" x14ac:dyDescent="0.4">
      <c r="J507" s="189" t="str">
        <f t="shared" si="152"/>
        <v/>
      </c>
      <c r="K507" s="189" t="str">
        <f t="shared" si="153"/>
        <v/>
      </c>
      <c r="L507" s="189" t="str">
        <f t="shared" si="154"/>
        <v/>
      </c>
      <c r="M507" s="189" t="str">
        <f t="shared" si="155"/>
        <v/>
      </c>
      <c r="N507" s="76" t="str">
        <f t="shared" si="156"/>
        <v/>
      </c>
      <c r="O507" s="20">
        <f t="shared" si="157"/>
        <v>0</v>
      </c>
      <c r="P507" s="76">
        <f t="shared" si="158"/>
        <v>0</v>
      </c>
      <c r="Q507" s="206">
        <f t="shared" si="148"/>
        <v>0</v>
      </c>
      <c r="R507" s="206">
        <f t="shared" si="149"/>
        <v>0</v>
      </c>
      <c r="S507" s="206">
        <f t="shared" si="150"/>
        <v>0</v>
      </c>
      <c r="T507" s="206">
        <f t="shared" si="151"/>
        <v>0</v>
      </c>
      <c r="AA507" s="71" t="str">
        <f t="shared" si="143"/>
        <v/>
      </c>
      <c r="AB507" s="189">
        <f t="shared" si="144"/>
        <v>0</v>
      </c>
      <c r="AC507" s="189">
        <f t="shared" si="145"/>
        <v>0</v>
      </c>
      <c r="AD507" s="189">
        <f t="shared" si="146"/>
        <v>0</v>
      </c>
      <c r="AE507" s="189">
        <f t="shared" si="147"/>
        <v>0</v>
      </c>
    </row>
    <row r="508" spans="10:31" x14ac:dyDescent="0.4">
      <c r="J508" s="189" t="str">
        <f t="shared" si="152"/>
        <v/>
      </c>
      <c r="K508" s="189" t="str">
        <f t="shared" si="153"/>
        <v/>
      </c>
      <c r="L508" s="189" t="str">
        <f t="shared" si="154"/>
        <v/>
      </c>
      <c r="M508" s="189" t="str">
        <f t="shared" si="155"/>
        <v/>
      </c>
      <c r="N508" s="76" t="str">
        <f t="shared" si="156"/>
        <v/>
      </c>
      <c r="O508" s="20">
        <f t="shared" si="157"/>
        <v>0</v>
      </c>
      <c r="P508" s="76">
        <f t="shared" si="158"/>
        <v>0</v>
      </c>
      <c r="Q508" s="206">
        <f t="shared" si="148"/>
        <v>0</v>
      </c>
      <c r="R508" s="206">
        <f t="shared" si="149"/>
        <v>0</v>
      </c>
      <c r="S508" s="206">
        <f t="shared" si="150"/>
        <v>0</v>
      </c>
      <c r="T508" s="206">
        <f t="shared" si="151"/>
        <v>0</v>
      </c>
      <c r="AA508" s="71" t="str">
        <f t="shared" si="143"/>
        <v/>
      </c>
      <c r="AB508" s="189">
        <f t="shared" si="144"/>
        <v>0</v>
      </c>
      <c r="AC508" s="189">
        <f t="shared" si="145"/>
        <v>0</v>
      </c>
      <c r="AD508" s="189">
        <f t="shared" si="146"/>
        <v>0</v>
      </c>
      <c r="AE508" s="189">
        <f t="shared" si="147"/>
        <v>0</v>
      </c>
    </row>
    <row r="509" spans="10:31" x14ac:dyDescent="0.4">
      <c r="J509" s="189" t="str">
        <f t="shared" si="152"/>
        <v/>
      </c>
      <c r="K509" s="189" t="str">
        <f t="shared" si="153"/>
        <v/>
      </c>
      <c r="L509" s="189" t="str">
        <f t="shared" si="154"/>
        <v/>
      </c>
      <c r="M509" s="189" t="str">
        <f t="shared" si="155"/>
        <v/>
      </c>
      <c r="N509" s="76" t="str">
        <f t="shared" si="156"/>
        <v/>
      </c>
      <c r="O509" s="20">
        <f t="shared" si="157"/>
        <v>0</v>
      </c>
      <c r="P509" s="76">
        <f t="shared" si="158"/>
        <v>0</v>
      </c>
      <c r="Q509" s="206">
        <f t="shared" si="148"/>
        <v>0</v>
      </c>
      <c r="R509" s="206">
        <f t="shared" si="149"/>
        <v>0</v>
      </c>
      <c r="S509" s="206">
        <f t="shared" si="150"/>
        <v>0</v>
      </c>
      <c r="T509" s="206">
        <f t="shared" si="151"/>
        <v>0</v>
      </c>
      <c r="AA509" s="71" t="str">
        <f t="shared" si="143"/>
        <v/>
      </c>
      <c r="AB509" s="189">
        <f t="shared" si="144"/>
        <v>0</v>
      </c>
      <c r="AC509" s="189">
        <f t="shared" si="145"/>
        <v>0</v>
      </c>
      <c r="AD509" s="189">
        <f t="shared" si="146"/>
        <v>0</v>
      </c>
      <c r="AE509" s="189">
        <f t="shared" si="147"/>
        <v>0</v>
      </c>
    </row>
    <row r="510" spans="10:31" x14ac:dyDescent="0.4">
      <c r="J510" s="189" t="str">
        <f t="shared" si="152"/>
        <v/>
      </c>
      <c r="K510" s="189" t="str">
        <f t="shared" si="153"/>
        <v/>
      </c>
      <c r="L510" s="189" t="str">
        <f t="shared" si="154"/>
        <v/>
      </c>
      <c r="M510" s="189" t="str">
        <f t="shared" si="155"/>
        <v/>
      </c>
      <c r="N510" s="76" t="str">
        <f t="shared" si="156"/>
        <v/>
      </c>
      <c r="O510" s="20">
        <f t="shared" si="157"/>
        <v>0</v>
      </c>
      <c r="P510" s="76">
        <f t="shared" si="158"/>
        <v>0</v>
      </c>
      <c r="Q510" s="206">
        <f t="shared" si="148"/>
        <v>0</v>
      </c>
      <c r="R510" s="206">
        <f t="shared" si="149"/>
        <v>0</v>
      </c>
      <c r="S510" s="206">
        <f t="shared" si="150"/>
        <v>0</v>
      </c>
      <c r="T510" s="206">
        <f t="shared" si="151"/>
        <v>0</v>
      </c>
      <c r="AA510" s="71" t="str">
        <f t="shared" si="143"/>
        <v/>
      </c>
      <c r="AB510" s="189">
        <f t="shared" si="144"/>
        <v>0</v>
      </c>
      <c r="AC510" s="189">
        <f t="shared" si="145"/>
        <v>0</v>
      </c>
      <c r="AD510" s="189">
        <f t="shared" si="146"/>
        <v>0</v>
      </c>
      <c r="AE510" s="189">
        <f t="shared" si="147"/>
        <v>0</v>
      </c>
    </row>
    <row r="511" spans="10:31" x14ac:dyDescent="0.4">
      <c r="J511" s="189" t="str">
        <f t="shared" si="152"/>
        <v/>
      </c>
      <c r="K511" s="189" t="str">
        <f t="shared" si="153"/>
        <v/>
      </c>
      <c r="L511" s="189" t="str">
        <f t="shared" si="154"/>
        <v/>
      </c>
      <c r="M511" s="189" t="str">
        <f t="shared" si="155"/>
        <v/>
      </c>
      <c r="N511" s="76" t="str">
        <f t="shared" si="156"/>
        <v/>
      </c>
      <c r="O511" s="20">
        <f t="shared" si="157"/>
        <v>0</v>
      </c>
      <c r="P511" s="76">
        <f t="shared" si="158"/>
        <v>0</v>
      </c>
      <c r="Q511" s="206">
        <f t="shared" si="148"/>
        <v>0</v>
      </c>
      <c r="R511" s="206">
        <f t="shared" si="149"/>
        <v>0</v>
      </c>
      <c r="S511" s="206">
        <f t="shared" si="150"/>
        <v>0</v>
      </c>
      <c r="T511" s="206">
        <f t="shared" si="151"/>
        <v>0</v>
      </c>
      <c r="AA511" s="71" t="str">
        <f t="shared" si="143"/>
        <v/>
      </c>
      <c r="AB511" s="189">
        <f t="shared" si="144"/>
        <v>0</v>
      </c>
      <c r="AC511" s="189">
        <f t="shared" si="145"/>
        <v>0</v>
      </c>
      <c r="AD511" s="189">
        <f t="shared" si="146"/>
        <v>0</v>
      </c>
      <c r="AE511" s="189">
        <f t="shared" si="147"/>
        <v>0</v>
      </c>
    </row>
    <row r="512" spans="10:31" x14ac:dyDescent="0.4">
      <c r="J512" s="189" t="str">
        <f t="shared" si="152"/>
        <v/>
      </c>
      <c r="K512" s="189" t="str">
        <f t="shared" si="153"/>
        <v/>
      </c>
      <c r="L512" s="189" t="str">
        <f t="shared" si="154"/>
        <v/>
      </c>
      <c r="M512" s="189" t="str">
        <f t="shared" si="155"/>
        <v/>
      </c>
      <c r="N512" s="76" t="str">
        <f t="shared" si="156"/>
        <v/>
      </c>
      <c r="O512" s="20">
        <f t="shared" si="157"/>
        <v>0</v>
      </c>
      <c r="P512" s="76">
        <f t="shared" si="158"/>
        <v>0</v>
      </c>
      <c r="Q512" s="206">
        <f t="shared" si="148"/>
        <v>0</v>
      </c>
      <c r="R512" s="206">
        <f t="shared" si="149"/>
        <v>0</v>
      </c>
      <c r="S512" s="206">
        <f t="shared" si="150"/>
        <v>0</v>
      </c>
      <c r="T512" s="206">
        <f t="shared" si="151"/>
        <v>0</v>
      </c>
      <c r="AA512" s="71" t="str">
        <f t="shared" si="143"/>
        <v/>
      </c>
      <c r="AB512" s="189">
        <f t="shared" si="144"/>
        <v>0</v>
      </c>
      <c r="AC512" s="189">
        <f t="shared" si="145"/>
        <v>0</v>
      </c>
      <c r="AD512" s="189">
        <f t="shared" si="146"/>
        <v>0</v>
      </c>
      <c r="AE512" s="189">
        <f t="shared" si="147"/>
        <v>0</v>
      </c>
    </row>
    <row r="513" spans="10:31" x14ac:dyDescent="0.4">
      <c r="J513" s="189" t="str">
        <f t="shared" si="152"/>
        <v/>
      </c>
      <c r="K513" s="189" t="str">
        <f t="shared" si="153"/>
        <v/>
      </c>
      <c r="L513" s="189" t="str">
        <f t="shared" si="154"/>
        <v/>
      </c>
      <c r="M513" s="189" t="str">
        <f t="shared" si="155"/>
        <v/>
      </c>
      <c r="N513" s="76" t="str">
        <f t="shared" si="156"/>
        <v/>
      </c>
      <c r="O513" s="20">
        <f t="shared" si="157"/>
        <v>0</v>
      </c>
      <c r="P513" s="76">
        <f t="shared" si="158"/>
        <v>0</v>
      </c>
      <c r="Q513" s="206">
        <f t="shared" si="148"/>
        <v>0</v>
      </c>
      <c r="R513" s="206">
        <f t="shared" si="149"/>
        <v>0</v>
      </c>
      <c r="S513" s="206">
        <f t="shared" si="150"/>
        <v>0</v>
      </c>
      <c r="T513" s="206">
        <f t="shared" si="151"/>
        <v>0</v>
      </c>
      <c r="AA513" s="71" t="str">
        <f t="shared" si="143"/>
        <v/>
      </c>
      <c r="AB513" s="189">
        <f t="shared" si="144"/>
        <v>0</v>
      </c>
      <c r="AC513" s="189">
        <f t="shared" si="145"/>
        <v>0</v>
      </c>
      <c r="AD513" s="189">
        <f t="shared" si="146"/>
        <v>0</v>
      </c>
      <c r="AE513" s="189">
        <f t="shared" si="147"/>
        <v>0</v>
      </c>
    </row>
    <row r="514" spans="10:31" x14ac:dyDescent="0.4">
      <c r="J514" s="189" t="str">
        <f t="shared" si="152"/>
        <v/>
      </c>
      <c r="K514" s="189" t="str">
        <f t="shared" si="153"/>
        <v/>
      </c>
      <c r="L514" s="189" t="str">
        <f t="shared" si="154"/>
        <v/>
      </c>
      <c r="M514" s="189" t="str">
        <f t="shared" si="155"/>
        <v/>
      </c>
      <c r="N514" s="76" t="str">
        <f t="shared" si="156"/>
        <v/>
      </c>
      <c r="O514" s="20">
        <f t="shared" si="157"/>
        <v>0</v>
      </c>
      <c r="P514" s="76">
        <f t="shared" si="158"/>
        <v>0</v>
      </c>
      <c r="Q514" s="206">
        <f t="shared" si="148"/>
        <v>0</v>
      </c>
      <c r="R514" s="206">
        <f t="shared" si="149"/>
        <v>0</v>
      </c>
      <c r="S514" s="206">
        <f t="shared" si="150"/>
        <v>0</v>
      </c>
      <c r="T514" s="206">
        <f t="shared" si="151"/>
        <v>0</v>
      </c>
      <c r="AA514" s="71" t="str">
        <f t="shared" si="143"/>
        <v/>
      </c>
      <c r="AB514" s="189">
        <f t="shared" si="144"/>
        <v>0</v>
      </c>
      <c r="AC514" s="189">
        <f t="shared" si="145"/>
        <v>0</v>
      </c>
      <c r="AD514" s="189">
        <f t="shared" si="146"/>
        <v>0</v>
      </c>
      <c r="AE514" s="189">
        <f t="shared" si="147"/>
        <v>0</v>
      </c>
    </row>
    <row r="515" spans="10:31" x14ac:dyDescent="0.4">
      <c r="J515" s="189" t="str">
        <f t="shared" si="152"/>
        <v/>
      </c>
      <c r="K515" s="189" t="str">
        <f t="shared" si="153"/>
        <v/>
      </c>
      <c r="L515" s="189" t="str">
        <f t="shared" si="154"/>
        <v/>
      </c>
      <c r="M515" s="189" t="str">
        <f t="shared" si="155"/>
        <v/>
      </c>
      <c r="N515" s="76" t="str">
        <f t="shared" si="156"/>
        <v/>
      </c>
      <c r="O515" s="20">
        <f t="shared" si="157"/>
        <v>0</v>
      </c>
      <c r="P515" s="76">
        <f t="shared" si="158"/>
        <v>0</v>
      </c>
      <c r="Q515" s="206">
        <f t="shared" si="148"/>
        <v>0</v>
      </c>
      <c r="R515" s="206">
        <f t="shared" si="149"/>
        <v>0</v>
      </c>
      <c r="S515" s="206">
        <f t="shared" si="150"/>
        <v>0</v>
      </c>
      <c r="T515" s="206">
        <f t="shared" si="151"/>
        <v>0</v>
      </c>
      <c r="AA515" s="71" t="str">
        <f t="shared" si="143"/>
        <v/>
      </c>
      <c r="AB515" s="189">
        <f t="shared" si="144"/>
        <v>0</v>
      </c>
      <c r="AC515" s="189">
        <f t="shared" si="145"/>
        <v>0</v>
      </c>
      <c r="AD515" s="189">
        <f t="shared" si="146"/>
        <v>0</v>
      </c>
      <c r="AE515" s="189">
        <f t="shared" si="147"/>
        <v>0</v>
      </c>
    </row>
    <row r="516" spans="10:31" x14ac:dyDescent="0.4">
      <c r="J516" s="189" t="str">
        <f t="shared" si="152"/>
        <v/>
      </c>
      <c r="K516" s="189" t="str">
        <f t="shared" si="153"/>
        <v/>
      </c>
      <c r="L516" s="189" t="str">
        <f t="shared" si="154"/>
        <v/>
      </c>
      <c r="M516" s="189" t="str">
        <f t="shared" si="155"/>
        <v/>
      </c>
      <c r="N516" s="76" t="str">
        <f t="shared" si="156"/>
        <v/>
      </c>
      <c r="O516" s="20">
        <f t="shared" si="157"/>
        <v>0</v>
      </c>
      <c r="P516" s="76">
        <f t="shared" si="158"/>
        <v>0</v>
      </c>
      <c r="Q516" s="206">
        <f t="shared" si="148"/>
        <v>0</v>
      </c>
      <c r="R516" s="206">
        <f t="shared" si="149"/>
        <v>0</v>
      </c>
      <c r="S516" s="206">
        <f t="shared" si="150"/>
        <v>0</v>
      </c>
      <c r="T516" s="206">
        <f t="shared" si="151"/>
        <v>0</v>
      </c>
      <c r="AA516" s="71" t="str">
        <f t="shared" si="143"/>
        <v/>
      </c>
      <c r="AB516" s="189">
        <f t="shared" si="144"/>
        <v>0</v>
      </c>
      <c r="AC516" s="189">
        <f t="shared" si="145"/>
        <v>0</v>
      </c>
      <c r="AD516" s="189">
        <f t="shared" si="146"/>
        <v>0</v>
      </c>
      <c r="AE516" s="189">
        <f t="shared" si="147"/>
        <v>0</v>
      </c>
    </row>
    <row r="517" spans="10:31" x14ac:dyDescent="0.4">
      <c r="J517" s="189" t="str">
        <f t="shared" si="152"/>
        <v/>
      </c>
      <c r="K517" s="189" t="str">
        <f t="shared" si="153"/>
        <v/>
      </c>
      <c r="L517" s="189" t="str">
        <f t="shared" si="154"/>
        <v/>
      </c>
      <c r="M517" s="189" t="str">
        <f t="shared" si="155"/>
        <v/>
      </c>
      <c r="N517" s="76" t="str">
        <f t="shared" si="156"/>
        <v/>
      </c>
      <c r="O517" s="20">
        <f t="shared" si="157"/>
        <v>0</v>
      </c>
      <c r="P517" s="76">
        <f t="shared" si="158"/>
        <v>0</v>
      </c>
      <c r="Q517" s="206">
        <f t="shared" si="148"/>
        <v>0</v>
      </c>
      <c r="R517" s="206">
        <f t="shared" si="149"/>
        <v>0</v>
      </c>
      <c r="S517" s="206">
        <f t="shared" si="150"/>
        <v>0</v>
      </c>
      <c r="T517" s="206">
        <f t="shared" si="151"/>
        <v>0</v>
      </c>
      <c r="AA517" s="71" t="str">
        <f t="shared" si="143"/>
        <v/>
      </c>
      <c r="AB517" s="189">
        <f t="shared" si="144"/>
        <v>0</v>
      </c>
      <c r="AC517" s="189">
        <f t="shared" si="145"/>
        <v>0</v>
      </c>
      <c r="AD517" s="189">
        <f t="shared" si="146"/>
        <v>0</v>
      </c>
      <c r="AE517" s="189">
        <f t="shared" si="147"/>
        <v>0</v>
      </c>
    </row>
    <row r="518" spans="10:31" x14ac:dyDescent="0.4">
      <c r="J518" s="189" t="str">
        <f t="shared" si="152"/>
        <v/>
      </c>
      <c r="K518" s="189" t="str">
        <f t="shared" si="153"/>
        <v/>
      </c>
      <c r="L518" s="189" t="str">
        <f t="shared" si="154"/>
        <v/>
      </c>
      <c r="M518" s="189" t="str">
        <f t="shared" si="155"/>
        <v/>
      </c>
      <c r="N518" s="76" t="str">
        <f t="shared" si="156"/>
        <v/>
      </c>
      <c r="O518" s="20">
        <f t="shared" si="157"/>
        <v>0</v>
      </c>
      <c r="P518" s="76">
        <f t="shared" si="158"/>
        <v>0</v>
      </c>
      <c r="Q518" s="206">
        <f t="shared" si="148"/>
        <v>0</v>
      </c>
      <c r="R518" s="206">
        <f t="shared" si="149"/>
        <v>0</v>
      </c>
      <c r="S518" s="206">
        <f t="shared" si="150"/>
        <v>0</v>
      </c>
      <c r="T518" s="206">
        <f t="shared" si="151"/>
        <v>0</v>
      </c>
      <c r="AA518" s="71" t="str">
        <f t="shared" si="143"/>
        <v/>
      </c>
      <c r="AB518" s="189">
        <f t="shared" si="144"/>
        <v>0</v>
      </c>
      <c r="AC518" s="189">
        <f t="shared" si="145"/>
        <v>0</v>
      </c>
      <c r="AD518" s="189">
        <f t="shared" si="146"/>
        <v>0</v>
      </c>
      <c r="AE518" s="189">
        <f t="shared" si="147"/>
        <v>0</v>
      </c>
    </row>
    <row r="519" spans="10:31" x14ac:dyDescent="0.4">
      <c r="J519" s="189" t="str">
        <f t="shared" si="152"/>
        <v/>
      </c>
      <c r="K519" s="189" t="str">
        <f t="shared" si="153"/>
        <v/>
      </c>
      <c r="L519" s="189" t="str">
        <f t="shared" si="154"/>
        <v/>
      </c>
      <c r="M519" s="189" t="str">
        <f t="shared" si="155"/>
        <v/>
      </c>
      <c r="N519" s="76" t="str">
        <f t="shared" si="156"/>
        <v/>
      </c>
      <c r="O519" s="20">
        <f t="shared" si="157"/>
        <v>0</v>
      </c>
      <c r="P519" s="76">
        <f t="shared" si="158"/>
        <v>0</v>
      </c>
      <c r="Q519" s="206">
        <f t="shared" si="148"/>
        <v>0</v>
      </c>
      <c r="R519" s="206">
        <f t="shared" si="149"/>
        <v>0</v>
      </c>
      <c r="S519" s="206">
        <f t="shared" si="150"/>
        <v>0</v>
      </c>
      <c r="T519" s="206">
        <f t="shared" si="151"/>
        <v>0</v>
      </c>
      <c r="AA519" s="71" t="str">
        <f t="shared" si="143"/>
        <v/>
      </c>
      <c r="AB519" s="189">
        <f t="shared" si="144"/>
        <v>0</v>
      </c>
      <c r="AC519" s="189">
        <f t="shared" si="145"/>
        <v>0</v>
      </c>
      <c r="AD519" s="189">
        <f t="shared" si="146"/>
        <v>0</v>
      </c>
      <c r="AE519" s="189">
        <f t="shared" si="147"/>
        <v>0</v>
      </c>
    </row>
    <row r="520" spans="10:31" x14ac:dyDescent="0.4">
      <c r="J520" s="189" t="str">
        <f t="shared" si="152"/>
        <v/>
      </c>
      <c r="K520" s="189" t="str">
        <f t="shared" si="153"/>
        <v/>
      </c>
      <c r="L520" s="189" t="str">
        <f t="shared" si="154"/>
        <v/>
      </c>
      <c r="M520" s="189" t="str">
        <f t="shared" si="155"/>
        <v/>
      </c>
      <c r="N520" s="76" t="str">
        <f t="shared" si="156"/>
        <v/>
      </c>
      <c r="O520" s="20">
        <f t="shared" si="157"/>
        <v>0</v>
      </c>
      <c r="P520" s="76">
        <f t="shared" si="158"/>
        <v>0</v>
      </c>
      <c r="Q520" s="206">
        <f t="shared" si="148"/>
        <v>0</v>
      </c>
      <c r="R520" s="206">
        <f t="shared" si="149"/>
        <v>0</v>
      </c>
      <c r="S520" s="206">
        <f t="shared" si="150"/>
        <v>0</v>
      </c>
      <c r="T520" s="206">
        <f t="shared" si="151"/>
        <v>0</v>
      </c>
      <c r="AA520" s="71" t="str">
        <f t="shared" si="143"/>
        <v/>
      </c>
      <c r="AB520" s="189">
        <f t="shared" si="144"/>
        <v>0</v>
      </c>
      <c r="AC520" s="189">
        <f t="shared" si="145"/>
        <v>0</v>
      </c>
      <c r="AD520" s="189">
        <f t="shared" si="146"/>
        <v>0</v>
      </c>
      <c r="AE520" s="189">
        <f t="shared" si="147"/>
        <v>0</v>
      </c>
    </row>
    <row r="521" spans="10:31" x14ac:dyDescent="0.4">
      <c r="J521" s="189" t="str">
        <f t="shared" si="152"/>
        <v/>
      </c>
      <c r="K521" s="189" t="str">
        <f t="shared" si="153"/>
        <v/>
      </c>
      <c r="L521" s="189" t="str">
        <f t="shared" si="154"/>
        <v/>
      </c>
      <c r="M521" s="189" t="str">
        <f t="shared" si="155"/>
        <v/>
      </c>
      <c r="N521" s="76" t="str">
        <f t="shared" si="156"/>
        <v/>
      </c>
      <c r="O521" s="20">
        <f t="shared" si="157"/>
        <v>0</v>
      </c>
      <c r="P521" s="76">
        <f t="shared" si="158"/>
        <v>0</v>
      </c>
      <c r="Q521" s="206">
        <f t="shared" si="148"/>
        <v>0</v>
      </c>
      <c r="R521" s="206">
        <f t="shared" si="149"/>
        <v>0</v>
      </c>
      <c r="S521" s="206">
        <f t="shared" si="150"/>
        <v>0</v>
      </c>
      <c r="T521" s="206">
        <f t="shared" si="151"/>
        <v>0</v>
      </c>
      <c r="AA521" s="71" t="str">
        <f t="shared" si="143"/>
        <v/>
      </c>
      <c r="AB521" s="189">
        <f t="shared" si="144"/>
        <v>0</v>
      </c>
      <c r="AC521" s="189">
        <f t="shared" si="145"/>
        <v>0</v>
      </c>
      <c r="AD521" s="189">
        <f t="shared" si="146"/>
        <v>0</v>
      </c>
      <c r="AE521" s="189">
        <f t="shared" si="147"/>
        <v>0</v>
      </c>
    </row>
    <row r="522" spans="10:31" x14ac:dyDescent="0.4">
      <c r="J522" s="189" t="str">
        <f t="shared" si="152"/>
        <v/>
      </c>
      <c r="K522" s="189" t="str">
        <f t="shared" si="153"/>
        <v/>
      </c>
      <c r="L522" s="189" t="str">
        <f t="shared" si="154"/>
        <v/>
      </c>
      <c r="M522" s="189" t="str">
        <f t="shared" si="155"/>
        <v/>
      </c>
      <c r="N522" s="76" t="str">
        <f t="shared" si="156"/>
        <v/>
      </c>
      <c r="O522" s="20">
        <f t="shared" si="157"/>
        <v>0</v>
      </c>
      <c r="P522" s="76">
        <f t="shared" si="158"/>
        <v>0</v>
      </c>
      <c r="Q522" s="206">
        <f t="shared" si="148"/>
        <v>0</v>
      </c>
      <c r="R522" s="206">
        <f t="shared" si="149"/>
        <v>0</v>
      </c>
      <c r="S522" s="206">
        <f t="shared" si="150"/>
        <v>0</v>
      </c>
      <c r="T522" s="206">
        <f t="shared" si="151"/>
        <v>0</v>
      </c>
      <c r="AA522" s="71" t="str">
        <f t="shared" si="143"/>
        <v/>
      </c>
      <c r="AB522" s="189">
        <f t="shared" si="144"/>
        <v>0</v>
      </c>
      <c r="AC522" s="189">
        <f t="shared" si="145"/>
        <v>0</v>
      </c>
      <c r="AD522" s="189">
        <f t="shared" si="146"/>
        <v>0</v>
      </c>
      <c r="AE522" s="189">
        <f t="shared" si="147"/>
        <v>0</v>
      </c>
    </row>
    <row r="523" spans="10:31" x14ac:dyDescent="0.4">
      <c r="J523" s="189" t="str">
        <f t="shared" si="152"/>
        <v/>
      </c>
      <c r="K523" s="189" t="str">
        <f t="shared" si="153"/>
        <v/>
      </c>
      <c r="L523" s="189" t="str">
        <f t="shared" si="154"/>
        <v/>
      </c>
      <c r="M523" s="189" t="str">
        <f t="shared" si="155"/>
        <v/>
      </c>
      <c r="N523" s="76" t="str">
        <f t="shared" si="156"/>
        <v/>
      </c>
      <c r="O523" s="20">
        <f t="shared" si="157"/>
        <v>0</v>
      </c>
      <c r="P523" s="76">
        <f t="shared" si="158"/>
        <v>0</v>
      </c>
      <c r="Q523" s="206">
        <f t="shared" si="148"/>
        <v>0</v>
      </c>
      <c r="R523" s="206">
        <f t="shared" si="149"/>
        <v>0</v>
      </c>
      <c r="S523" s="206">
        <f t="shared" si="150"/>
        <v>0</v>
      </c>
      <c r="T523" s="206">
        <f t="shared" si="151"/>
        <v>0</v>
      </c>
      <c r="AA523" s="71" t="str">
        <f t="shared" si="143"/>
        <v/>
      </c>
      <c r="AB523" s="189">
        <f t="shared" si="144"/>
        <v>0</v>
      </c>
      <c r="AC523" s="189">
        <f t="shared" si="145"/>
        <v>0</v>
      </c>
      <c r="AD523" s="189">
        <f t="shared" si="146"/>
        <v>0</v>
      </c>
      <c r="AE523" s="189">
        <f t="shared" si="147"/>
        <v>0</v>
      </c>
    </row>
    <row r="524" spans="10:31" x14ac:dyDescent="0.4">
      <c r="J524" s="189" t="str">
        <f t="shared" si="152"/>
        <v/>
      </c>
      <c r="K524" s="189" t="str">
        <f t="shared" si="153"/>
        <v/>
      </c>
      <c r="L524" s="189" t="str">
        <f t="shared" si="154"/>
        <v/>
      </c>
      <c r="M524" s="189" t="str">
        <f t="shared" si="155"/>
        <v/>
      </c>
      <c r="N524" s="76" t="str">
        <f t="shared" si="156"/>
        <v/>
      </c>
      <c r="O524" s="20">
        <f t="shared" si="157"/>
        <v>0</v>
      </c>
      <c r="P524" s="76">
        <f t="shared" si="158"/>
        <v>0</v>
      </c>
      <c r="Q524" s="206">
        <f t="shared" si="148"/>
        <v>0</v>
      </c>
      <c r="R524" s="206">
        <f t="shared" si="149"/>
        <v>0</v>
      </c>
      <c r="S524" s="206">
        <f t="shared" si="150"/>
        <v>0</v>
      </c>
      <c r="T524" s="206">
        <f t="shared" si="151"/>
        <v>0</v>
      </c>
      <c r="AA524" s="71" t="str">
        <f t="shared" si="143"/>
        <v/>
      </c>
      <c r="AB524" s="189">
        <f t="shared" si="144"/>
        <v>0</v>
      </c>
      <c r="AC524" s="189">
        <f t="shared" si="145"/>
        <v>0</v>
      </c>
      <c r="AD524" s="189">
        <f t="shared" si="146"/>
        <v>0</v>
      </c>
      <c r="AE524" s="189">
        <f t="shared" si="147"/>
        <v>0</v>
      </c>
    </row>
    <row r="525" spans="10:31" x14ac:dyDescent="0.4">
      <c r="J525" s="189" t="str">
        <f t="shared" si="152"/>
        <v/>
      </c>
      <c r="K525" s="189" t="str">
        <f t="shared" si="153"/>
        <v/>
      </c>
      <c r="L525" s="189" t="str">
        <f t="shared" si="154"/>
        <v/>
      </c>
      <c r="M525" s="189" t="str">
        <f t="shared" si="155"/>
        <v/>
      </c>
      <c r="N525" s="76" t="str">
        <f t="shared" si="156"/>
        <v/>
      </c>
      <c r="O525" s="20">
        <f t="shared" si="157"/>
        <v>0</v>
      </c>
      <c r="P525" s="76">
        <f t="shared" si="158"/>
        <v>0</v>
      </c>
      <c r="Q525" s="206">
        <f t="shared" si="148"/>
        <v>0</v>
      </c>
      <c r="R525" s="206">
        <f t="shared" si="149"/>
        <v>0</v>
      </c>
      <c r="S525" s="206">
        <f t="shared" si="150"/>
        <v>0</v>
      </c>
      <c r="T525" s="206">
        <f t="shared" si="151"/>
        <v>0</v>
      </c>
      <c r="AA525" s="71" t="str">
        <f t="shared" si="143"/>
        <v/>
      </c>
      <c r="AB525" s="189">
        <f t="shared" si="144"/>
        <v>0</v>
      </c>
      <c r="AC525" s="189">
        <f t="shared" si="145"/>
        <v>0</v>
      </c>
      <c r="AD525" s="189">
        <f t="shared" si="146"/>
        <v>0</v>
      </c>
      <c r="AE525" s="189">
        <f t="shared" si="147"/>
        <v>0</v>
      </c>
    </row>
    <row r="526" spans="10:31" x14ac:dyDescent="0.4">
      <c r="J526" s="189" t="str">
        <f t="shared" si="152"/>
        <v/>
      </c>
      <c r="K526" s="189" t="str">
        <f t="shared" si="153"/>
        <v/>
      </c>
      <c r="L526" s="189" t="str">
        <f t="shared" si="154"/>
        <v/>
      </c>
      <c r="M526" s="189" t="str">
        <f t="shared" si="155"/>
        <v/>
      </c>
      <c r="N526" s="76" t="str">
        <f t="shared" si="156"/>
        <v/>
      </c>
      <c r="O526" s="20">
        <f t="shared" si="157"/>
        <v>0</v>
      </c>
      <c r="P526" s="76">
        <f t="shared" si="158"/>
        <v>0</v>
      </c>
      <c r="Q526" s="206">
        <f t="shared" si="148"/>
        <v>0</v>
      </c>
      <c r="R526" s="206">
        <f t="shared" si="149"/>
        <v>0</v>
      </c>
      <c r="S526" s="206">
        <f t="shared" si="150"/>
        <v>0</v>
      </c>
      <c r="T526" s="206">
        <f t="shared" si="151"/>
        <v>0</v>
      </c>
      <c r="AA526" s="71" t="str">
        <f t="shared" si="143"/>
        <v/>
      </c>
      <c r="AB526" s="189">
        <f t="shared" si="144"/>
        <v>0</v>
      </c>
      <c r="AC526" s="189">
        <f t="shared" si="145"/>
        <v>0</v>
      </c>
      <c r="AD526" s="189">
        <f t="shared" si="146"/>
        <v>0</v>
      </c>
      <c r="AE526" s="189">
        <f t="shared" si="147"/>
        <v>0</v>
      </c>
    </row>
    <row r="527" spans="10:31" x14ac:dyDescent="0.4">
      <c r="J527" s="189" t="str">
        <f t="shared" si="152"/>
        <v/>
      </c>
      <c r="K527" s="189" t="str">
        <f t="shared" si="153"/>
        <v/>
      </c>
      <c r="L527" s="189" t="str">
        <f t="shared" si="154"/>
        <v/>
      </c>
      <c r="M527" s="189" t="str">
        <f t="shared" si="155"/>
        <v/>
      </c>
      <c r="N527" s="76" t="str">
        <f t="shared" si="156"/>
        <v/>
      </c>
      <c r="O527" s="20">
        <f t="shared" si="157"/>
        <v>0</v>
      </c>
      <c r="P527" s="76">
        <f t="shared" si="158"/>
        <v>0</v>
      </c>
      <c r="Q527" s="206">
        <f t="shared" si="148"/>
        <v>0</v>
      </c>
      <c r="R527" s="206">
        <f t="shared" si="149"/>
        <v>0</v>
      </c>
      <c r="S527" s="206">
        <f t="shared" si="150"/>
        <v>0</v>
      </c>
      <c r="T527" s="206">
        <f t="shared" si="151"/>
        <v>0</v>
      </c>
      <c r="AA527" s="71" t="str">
        <f t="shared" si="143"/>
        <v/>
      </c>
      <c r="AB527" s="189">
        <f t="shared" si="144"/>
        <v>0</v>
      </c>
      <c r="AC527" s="189">
        <f t="shared" si="145"/>
        <v>0</v>
      </c>
      <c r="AD527" s="189">
        <f t="shared" si="146"/>
        <v>0</v>
      </c>
      <c r="AE527" s="189">
        <f t="shared" si="147"/>
        <v>0</v>
      </c>
    </row>
    <row r="528" spans="10:31" x14ac:dyDescent="0.4">
      <c r="J528" s="189" t="str">
        <f t="shared" si="152"/>
        <v/>
      </c>
      <c r="K528" s="189" t="str">
        <f t="shared" si="153"/>
        <v/>
      </c>
      <c r="L528" s="189" t="str">
        <f t="shared" si="154"/>
        <v/>
      </c>
      <c r="M528" s="189" t="str">
        <f t="shared" si="155"/>
        <v/>
      </c>
      <c r="N528" s="76" t="str">
        <f t="shared" si="156"/>
        <v/>
      </c>
      <c r="O528" s="20">
        <f t="shared" si="157"/>
        <v>0</v>
      </c>
      <c r="P528" s="76">
        <f t="shared" si="158"/>
        <v>0</v>
      </c>
      <c r="Q528" s="206">
        <f t="shared" si="148"/>
        <v>0</v>
      </c>
      <c r="R528" s="206">
        <f t="shared" si="149"/>
        <v>0</v>
      </c>
      <c r="S528" s="206">
        <f t="shared" si="150"/>
        <v>0</v>
      </c>
      <c r="T528" s="206">
        <f t="shared" si="151"/>
        <v>0</v>
      </c>
      <c r="AA528" s="71" t="str">
        <f t="shared" si="143"/>
        <v/>
      </c>
      <c r="AB528" s="189">
        <f t="shared" si="144"/>
        <v>0</v>
      </c>
      <c r="AC528" s="189">
        <f t="shared" si="145"/>
        <v>0</v>
      </c>
      <c r="AD528" s="189">
        <f t="shared" si="146"/>
        <v>0</v>
      </c>
      <c r="AE528" s="189">
        <f t="shared" si="147"/>
        <v>0</v>
      </c>
    </row>
    <row r="529" spans="10:31" x14ac:dyDescent="0.4">
      <c r="J529" s="189" t="str">
        <f t="shared" si="152"/>
        <v/>
      </c>
      <c r="K529" s="189" t="str">
        <f t="shared" si="153"/>
        <v/>
      </c>
      <c r="L529" s="189" t="str">
        <f t="shared" si="154"/>
        <v/>
      </c>
      <c r="M529" s="189" t="str">
        <f t="shared" si="155"/>
        <v/>
      </c>
      <c r="N529" s="76" t="str">
        <f t="shared" si="156"/>
        <v/>
      </c>
      <c r="O529" s="20">
        <f t="shared" si="157"/>
        <v>0</v>
      </c>
      <c r="P529" s="76">
        <f t="shared" si="158"/>
        <v>0</v>
      </c>
      <c r="Q529" s="206">
        <f t="shared" si="148"/>
        <v>0</v>
      </c>
      <c r="R529" s="206">
        <f t="shared" si="149"/>
        <v>0</v>
      </c>
      <c r="S529" s="206">
        <f t="shared" si="150"/>
        <v>0</v>
      </c>
      <c r="T529" s="206">
        <f t="shared" si="151"/>
        <v>0</v>
      </c>
      <c r="AA529" s="71" t="str">
        <f t="shared" si="143"/>
        <v/>
      </c>
      <c r="AB529" s="189">
        <f t="shared" si="144"/>
        <v>0</v>
      </c>
      <c r="AC529" s="189">
        <f t="shared" si="145"/>
        <v>0</v>
      </c>
      <c r="AD529" s="189">
        <f t="shared" si="146"/>
        <v>0</v>
      </c>
      <c r="AE529" s="189">
        <f t="shared" si="147"/>
        <v>0</v>
      </c>
    </row>
    <row r="530" spans="10:31" x14ac:dyDescent="0.4">
      <c r="J530" s="189" t="str">
        <f t="shared" si="152"/>
        <v/>
      </c>
      <c r="K530" s="189" t="str">
        <f t="shared" si="153"/>
        <v/>
      </c>
      <c r="L530" s="189" t="str">
        <f t="shared" si="154"/>
        <v/>
      </c>
      <c r="M530" s="189" t="str">
        <f t="shared" si="155"/>
        <v/>
      </c>
      <c r="N530" s="76" t="str">
        <f t="shared" si="156"/>
        <v/>
      </c>
      <c r="O530" s="20">
        <f t="shared" si="157"/>
        <v>0</v>
      </c>
      <c r="P530" s="76">
        <f t="shared" si="158"/>
        <v>0</v>
      </c>
      <c r="Q530" s="206">
        <f t="shared" si="148"/>
        <v>0</v>
      </c>
      <c r="R530" s="206">
        <f t="shared" si="149"/>
        <v>0</v>
      </c>
      <c r="S530" s="206">
        <f t="shared" si="150"/>
        <v>0</v>
      </c>
      <c r="T530" s="206">
        <f t="shared" si="151"/>
        <v>0</v>
      </c>
      <c r="AA530" s="71" t="str">
        <f t="shared" si="143"/>
        <v/>
      </c>
      <c r="AB530" s="189">
        <f t="shared" si="144"/>
        <v>0</v>
      </c>
      <c r="AC530" s="189">
        <f t="shared" si="145"/>
        <v>0</v>
      </c>
      <c r="AD530" s="189">
        <f t="shared" si="146"/>
        <v>0</v>
      </c>
      <c r="AE530" s="189">
        <f t="shared" si="147"/>
        <v>0</v>
      </c>
    </row>
    <row r="531" spans="10:31" x14ac:dyDescent="0.4">
      <c r="J531" s="189" t="str">
        <f t="shared" si="152"/>
        <v/>
      </c>
      <c r="K531" s="189" t="str">
        <f t="shared" si="153"/>
        <v/>
      </c>
      <c r="L531" s="189" t="str">
        <f t="shared" si="154"/>
        <v/>
      </c>
      <c r="M531" s="189" t="str">
        <f t="shared" si="155"/>
        <v/>
      </c>
      <c r="N531" s="76" t="str">
        <f t="shared" si="156"/>
        <v/>
      </c>
      <c r="O531" s="20">
        <f t="shared" si="157"/>
        <v>0</v>
      </c>
      <c r="P531" s="76">
        <f t="shared" si="158"/>
        <v>0</v>
      </c>
      <c r="Q531" s="206">
        <f t="shared" si="148"/>
        <v>0</v>
      </c>
      <c r="R531" s="206">
        <f t="shared" si="149"/>
        <v>0</v>
      </c>
      <c r="S531" s="206">
        <f t="shared" si="150"/>
        <v>0</v>
      </c>
      <c r="T531" s="206">
        <f t="shared" si="151"/>
        <v>0</v>
      </c>
      <c r="AA531" s="71" t="str">
        <f t="shared" si="143"/>
        <v/>
      </c>
      <c r="AB531" s="189">
        <f t="shared" si="144"/>
        <v>0</v>
      </c>
      <c r="AC531" s="189">
        <f t="shared" si="145"/>
        <v>0</v>
      </c>
      <c r="AD531" s="189">
        <f t="shared" si="146"/>
        <v>0</v>
      </c>
      <c r="AE531" s="189">
        <f t="shared" si="147"/>
        <v>0</v>
      </c>
    </row>
    <row r="532" spans="10:31" x14ac:dyDescent="0.4">
      <c r="J532" s="189" t="str">
        <f t="shared" si="152"/>
        <v/>
      </c>
      <c r="K532" s="189" t="str">
        <f t="shared" si="153"/>
        <v/>
      </c>
      <c r="L532" s="189" t="str">
        <f t="shared" si="154"/>
        <v/>
      </c>
      <c r="M532" s="189" t="str">
        <f t="shared" si="155"/>
        <v/>
      </c>
      <c r="N532" s="76" t="str">
        <f t="shared" si="156"/>
        <v/>
      </c>
      <c r="O532" s="20">
        <f t="shared" si="157"/>
        <v>0</v>
      </c>
      <c r="P532" s="76">
        <f t="shared" si="158"/>
        <v>0</v>
      </c>
      <c r="Q532" s="206">
        <f t="shared" si="148"/>
        <v>0</v>
      </c>
      <c r="R532" s="206">
        <f t="shared" si="149"/>
        <v>0</v>
      </c>
      <c r="S532" s="206">
        <f t="shared" si="150"/>
        <v>0</v>
      </c>
      <c r="T532" s="206">
        <f t="shared" si="151"/>
        <v>0</v>
      </c>
      <c r="AA532" s="71" t="str">
        <f t="shared" si="143"/>
        <v/>
      </c>
      <c r="AB532" s="189">
        <f t="shared" si="144"/>
        <v>0</v>
      </c>
      <c r="AC532" s="189">
        <f t="shared" si="145"/>
        <v>0</v>
      </c>
      <c r="AD532" s="189">
        <f t="shared" si="146"/>
        <v>0</v>
      </c>
      <c r="AE532" s="189">
        <f t="shared" si="147"/>
        <v>0</v>
      </c>
    </row>
    <row r="533" spans="10:31" x14ac:dyDescent="0.4">
      <c r="J533" s="189" t="str">
        <f t="shared" si="152"/>
        <v/>
      </c>
      <c r="K533" s="189" t="str">
        <f t="shared" si="153"/>
        <v/>
      </c>
      <c r="L533" s="189" t="str">
        <f t="shared" si="154"/>
        <v/>
      </c>
      <c r="M533" s="189" t="str">
        <f t="shared" si="155"/>
        <v/>
      </c>
      <c r="N533" s="76" t="str">
        <f t="shared" si="156"/>
        <v/>
      </c>
      <c r="O533" s="20">
        <f t="shared" si="157"/>
        <v>0</v>
      </c>
      <c r="P533" s="76">
        <f t="shared" si="158"/>
        <v>0</v>
      </c>
      <c r="Q533" s="206">
        <f t="shared" si="148"/>
        <v>0</v>
      </c>
      <c r="R533" s="206">
        <f t="shared" si="149"/>
        <v>0</v>
      </c>
      <c r="S533" s="206">
        <f t="shared" si="150"/>
        <v>0</v>
      </c>
      <c r="T533" s="206">
        <f t="shared" si="151"/>
        <v>0</v>
      </c>
      <c r="AA533" s="71" t="str">
        <f t="shared" si="143"/>
        <v/>
      </c>
      <c r="AB533" s="189">
        <f t="shared" si="144"/>
        <v>0</v>
      </c>
      <c r="AC533" s="189">
        <f t="shared" si="145"/>
        <v>0</v>
      </c>
      <c r="AD533" s="189">
        <f t="shared" si="146"/>
        <v>0</v>
      </c>
      <c r="AE533" s="189">
        <f t="shared" si="147"/>
        <v>0</v>
      </c>
    </row>
    <row r="534" spans="10:31" x14ac:dyDescent="0.4">
      <c r="J534" s="189" t="str">
        <f t="shared" si="152"/>
        <v/>
      </c>
      <c r="K534" s="189" t="str">
        <f t="shared" si="153"/>
        <v/>
      </c>
      <c r="L534" s="189" t="str">
        <f t="shared" si="154"/>
        <v/>
      </c>
      <c r="M534" s="189" t="str">
        <f t="shared" si="155"/>
        <v/>
      </c>
      <c r="N534" s="76" t="str">
        <f t="shared" si="156"/>
        <v/>
      </c>
      <c r="O534" s="20">
        <f t="shared" si="157"/>
        <v>0</v>
      </c>
      <c r="P534" s="76">
        <f t="shared" si="158"/>
        <v>0</v>
      </c>
      <c r="Q534" s="206">
        <f t="shared" si="148"/>
        <v>0</v>
      </c>
      <c r="R534" s="206">
        <f t="shared" si="149"/>
        <v>0</v>
      </c>
      <c r="S534" s="206">
        <f t="shared" si="150"/>
        <v>0</v>
      </c>
      <c r="T534" s="206">
        <f t="shared" si="151"/>
        <v>0</v>
      </c>
      <c r="AA534" s="71" t="str">
        <f t="shared" si="143"/>
        <v/>
      </c>
      <c r="AB534" s="189">
        <f t="shared" si="144"/>
        <v>0</v>
      </c>
      <c r="AC534" s="189">
        <f t="shared" si="145"/>
        <v>0</v>
      </c>
      <c r="AD534" s="189">
        <f t="shared" si="146"/>
        <v>0</v>
      </c>
      <c r="AE534" s="189">
        <f t="shared" si="147"/>
        <v>0</v>
      </c>
    </row>
    <row r="535" spans="10:31" x14ac:dyDescent="0.4">
      <c r="J535" s="189" t="str">
        <f t="shared" si="152"/>
        <v/>
      </c>
      <c r="K535" s="189" t="str">
        <f t="shared" si="153"/>
        <v/>
      </c>
      <c r="L535" s="189" t="str">
        <f t="shared" si="154"/>
        <v/>
      </c>
      <c r="M535" s="189" t="str">
        <f t="shared" si="155"/>
        <v/>
      </c>
      <c r="N535" s="76" t="str">
        <f t="shared" si="156"/>
        <v/>
      </c>
      <c r="O535" s="20">
        <f t="shared" si="157"/>
        <v>0</v>
      </c>
      <c r="P535" s="76">
        <f t="shared" si="158"/>
        <v>0</v>
      </c>
      <c r="Q535" s="206">
        <f t="shared" si="148"/>
        <v>0</v>
      </c>
      <c r="R535" s="206">
        <f t="shared" si="149"/>
        <v>0</v>
      </c>
      <c r="S535" s="206">
        <f t="shared" si="150"/>
        <v>0</v>
      </c>
      <c r="T535" s="206">
        <f t="shared" si="151"/>
        <v>0</v>
      </c>
      <c r="AA535" s="71" t="str">
        <f t="shared" si="143"/>
        <v/>
      </c>
      <c r="AB535" s="189">
        <f t="shared" si="144"/>
        <v>0</v>
      </c>
      <c r="AC535" s="189">
        <f t="shared" si="145"/>
        <v>0</v>
      </c>
      <c r="AD535" s="189">
        <f t="shared" si="146"/>
        <v>0</v>
      </c>
      <c r="AE535" s="189">
        <f t="shared" si="147"/>
        <v>0</v>
      </c>
    </row>
    <row r="536" spans="10:31" x14ac:dyDescent="0.4">
      <c r="J536" s="189" t="str">
        <f t="shared" si="152"/>
        <v/>
      </c>
      <c r="K536" s="189" t="str">
        <f t="shared" si="153"/>
        <v/>
      </c>
      <c r="L536" s="189" t="str">
        <f t="shared" si="154"/>
        <v/>
      </c>
      <c r="M536" s="189" t="str">
        <f t="shared" si="155"/>
        <v/>
      </c>
      <c r="N536" s="76" t="str">
        <f t="shared" si="156"/>
        <v/>
      </c>
      <c r="O536" s="20">
        <f t="shared" si="157"/>
        <v>0</v>
      </c>
      <c r="P536" s="76">
        <f t="shared" si="158"/>
        <v>0</v>
      </c>
      <c r="Q536" s="206">
        <f t="shared" si="148"/>
        <v>0</v>
      </c>
      <c r="R536" s="206">
        <f t="shared" si="149"/>
        <v>0</v>
      </c>
      <c r="S536" s="206">
        <f t="shared" si="150"/>
        <v>0</v>
      </c>
      <c r="T536" s="206">
        <f t="shared" si="151"/>
        <v>0</v>
      </c>
      <c r="AA536" s="71" t="str">
        <f t="shared" si="143"/>
        <v/>
      </c>
      <c r="AB536" s="189">
        <f t="shared" si="144"/>
        <v>0</v>
      </c>
      <c r="AC536" s="189">
        <f t="shared" si="145"/>
        <v>0</v>
      </c>
      <c r="AD536" s="189">
        <f t="shared" si="146"/>
        <v>0</v>
      </c>
      <c r="AE536" s="189">
        <f t="shared" si="147"/>
        <v>0</v>
      </c>
    </row>
    <row r="537" spans="10:31" x14ac:dyDescent="0.4">
      <c r="J537" s="189" t="str">
        <f t="shared" si="152"/>
        <v/>
      </c>
      <c r="K537" s="189" t="str">
        <f t="shared" si="153"/>
        <v/>
      </c>
      <c r="L537" s="189" t="str">
        <f t="shared" si="154"/>
        <v/>
      </c>
      <c r="M537" s="189" t="str">
        <f t="shared" si="155"/>
        <v/>
      </c>
      <c r="N537" s="76" t="str">
        <f t="shared" si="156"/>
        <v/>
      </c>
      <c r="O537" s="20">
        <f t="shared" si="157"/>
        <v>0</v>
      </c>
      <c r="P537" s="76">
        <f t="shared" si="158"/>
        <v>0</v>
      </c>
      <c r="Q537" s="206">
        <f t="shared" si="148"/>
        <v>0</v>
      </c>
      <c r="R537" s="206">
        <f t="shared" si="149"/>
        <v>0</v>
      </c>
      <c r="S537" s="206">
        <f t="shared" si="150"/>
        <v>0</v>
      </c>
      <c r="T537" s="206">
        <f t="shared" si="151"/>
        <v>0</v>
      </c>
      <c r="AA537" s="71" t="str">
        <f t="shared" si="143"/>
        <v/>
      </c>
      <c r="AB537" s="189">
        <f t="shared" si="144"/>
        <v>0</v>
      </c>
      <c r="AC537" s="189">
        <f t="shared" si="145"/>
        <v>0</v>
      </c>
      <c r="AD537" s="189">
        <f t="shared" si="146"/>
        <v>0</v>
      </c>
      <c r="AE537" s="189">
        <f t="shared" si="147"/>
        <v>0</v>
      </c>
    </row>
    <row r="538" spans="10:31" x14ac:dyDescent="0.4">
      <c r="J538" s="189" t="str">
        <f t="shared" si="152"/>
        <v/>
      </c>
      <c r="K538" s="189" t="str">
        <f t="shared" si="153"/>
        <v/>
      </c>
      <c r="L538" s="189" t="str">
        <f t="shared" si="154"/>
        <v/>
      </c>
      <c r="M538" s="189" t="str">
        <f t="shared" si="155"/>
        <v/>
      </c>
      <c r="N538" s="76" t="str">
        <f t="shared" si="156"/>
        <v/>
      </c>
      <c r="O538" s="20">
        <f t="shared" si="157"/>
        <v>0</v>
      </c>
      <c r="P538" s="76">
        <f t="shared" si="158"/>
        <v>0</v>
      </c>
      <c r="Q538" s="206">
        <f t="shared" si="148"/>
        <v>0</v>
      </c>
      <c r="R538" s="206">
        <f t="shared" si="149"/>
        <v>0</v>
      </c>
      <c r="S538" s="206">
        <f t="shared" si="150"/>
        <v>0</v>
      </c>
      <c r="T538" s="206">
        <f t="shared" si="151"/>
        <v>0</v>
      </c>
      <c r="AA538" s="71" t="str">
        <f t="shared" si="143"/>
        <v/>
      </c>
      <c r="AB538" s="189">
        <f t="shared" si="144"/>
        <v>0</v>
      </c>
      <c r="AC538" s="189">
        <f t="shared" si="145"/>
        <v>0</v>
      </c>
      <c r="AD538" s="189">
        <f t="shared" si="146"/>
        <v>0</v>
      </c>
      <c r="AE538" s="189">
        <f t="shared" si="147"/>
        <v>0</v>
      </c>
    </row>
    <row r="539" spans="10:31" x14ac:dyDescent="0.4">
      <c r="J539" s="189" t="str">
        <f t="shared" si="152"/>
        <v/>
      </c>
      <c r="K539" s="189" t="str">
        <f t="shared" si="153"/>
        <v/>
      </c>
      <c r="L539" s="189" t="str">
        <f t="shared" si="154"/>
        <v/>
      </c>
      <c r="M539" s="189" t="str">
        <f t="shared" si="155"/>
        <v/>
      </c>
      <c r="N539" s="76" t="str">
        <f t="shared" si="156"/>
        <v/>
      </c>
      <c r="O539" s="20">
        <f t="shared" si="157"/>
        <v>0</v>
      </c>
      <c r="P539" s="76">
        <f t="shared" si="158"/>
        <v>0</v>
      </c>
      <c r="Q539" s="206">
        <f t="shared" si="148"/>
        <v>0</v>
      </c>
      <c r="R539" s="206">
        <f t="shared" si="149"/>
        <v>0</v>
      </c>
      <c r="S539" s="206">
        <f t="shared" si="150"/>
        <v>0</v>
      </c>
      <c r="T539" s="206">
        <f t="shared" si="151"/>
        <v>0</v>
      </c>
      <c r="AA539" s="71" t="str">
        <f t="shared" si="143"/>
        <v/>
      </c>
      <c r="AB539" s="189">
        <f t="shared" si="144"/>
        <v>0</v>
      </c>
      <c r="AC539" s="189">
        <f t="shared" si="145"/>
        <v>0</v>
      </c>
      <c r="AD539" s="189">
        <f t="shared" si="146"/>
        <v>0</v>
      </c>
      <c r="AE539" s="189">
        <f t="shared" si="147"/>
        <v>0</v>
      </c>
    </row>
    <row r="540" spans="10:31" x14ac:dyDescent="0.4">
      <c r="J540" s="189" t="str">
        <f t="shared" si="152"/>
        <v/>
      </c>
      <c r="K540" s="189" t="str">
        <f t="shared" si="153"/>
        <v/>
      </c>
      <c r="L540" s="189" t="str">
        <f t="shared" si="154"/>
        <v/>
      </c>
      <c r="M540" s="189" t="str">
        <f t="shared" si="155"/>
        <v/>
      </c>
      <c r="N540" s="76" t="str">
        <f t="shared" si="156"/>
        <v/>
      </c>
      <c r="O540" s="20">
        <f t="shared" si="157"/>
        <v>0</v>
      </c>
      <c r="P540" s="76">
        <f t="shared" si="158"/>
        <v>0</v>
      </c>
      <c r="Q540" s="206">
        <f t="shared" si="148"/>
        <v>0</v>
      </c>
      <c r="R540" s="206">
        <f t="shared" si="149"/>
        <v>0</v>
      </c>
      <c r="S540" s="206">
        <f t="shared" si="150"/>
        <v>0</v>
      </c>
      <c r="T540" s="206">
        <f t="shared" si="151"/>
        <v>0</v>
      </c>
      <c r="AA540" s="71" t="str">
        <f t="shared" ref="AA540:AA603" si="159">N540</f>
        <v/>
      </c>
      <c r="AB540" s="189">
        <f t="shared" ref="AB540:AB603" si="160">IFERROR(IF(FIND("Km",$B540),IF($B541="",IF(FIND("Pax",C541),VALUE((LEFT(C541,LEN(C541)-4))),))),0)</f>
        <v>0</v>
      </c>
      <c r="AC540" s="189">
        <f t="shared" ref="AC540:AC603" si="161">IFERROR(IF(FIND("Km",$B540),IF($B541="",IF(FIND("Pax",D541),VALUE((LEFT(D541,LEN(D541)-4))),))),0)</f>
        <v>0</v>
      </c>
      <c r="AD540" s="189">
        <f t="shared" ref="AD540:AD603" si="162">IFERROR(IF(FIND("Km",$B540),IF($B541="",IF(FIND("Pax",E541),VALUE((LEFT(E541,LEN(E541)-4))),))),0)</f>
        <v>0</v>
      </c>
      <c r="AE540" s="189">
        <f t="shared" ref="AE540:AE603" si="163">IFERROR(IF($J540&lt;&gt;"",VALUE(LEFT(F541,LEN(F541)-7)),0),1)</f>
        <v>0</v>
      </c>
    </row>
    <row r="541" spans="10:31" x14ac:dyDescent="0.4">
      <c r="J541" s="189" t="str">
        <f t="shared" si="152"/>
        <v/>
      </c>
      <c r="K541" s="189" t="str">
        <f t="shared" si="153"/>
        <v/>
      </c>
      <c r="L541" s="189" t="str">
        <f t="shared" si="154"/>
        <v/>
      </c>
      <c r="M541" s="189" t="str">
        <f t="shared" si="155"/>
        <v/>
      </c>
      <c r="N541" s="76" t="str">
        <f t="shared" si="156"/>
        <v/>
      </c>
      <c r="O541" s="20">
        <f t="shared" si="157"/>
        <v>0</v>
      </c>
      <c r="P541" s="76">
        <f t="shared" si="158"/>
        <v>0</v>
      </c>
      <c r="Q541" s="206">
        <f t="shared" si="148"/>
        <v>0</v>
      </c>
      <c r="R541" s="206">
        <f t="shared" si="149"/>
        <v>0</v>
      </c>
      <c r="S541" s="206">
        <f t="shared" si="150"/>
        <v>0</v>
      </c>
      <c r="T541" s="206">
        <f t="shared" si="151"/>
        <v>0</v>
      </c>
      <c r="AA541" s="71" t="str">
        <f t="shared" si="159"/>
        <v/>
      </c>
      <c r="AB541" s="189">
        <f t="shared" si="160"/>
        <v>0</v>
      </c>
      <c r="AC541" s="189">
        <f t="shared" si="161"/>
        <v>0</v>
      </c>
      <c r="AD541" s="189">
        <f t="shared" si="162"/>
        <v>0</v>
      </c>
      <c r="AE541" s="189">
        <f t="shared" si="163"/>
        <v>0</v>
      </c>
    </row>
    <row r="542" spans="10:31" x14ac:dyDescent="0.4">
      <c r="J542" s="189" t="str">
        <f t="shared" si="152"/>
        <v/>
      </c>
      <c r="K542" s="189" t="str">
        <f t="shared" si="153"/>
        <v/>
      </c>
      <c r="L542" s="189" t="str">
        <f t="shared" si="154"/>
        <v/>
      </c>
      <c r="M542" s="189" t="str">
        <f t="shared" si="155"/>
        <v/>
      </c>
      <c r="N542" s="76" t="str">
        <f t="shared" si="156"/>
        <v/>
      </c>
      <c r="O542" s="20">
        <f t="shared" si="157"/>
        <v>0</v>
      </c>
      <c r="P542" s="76">
        <f t="shared" si="158"/>
        <v>0</v>
      </c>
      <c r="Q542" s="206">
        <f t="shared" si="148"/>
        <v>0</v>
      </c>
      <c r="R542" s="206">
        <f t="shared" si="149"/>
        <v>0</v>
      </c>
      <c r="S542" s="206">
        <f t="shared" si="150"/>
        <v>0</v>
      </c>
      <c r="T542" s="206">
        <f t="shared" si="151"/>
        <v>0</v>
      </c>
      <c r="AA542" s="71" t="str">
        <f t="shared" si="159"/>
        <v/>
      </c>
      <c r="AB542" s="189">
        <f t="shared" si="160"/>
        <v>0</v>
      </c>
      <c r="AC542" s="189">
        <f t="shared" si="161"/>
        <v>0</v>
      </c>
      <c r="AD542" s="189">
        <f t="shared" si="162"/>
        <v>0</v>
      </c>
      <c r="AE542" s="189">
        <f t="shared" si="163"/>
        <v>0</v>
      </c>
    </row>
    <row r="543" spans="10:31" x14ac:dyDescent="0.4">
      <c r="J543" s="189" t="str">
        <f t="shared" si="152"/>
        <v/>
      </c>
      <c r="K543" s="189" t="str">
        <f t="shared" si="153"/>
        <v/>
      </c>
      <c r="L543" s="189" t="str">
        <f t="shared" si="154"/>
        <v/>
      </c>
      <c r="M543" s="189" t="str">
        <f t="shared" si="155"/>
        <v/>
      </c>
      <c r="N543" s="76" t="str">
        <f t="shared" si="156"/>
        <v/>
      </c>
      <c r="O543" s="20">
        <f t="shared" si="157"/>
        <v>0</v>
      </c>
      <c r="P543" s="76">
        <f t="shared" si="158"/>
        <v>0</v>
      </c>
      <c r="Q543" s="206">
        <f t="shared" si="148"/>
        <v>0</v>
      </c>
      <c r="R543" s="206">
        <f t="shared" si="149"/>
        <v>0</v>
      </c>
      <c r="S543" s="206">
        <f t="shared" si="150"/>
        <v>0</v>
      </c>
      <c r="T543" s="206">
        <f t="shared" si="151"/>
        <v>0</v>
      </c>
      <c r="AA543" s="71" t="str">
        <f t="shared" si="159"/>
        <v/>
      </c>
      <c r="AB543" s="189">
        <f t="shared" si="160"/>
        <v>0</v>
      </c>
      <c r="AC543" s="189">
        <f t="shared" si="161"/>
        <v>0</v>
      </c>
      <c r="AD543" s="189">
        <f t="shared" si="162"/>
        <v>0</v>
      </c>
      <c r="AE543" s="189">
        <f t="shared" si="163"/>
        <v>0</v>
      </c>
    </row>
    <row r="544" spans="10:31" x14ac:dyDescent="0.4">
      <c r="J544" s="189" t="str">
        <f t="shared" si="152"/>
        <v/>
      </c>
      <c r="K544" s="189" t="str">
        <f t="shared" si="153"/>
        <v/>
      </c>
      <c r="L544" s="189" t="str">
        <f t="shared" si="154"/>
        <v/>
      </c>
      <c r="M544" s="189" t="str">
        <f t="shared" si="155"/>
        <v/>
      </c>
      <c r="N544" s="76" t="str">
        <f t="shared" si="156"/>
        <v/>
      </c>
      <c r="O544" s="20">
        <f t="shared" si="157"/>
        <v>0</v>
      </c>
      <c r="P544" s="76">
        <f t="shared" si="158"/>
        <v>0</v>
      </c>
      <c r="Q544" s="206">
        <f t="shared" si="148"/>
        <v>0</v>
      </c>
      <c r="R544" s="206">
        <f t="shared" si="149"/>
        <v>0</v>
      </c>
      <c r="S544" s="206">
        <f t="shared" si="150"/>
        <v>0</v>
      </c>
      <c r="T544" s="206">
        <f t="shared" si="151"/>
        <v>0</v>
      </c>
      <c r="AA544" s="71" t="str">
        <f t="shared" si="159"/>
        <v/>
      </c>
      <c r="AB544" s="189">
        <f t="shared" si="160"/>
        <v>0</v>
      </c>
      <c r="AC544" s="189">
        <f t="shared" si="161"/>
        <v>0</v>
      </c>
      <c r="AD544" s="189">
        <f t="shared" si="162"/>
        <v>0</v>
      </c>
      <c r="AE544" s="189">
        <f t="shared" si="163"/>
        <v>0</v>
      </c>
    </row>
    <row r="545" spans="10:31" x14ac:dyDescent="0.4">
      <c r="J545" s="189" t="str">
        <f t="shared" si="152"/>
        <v/>
      </c>
      <c r="K545" s="189" t="str">
        <f t="shared" si="153"/>
        <v/>
      </c>
      <c r="L545" s="189" t="str">
        <f t="shared" si="154"/>
        <v/>
      </c>
      <c r="M545" s="189" t="str">
        <f t="shared" si="155"/>
        <v/>
      </c>
      <c r="N545" s="76" t="str">
        <f t="shared" si="156"/>
        <v/>
      </c>
      <c r="O545" s="20">
        <f t="shared" si="157"/>
        <v>0</v>
      </c>
      <c r="P545" s="76">
        <f t="shared" si="158"/>
        <v>0</v>
      </c>
      <c r="Q545" s="206">
        <f t="shared" si="148"/>
        <v>0</v>
      </c>
      <c r="R545" s="206">
        <f t="shared" si="149"/>
        <v>0</v>
      </c>
      <c r="S545" s="206">
        <f t="shared" si="150"/>
        <v>0</v>
      </c>
      <c r="T545" s="206">
        <f t="shared" si="151"/>
        <v>0</v>
      </c>
      <c r="AA545" s="71" t="str">
        <f t="shared" si="159"/>
        <v/>
      </c>
      <c r="AB545" s="189">
        <f t="shared" si="160"/>
        <v>0</v>
      </c>
      <c r="AC545" s="189">
        <f t="shared" si="161"/>
        <v>0</v>
      </c>
      <c r="AD545" s="189">
        <f t="shared" si="162"/>
        <v>0</v>
      </c>
      <c r="AE545" s="189">
        <f t="shared" si="163"/>
        <v>0</v>
      </c>
    </row>
    <row r="546" spans="10:31" x14ac:dyDescent="0.4">
      <c r="J546" s="189" t="str">
        <f t="shared" si="152"/>
        <v/>
      </c>
      <c r="K546" s="189" t="str">
        <f t="shared" si="153"/>
        <v/>
      </c>
      <c r="L546" s="189" t="str">
        <f t="shared" si="154"/>
        <v/>
      </c>
      <c r="M546" s="189" t="str">
        <f t="shared" si="155"/>
        <v/>
      </c>
      <c r="N546" s="76" t="str">
        <f t="shared" si="156"/>
        <v/>
      </c>
      <c r="O546" s="20">
        <f t="shared" si="157"/>
        <v>0</v>
      </c>
      <c r="P546" s="76">
        <f t="shared" si="158"/>
        <v>0</v>
      </c>
      <c r="Q546" s="206">
        <f t="shared" si="148"/>
        <v>0</v>
      </c>
      <c r="R546" s="206">
        <f t="shared" si="149"/>
        <v>0</v>
      </c>
      <c r="S546" s="206">
        <f t="shared" si="150"/>
        <v>0</v>
      </c>
      <c r="T546" s="206">
        <f t="shared" si="151"/>
        <v>0</v>
      </c>
      <c r="AA546" s="71" t="str">
        <f t="shared" si="159"/>
        <v/>
      </c>
      <c r="AB546" s="189">
        <f t="shared" si="160"/>
        <v>0</v>
      </c>
      <c r="AC546" s="189">
        <f t="shared" si="161"/>
        <v>0</v>
      </c>
      <c r="AD546" s="189">
        <f t="shared" si="162"/>
        <v>0</v>
      </c>
      <c r="AE546" s="189">
        <f t="shared" si="163"/>
        <v>0</v>
      </c>
    </row>
    <row r="547" spans="10:31" x14ac:dyDescent="0.4">
      <c r="J547" s="189" t="str">
        <f t="shared" si="152"/>
        <v/>
      </c>
      <c r="K547" s="189" t="str">
        <f t="shared" si="153"/>
        <v/>
      </c>
      <c r="L547" s="189" t="str">
        <f t="shared" si="154"/>
        <v/>
      </c>
      <c r="M547" s="189" t="str">
        <f t="shared" si="155"/>
        <v/>
      </c>
      <c r="N547" s="76" t="str">
        <f t="shared" si="156"/>
        <v/>
      </c>
      <c r="O547" s="20">
        <f t="shared" si="157"/>
        <v>0</v>
      </c>
      <c r="P547" s="76">
        <f t="shared" si="158"/>
        <v>0</v>
      </c>
      <c r="Q547" s="206">
        <f t="shared" si="148"/>
        <v>0</v>
      </c>
      <c r="R547" s="206">
        <f t="shared" si="149"/>
        <v>0</v>
      </c>
      <c r="S547" s="206">
        <f t="shared" si="150"/>
        <v>0</v>
      </c>
      <c r="T547" s="206">
        <f t="shared" si="151"/>
        <v>0</v>
      </c>
      <c r="AA547" s="71" t="str">
        <f t="shared" si="159"/>
        <v/>
      </c>
      <c r="AB547" s="189">
        <f t="shared" si="160"/>
        <v>0</v>
      </c>
      <c r="AC547" s="189">
        <f t="shared" si="161"/>
        <v>0</v>
      </c>
      <c r="AD547" s="189">
        <f t="shared" si="162"/>
        <v>0</v>
      </c>
      <c r="AE547" s="189">
        <f t="shared" si="163"/>
        <v>0</v>
      </c>
    </row>
    <row r="548" spans="10:31" x14ac:dyDescent="0.4">
      <c r="J548" s="189" t="str">
        <f t="shared" si="152"/>
        <v/>
      </c>
      <c r="K548" s="189" t="str">
        <f t="shared" si="153"/>
        <v/>
      </c>
      <c r="L548" s="189" t="str">
        <f t="shared" si="154"/>
        <v/>
      </c>
      <c r="M548" s="189" t="str">
        <f t="shared" si="155"/>
        <v/>
      </c>
      <c r="N548" s="76" t="str">
        <f t="shared" si="156"/>
        <v/>
      </c>
      <c r="O548" s="20">
        <f t="shared" si="157"/>
        <v>0</v>
      </c>
      <c r="P548" s="76">
        <f t="shared" si="158"/>
        <v>0</v>
      </c>
      <c r="Q548" s="206">
        <f t="shared" si="148"/>
        <v>0</v>
      </c>
      <c r="R548" s="206">
        <f t="shared" si="149"/>
        <v>0</v>
      </c>
      <c r="S548" s="206">
        <f t="shared" si="150"/>
        <v>0</v>
      </c>
      <c r="T548" s="206">
        <f t="shared" si="151"/>
        <v>0</v>
      </c>
      <c r="AA548" s="71" t="str">
        <f t="shared" si="159"/>
        <v/>
      </c>
      <c r="AB548" s="189">
        <f t="shared" si="160"/>
        <v>0</v>
      </c>
      <c r="AC548" s="189">
        <f t="shared" si="161"/>
        <v>0</v>
      </c>
      <c r="AD548" s="189">
        <f t="shared" si="162"/>
        <v>0</v>
      </c>
      <c r="AE548" s="189">
        <f t="shared" si="163"/>
        <v>0</v>
      </c>
    </row>
    <row r="549" spans="10:31" x14ac:dyDescent="0.4">
      <c r="J549" s="189" t="str">
        <f t="shared" si="152"/>
        <v/>
      </c>
      <c r="K549" s="189" t="str">
        <f t="shared" si="153"/>
        <v/>
      </c>
      <c r="L549" s="189" t="str">
        <f t="shared" si="154"/>
        <v/>
      </c>
      <c r="M549" s="189" t="str">
        <f t="shared" si="155"/>
        <v/>
      </c>
      <c r="N549" s="76" t="str">
        <f t="shared" si="156"/>
        <v/>
      </c>
      <c r="O549" s="20">
        <f t="shared" si="157"/>
        <v>0</v>
      </c>
      <c r="P549" s="76">
        <f t="shared" si="158"/>
        <v>0</v>
      </c>
      <c r="Q549" s="206">
        <f t="shared" si="148"/>
        <v>0</v>
      </c>
      <c r="R549" s="206">
        <f t="shared" si="149"/>
        <v>0</v>
      </c>
      <c r="S549" s="206">
        <f t="shared" si="150"/>
        <v>0</v>
      </c>
      <c r="T549" s="206">
        <f t="shared" si="151"/>
        <v>0</v>
      </c>
      <c r="AA549" s="71" t="str">
        <f t="shared" si="159"/>
        <v/>
      </c>
      <c r="AB549" s="189">
        <f t="shared" si="160"/>
        <v>0</v>
      </c>
      <c r="AC549" s="189">
        <f t="shared" si="161"/>
        <v>0</v>
      </c>
      <c r="AD549" s="189">
        <f t="shared" si="162"/>
        <v>0</v>
      </c>
      <c r="AE549" s="189">
        <f t="shared" si="163"/>
        <v>0</v>
      </c>
    </row>
    <row r="550" spans="10:31" x14ac:dyDescent="0.4">
      <c r="J550" s="189" t="str">
        <f t="shared" si="152"/>
        <v/>
      </c>
      <c r="K550" s="189" t="str">
        <f t="shared" si="153"/>
        <v/>
      </c>
      <c r="L550" s="189" t="str">
        <f t="shared" si="154"/>
        <v/>
      </c>
      <c r="M550" s="189" t="str">
        <f t="shared" si="155"/>
        <v/>
      </c>
      <c r="N550" s="76" t="str">
        <f t="shared" si="156"/>
        <v/>
      </c>
      <c r="O550" s="20">
        <f t="shared" si="157"/>
        <v>0</v>
      </c>
      <c r="P550" s="76">
        <f t="shared" si="158"/>
        <v>0</v>
      </c>
      <c r="Q550" s="206">
        <f t="shared" ref="Q550:Q613" si="164">IF(P550=0,0,VALUE(LEFT(C550,LEN(C550)-4)))</f>
        <v>0</v>
      </c>
      <c r="R550" s="206">
        <f t="shared" ref="R550:R613" si="165">IF(Q550=0,0,VALUE(LEFT(D550,LEN(D550)-4)))</f>
        <v>0</v>
      </c>
      <c r="S550" s="206">
        <f t="shared" ref="S550:S613" si="166">IF(R550=0,0,VALUE(LEFT(E550,LEN(E550)-4)))</f>
        <v>0</v>
      </c>
      <c r="T550" s="206">
        <f t="shared" ref="T550:T613" si="167">IF(S550=0,0,VALUE(LEFT(F550,LEN(F550)-7)))</f>
        <v>0</v>
      </c>
      <c r="AA550" s="71" t="str">
        <f t="shared" si="159"/>
        <v/>
      </c>
      <c r="AB550" s="189">
        <f t="shared" si="160"/>
        <v>0</v>
      </c>
      <c r="AC550" s="189">
        <f t="shared" si="161"/>
        <v>0</v>
      </c>
      <c r="AD550" s="189">
        <f t="shared" si="162"/>
        <v>0</v>
      </c>
      <c r="AE550" s="189">
        <f t="shared" si="163"/>
        <v>0</v>
      </c>
    </row>
    <row r="551" spans="10:31" x14ac:dyDescent="0.4">
      <c r="J551" s="189" t="str">
        <f t="shared" si="152"/>
        <v/>
      </c>
      <c r="K551" s="189" t="str">
        <f t="shared" si="153"/>
        <v/>
      </c>
      <c r="L551" s="189" t="str">
        <f t="shared" si="154"/>
        <v/>
      </c>
      <c r="M551" s="189" t="str">
        <f t="shared" si="155"/>
        <v/>
      </c>
      <c r="N551" s="76" t="str">
        <f t="shared" si="156"/>
        <v/>
      </c>
      <c r="O551" s="20">
        <f t="shared" si="157"/>
        <v>0</v>
      </c>
      <c r="P551" s="76">
        <f t="shared" si="158"/>
        <v>0</v>
      </c>
      <c r="Q551" s="206">
        <f t="shared" si="164"/>
        <v>0</v>
      </c>
      <c r="R551" s="206">
        <f t="shared" si="165"/>
        <v>0</v>
      </c>
      <c r="S551" s="206">
        <f t="shared" si="166"/>
        <v>0</v>
      </c>
      <c r="T551" s="206">
        <f t="shared" si="167"/>
        <v>0</v>
      </c>
      <c r="AA551" s="71" t="str">
        <f t="shared" si="159"/>
        <v/>
      </c>
      <c r="AB551" s="189">
        <f t="shared" si="160"/>
        <v>0</v>
      </c>
      <c r="AC551" s="189">
        <f t="shared" si="161"/>
        <v>0</v>
      </c>
      <c r="AD551" s="189">
        <f t="shared" si="162"/>
        <v>0</v>
      </c>
      <c r="AE551" s="189">
        <f t="shared" si="163"/>
        <v>0</v>
      </c>
    </row>
    <row r="552" spans="10:31" x14ac:dyDescent="0.4">
      <c r="J552" s="189" t="str">
        <f t="shared" si="152"/>
        <v/>
      </c>
      <c r="K552" s="189" t="str">
        <f t="shared" si="153"/>
        <v/>
      </c>
      <c r="L552" s="189" t="str">
        <f t="shared" si="154"/>
        <v/>
      </c>
      <c r="M552" s="189" t="str">
        <f t="shared" si="155"/>
        <v/>
      </c>
      <c r="N552" s="76" t="str">
        <f t="shared" si="156"/>
        <v/>
      </c>
      <c r="O552" s="20">
        <f t="shared" si="157"/>
        <v>0</v>
      </c>
      <c r="P552" s="76">
        <f t="shared" si="158"/>
        <v>0</v>
      </c>
      <c r="Q552" s="206">
        <f t="shared" si="164"/>
        <v>0</v>
      </c>
      <c r="R552" s="206">
        <f t="shared" si="165"/>
        <v>0</v>
      </c>
      <c r="S552" s="206">
        <f t="shared" si="166"/>
        <v>0</v>
      </c>
      <c r="T552" s="206">
        <f t="shared" si="167"/>
        <v>0</v>
      </c>
      <c r="AA552" s="71" t="str">
        <f t="shared" si="159"/>
        <v/>
      </c>
      <c r="AB552" s="189">
        <f t="shared" si="160"/>
        <v>0</v>
      </c>
      <c r="AC552" s="189">
        <f t="shared" si="161"/>
        <v>0</v>
      </c>
      <c r="AD552" s="189">
        <f t="shared" si="162"/>
        <v>0</v>
      </c>
      <c r="AE552" s="189">
        <f t="shared" si="163"/>
        <v>0</v>
      </c>
    </row>
    <row r="553" spans="10:31" x14ac:dyDescent="0.4">
      <c r="J553" s="189" t="str">
        <f t="shared" si="152"/>
        <v/>
      </c>
      <c r="K553" s="189" t="str">
        <f t="shared" si="153"/>
        <v/>
      </c>
      <c r="L553" s="189" t="str">
        <f t="shared" si="154"/>
        <v/>
      </c>
      <c r="M553" s="189" t="str">
        <f t="shared" si="155"/>
        <v/>
      </c>
      <c r="N553" s="76" t="str">
        <f t="shared" si="156"/>
        <v/>
      </c>
      <c r="O553" s="20">
        <f t="shared" si="157"/>
        <v>0</v>
      </c>
      <c r="P553" s="76">
        <f t="shared" si="158"/>
        <v>0</v>
      </c>
      <c r="Q553" s="206">
        <f t="shared" si="164"/>
        <v>0</v>
      </c>
      <c r="R553" s="206">
        <f t="shared" si="165"/>
        <v>0</v>
      </c>
      <c r="S553" s="206">
        <f t="shared" si="166"/>
        <v>0</v>
      </c>
      <c r="T553" s="206">
        <f t="shared" si="167"/>
        <v>0</v>
      </c>
      <c r="AA553" s="71" t="str">
        <f t="shared" si="159"/>
        <v/>
      </c>
      <c r="AB553" s="189">
        <f t="shared" si="160"/>
        <v>0</v>
      </c>
      <c r="AC553" s="189">
        <f t="shared" si="161"/>
        <v>0</v>
      </c>
      <c r="AD553" s="189">
        <f t="shared" si="162"/>
        <v>0</v>
      </c>
      <c r="AE553" s="189">
        <f t="shared" si="163"/>
        <v>0</v>
      </c>
    </row>
    <row r="554" spans="10:31" x14ac:dyDescent="0.4">
      <c r="J554" s="189" t="str">
        <f t="shared" si="152"/>
        <v/>
      </c>
      <c r="K554" s="189" t="str">
        <f t="shared" si="153"/>
        <v/>
      </c>
      <c r="L554" s="189" t="str">
        <f t="shared" si="154"/>
        <v/>
      </c>
      <c r="M554" s="189" t="str">
        <f t="shared" si="155"/>
        <v/>
      </c>
      <c r="N554" s="76" t="str">
        <f t="shared" si="156"/>
        <v/>
      </c>
      <c r="O554" s="20">
        <f t="shared" si="157"/>
        <v>0</v>
      </c>
      <c r="P554" s="76">
        <f t="shared" si="158"/>
        <v>0</v>
      </c>
      <c r="Q554" s="206">
        <f t="shared" si="164"/>
        <v>0</v>
      </c>
      <c r="R554" s="206">
        <f t="shared" si="165"/>
        <v>0</v>
      </c>
      <c r="S554" s="206">
        <f t="shared" si="166"/>
        <v>0</v>
      </c>
      <c r="T554" s="206">
        <f t="shared" si="167"/>
        <v>0</v>
      </c>
      <c r="AA554" s="71" t="str">
        <f t="shared" si="159"/>
        <v/>
      </c>
      <c r="AB554" s="189">
        <f t="shared" si="160"/>
        <v>0</v>
      </c>
      <c r="AC554" s="189">
        <f t="shared" si="161"/>
        <v>0</v>
      </c>
      <c r="AD554" s="189">
        <f t="shared" si="162"/>
        <v>0</v>
      </c>
      <c r="AE554" s="189">
        <f t="shared" si="163"/>
        <v>0</v>
      </c>
    </row>
    <row r="555" spans="10:31" x14ac:dyDescent="0.4">
      <c r="J555" s="189" t="str">
        <f t="shared" si="152"/>
        <v/>
      </c>
      <c r="K555" s="189" t="str">
        <f t="shared" si="153"/>
        <v/>
      </c>
      <c r="L555" s="189" t="str">
        <f t="shared" si="154"/>
        <v/>
      </c>
      <c r="M555" s="189" t="str">
        <f t="shared" si="155"/>
        <v/>
      </c>
      <c r="N555" s="76" t="str">
        <f t="shared" si="156"/>
        <v/>
      </c>
      <c r="O555" s="20">
        <f t="shared" si="157"/>
        <v>0</v>
      </c>
      <c r="P555" s="76">
        <f t="shared" si="158"/>
        <v>0</v>
      </c>
      <c r="Q555" s="206">
        <f t="shared" si="164"/>
        <v>0</v>
      </c>
      <c r="R555" s="206">
        <f t="shared" si="165"/>
        <v>0</v>
      </c>
      <c r="S555" s="206">
        <f t="shared" si="166"/>
        <v>0</v>
      </c>
      <c r="T555" s="206">
        <f t="shared" si="167"/>
        <v>0</v>
      </c>
      <c r="AA555" s="71" t="str">
        <f t="shared" si="159"/>
        <v/>
      </c>
      <c r="AB555" s="189">
        <f t="shared" si="160"/>
        <v>0</v>
      </c>
      <c r="AC555" s="189">
        <f t="shared" si="161"/>
        <v>0</v>
      </c>
      <c r="AD555" s="189">
        <f t="shared" si="162"/>
        <v>0</v>
      </c>
      <c r="AE555" s="189">
        <f t="shared" si="163"/>
        <v>0</v>
      </c>
    </row>
    <row r="556" spans="10:31" x14ac:dyDescent="0.4">
      <c r="J556" s="189" t="str">
        <f t="shared" si="152"/>
        <v/>
      </c>
      <c r="K556" s="189" t="str">
        <f t="shared" si="153"/>
        <v/>
      </c>
      <c r="L556" s="189" t="str">
        <f t="shared" si="154"/>
        <v/>
      </c>
      <c r="M556" s="189" t="str">
        <f t="shared" si="155"/>
        <v/>
      </c>
      <c r="N556" s="76" t="str">
        <f t="shared" si="156"/>
        <v/>
      </c>
      <c r="O556" s="20">
        <f t="shared" si="157"/>
        <v>0</v>
      </c>
      <c r="P556" s="76">
        <f t="shared" si="158"/>
        <v>0</v>
      </c>
      <c r="Q556" s="206">
        <f t="shared" si="164"/>
        <v>0</v>
      </c>
      <c r="R556" s="206">
        <f t="shared" si="165"/>
        <v>0</v>
      </c>
      <c r="S556" s="206">
        <f t="shared" si="166"/>
        <v>0</v>
      </c>
      <c r="T556" s="206">
        <f t="shared" si="167"/>
        <v>0</v>
      </c>
      <c r="AA556" s="71" t="str">
        <f t="shared" si="159"/>
        <v/>
      </c>
      <c r="AB556" s="189">
        <f t="shared" si="160"/>
        <v>0</v>
      </c>
      <c r="AC556" s="189">
        <f t="shared" si="161"/>
        <v>0</v>
      </c>
      <c r="AD556" s="189">
        <f t="shared" si="162"/>
        <v>0</v>
      </c>
      <c r="AE556" s="189">
        <f t="shared" si="163"/>
        <v>0</v>
      </c>
    </row>
    <row r="557" spans="10:31" x14ac:dyDescent="0.4">
      <c r="J557" s="189" t="str">
        <f t="shared" si="152"/>
        <v/>
      </c>
      <c r="K557" s="189" t="str">
        <f t="shared" si="153"/>
        <v/>
      </c>
      <c r="L557" s="189" t="str">
        <f t="shared" si="154"/>
        <v/>
      </c>
      <c r="M557" s="189" t="str">
        <f t="shared" si="155"/>
        <v/>
      </c>
      <c r="N557" s="76" t="str">
        <f t="shared" si="156"/>
        <v/>
      </c>
      <c r="O557" s="20">
        <f t="shared" si="157"/>
        <v>0</v>
      </c>
      <c r="P557" s="76">
        <f t="shared" si="158"/>
        <v>0</v>
      </c>
      <c r="Q557" s="206">
        <f t="shared" si="164"/>
        <v>0</v>
      </c>
      <c r="R557" s="206">
        <f t="shared" si="165"/>
        <v>0</v>
      </c>
      <c r="S557" s="206">
        <f t="shared" si="166"/>
        <v>0</v>
      </c>
      <c r="T557" s="206">
        <f t="shared" si="167"/>
        <v>0</v>
      </c>
      <c r="AA557" s="71" t="str">
        <f t="shared" si="159"/>
        <v/>
      </c>
      <c r="AB557" s="189">
        <f t="shared" si="160"/>
        <v>0</v>
      </c>
      <c r="AC557" s="189">
        <f t="shared" si="161"/>
        <v>0</v>
      </c>
      <c r="AD557" s="189">
        <f t="shared" si="162"/>
        <v>0</v>
      </c>
      <c r="AE557" s="189">
        <f t="shared" si="163"/>
        <v>0</v>
      </c>
    </row>
    <row r="558" spans="10:31" x14ac:dyDescent="0.4">
      <c r="J558" s="189" t="str">
        <f t="shared" si="152"/>
        <v/>
      </c>
      <c r="K558" s="189" t="str">
        <f t="shared" si="153"/>
        <v/>
      </c>
      <c r="L558" s="189" t="str">
        <f t="shared" si="154"/>
        <v/>
      </c>
      <c r="M558" s="189" t="str">
        <f t="shared" si="155"/>
        <v/>
      </c>
      <c r="N558" s="76" t="str">
        <f t="shared" si="156"/>
        <v/>
      </c>
      <c r="O558" s="20">
        <f t="shared" si="157"/>
        <v>0</v>
      </c>
      <c r="P558" s="76">
        <f t="shared" si="158"/>
        <v>0</v>
      </c>
      <c r="Q558" s="206">
        <f t="shared" si="164"/>
        <v>0</v>
      </c>
      <c r="R558" s="206">
        <f t="shared" si="165"/>
        <v>0</v>
      </c>
      <c r="S558" s="206">
        <f t="shared" si="166"/>
        <v>0</v>
      </c>
      <c r="T558" s="206">
        <f t="shared" si="167"/>
        <v>0</v>
      </c>
      <c r="AA558" s="71" t="str">
        <f t="shared" si="159"/>
        <v/>
      </c>
      <c r="AB558" s="189">
        <f t="shared" si="160"/>
        <v>0</v>
      </c>
      <c r="AC558" s="189">
        <f t="shared" si="161"/>
        <v>0</v>
      </c>
      <c r="AD558" s="189">
        <f t="shared" si="162"/>
        <v>0</v>
      </c>
      <c r="AE558" s="189">
        <f t="shared" si="163"/>
        <v>0</v>
      </c>
    </row>
    <row r="559" spans="10:31" x14ac:dyDescent="0.4">
      <c r="J559" s="189" t="str">
        <f t="shared" si="152"/>
        <v/>
      </c>
      <c r="K559" s="189" t="str">
        <f t="shared" si="153"/>
        <v/>
      </c>
      <c r="L559" s="189" t="str">
        <f t="shared" si="154"/>
        <v/>
      </c>
      <c r="M559" s="189" t="str">
        <f t="shared" si="155"/>
        <v/>
      </c>
      <c r="N559" s="76" t="str">
        <f t="shared" si="156"/>
        <v/>
      </c>
      <c r="O559" s="20">
        <f t="shared" si="157"/>
        <v>0</v>
      </c>
      <c r="P559" s="76">
        <f t="shared" si="158"/>
        <v>0</v>
      </c>
      <c r="Q559" s="206">
        <f t="shared" si="164"/>
        <v>0</v>
      </c>
      <c r="R559" s="206">
        <f t="shared" si="165"/>
        <v>0</v>
      </c>
      <c r="S559" s="206">
        <f t="shared" si="166"/>
        <v>0</v>
      </c>
      <c r="T559" s="206">
        <f t="shared" si="167"/>
        <v>0</v>
      </c>
      <c r="AA559" s="71" t="str">
        <f t="shared" si="159"/>
        <v/>
      </c>
      <c r="AB559" s="189">
        <f t="shared" si="160"/>
        <v>0</v>
      </c>
      <c r="AC559" s="189">
        <f t="shared" si="161"/>
        <v>0</v>
      </c>
      <c r="AD559" s="189">
        <f t="shared" si="162"/>
        <v>0</v>
      </c>
      <c r="AE559" s="189">
        <f t="shared" si="163"/>
        <v>0</v>
      </c>
    </row>
    <row r="560" spans="10:31" x14ac:dyDescent="0.4">
      <c r="J560" s="189" t="str">
        <f t="shared" si="152"/>
        <v/>
      </c>
      <c r="K560" s="189" t="str">
        <f t="shared" si="153"/>
        <v/>
      </c>
      <c r="L560" s="189" t="str">
        <f t="shared" si="154"/>
        <v/>
      </c>
      <c r="M560" s="189" t="str">
        <f t="shared" si="155"/>
        <v/>
      </c>
      <c r="N560" s="76" t="str">
        <f t="shared" si="156"/>
        <v/>
      </c>
      <c r="O560" s="20">
        <f t="shared" si="157"/>
        <v>0</v>
      </c>
      <c r="P560" s="76">
        <f t="shared" si="158"/>
        <v>0</v>
      </c>
      <c r="Q560" s="206">
        <f t="shared" si="164"/>
        <v>0</v>
      </c>
      <c r="R560" s="206">
        <f t="shared" si="165"/>
        <v>0</v>
      </c>
      <c r="S560" s="206">
        <f t="shared" si="166"/>
        <v>0</v>
      </c>
      <c r="T560" s="206">
        <f t="shared" si="167"/>
        <v>0</v>
      </c>
      <c r="AA560" s="71" t="str">
        <f t="shared" si="159"/>
        <v/>
      </c>
      <c r="AB560" s="189">
        <f t="shared" si="160"/>
        <v>0</v>
      </c>
      <c r="AC560" s="189">
        <f t="shared" si="161"/>
        <v>0</v>
      </c>
      <c r="AD560" s="189">
        <f t="shared" si="162"/>
        <v>0</v>
      </c>
      <c r="AE560" s="189">
        <f t="shared" si="163"/>
        <v>0</v>
      </c>
    </row>
    <row r="561" spans="10:31" x14ac:dyDescent="0.4">
      <c r="J561" s="189" t="str">
        <f t="shared" si="152"/>
        <v/>
      </c>
      <c r="K561" s="189" t="str">
        <f t="shared" si="153"/>
        <v/>
      </c>
      <c r="L561" s="189" t="str">
        <f t="shared" si="154"/>
        <v/>
      </c>
      <c r="M561" s="189" t="str">
        <f t="shared" si="155"/>
        <v/>
      </c>
      <c r="N561" s="76" t="str">
        <f t="shared" si="156"/>
        <v/>
      </c>
      <c r="O561" s="20">
        <f t="shared" si="157"/>
        <v>0</v>
      </c>
      <c r="P561" s="76">
        <f t="shared" si="158"/>
        <v>0</v>
      </c>
      <c r="Q561" s="206">
        <f t="shared" si="164"/>
        <v>0</v>
      </c>
      <c r="R561" s="206">
        <f t="shared" si="165"/>
        <v>0</v>
      </c>
      <c r="S561" s="206">
        <f t="shared" si="166"/>
        <v>0</v>
      </c>
      <c r="T561" s="206">
        <f t="shared" si="167"/>
        <v>0</v>
      </c>
      <c r="AA561" s="71" t="str">
        <f t="shared" si="159"/>
        <v/>
      </c>
      <c r="AB561" s="189">
        <f t="shared" si="160"/>
        <v>0</v>
      </c>
      <c r="AC561" s="189">
        <f t="shared" si="161"/>
        <v>0</v>
      </c>
      <c r="AD561" s="189">
        <f t="shared" si="162"/>
        <v>0</v>
      </c>
      <c r="AE561" s="189">
        <f t="shared" si="163"/>
        <v>0</v>
      </c>
    </row>
    <row r="562" spans="10:31" x14ac:dyDescent="0.4">
      <c r="J562" s="189" t="str">
        <f t="shared" si="152"/>
        <v/>
      </c>
      <c r="K562" s="189" t="str">
        <f t="shared" si="153"/>
        <v/>
      </c>
      <c r="L562" s="189" t="str">
        <f t="shared" si="154"/>
        <v/>
      </c>
      <c r="M562" s="189" t="str">
        <f t="shared" si="155"/>
        <v/>
      </c>
      <c r="N562" s="76" t="str">
        <f t="shared" si="156"/>
        <v/>
      </c>
      <c r="O562" s="20">
        <f t="shared" si="157"/>
        <v>0</v>
      </c>
      <c r="P562" s="76">
        <f t="shared" si="158"/>
        <v>0</v>
      </c>
      <c r="Q562" s="206">
        <f t="shared" si="164"/>
        <v>0</v>
      </c>
      <c r="R562" s="206">
        <f t="shared" si="165"/>
        <v>0</v>
      </c>
      <c r="S562" s="206">
        <f t="shared" si="166"/>
        <v>0</v>
      </c>
      <c r="T562" s="206">
        <f t="shared" si="167"/>
        <v>0</v>
      </c>
      <c r="AA562" s="71" t="str">
        <f t="shared" si="159"/>
        <v/>
      </c>
      <c r="AB562" s="189">
        <f t="shared" si="160"/>
        <v>0</v>
      </c>
      <c r="AC562" s="189">
        <f t="shared" si="161"/>
        <v>0</v>
      </c>
      <c r="AD562" s="189">
        <f t="shared" si="162"/>
        <v>0</v>
      </c>
      <c r="AE562" s="189">
        <f t="shared" si="163"/>
        <v>0</v>
      </c>
    </row>
    <row r="563" spans="10:31" x14ac:dyDescent="0.4">
      <c r="J563" s="189" t="str">
        <f t="shared" si="152"/>
        <v/>
      </c>
      <c r="K563" s="189" t="str">
        <f t="shared" si="153"/>
        <v/>
      </c>
      <c r="L563" s="189" t="str">
        <f t="shared" si="154"/>
        <v/>
      </c>
      <c r="M563" s="189" t="str">
        <f t="shared" si="155"/>
        <v/>
      </c>
      <c r="N563" s="76" t="str">
        <f t="shared" si="156"/>
        <v/>
      </c>
      <c r="O563" s="20">
        <f t="shared" si="157"/>
        <v>0</v>
      </c>
      <c r="P563" s="76">
        <f t="shared" si="158"/>
        <v>0</v>
      </c>
      <c r="Q563" s="206">
        <f t="shared" si="164"/>
        <v>0</v>
      </c>
      <c r="R563" s="206">
        <f t="shared" si="165"/>
        <v>0</v>
      </c>
      <c r="S563" s="206">
        <f t="shared" si="166"/>
        <v>0</v>
      </c>
      <c r="T563" s="206">
        <f t="shared" si="167"/>
        <v>0</v>
      </c>
      <c r="AA563" s="71" t="str">
        <f t="shared" si="159"/>
        <v/>
      </c>
      <c r="AB563" s="189">
        <f t="shared" si="160"/>
        <v>0</v>
      </c>
      <c r="AC563" s="189">
        <f t="shared" si="161"/>
        <v>0</v>
      </c>
      <c r="AD563" s="189">
        <f t="shared" si="162"/>
        <v>0</v>
      </c>
      <c r="AE563" s="189">
        <f t="shared" si="163"/>
        <v>0</v>
      </c>
    </row>
    <row r="564" spans="10:31" x14ac:dyDescent="0.4">
      <c r="J564" s="189" t="str">
        <f t="shared" ref="J564:J627" si="168">IF(G564="Détail des tarifs",LEN(A564),"")</f>
        <v/>
      </c>
      <c r="K564" s="189" t="str">
        <f t="shared" ref="K564:K627" si="169">IF(J564="","",LEFT(A564,3))</f>
        <v/>
      </c>
      <c r="L564" s="189" t="str">
        <f t="shared" ref="L564:L627" si="170">IF(K564&lt;&gt;"",MID(A564,7,3),"")</f>
        <v/>
      </c>
      <c r="M564" s="189" t="str">
        <f t="shared" ref="M564:M627" si="171">IF(K564&lt;&gt;"",RIGHT(A564,2),"")</f>
        <v/>
      </c>
      <c r="N564" s="76" t="str">
        <f t="shared" ref="N564:N627" si="172">IF(K564&lt;&gt;"",CONCATENATE(K564,"/",L564),"")</f>
        <v/>
      </c>
      <c r="O564" s="20">
        <f t="shared" ref="O564:O627" si="173">IF(J564&lt;&gt;"",LEFT(B564,LEN(B564)-3),0)</f>
        <v>0</v>
      </c>
      <c r="P564" s="76">
        <f t="shared" ref="P564:P627" si="174">IF(O564&lt;&gt;"",VALUE(O564),"")</f>
        <v>0</v>
      </c>
      <c r="Q564" s="206">
        <f t="shared" si="164"/>
        <v>0</v>
      </c>
      <c r="R564" s="206">
        <f t="shared" si="165"/>
        <v>0</v>
      </c>
      <c r="S564" s="206">
        <f t="shared" si="166"/>
        <v>0</v>
      </c>
      <c r="T564" s="206">
        <f t="shared" si="167"/>
        <v>0</v>
      </c>
      <c r="AA564" s="71" t="str">
        <f t="shared" si="159"/>
        <v/>
      </c>
      <c r="AB564" s="189">
        <f t="shared" si="160"/>
        <v>0</v>
      </c>
      <c r="AC564" s="189">
        <f t="shared" si="161"/>
        <v>0</v>
      </c>
      <c r="AD564" s="189">
        <f t="shared" si="162"/>
        <v>0</v>
      </c>
      <c r="AE564" s="189">
        <f t="shared" si="163"/>
        <v>0</v>
      </c>
    </row>
    <row r="565" spans="10:31" x14ac:dyDescent="0.4">
      <c r="J565" s="189" t="str">
        <f t="shared" si="168"/>
        <v/>
      </c>
      <c r="K565" s="189" t="str">
        <f t="shared" si="169"/>
        <v/>
      </c>
      <c r="L565" s="189" t="str">
        <f t="shared" si="170"/>
        <v/>
      </c>
      <c r="M565" s="189" t="str">
        <f t="shared" si="171"/>
        <v/>
      </c>
      <c r="N565" s="76" t="str">
        <f t="shared" si="172"/>
        <v/>
      </c>
      <c r="O565" s="20">
        <f t="shared" si="173"/>
        <v>0</v>
      </c>
      <c r="P565" s="76">
        <f t="shared" si="174"/>
        <v>0</v>
      </c>
      <c r="Q565" s="206">
        <f t="shared" si="164"/>
        <v>0</v>
      </c>
      <c r="R565" s="206">
        <f t="shared" si="165"/>
        <v>0</v>
      </c>
      <c r="S565" s="206">
        <f t="shared" si="166"/>
        <v>0</v>
      </c>
      <c r="T565" s="206">
        <f t="shared" si="167"/>
        <v>0</v>
      </c>
      <c r="AA565" s="71" t="str">
        <f t="shared" si="159"/>
        <v/>
      </c>
      <c r="AB565" s="189">
        <f t="shared" si="160"/>
        <v>0</v>
      </c>
      <c r="AC565" s="189">
        <f t="shared" si="161"/>
        <v>0</v>
      </c>
      <c r="AD565" s="189">
        <f t="shared" si="162"/>
        <v>0</v>
      </c>
      <c r="AE565" s="189">
        <f t="shared" si="163"/>
        <v>0</v>
      </c>
    </row>
    <row r="566" spans="10:31" x14ac:dyDescent="0.4">
      <c r="J566" s="189" t="str">
        <f t="shared" si="168"/>
        <v/>
      </c>
      <c r="K566" s="189" t="str">
        <f t="shared" si="169"/>
        <v/>
      </c>
      <c r="L566" s="189" t="str">
        <f t="shared" si="170"/>
        <v/>
      </c>
      <c r="M566" s="189" t="str">
        <f t="shared" si="171"/>
        <v/>
      </c>
      <c r="N566" s="76" t="str">
        <f t="shared" si="172"/>
        <v/>
      </c>
      <c r="O566" s="20">
        <f t="shared" si="173"/>
        <v>0</v>
      </c>
      <c r="P566" s="76">
        <f t="shared" si="174"/>
        <v>0</v>
      </c>
      <c r="Q566" s="206">
        <f t="shared" si="164"/>
        <v>0</v>
      </c>
      <c r="R566" s="206">
        <f t="shared" si="165"/>
        <v>0</v>
      </c>
      <c r="S566" s="206">
        <f t="shared" si="166"/>
        <v>0</v>
      </c>
      <c r="T566" s="206">
        <f t="shared" si="167"/>
        <v>0</v>
      </c>
      <c r="AA566" s="71" t="str">
        <f t="shared" si="159"/>
        <v/>
      </c>
      <c r="AB566" s="189">
        <f t="shared" si="160"/>
        <v>0</v>
      </c>
      <c r="AC566" s="189">
        <f t="shared" si="161"/>
        <v>0</v>
      </c>
      <c r="AD566" s="189">
        <f t="shared" si="162"/>
        <v>0</v>
      </c>
      <c r="AE566" s="189">
        <f t="shared" si="163"/>
        <v>0</v>
      </c>
    </row>
    <row r="567" spans="10:31" x14ac:dyDescent="0.4">
      <c r="J567" s="189" t="str">
        <f t="shared" si="168"/>
        <v/>
      </c>
      <c r="K567" s="189" t="str">
        <f t="shared" si="169"/>
        <v/>
      </c>
      <c r="L567" s="189" t="str">
        <f t="shared" si="170"/>
        <v/>
      </c>
      <c r="M567" s="189" t="str">
        <f t="shared" si="171"/>
        <v/>
      </c>
      <c r="N567" s="76" t="str">
        <f t="shared" si="172"/>
        <v/>
      </c>
      <c r="O567" s="20">
        <f t="shared" si="173"/>
        <v>0</v>
      </c>
      <c r="P567" s="76">
        <f t="shared" si="174"/>
        <v>0</v>
      </c>
      <c r="Q567" s="206">
        <f t="shared" si="164"/>
        <v>0</v>
      </c>
      <c r="R567" s="206">
        <f t="shared" si="165"/>
        <v>0</v>
      </c>
      <c r="S567" s="206">
        <f t="shared" si="166"/>
        <v>0</v>
      </c>
      <c r="T567" s="206">
        <f t="shared" si="167"/>
        <v>0</v>
      </c>
      <c r="AA567" s="71" t="str">
        <f t="shared" si="159"/>
        <v/>
      </c>
      <c r="AB567" s="189">
        <f t="shared" si="160"/>
        <v>0</v>
      </c>
      <c r="AC567" s="189">
        <f t="shared" si="161"/>
        <v>0</v>
      </c>
      <c r="AD567" s="189">
        <f t="shared" si="162"/>
        <v>0</v>
      </c>
      <c r="AE567" s="189">
        <f t="shared" si="163"/>
        <v>0</v>
      </c>
    </row>
    <row r="568" spans="10:31" x14ac:dyDescent="0.4">
      <c r="J568" s="189" t="str">
        <f t="shared" si="168"/>
        <v/>
      </c>
      <c r="K568" s="189" t="str">
        <f t="shared" si="169"/>
        <v/>
      </c>
      <c r="L568" s="189" t="str">
        <f t="shared" si="170"/>
        <v/>
      </c>
      <c r="M568" s="189" t="str">
        <f t="shared" si="171"/>
        <v/>
      </c>
      <c r="N568" s="76" t="str">
        <f t="shared" si="172"/>
        <v/>
      </c>
      <c r="O568" s="20">
        <f t="shared" si="173"/>
        <v>0</v>
      </c>
      <c r="P568" s="76">
        <f t="shared" si="174"/>
        <v>0</v>
      </c>
      <c r="Q568" s="206">
        <f t="shared" si="164"/>
        <v>0</v>
      </c>
      <c r="R568" s="206">
        <f t="shared" si="165"/>
        <v>0</v>
      </c>
      <c r="S568" s="206">
        <f t="shared" si="166"/>
        <v>0</v>
      </c>
      <c r="T568" s="206">
        <f t="shared" si="167"/>
        <v>0</v>
      </c>
      <c r="AA568" s="71" t="str">
        <f t="shared" si="159"/>
        <v/>
      </c>
      <c r="AB568" s="189">
        <f t="shared" si="160"/>
        <v>0</v>
      </c>
      <c r="AC568" s="189">
        <f t="shared" si="161"/>
        <v>0</v>
      </c>
      <c r="AD568" s="189">
        <f t="shared" si="162"/>
        <v>0</v>
      </c>
      <c r="AE568" s="189">
        <f t="shared" si="163"/>
        <v>0</v>
      </c>
    </row>
    <row r="569" spans="10:31" x14ac:dyDescent="0.4">
      <c r="J569" s="189" t="str">
        <f t="shared" si="168"/>
        <v/>
      </c>
      <c r="K569" s="189" t="str">
        <f t="shared" si="169"/>
        <v/>
      </c>
      <c r="L569" s="189" t="str">
        <f t="shared" si="170"/>
        <v/>
      </c>
      <c r="M569" s="189" t="str">
        <f t="shared" si="171"/>
        <v/>
      </c>
      <c r="N569" s="76" t="str">
        <f t="shared" si="172"/>
        <v/>
      </c>
      <c r="O569" s="20">
        <f t="shared" si="173"/>
        <v>0</v>
      </c>
      <c r="P569" s="76">
        <f t="shared" si="174"/>
        <v>0</v>
      </c>
      <c r="Q569" s="206">
        <f t="shared" si="164"/>
        <v>0</v>
      </c>
      <c r="R569" s="206">
        <f t="shared" si="165"/>
        <v>0</v>
      </c>
      <c r="S569" s="206">
        <f t="shared" si="166"/>
        <v>0</v>
      </c>
      <c r="T569" s="206">
        <f t="shared" si="167"/>
        <v>0</v>
      </c>
      <c r="AA569" s="71" t="str">
        <f t="shared" si="159"/>
        <v/>
      </c>
      <c r="AB569" s="189">
        <f t="shared" si="160"/>
        <v>0</v>
      </c>
      <c r="AC569" s="189">
        <f t="shared" si="161"/>
        <v>0</v>
      </c>
      <c r="AD569" s="189">
        <f t="shared" si="162"/>
        <v>0</v>
      </c>
      <c r="AE569" s="189">
        <f t="shared" si="163"/>
        <v>0</v>
      </c>
    </row>
    <row r="570" spans="10:31" x14ac:dyDescent="0.4">
      <c r="J570" s="189" t="str">
        <f t="shared" si="168"/>
        <v/>
      </c>
      <c r="K570" s="189" t="str">
        <f t="shared" si="169"/>
        <v/>
      </c>
      <c r="L570" s="189" t="str">
        <f t="shared" si="170"/>
        <v/>
      </c>
      <c r="M570" s="189" t="str">
        <f t="shared" si="171"/>
        <v/>
      </c>
      <c r="N570" s="76" t="str">
        <f t="shared" si="172"/>
        <v/>
      </c>
      <c r="O570" s="20">
        <f t="shared" si="173"/>
        <v>0</v>
      </c>
      <c r="P570" s="76">
        <f t="shared" si="174"/>
        <v>0</v>
      </c>
      <c r="Q570" s="206">
        <f t="shared" si="164"/>
        <v>0</v>
      </c>
      <c r="R570" s="206">
        <f t="shared" si="165"/>
        <v>0</v>
      </c>
      <c r="S570" s="206">
        <f t="shared" si="166"/>
        <v>0</v>
      </c>
      <c r="T570" s="206">
        <f t="shared" si="167"/>
        <v>0</v>
      </c>
      <c r="AA570" s="71" t="str">
        <f t="shared" si="159"/>
        <v/>
      </c>
      <c r="AB570" s="189">
        <f t="shared" si="160"/>
        <v>0</v>
      </c>
      <c r="AC570" s="189">
        <f t="shared" si="161"/>
        <v>0</v>
      </c>
      <c r="AD570" s="189">
        <f t="shared" si="162"/>
        <v>0</v>
      </c>
      <c r="AE570" s="189">
        <f t="shared" si="163"/>
        <v>0</v>
      </c>
    </row>
    <row r="571" spans="10:31" x14ac:dyDescent="0.4">
      <c r="J571" s="189" t="str">
        <f t="shared" si="168"/>
        <v/>
      </c>
      <c r="K571" s="189" t="str">
        <f t="shared" si="169"/>
        <v/>
      </c>
      <c r="L571" s="189" t="str">
        <f t="shared" si="170"/>
        <v/>
      </c>
      <c r="M571" s="189" t="str">
        <f t="shared" si="171"/>
        <v/>
      </c>
      <c r="N571" s="76" t="str">
        <f t="shared" si="172"/>
        <v/>
      </c>
      <c r="O571" s="20">
        <f t="shared" si="173"/>
        <v>0</v>
      </c>
      <c r="P571" s="76">
        <f t="shared" si="174"/>
        <v>0</v>
      </c>
      <c r="Q571" s="206">
        <f t="shared" si="164"/>
        <v>0</v>
      </c>
      <c r="R571" s="206">
        <f t="shared" si="165"/>
        <v>0</v>
      </c>
      <c r="S571" s="206">
        <f t="shared" si="166"/>
        <v>0</v>
      </c>
      <c r="T571" s="206">
        <f t="shared" si="167"/>
        <v>0</v>
      </c>
      <c r="AA571" s="71" t="str">
        <f t="shared" si="159"/>
        <v/>
      </c>
      <c r="AB571" s="189">
        <f t="shared" si="160"/>
        <v>0</v>
      </c>
      <c r="AC571" s="189">
        <f t="shared" si="161"/>
        <v>0</v>
      </c>
      <c r="AD571" s="189">
        <f t="shared" si="162"/>
        <v>0</v>
      </c>
      <c r="AE571" s="189">
        <f t="shared" si="163"/>
        <v>0</v>
      </c>
    </row>
    <row r="572" spans="10:31" x14ac:dyDescent="0.4">
      <c r="J572" s="189" t="str">
        <f t="shared" si="168"/>
        <v/>
      </c>
      <c r="K572" s="189" t="str">
        <f t="shared" si="169"/>
        <v/>
      </c>
      <c r="L572" s="189" t="str">
        <f t="shared" si="170"/>
        <v/>
      </c>
      <c r="M572" s="189" t="str">
        <f t="shared" si="171"/>
        <v/>
      </c>
      <c r="N572" s="76" t="str">
        <f t="shared" si="172"/>
        <v/>
      </c>
      <c r="O572" s="20">
        <f t="shared" si="173"/>
        <v>0</v>
      </c>
      <c r="P572" s="76">
        <f t="shared" si="174"/>
        <v>0</v>
      </c>
      <c r="Q572" s="206">
        <f t="shared" si="164"/>
        <v>0</v>
      </c>
      <c r="R572" s="206">
        <f t="shared" si="165"/>
        <v>0</v>
      </c>
      <c r="S572" s="206">
        <f t="shared" si="166"/>
        <v>0</v>
      </c>
      <c r="T572" s="206">
        <f t="shared" si="167"/>
        <v>0</v>
      </c>
      <c r="AA572" s="71" t="str">
        <f t="shared" si="159"/>
        <v/>
      </c>
      <c r="AB572" s="189">
        <f t="shared" si="160"/>
        <v>0</v>
      </c>
      <c r="AC572" s="189">
        <f t="shared" si="161"/>
        <v>0</v>
      </c>
      <c r="AD572" s="189">
        <f t="shared" si="162"/>
        <v>0</v>
      </c>
      <c r="AE572" s="189">
        <f t="shared" si="163"/>
        <v>0</v>
      </c>
    </row>
    <row r="573" spans="10:31" x14ac:dyDescent="0.4">
      <c r="J573" s="189" t="str">
        <f t="shared" si="168"/>
        <v/>
      </c>
      <c r="K573" s="189" t="str">
        <f t="shared" si="169"/>
        <v/>
      </c>
      <c r="L573" s="189" t="str">
        <f t="shared" si="170"/>
        <v/>
      </c>
      <c r="M573" s="189" t="str">
        <f t="shared" si="171"/>
        <v/>
      </c>
      <c r="N573" s="76" t="str">
        <f t="shared" si="172"/>
        <v/>
      </c>
      <c r="O573" s="20">
        <f t="shared" si="173"/>
        <v>0</v>
      </c>
      <c r="P573" s="76">
        <f t="shared" si="174"/>
        <v>0</v>
      </c>
      <c r="Q573" s="206">
        <f t="shared" si="164"/>
        <v>0</v>
      </c>
      <c r="R573" s="206">
        <f t="shared" si="165"/>
        <v>0</v>
      </c>
      <c r="S573" s="206">
        <f t="shared" si="166"/>
        <v>0</v>
      </c>
      <c r="T573" s="206">
        <f t="shared" si="167"/>
        <v>0</v>
      </c>
      <c r="AA573" s="71" t="str">
        <f t="shared" si="159"/>
        <v/>
      </c>
      <c r="AB573" s="189">
        <f t="shared" si="160"/>
        <v>0</v>
      </c>
      <c r="AC573" s="189">
        <f t="shared" si="161"/>
        <v>0</v>
      </c>
      <c r="AD573" s="189">
        <f t="shared" si="162"/>
        <v>0</v>
      </c>
      <c r="AE573" s="189">
        <f t="shared" si="163"/>
        <v>0</v>
      </c>
    </row>
    <row r="574" spans="10:31" x14ac:dyDescent="0.4">
      <c r="J574" s="189" t="str">
        <f t="shared" si="168"/>
        <v/>
      </c>
      <c r="K574" s="189" t="str">
        <f t="shared" si="169"/>
        <v/>
      </c>
      <c r="L574" s="189" t="str">
        <f t="shared" si="170"/>
        <v/>
      </c>
      <c r="M574" s="189" t="str">
        <f t="shared" si="171"/>
        <v/>
      </c>
      <c r="N574" s="76" t="str">
        <f t="shared" si="172"/>
        <v/>
      </c>
      <c r="O574" s="20">
        <f t="shared" si="173"/>
        <v>0</v>
      </c>
      <c r="P574" s="76">
        <f t="shared" si="174"/>
        <v>0</v>
      </c>
      <c r="Q574" s="206">
        <f t="shared" si="164"/>
        <v>0</v>
      </c>
      <c r="R574" s="206">
        <f t="shared" si="165"/>
        <v>0</v>
      </c>
      <c r="S574" s="206">
        <f t="shared" si="166"/>
        <v>0</v>
      </c>
      <c r="T574" s="206">
        <f t="shared" si="167"/>
        <v>0</v>
      </c>
      <c r="AA574" s="71" t="str">
        <f t="shared" si="159"/>
        <v/>
      </c>
      <c r="AB574" s="189">
        <f t="shared" si="160"/>
        <v>0</v>
      </c>
      <c r="AC574" s="189">
        <f t="shared" si="161"/>
        <v>0</v>
      </c>
      <c r="AD574" s="189">
        <f t="shared" si="162"/>
        <v>0</v>
      </c>
      <c r="AE574" s="189">
        <f t="shared" si="163"/>
        <v>0</v>
      </c>
    </row>
    <row r="575" spans="10:31" x14ac:dyDescent="0.4">
      <c r="J575" s="189" t="str">
        <f t="shared" si="168"/>
        <v/>
      </c>
      <c r="K575" s="189" t="str">
        <f t="shared" si="169"/>
        <v/>
      </c>
      <c r="L575" s="189" t="str">
        <f t="shared" si="170"/>
        <v/>
      </c>
      <c r="M575" s="189" t="str">
        <f t="shared" si="171"/>
        <v/>
      </c>
      <c r="N575" s="76" t="str">
        <f t="shared" si="172"/>
        <v/>
      </c>
      <c r="O575" s="20">
        <f t="shared" si="173"/>
        <v>0</v>
      </c>
      <c r="P575" s="76">
        <f t="shared" si="174"/>
        <v>0</v>
      </c>
      <c r="Q575" s="206">
        <f t="shared" si="164"/>
        <v>0</v>
      </c>
      <c r="R575" s="206">
        <f t="shared" si="165"/>
        <v>0</v>
      </c>
      <c r="S575" s="206">
        <f t="shared" si="166"/>
        <v>0</v>
      </c>
      <c r="T575" s="206">
        <f t="shared" si="167"/>
        <v>0</v>
      </c>
      <c r="AA575" s="71" t="str">
        <f t="shared" si="159"/>
        <v/>
      </c>
      <c r="AB575" s="189">
        <f t="shared" si="160"/>
        <v>0</v>
      </c>
      <c r="AC575" s="189">
        <f t="shared" si="161"/>
        <v>0</v>
      </c>
      <c r="AD575" s="189">
        <f t="shared" si="162"/>
        <v>0</v>
      </c>
      <c r="AE575" s="189">
        <f t="shared" si="163"/>
        <v>0</v>
      </c>
    </row>
    <row r="576" spans="10:31" x14ac:dyDescent="0.4">
      <c r="J576" s="189" t="str">
        <f t="shared" si="168"/>
        <v/>
      </c>
      <c r="K576" s="189" t="str">
        <f t="shared" si="169"/>
        <v/>
      </c>
      <c r="L576" s="189" t="str">
        <f t="shared" si="170"/>
        <v/>
      </c>
      <c r="M576" s="189" t="str">
        <f t="shared" si="171"/>
        <v/>
      </c>
      <c r="N576" s="76" t="str">
        <f t="shared" si="172"/>
        <v/>
      </c>
      <c r="O576" s="20">
        <f t="shared" si="173"/>
        <v>0</v>
      </c>
      <c r="P576" s="76">
        <f t="shared" si="174"/>
        <v>0</v>
      </c>
      <c r="Q576" s="206">
        <f t="shared" si="164"/>
        <v>0</v>
      </c>
      <c r="R576" s="206">
        <f t="shared" si="165"/>
        <v>0</v>
      </c>
      <c r="S576" s="206">
        <f t="shared" si="166"/>
        <v>0</v>
      </c>
      <c r="T576" s="206">
        <f t="shared" si="167"/>
        <v>0</v>
      </c>
      <c r="AA576" s="71" t="str">
        <f t="shared" si="159"/>
        <v/>
      </c>
      <c r="AB576" s="189">
        <f t="shared" si="160"/>
        <v>0</v>
      </c>
      <c r="AC576" s="189">
        <f t="shared" si="161"/>
        <v>0</v>
      </c>
      <c r="AD576" s="189">
        <f t="shared" si="162"/>
        <v>0</v>
      </c>
      <c r="AE576" s="189">
        <f t="shared" si="163"/>
        <v>0</v>
      </c>
    </row>
    <row r="577" spans="10:31" x14ac:dyDescent="0.4">
      <c r="J577" s="189" t="str">
        <f t="shared" si="168"/>
        <v/>
      </c>
      <c r="K577" s="189" t="str">
        <f t="shared" si="169"/>
        <v/>
      </c>
      <c r="L577" s="189" t="str">
        <f t="shared" si="170"/>
        <v/>
      </c>
      <c r="M577" s="189" t="str">
        <f t="shared" si="171"/>
        <v/>
      </c>
      <c r="N577" s="76" t="str">
        <f t="shared" si="172"/>
        <v/>
      </c>
      <c r="O577" s="20">
        <f t="shared" si="173"/>
        <v>0</v>
      </c>
      <c r="P577" s="76">
        <f t="shared" si="174"/>
        <v>0</v>
      </c>
      <c r="Q577" s="206">
        <f t="shared" si="164"/>
        <v>0</v>
      </c>
      <c r="R577" s="206">
        <f t="shared" si="165"/>
        <v>0</v>
      </c>
      <c r="S577" s="206">
        <f t="shared" si="166"/>
        <v>0</v>
      </c>
      <c r="T577" s="206">
        <f t="shared" si="167"/>
        <v>0</v>
      </c>
      <c r="AA577" s="71" t="str">
        <f t="shared" si="159"/>
        <v/>
      </c>
      <c r="AB577" s="189">
        <f t="shared" si="160"/>
        <v>0</v>
      </c>
      <c r="AC577" s="189">
        <f t="shared" si="161"/>
        <v>0</v>
      </c>
      <c r="AD577" s="189">
        <f t="shared" si="162"/>
        <v>0</v>
      </c>
      <c r="AE577" s="189">
        <f t="shared" si="163"/>
        <v>0</v>
      </c>
    </row>
    <row r="578" spans="10:31" x14ac:dyDescent="0.4">
      <c r="J578" s="189" t="str">
        <f t="shared" si="168"/>
        <v/>
      </c>
      <c r="K578" s="189" t="str">
        <f t="shared" si="169"/>
        <v/>
      </c>
      <c r="L578" s="189" t="str">
        <f t="shared" si="170"/>
        <v/>
      </c>
      <c r="M578" s="189" t="str">
        <f t="shared" si="171"/>
        <v/>
      </c>
      <c r="N578" s="76" t="str">
        <f t="shared" si="172"/>
        <v/>
      </c>
      <c r="O578" s="20">
        <f t="shared" si="173"/>
        <v>0</v>
      </c>
      <c r="P578" s="76">
        <f t="shared" si="174"/>
        <v>0</v>
      </c>
      <c r="Q578" s="206">
        <f t="shared" si="164"/>
        <v>0</v>
      </c>
      <c r="R578" s="206">
        <f t="shared" si="165"/>
        <v>0</v>
      </c>
      <c r="S578" s="206">
        <f t="shared" si="166"/>
        <v>0</v>
      </c>
      <c r="T578" s="206">
        <f t="shared" si="167"/>
        <v>0</v>
      </c>
      <c r="AA578" s="71" t="str">
        <f t="shared" si="159"/>
        <v/>
      </c>
      <c r="AB578" s="189">
        <f t="shared" si="160"/>
        <v>0</v>
      </c>
      <c r="AC578" s="189">
        <f t="shared" si="161"/>
        <v>0</v>
      </c>
      <c r="AD578" s="189">
        <f t="shared" si="162"/>
        <v>0</v>
      </c>
      <c r="AE578" s="189">
        <f t="shared" si="163"/>
        <v>0</v>
      </c>
    </row>
    <row r="579" spans="10:31" x14ac:dyDescent="0.4">
      <c r="J579" s="189" t="str">
        <f t="shared" si="168"/>
        <v/>
      </c>
      <c r="K579" s="189" t="str">
        <f t="shared" si="169"/>
        <v/>
      </c>
      <c r="L579" s="189" t="str">
        <f t="shared" si="170"/>
        <v/>
      </c>
      <c r="M579" s="189" t="str">
        <f t="shared" si="171"/>
        <v/>
      </c>
      <c r="N579" s="76" t="str">
        <f t="shared" si="172"/>
        <v/>
      </c>
      <c r="O579" s="20">
        <f t="shared" si="173"/>
        <v>0</v>
      </c>
      <c r="P579" s="76">
        <f t="shared" si="174"/>
        <v>0</v>
      </c>
      <c r="Q579" s="206">
        <f t="shared" si="164"/>
        <v>0</v>
      </c>
      <c r="R579" s="206">
        <f t="shared" si="165"/>
        <v>0</v>
      </c>
      <c r="S579" s="206">
        <f t="shared" si="166"/>
        <v>0</v>
      </c>
      <c r="T579" s="206">
        <f t="shared" si="167"/>
        <v>0</v>
      </c>
      <c r="AA579" s="71" t="str">
        <f t="shared" si="159"/>
        <v/>
      </c>
      <c r="AB579" s="189">
        <f t="shared" si="160"/>
        <v>0</v>
      </c>
      <c r="AC579" s="189">
        <f t="shared" si="161"/>
        <v>0</v>
      </c>
      <c r="AD579" s="189">
        <f t="shared" si="162"/>
        <v>0</v>
      </c>
      <c r="AE579" s="189">
        <f t="shared" si="163"/>
        <v>0</v>
      </c>
    </row>
    <row r="580" spans="10:31" x14ac:dyDescent="0.4">
      <c r="J580" s="189" t="str">
        <f t="shared" si="168"/>
        <v/>
      </c>
      <c r="K580" s="189" t="str">
        <f t="shared" si="169"/>
        <v/>
      </c>
      <c r="L580" s="189" t="str">
        <f t="shared" si="170"/>
        <v/>
      </c>
      <c r="M580" s="189" t="str">
        <f t="shared" si="171"/>
        <v/>
      </c>
      <c r="N580" s="76" t="str">
        <f t="shared" si="172"/>
        <v/>
      </c>
      <c r="O580" s="20">
        <f t="shared" si="173"/>
        <v>0</v>
      </c>
      <c r="P580" s="76">
        <f t="shared" si="174"/>
        <v>0</v>
      </c>
      <c r="Q580" s="206">
        <f t="shared" si="164"/>
        <v>0</v>
      </c>
      <c r="R580" s="206">
        <f t="shared" si="165"/>
        <v>0</v>
      </c>
      <c r="S580" s="206">
        <f t="shared" si="166"/>
        <v>0</v>
      </c>
      <c r="T580" s="206">
        <f t="shared" si="167"/>
        <v>0</v>
      </c>
      <c r="AA580" s="71" t="str">
        <f t="shared" si="159"/>
        <v/>
      </c>
      <c r="AB580" s="189">
        <f t="shared" si="160"/>
        <v>0</v>
      </c>
      <c r="AC580" s="189">
        <f t="shared" si="161"/>
        <v>0</v>
      </c>
      <c r="AD580" s="189">
        <f t="shared" si="162"/>
        <v>0</v>
      </c>
      <c r="AE580" s="189">
        <f t="shared" si="163"/>
        <v>0</v>
      </c>
    </row>
    <row r="581" spans="10:31" x14ac:dyDescent="0.4">
      <c r="J581" s="189" t="str">
        <f t="shared" si="168"/>
        <v/>
      </c>
      <c r="K581" s="189" t="str">
        <f t="shared" si="169"/>
        <v/>
      </c>
      <c r="L581" s="189" t="str">
        <f t="shared" si="170"/>
        <v/>
      </c>
      <c r="M581" s="189" t="str">
        <f t="shared" si="171"/>
        <v/>
      </c>
      <c r="N581" s="76" t="str">
        <f t="shared" si="172"/>
        <v/>
      </c>
      <c r="O581" s="20">
        <f t="shared" si="173"/>
        <v>0</v>
      </c>
      <c r="P581" s="76">
        <f t="shared" si="174"/>
        <v>0</v>
      </c>
      <c r="Q581" s="206">
        <f t="shared" si="164"/>
        <v>0</v>
      </c>
      <c r="R581" s="206">
        <f t="shared" si="165"/>
        <v>0</v>
      </c>
      <c r="S581" s="206">
        <f t="shared" si="166"/>
        <v>0</v>
      </c>
      <c r="T581" s="206">
        <f t="shared" si="167"/>
        <v>0</v>
      </c>
      <c r="AA581" s="71" t="str">
        <f t="shared" si="159"/>
        <v/>
      </c>
      <c r="AB581" s="189">
        <f t="shared" si="160"/>
        <v>0</v>
      </c>
      <c r="AC581" s="189">
        <f t="shared" si="161"/>
        <v>0</v>
      </c>
      <c r="AD581" s="189">
        <f t="shared" si="162"/>
        <v>0</v>
      </c>
      <c r="AE581" s="189">
        <f t="shared" si="163"/>
        <v>0</v>
      </c>
    </row>
    <row r="582" spans="10:31" x14ac:dyDescent="0.4">
      <c r="J582" s="189" t="str">
        <f t="shared" si="168"/>
        <v/>
      </c>
      <c r="K582" s="189" t="str">
        <f t="shared" si="169"/>
        <v/>
      </c>
      <c r="L582" s="189" t="str">
        <f t="shared" si="170"/>
        <v/>
      </c>
      <c r="M582" s="189" t="str">
        <f t="shared" si="171"/>
        <v/>
      </c>
      <c r="N582" s="76" t="str">
        <f t="shared" si="172"/>
        <v/>
      </c>
      <c r="O582" s="20">
        <f t="shared" si="173"/>
        <v>0</v>
      </c>
      <c r="P582" s="76">
        <f t="shared" si="174"/>
        <v>0</v>
      </c>
      <c r="Q582" s="206">
        <f t="shared" si="164"/>
        <v>0</v>
      </c>
      <c r="R582" s="206">
        <f t="shared" si="165"/>
        <v>0</v>
      </c>
      <c r="S582" s="206">
        <f t="shared" si="166"/>
        <v>0</v>
      </c>
      <c r="T582" s="206">
        <f t="shared" si="167"/>
        <v>0</v>
      </c>
      <c r="AA582" s="71" t="str">
        <f t="shared" si="159"/>
        <v/>
      </c>
      <c r="AB582" s="189">
        <f t="shared" si="160"/>
        <v>0</v>
      </c>
      <c r="AC582" s="189">
        <f t="shared" si="161"/>
        <v>0</v>
      </c>
      <c r="AD582" s="189">
        <f t="shared" si="162"/>
        <v>0</v>
      </c>
      <c r="AE582" s="189">
        <f t="shared" si="163"/>
        <v>0</v>
      </c>
    </row>
    <row r="583" spans="10:31" x14ac:dyDescent="0.4">
      <c r="J583" s="189" t="str">
        <f t="shared" si="168"/>
        <v/>
      </c>
      <c r="K583" s="189" t="str">
        <f t="shared" si="169"/>
        <v/>
      </c>
      <c r="L583" s="189" t="str">
        <f t="shared" si="170"/>
        <v/>
      </c>
      <c r="M583" s="189" t="str">
        <f t="shared" si="171"/>
        <v/>
      </c>
      <c r="N583" s="76" t="str">
        <f t="shared" si="172"/>
        <v/>
      </c>
      <c r="O583" s="20">
        <f t="shared" si="173"/>
        <v>0</v>
      </c>
      <c r="P583" s="76">
        <f t="shared" si="174"/>
        <v>0</v>
      </c>
      <c r="Q583" s="206">
        <f t="shared" si="164"/>
        <v>0</v>
      </c>
      <c r="R583" s="206">
        <f t="shared" si="165"/>
        <v>0</v>
      </c>
      <c r="S583" s="206">
        <f t="shared" si="166"/>
        <v>0</v>
      </c>
      <c r="T583" s="206">
        <f t="shared" si="167"/>
        <v>0</v>
      </c>
      <c r="AA583" s="71" t="str">
        <f t="shared" si="159"/>
        <v/>
      </c>
      <c r="AB583" s="189">
        <f t="shared" si="160"/>
        <v>0</v>
      </c>
      <c r="AC583" s="189">
        <f t="shared" si="161"/>
        <v>0</v>
      </c>
      <c r="AD583" s="189">
        <f t="shared" si="162"/>
        <v>0</v>
      </c>
      <c r="AE583" s="189">
        <f t="shared" si="163"/>
        <v>0</v>
      </c>
    </row>
    <row r="584" spans="10:31" x14ac:dyDescent="0.4">
      <c r="J584" s="189" t="str">
        <f t="shared" si="168"/>
        <v/>
      </c>
      <c r="K584" s="189" t="str">
        <f t="shared" si="169"/>
        <v/>
      </c>
      <c r="L584" s="189" t="str">
        <f t="shared" si="170"/>
        <v/>
      </c>
      <c r="M584" s="189" t="str">
        <f t="shared" si="171"/>
        <v/>
      </c>
      <c r="N584" s="76" t="str">
        <f t="shared" si="172"/>
        <v/>
      </c>
      <c r="O584" s="20">
        <f t="shared" si="173"/>
        <v>0</v>
      </c>
      <c r="P584" s="76">
        <f t="shared" si="174"/>
        <v>0</v>
      </c>
      <c r="Q584" s="206">
        <f t="shared" si="164"/>
        <v>0</v>
      </c>
      <c r="R584" s="206">
        <f t="shared" si="165"/>
        <v>0</v>
      </c>
      <c r="S584" s="206">
        <f t="shared" si="166"/>
        <v>0</v>
      </c>
      <c r="T584" s="206">
        <f t="shared" si="167"/>
        <v>0</v>
      </c>
      <c r="AA584" s="71" t="str">
        <f t="shared" si="159"/>
        <v/>
      </c>
      <c r="AB584" s="189">
        <f t="shared" si="160"/>
        <v>0</v>
      </c>
      <c r="AC584" s="189">
        <f t="shared" si="161"/>
        <v>0</v>
      </c>
      <c r="AD584" s="189">
        <f t="shared" si="162"/>
        <v>0</v>
      </c>
      <c r="AE584" s="189">
        <f t="shared" si="163"/>
        <v>0</v>
      </c>
    </row>
    <row r="585" spans="10:31" x14ac:dyDescent="0.4">
      <c r="J585" s="189" t="str">
        <f t="shared" si="168"/>
        <v/>
      </c>
      <c r="K585" s="189" t="str">
        <f t="shared" si="169"/>
        <v/>
      </c>
      <c r="L585" s="189" t="str">
        <f t="shared" si="170"/>
        <v/>
      </c>
      <c r="M585" s="189" t="str">
        <f t="shared" si="171"/>
        <v/>
      </c>
      <c r="N585" s="76" t="str">
        <f t="shared" si="172"/>
        <v/>
      </c>
      <c r="O585" s="20">
        <f t="shared" si="173"/>
        <v>0</v>
      </c>
      <c r="P585" s="76">
        <f t="shared" si="174"/>
        <v>0</v>
      </c>
      <c r="Q585" s="206">
        <f t="shared" si="164"/>
        <v>0</v>
      </c>
      <c r="R585" s="206">
        <f t="shared" si="165"/>
        <v>0</v>
      </c>
      <c r="S585" s="206">
        <f t="shared" si="166"/>
        <v>0</v>
      </c>
      <c r="T585" s="206">
        <f t="shared" si="167"/>
        <v>0</v>
      </c>
      <c r="AA585" s="71" t="str">
        <f t="shared" si="159"/>
        <v/>
      </c>
      <c r="AB585" s="189">
        <f t="shared" si="160"/>
        <v>0</v>
      </c>
      <c r="AC585" s="189">
        <f t="shared" si="161"/>
        <v>0</v>
      </c>
      <c r="AD585" s="189">
        <f t="shared" si="162"/>
        <v>0</v>
      </c>
      <c r="AE585" s="189">
        <f t="shared" si="163"/>
        <v>0</v>
      </c>
    </row>
    <row r="586" spans="10:31" x14ac:dyDescent="0.4">
      <c r="J586" s="189" t="str">
        <f t="shared" si="168"/>
        <v/>
      </c>
      <c r="K586" s="189" t="str">
        <f t="shared" si="169"/>
        <v/>
      </c>
      <c r="L586" s="189" t="str">
        <f t="shared" si="170"/>
        <v/>
      </c>
      <c r="M586" s="189" t="str">
        <f t="shared" si="171"/>
        <v/>
      </c>
      <c r="N586" s="76" t="str">
        <f t="shared" si="172"/>
        <v/>
      </c>
      <c r="O586" s="20">
        <f t="shared" si="173"/>
        <v>0</v>
      </c>
      <c r="P586" s="76">
        <f t="shared" si="174"/>
        <v>0</v>
      </c>
      <c r="Q586" s="206">
        <f t="shared" si="164"/>
        <v>0</v>
      </c>
      <c r="R586" s="206">
        <f t="shared" si="165"/>
        <v>0</v>
      </c>
      <c r="S586" s="206">
        <f t="shared" si="166"/>
        <v>0</v>
      </c>
      <c r="T586" s="206">
        <f t="shared" si="167"/>
        <v>0</v>
      </c>
      <c r="AA586" s="71" t="str">
        <f t="shared" si="159"/>
        <v/>
      </c>
      <c r="AB586" s="189">
        <f t="shared" si="160"/>
        <v>0</v>
      </c>
      <c r="AC586" s="189">
        <f t="shared" si="161"/>
        <v>0</v>
      </c>
      <c r="AD586" s="189">
        <f t="shared" si="162"/>
        <v>0</v>
      </c>
      <c r="AE586" s="189">
        <f t="shared" si="163"/>
        <v>0</v>
      </c>
    </row>
    <row r="587" spans="10:31" x14ac:dyDescent="0.4">
      <c r="J587" s="189" t="str">
        <f t="shared" si="168"/>
        <v/>
      </c>
      <c r="K587" s="189" t="str">
        <f t="shared" si="169"/>
        <v/>
      </c>
      <c r="L587" s="189" t="str">
        <f t="shared" si="170"/>
        <v/>
      </c>
      <c r="M587" s="189" t="str">
        <f t="shared" si="171"/>
        <v/>
      </c>
      <c r="N587" s="76" t="str">
        <f t="shared" si="172"/>
        <v/>
      </c>
      <c r="O587" s="20">
        <f t="shared" si="173"/>
        <v>0</v>
      </c>
      <c r="P587" s="76">
        <f t="shared" si="174"/>
        <v>0</v>
      </c>
      <c r="Q587" s="206">
        <f t="shared" si="164"/>
        <v>0</v>
      </c>
      <c r="R587" s="206">
        <f t="shared" si="165"/>
        <v>0</v>
      </c>
      <c r="S587" s="206">
        <f t="shared" si="166"/>
        <v>0</v>
      </c>
      <c r="T587" s="206">
        <f t="shared" si="167"/>
        <v>0</v>
      </c>
      <c r="AA587" s="71" t="str">
        <f t="shared" si="159"/>
        <v/>
      </c>
      <c r="AB587" s="189">
        <f t="shared" si="160"/>
        <v>0</v>
      </c>
      <c r="AC587" s="189">
        <f t="shared" si="161"/>
        <v>0</v>
      </c>
      <c r="AD587" s="189">
        <f t="shared" si="162"/>
        <v>0</v>
      </c>
      <c r="AE587" s="189">
        <f t="shared" si="163"/>
        <v>0</v>
      </c>
    </row>
    <row r="588" spans="10:31" x14ac:dyDescent="0.4">
      <c r="J588" s="189" t="str">
        <f t="shared" si="168"/>
        <v/>
      </c>
      <c r="K588" s="189" t="str">
        <f t="shared" si="169"/>
        <v/>
      </c>
      <c r="L588" s="189" t="str">
        <f t="shared" si="170"/>
        <v/>
      </c>
      <c r="M588" s="189" t="str">
        <f t="shared" si="171"/>
        <v/>
      </c>
      <c r="N588" s="76" t="str">
        <f t="shared" si="172"/>
        <v/>
      </c>
      <c r="O588" s="20">
        <f t="shared" si="173"/>
        <v>0</v>
      </c>
      <c r="P588" s="76">
        <f t="shared" si="174"/>
        <v>0</v>
      </c>
      <c r="Q588" s="206">
        <f t="shared" si="164"/>
        <v>0</v>
      </c>
      <c r="R588" s="206">
        <f t="shared" si="165"/>
        <v>0</v>
      </c>
      <c r="S588" s="206">
        <f t="shared" si="166"/>
        <v>0</v>
      </c>
      <c r="T588" s="206">
        <f t="shared" si="167"/>
        <v>0</v>
      </c>
      <c r="AA588" s="71" t="str">
        <f t="shared" si="159"/>
        <v/>
      </c>
      <c r="AB588" s="189">
        <f t="shared" si="160"/>
        <v>0</v>
      </c>
      <c r="AC588" s="189">
        <f t="shared" si="161"/>
        <v>0</v>
      </c>
      <c r="AD588" s="189">
        <f t="shared" si="162"/>
        <v>0</v>
      </c>
      <c r="AE588" s="189">
        <f t="shared" si="163"/>
        <v>0</v>
      </c>
    </row>
    <row r="589" spans="10:31" x14ac:dyDescent="0.4">
      <c r="J589" s="189" t="str">
        <f t="shared" si="168"/>
        <v/>
      </c>
      <c r="K589" s="189" t="str">
        <f t="shared" si="169"/>
        <v/>
      </c>
      <c r="L589" s="189" t="str">
        <f t="shared" si="170"/>
        <v/>
      </c>
      <c r="M589" s="189" t="str">
        <f t="shared" si="171"/>
        <v/>
      </c>
      <c r="N589" s="76" t="str">
        <f t="shared" si="172"/>
        <v/>
      </c>
      <c r="O589" s="20">
        <f t="shared" si="173"/>
        <v>0</v>
      </c>
      <c r="P589" s="76">
        <f t="shared" si="174"/>
        <v>0</v>
      </c>
      <c r="Q589" s="206">
        <f t="shared" si="164"/>
        <v>0</v>
      </c>
      <c r="R589" s="206">
        <f t="shared" si="165"/>
        <v>0</v>
      </c>
      <c r="S589" s="206">
        <f t="shared" si="166"/>
        <v>0</v>
      </c>
      <c r="T589" s="206">
        <f t="shared" si="167"/>
        <v>0</v>
      </c>
      <c r="AA589" s="71" t="str">
        <f t="shared" si="159"/>
        <v/>
      </c>
      <c r="AB589" s="189">
        <f t="shared" si="160"/>
        <v>0</v>
      </c>
      <c r="AC589" s="189">
        <f t="shared" si="161"/>
        <v>0</v>
      </c>
      <c r="AD589" s="189">
        <f t="shared" si="162"/>
        <v>0</v>
      </c>
      <c r="AE589" s="189">
        <f t="shared" si="163"/>
        <v>0</v>
      </c>
    </row>
    <row r="590" spans="10:31" x14ac:dyDescent="0.4">
      <c r="J590" s="189" t="str">
        <f t="shared" si="168"/>
        <v/>
      </c>
      <c r="K590" s="189" t="str">
        <f t="shared" si="169"/>
        <v/>
      </c>
      <c r="L590" s="189" t="str">
        <f t="shared" si="170"/>
        <v/>
      </c>
      <c r="M590" s="189" t="str">
        <f t="shared" si="171"/>
        <v/>
      </c>
      <c r="N590" s="76" t="str">
        <f t="shared" si="172"/>
        <v/>
      </c>
      <c r="O590" s="20">
        <f t="shared" si="173"/>
        <v>0</v>
      </c>
      <c r="P590" s="76">
        <f t="shared" si="174"/>
        <v>0</v>
      </c>
      <c r="Q590" s="206">
        <f t="shared" si="164"/>
        <v>0</v>
      </c>
      <c r="R590" s="206">
        <f t="shared" si="165"/>
        <v>0</v>
      </c>
      <c r="S590" s="206">
        <f t="shared" si="166"/>
        <v>0</v>
      </c>
      <c r="T590" s="206">
        <f t="shared" si="167"/>
        <v>0</v>
      </c>
      <c r="AA590" s="71" t="str">
        <f t="shared" si="159"/>
        <v/>
      </c>
      <c r="AB590" s="189">
        <f t="shared" si="160"/>
        <v>0</v>
      </c>
      <c r="AC590" s="189">
        <f t="shared" si="161"/>
        <v>0</v>
      </c>
      <c r="AD590" s="189">
        <f t="shared" si="162"/>
        <v>0</v>
      </c>
      <c r="AE590" s="189">
        <f t="shared" si="163"/>
        <v>0</v>
      </c>
    </row>
    <row r="591" spans="10:31" x14ac:dyDescent="0.4">
      <c r="J591" s="189" t="str">
        <f t="shared" si="168"/>
        <v/>
      </c>
      <c r="K591" s="189" t="str">
        <f t="shared" si="169"/>
        <v/>
      </c>
      <c r="L591" s="189" t="str">
        <f t="shared" si="170"/>
        <v/>
      </c>
      <c r="M591" s="189" t="str">
        <f t="shared" si="171"/>
        <v/>
      </c>
      <c r="N591" s="76" t="str">
        <f t="shared" si="172"/>
        <v/>
      </c>
      <c r="O591" s="20">
        <f t="shared" si="173"/>
        <v>0</v>
      </c>
      <c r="P591" s="76">
        <f t="shared" si="174"/>
        <v>0</v>
      </c>
      <c r="Q591" s="206">
        <f t="shared" si="164"/>
        <v>0</v>
      </c>
      <c r="R591" s="206">
        <f t="shared" si="165"/>
        <v>0</v>
      </c>
      <c r="S591" s="206">
        <f t="shared" si="166"/>
        <v>0</v>
      </c>
      <c r="T591" s="206">
        <f t="shared" si="167"/>
        <v>0</v>
      </c>
      <c r="AA591" s="71" t="str">
        <f t="shared" si="159"/>
        <v/>
      </c>
      <c r="AB591" s="189">
        <f t="shared" si="160"/>
        <v>0</v>
      </c>
      <c r="AC591" s="189">
        <f t="shared" si="161"/>
        <v>0</v>
      </c>
      <c r="AD591" s="189">
        <f t="shared" si="162"/>
        <v>0</v>
      </c>
      <c r="AE591" s="189">
        <f t="shared" si="163"/>
        <v>0</v>
      </c>
    </row>
    <row r="592" spans="10:31" x14ac:dyDescent="0.4">
      <c r="J592" s="189" t="str">
        <f t="shared" si="168"/>
        <v/>
      </c>
      <c r="K592" s="189" t="str">
        <f t="shared" si="169"/>
        <v/>
      </c>
      <c r="L592" s="189" t="str">
        <f t="shared" si="170"/>
        <v/>
      </c>
      <c r="M592" s="189" t="str">
        <f t="shared" si="171"/>
        <v/>
      </c>
      <c r="N592" s="76" t="str">
        <f t="shared" si="172"/>
        <v/>
      </c>
      <c r="O592" s="20">
        <f t="shared" si="173"/>
        <v>0</v>
      </c>
      <c r="P592" s="76">
        <f t="shared" si="174"/>
        <v>0</v>
      </c>
      <c r="Q592" s="206">
        <f t="shared" si="164"/>
        <v>0</v>
      </c>
      <c r="R592" s="206">
        <f t="shared" si="165"/>
        <v>0</v>
      </c>
      <c r="S592" s="206">
        <f t="shared" si="166"/>
        <v>0</v>
      </c>
      <c r="T592" s="206">
        <f t="shared" si="167"/>
        <v>0</v>
      </c>
      <c r="AA592" s="71" t="str">
        <f t="shared" si="159"/>
        <v/>
      </c>
      <c r="AB592" s="189">
        <f t="shared" si="160"/>
        <v>0</v>
      </c>
      <c r="AC592" s="189">
        <f t="shared" si="161"/>
        <v>0</v>
      </c>
      <c r="AD592" s="189">
        <f t="shared" si="162"/>
        <v>0</v>
      </c>
      <c r="AE592" s="189">
        <f t="shared" si="163"/>
        <v>0</v>
      </c>
    </row>
    <row r="593" spans="10:31" x14ac:dyDescent="0.4">
      <c r="J593" s="189" t="str">
        <f t="shared" si="168"/>
        <v/>
      </c>
      <c r="K593" s="189" t="str">
        <f t="shared" si="169"/>
        <v/>
      </c>
      <c r="L593" s="189" t="str">
        <f t="shared" si="170"/>
        <v/>
      </c>
      <c r="M593" s="189" t="str">
        <f t="shared" si="171"/>
        <v/>
      </c>
      <c r="N593" s="76" t="str">
        <f t="shared" si="172"/>
        <v/>
      </c>
      <c r="O593" s="20">
        <f t="shared" si="173"/>
        <v>0</v>
      </c>
      <c r="P593" s="76">
        <f t="shared" si="174"/>
        <v>0</v>
      </c>
      <c r="Q593" s="206">
        <f t="shared" si="164"/>
        <v>0</v>
      </c>
      <c r="R593" s="206">
        <f t="shared" si="165"/>
        <v>0</v>
      </c>
      <c r="S593" s="206">
        <f t="shared" si="166"/>
        <v>0</v>
      </c>
      <c r="T593" s="206">
        <f t="shared" si="167"/>
        <v>0</v>
      </c>
      <c r="AA593" s="71" t="str">
        <f t="shared" si="159"/>
        <v/>
      </c>
      <c r="AB593" s="189">
        <f t="shared" si="160"/>
        <v>0</v>
      </c>
      <c r="AC593" s="189">
        <f t="shared" si="161"/>
        <v>0</v>
      </c>
      <c r="AD593" s="189">
        <f t="shared" si="162"/>
        <v>0</v>
      </c>
      <c r="AE593" s="189">
        <f t="shared" si="163"/>
        <v>0</v>
      </c>
    </row>
    <row r="594" spans="10:31" x14ac:dyDescent="0.4">
      <c r="J594" s="189" t="str">
        <f t="shared" si="168"/>
        <v/>
      </c>
      <c r="K594" s="189" t="str">
        <f t="shared" si="169"/>
        <v/>
      </c>
      <c r="L594" s="189" t="str">
        <f t="shared" si="170"/>
        <v/>
      </c>
      <c r="M594" s="189" t="str">
        <f t="shared" si="171"/>
        <v/>
      </c>
      <c r="N594" s="76" t="str">
        <f t="shared" si="172"/>
        <v/>
      </c>
      <c r="O594" s="20">
        <f t="shared" si="173"/>
        <v>0</v>
      </c>
      <c r="P594" s="76">
        <f t="shared" si="174"/>
        <v>0</v>
      </c>
      <c r="Q594" s="206">
        <f t="shared" si="164"/>
        <v>0</v>
      </c>
      <c r="R594" s="206">
        <f t="shared" si="165"/>
        <v>0</v>
      </c>
      <c r="S594" s="206">
        <f t="shared" si="166"/>
        <v>0</v>
      </c>
      <c r="T594" s="206">
        <f t="shared" si="167"/>
        <v>0</v>
      </c>
      <c r="AA594" s="71" t="str">
        <f t="shared" si="159"/>
        <v/>
      </c>
      <c r="AB594" s="189">
        <f t="shared" si="160"/>
        <v>0</v>
      </c>
      <c r="AC594" s="189">
        <f t="shared" si="161"/>
        <v>0</v>
      </c>
      <c r="AD594" s="189">
        <f t="shared" si="162"/>
        <v>0</v>
      </c>
      <c r="AE594" s="189">
        <f t="shared" si="163"/>
        <v>0</v>
      </c>
    </row>
    <row r="595" spans="10:31" x14ac:dyDescent="0.4">
      <c r="J595" s="189" t="str">
        <f t="shared" si="168"/>
        <v/>
      </c>
      <c r="K595" s="189" t="str">
        <f t="shared" si="169"/>
        <v/>
      </c>
      <c r="L595" s="189" t="str">
        <f t="shared" si="170"/>
        <v/>
      </c>
      <c r="M595" s="189" t="str">
        <f t="shared" si="171"/>
        <v/>
      </c>
      <c r="N595" s="76" t="str">
        <f t="shared" si="172"/>
        <v/>
      </c>
      <c r="O595" s="20">
        <f t="shared" si="173"/>
        <v>0</v>
      </c>
      <c r="P595" s="76">
        <f t="shared" si="174"/>
        <v>0</v>
      </c>
      <c r="Q595" s="206">
        <f t="shared" si="164"/>
        <v>0</v>
      </c>
      <c r="R595" s="206">
        <f t="shared" si="165"/>
        <v>0</v>
      </c>
      <c r="S595" s="206">
        <f t="shared" si="166"/>
        <v>0</v>
      </c>
      <c r="T595" s="206">
        <f t="shared" si="167"/>
        <v>0</v>
      </c>
      <c r="AA595" s="71" t="str">
        <f t="shared" si="159"/>
        <v/>
      </c>
      <c r="AB595" s="189">
        <f t="shared" si="160"/>
        <v>0</v>
      </c>
      <c r="AC595" s="189">
        <f t="shared" si="161"/>
        <v>0</v>
      </c>
      <c r="AD595" s="189">
        <f t="shared" si="162"/>
        <v>0</v>
      </c>
      <c r="AE595" s="189">
        <f t="shared" si="163"/>
        <v>0</v>
      </c>
    </row>
    <row r="596" spans="10:31" x14ac:dyDescent="0.4">
      <c r="J596" s="189" t="str">
        <f t="shared" si="168"/>
        <v/>
      </c>
      <c r="K596" s="189" t="str">
        <f t="shared" si="169"/>
        <v/>
      </c>
      <c r="L596" s="189" t="str">
        <f t="shared" si="170"/>
        <v/>
      </c>
      <c r="M596" s="189" t="str">
        <f t="shared" si="171"/>
        <v/>
      </c>
      <c r="N596" s="76" t="str">
        <f t="shared" si="172"/>
        <v/>
      </c>
      <c r="O596" s="20">
        <f t="shared" si="173"/>
        <v>0</v>
      </c>
      <c r="P596" s="76">
        <f t="shared" si="174"/>
        <v>0</v>
      </c>
      <c r="Q596" s="206">
        <f t="shared" si="164"/>
        <v>0</v>
      </c>
      <c r="R596" s="206">
        <f t="shared" si="165"/>
        <v>0</v>
      </c>
      <c r="S596" s="206">
        <f t="shared" si="166"/>
        <v>0</v>
      </c>
      <c r="T596" s="206">
        <f t="shared" si="167"/>
        <v>0</v>
      </c>
      <c r="AA596" s="71" t="str">
        <f t="shared" si="159"/>
        <v/>
      </c>
      <c r="AB596" s="189">
        <f t="shared" si="160"/>
        <v>0</v>
      </c>
      <c r="AC596" s="189">
        <f t="shared" si="161"/>
        <v>0</v>
      </c>
      <c r="AD596" s="189">
        <f t="shared" si="162"/>
        <v>0</v>
      </c>
      <c r="AE596" s="189">
        <f t="shared" si="163"/>
        <v>0</v>
      </c>
    </row>
    <row r="597" spans="10:31" x14ac:dyDescent="0.4">
      <c r="J597" s="189" t="str">
        <f t="shared" si="168"/>
        <v/>
      </c>
      <c r="K597" s="189" t="str">
        <f t="shared" si="169"/>
        <v/>
      </c>
      <c r="L597" s="189" t="str">
        <f t="shared" si="170"/>
        <v/>
      </c>
      <c r="M597" s="189" t="str">
        <f t="shared" si="171"/>
        <v/>
      </c>
      <c r="N597" s="76" t="str">
        <f t="shared" si="172"/>
        <v/>
      </c>
      <c r="O597" s="20">
        <f t="shared" si="173"/>
        <v>0</v>
      </c>
      <c r="P597" s="76">
        <f t="shared" si="174"/>
        <v>0</v>
      </c>
      <c r="Q597" s="206">
        <f t="shared" si="164"/>
        <v>0</v>
      </c>
      <c r="R597" s="206">
        <f t="shared" si="165"/>
        <v>0</v>
      </c>
      <c r="S597" s="206">
        <f t="shared" si="166"/>
        <v>0</v>
      </c>
      <c r="T597" s="206">
        <f t="shared" si="167"/>
        <v>0</v>
      </c>
      <c r="AA597" s="71" t="str">
        <f t="shared" si="159"/>
        <v/>
      </c>
      <c r="AB597" s="189">
        <f t="shared" si="160"/>
        <v>0</v>
      </c>
      <c r="AC597" s="189">
        <f t="shared" si="161"/>
        <v>0</v>
      </c>
      <c r="AD597" s="189">
        <f t="shared" si="162"/>
        <v>0</v>
      </c>
      <c r="AE597" s="189">
        <f t="shared" si="163"/>
        <v>0</v>
      </c>
    </row>
    <row r="598" spans="10:31" x14ac:dyDescent="0.4">
      <c r="J598" s="189" t="str">
        <f t="shared" si="168"/>
        <v/>
      </c>
      <c r="K598" s="189" t="str">
        <f t="shared" si="169"/>
        <v/>
      </c>
      <c r="L598" s="189" t="str">
        <f t="shared" si="170"/>
        <v/>
      </c>
      <c r="M598" s="189" t="str">
        <f t="shared" si="171"/>
        <v/>
      </c>
      <c r="N598" s="76" t="str">
        <f t="shared" si="172"/>
        <v/>
      </c>
      <c r="O598" s="20">
        <f t="shared" si="173"/>
        <v>0</v>
      </c>
      <c r="P598" s="76">
        <f t="shared" si="174"/>
        <v>0</v>
      </c>
      <c r="Q598" s="206">
        <f t="shared" si="164"/>
        <v>0</v>
      </c>
      <c r="R598" s="206">
        <f t="shared" si="165"/>
        <v>0</v>
      </c>
      <c r="S598" s="206">
        <f t="shared" si="166"/>
        <v>0</v>
      </c>
      <c r="T598" s="206">
        <f t="shared" si="167"/>
        <v>0</v>
      </c>
      <c r="AA598" s="71" t="str">
        <f t="shared" si="159"/>
        <v/>
      </c>
      <c r="AB598" s="189">
        <f t="shared" si="160"/>
        <v>0</v>
      </c>
      <c r="AC598" s="189">
        <f t="shared" si="161"/>
        <v>0</v>
      </c>
      <c r="AD598" s="189">
        <f t="shared" si="162"/>
        <v>0</v>
      </c>
      <c r="AE598" s="189">
        <f t="shared" si="163"/>
        <v>0</v>
      </c>
    </row>
    <row r="599" spans="10:31" x14ac:dyDescent="0.4">
      <c r="J599" s="189" t="str">
        <f t="shared" si="168"/>
        <v/>
      </c>
      <c r="K599" s="189" t="str">
        <f t="shared" si="169"/>
        <v/>
      </c>
      <c r="L599" s="189" t="str">
        <f t="shared" si="170"/>
        <v/>
      </c>
      <c r="M599" s="189" t="str">
        <f t="shared" si="171"/>
        <v/>
      </c>
      <c r="N599" s="76" t="str">
        <f t="shared" si="172"/>
        <v/>
      </c>
      <c r="O599" s="20">
        <f t="shared" si="173"/>
        <v>0</v>
      </c>
      <c r="P599" s="76">
        <f t="shared" si="174"/>
        <v>0</v>
      </c>
      <c r="Q599" s="206">
        <f t="shared" si="164"/>
        <v>0</v>
      </c>
      <c r="R599" s="206">
        <f t="shared" si="165"/>
        <v>0</v>
      </c>
      <c r="S599" s="206">
        <f t="shared" si="166"/>
        <v>0</v>
      </c>
      <c r="T599" s="206">
        <f t="shared" si="167"/>
        <v>0</v>
      </c>
      <c r="AA599" s="71" t="str">
        <f t="shared" si="159"/>
        <v/>
      </c>
      <c r="AB599" s="189">
        <f t="shared" si="160"/>
        <v>0</v>
      </c>
      <c r="AC599" s="189">
        <f t="shared" si="161"/>
        <v>0</v>
      </c>
      <c r="AD599" s="189">
        <f t="shared" si="162"/>
        <v>0</v>
      </c>
      <c r="AE599" s="189">
        <f t="shared" si="163"/>
        <v>0</v>
      </c>
    </row>
    <row r="600" spans="10:31" x14ac:dyDescent="0.4">
      <c r="J600" s="189" t="str">
        <f t="shared" si="168"/>
        <v/>
      </c>
      <c r="K600" s="189" t="str">
        <f t="shared" si="169"/>
        <v/>
      </c>
      <c r="L600" s="189" t="str">
        <f t="shared" si="170"/>
        <v/>
      </c>
      <c r="M600" s="189" t="str">
        <f t="shared" si="171"/>
        <v/>
      </c>
      <c r="N600" s="76" t="str">
        <f t="shared" si="172"/>
        <v/>
      </c>
      <c r="O600" s="20">
        <f t="shared" si="173"/>
        <v>0</v>
      </c>
      <c r="P600" s="76">
        <f t="shared" si="174"/>
        <v>0</v>
      </c>
      <c r="Q600" s="206">
        <f t="shared" si="164"/>
        <v>0</v>
      </c>
      <c r="R600" s="206">
        <f t="shared" si="165"/>
        <v>0</v>
      </c>
      <c r="S600" s="206">
        <f t="shared" si="166"/>
        <v>0</v>
      </c>
      <c r="T600" s="206">
        <f t="shared" si="167"/>
        <v>0</v>
      </c>
      <c r="AA600" s="71" t="str">
        <f t="shared" si="159"/>
        <v/>
      </c>
      <c r="AB600" s="189">
        <f t="shared" si="160"/>
        <v>0</v>
      </c>
      <c r="AC600" s="189">
        <f t="shared" si="161"/>
        <v>0</v>
      </c>
      <c r="AD600" s="189">
        <f t="shared" si="162"/>
        <v>0</v>
      </c>
      <c r="AE600" s="189">
        <f t="shared" si="163"/>
        <v>0</v>
      </c>
    </row>
    <row r="601" spans="10:31" x14ac:dyDescent="0.4">
      <c r="J601" s="189" t="str">
        <f t="shared" si="168"/>
        <v/>
      </c>
      <c r="K601" s="189" t="str">
        <f t="shared" si="169"/>
        <v/>
      </c>
      <c r="L601" s="189" t="str">
        <f t="shared" si="170"/>
        <v/>
      </c>
      <c r="M601" s="189" t="str">
        <f t="shared" si="171"/>
        <v/>
      </c>
      <c r="N601" s="76" t="str">
        <f t="shared" si="172"/>
        <v/>
      </c>
      <c r="O601" s="20">
        <f t="shared" si="173"/>
        <v>0</v>
      </c>
      <c r="P601" s="76">
        <f t="shared" si="174"/>
        <v>0</v>
      </c>
      <c r="Q601" s="206">
        <f t="shared" si="164"/>
        <v>0</v>
      </c>
      <c r="R601" s="206">
        <f t="shared" si="165"/>
        <v>0</v>
      </c>
      <c r="S601" s="206">
        <f t="shared" si="166"/>
        <v>0</v>
      </c>
      <c r="T601" s="206">
        <f t="shared" si="167"/>
        <v>0</v>
      </c>
      <c r="AA601" s="71" t="str">
        <f t="shared" si="159"/>
        <v/>
      </c>
      <c r="AB601" s="189">
        <f t="shared" si="160"/>
        <v>0</v>
      </c>
      <c r="AC601" s="189">
        <f t="shared" si="161"/>
        <v>0</v>
      </c>
      <c r="AD601" s="189">
        <f t="shared" si="162"/>
        <v>0</v>
      </c>
      <c r="AE601" s="189">
        <f t="shared" si="163"/>
        <v>0</v>
      </c>
    </row>
    <row r="602" spans="10:31" x14ac:dyDescent="0.4">
      <c r="J602" s="189" t="str">
        <f t="shared" si="168"/>
        <v/>
      </c>
      <c r="K602" s="189" t="str">
        <f t="shared" si="169"/>
        <v/>
      </c>
      <c r="L602" s="189" t="str">
        <f t="shared" si="170"/>
        <v/>
      </c>
      <c r="M602" s="189" t="str">
        <f t="shared" si="171"/>
        <v/>
      </c>
      <c r="N602" s="76" t="str">
        <f t="shared" si="172"/>
        <v/>
      </c>
      <c r="O602" s="20">
        <f t="shared" si="173"/>
        <v>0</v>
      </c>
      <c r="P602" s="76">
        <f t="shared" si="174"/>
        <v>0</v>
      </c>
      <c r="Q602" s="206">
        <f t="shared" si="164"/>
        <v>0</v>
      </c>
      <c r="R602" s="206">
        <f t="shared" si="165"/>
        <v>0</v>
      </c>
      <c r="S602" s="206">
        <f t="shared" si="166"/>
        <v>0</v>
      </c>
      <c r="T602" s="206">
        <f t="shared" si="167"/>
        <v>0</v>
      </c>
      <c r="AA602" s="71" t="str">
        <f t="shared" si="159"/>
        <v/>
      </c>
      <c r="AB602" s="189">
        <f t="shared" si="160"/>
        <v>0</v>
      </c>
      <c r="AC602" s="189">
        <f t="shared" si="161"/>
        <v>0</v>
      </c>
      <c r="AD602" s="189">
        <f t="shared" si="162"/>
        <v>0</v>
      </c>
      <c r="AE602" s="189">
        <f t="shared" si="163"/>
        <v>0</v>
      </c>
    </row>
    <row r="603" spans="10:31" x14ac:dyDescent="0.4">
      <c r="J603" s="189" t="str">
        <f t="shared" si="168"/>
        <v/>
      </c>
      <c r="K603" s="189" t="str">
        <f t="shared" si="169"/>
        <v/>
      </c>
      <c r="L603" s="189" t="str">
        <f t="shared" si="170"/>
        <v/>
      </c>
      <c r="M603" s="189" t="str">
        <f t="shared" si="171"/>
        <v/>
      </c>
      <c r="N603" s="76" t="str">
        <f t="shared" si="172"/>
        <v/>
      </c>
      <c r="O603" s="20">
        <f t="shared" si="173"/>
        <v>0</v>
      </c>
      <c r="P603" s="76">
        <f t="shared" si="174"/>
        <v>0</v>
      </c>
      <c r="Q603" s="206">
        <f t="shared" si="164"/>
        <v>0</v>
      </c>
      <c r="R603" s="206">
        <f t="shared" si="165"/>
        <v>0</v>
      </c>
      <c r="S603" s="206">
        <f t="shared" si="166"/>
        <v>0</v>
      </c>
      <c r="T603" s="206">
        <f t="shared" si="167"/>
        <v>0</v>
      </c>
      <c r="AA603" s="71" t="str">
        <f t="shared" si="159"/>
        <v/>
      </c>
      <c r="AB603" s="189">
        <f t="shared" si="160"/>
        <v>0</v>
      </c>
      <c r="AC603" s="189">
        <f t="shared" si="161"/>
        <v>0</v>
      </c>
      <c r="AD603" s="189">
        <f t="shared" si="162"/>
        <v>0</v>
      </c>
      <c r="AE603" s="189">
        <f t="shared" si="163"/>
        <v>0</v>
      </c>
    </row>
    <row r="604" spans="10:31" x14ac:dyDescent="0.4">
      <c r="J604" s="189" t="str">
        <f t="shared" si="168"/>
        <v/>
      </c>
      <c r="K604" s="189" t="str">
        <f t="shared" si="169"/>
        <v/>
      </c>
      <c r="L604" s="189" t="str">
        <f t="shared" si="170"/>
        <v/>
      </c>
      <c r="M604" s="189" t="str">
        <f t="shared" si="171"/>
        <v/>
      </c>
      <c r="N604" s="76" t="str">
        <f t="shared" si="172"/>
        <v/>
      </c>
      <c r="O604" s="20">
        <f t="shared" si="173"/>
        <v>0</v>
      </c>
      <c r="P604" s="76">
        <f t="shared" si="174"/>
        <v>0</v>
      </c>
      <c r="Q604" s="206">
        <f t="shared" si="164"/>
        <v>0</v>
      </c>
      <c r="R604" s="206">
        <f t="shared" si="165"/>
        <v>0</v>
      </c>
      <c r="S604" s="206">
        <f t="shared" si="166"/>
        <v>0</v>
      </c>
      <c r="T604" s="206">
        <f t="shared" si="167"/>
        <v>0</v>
      </c>
      <c r="AA604" s="71" t="str">
        <f t="shared" ref="AA604:AA667" si="175">N604</f>
        <v/>
      </c>
      <c r="AB604" s="189">
        <f t="shared" ref="AB604:AB667" si="176">IFERROR(IF(FIND("Km",$B604),IF($B605="",IF(FIND("Pax",C605),VALUE((LEFT(C605,LEN(C605)-4))),))),0)</f>
        <v>0</v>
      </c>
      <c r="AC604" s="189">
        <f t="shared" ref="AC604:AC667" si="177">IFERROR(IF(FIND("Km",$B604),IF($B605="",IF(FIND("Pax",D605),VALUE((LEFT(D605,LEN(D605)-4))),))),0)</f>
        <v>0</v>
      </c>
      <c r="AD604" s="189">
        <f t="shared" ref="AD604:AD667" si="178">IFERROR(IF(FIND("Km",$B604),IF($B605="",IF(FIND("Pax",E605),VALUE((LEFT(E605,LEN(E605)-4))),))),0)</f>
        <v>0</v>
      </c>
      <c r="AE604" s="189">
        <f t="shared" ref="AE604:AE667" si="179">IFERROR(IF($J604&lt;&gt;"",VALUE(LEFT(F605,LEN(F605)-7)),0),1)</f>
        <v>0</v>
      </c>
    </row>
    <row r="605" spans="10:31" x14ac:dyDescent="0.4">
      <c r="J605" s="189" t="str">
        <f t="shared" si="168"/>
        <v/>
      </c>
      <c r="K605" s="189" t="str">
        <f t="shared" si="169"/>
        <v/>
      </c>
      <c r="L605" s="189" t="str">
        <f t="shared" si="170"/>
        <v/>
      </c>
      <c r="M605" s="189" t="str">
        <f t="shared" si="171"/>
        <v/>
      </c>
      <c r="N605" s="76" t="str">
        <f t="shared" si="172"/>
        <v/>
      </c>
      <c r="O605" s="20">
        <f t="shared" si="173"/>
        <v>0</v>
      </c>
      <c r="P605" s="76">
        <f t="shared" si="174"/>
        <v>0</v>
      </c>
      <c r="Q605" s="206">
        <f t="shared" si="164"/>
        <v>0</v>
      </c>
      <c r="R605" s="206">
        <f t="shared" si="165"/>
        <v>0</v>
      </c>
      <c r="S605" s="206">
        <f t="shared" si="166"/>
        <v>0</v>
      </c>
      <c r="T605" s="206">
        <f t="shared" si="167"/>
        <v>0</v>
      </c>
      <c r="AA605" s="71" t="str">
        <f t="shared" si="175"/>
        <v/>
      </c>
      <c r="AB605" s="189">
        <f t="shared" si="176"/>
        <v>0</v>
      </c>
      <c r="AC605" s="189">
        <f t="shared" si="177"/>
        <v>0</v>
      </c>
      <c r="AD605" s="189">
        <f t="shared" si="178"/>
        <v>0</v>
      </c>
      <c r="AE605" s="189">
        <f t="shared" si="179"/>
        <v>0</v>
      </c>
    </row>
    <row r="606" spans="10:31" x14ac:dyDescent="0.4">
      <c r="J606" s="189" t="str">
        <f t="shared" si="168"/>
        <v/>
      </c>
      <c r="K606" s="189" t="str">
        <f t="shared" si="169"/>
        <v/>
      </c>
      <c r="L606" s="189" t="str">
        <f t="shared" si="170"/>
        <v/>
      </c>
      <c r="M606" s="189" t="str">
        <f t="shared" si="171"/>
        <v/>
      </c>
      <c r="N606" s="76" t="str">
        <f t="shared" si="172"/>
        <v/>
      </c>
      <c r="O606" s="20">
        <f t="shared" si="173"/>
        <v>0</v>
      </c>
      <c r="P606" s="76">
        <f t="shared" si="174"/>
        <v>0</v>
      </c>
      <c r="Q606" s="206">
        <f t="shared" si="164"/>
        <v>0</v>
      </c>
      <c r="R606" s="206">
        <f t="shared" si="165"/>
        <v>0</v>
      </c>
      <c r="S606" s="206">
        <f t="shared" si="166"/>
        <v>0</v>
      </c>
      <c r="T606" s="206">
        <f t="shared" si="167"/>
        <v>0</v>
      </c>
      <c r="AA606" s="71" t="str">
        <f t="shared" si="175"/>
        <v/>
      </c>
      <c r="AB606" s="189">
        <f t="shared" si="176"/>
        <v>0</v>
      </c>
      <c r="AC606" s="189">
        <f t="shared" si="177"/>
        <v>0</v>
      </c>
      <c r="AD606" s="189">
        <f t="shared" si="178"/>
        <v>0</v>
      </c>
      <c r="AE606" s="189">
        <f t="shared" si="179"/>
        <v>0</v>
      </c>
    </row>
    <row r="607" spans="10:31" x14ac:dyDescent="0.4">
      <c r="J607" s="189" t="str">
        <f t="shared" si="168"/>
        <v/>
      </c>
      <c r="K607" s="189" t="str">
        <f t="shared" si="169"/>
        <v/>
      </c>
      <c r="L607" s="189" t="str">
        <f t="shared" si="170"/>
        <v/>
      </c>
      <c r="M607" s="189" t="str">
        <f t="shared" si="171"/>
        <v/>
      </c>
      <c r="N607" s="76" t="str">
        <f t="shared" si="172"/>
        <v/>
      </c>
      <c r="O607" s="20">
        <f t="shared" si="173"/>
        <v>0</v>
      </c>
      <c r="P607" s="76">
        <f t="shared" si="174"/>
        <v>0</v>
      </c>
      <c r="Q607" s="206">
        <f t="shared" si="164"/>
        <v>0</v>
      </c>
      <c r="R607" s="206">
        <f t="shared" si="165"/>
        <v>0</v>
      </c>
      <c r="S607" s="206">
        <f t="shared" si="166"/>
        <v>0</v>
      </c>
      <c r="T607" s="206">
        <f t="shared" si="167"/>
        <v>0</v>
      </c>
      <c r="AA607" s="71" t="str">
        <f t="shared" si="175"/>
        <v/>
      </c>
      <c r="AB607" s="189">
        <f t="shared" si="176"/>
        <v>0</v>
      </c>
      <c r="AC607" s="189">
        <f t="shared" si="177"/>
        <v>0</v>
      </c>
      <c r="AD607" s="189">
        <f t="shared" si="178"/>
        <v>0</v>
      </c>
      <c r="AE607" s="189">
        <f t="shared" si="179"/>
        <v>0</v>
      </c>
    </row>
    <row r="608" spans="10:31" x14ac:dyDescent="0.4">
      <c r="J608" s="189" t="str">
        <f t="shared" si="168"/>
        <v/>
      </c>
      <c r="K608" s="189" t="str">
        <f t="shared" si="169"/>
        <v/>
      </c>
      <c r="L608" s="189" t="str">
        <f t="shared" si="170"/>
        <v/>
      </c>
      <c r="M608" s="189" t="str">
        <f t="shared" si="171"/>
        <v/>
      </c>
      <c r="N608" s="76" t="str">
        <f t="shared" si="172"/>
        <v/>
      </c>
      <c r="O608" s="20">
        <f t="shared" si="173"/>
        <v>0</v>
      </c>
      <c r="P608" s="76">
        <f t="shared" si="174"/>
        <v>0</v>
      </c>
      <c r="Q608" s="206">
        <f t="shared" si="164"/>
        <v>0</v>
      </c>
      <c r="R608" s="206">
        <f t="shared" si="165"/>
        <v>0</v>
      </c>
      <c r="S608" s="206">
        <f t="shared" si="166"/>
        <v>0</v>
      </c>
      <c r="T608" s="206">
        <f t="shared" si="167"/>
        <v>0</v>
      </c>
      <c r="AA608" s="71" t="str">
        <f t="shared" si="175"/>
        <v/>
      </c>
      <c r="AB608" s="189">
        <f t="shared" si="176"/>
        <v>0</v>
      </c>
      <c r="AC608" s="189">
        <f t="shared" si="177"/>
        <v>0</v>
      </c>
      <c r="AD608" s="189">
        <f t="shared" si="178"/>
        <v>0</v>
      </c>
      <c r="AE608" s="189">
        <f t="shared" si="179"/>
        <v>0</v>
      </c>
    </row>
    <row r="609" spans="10:31" x14ac:dyDescent="0.4">
      <c r="J609" s="189" t="str">
        <f t="shared" si="168"/>
        <v/>
      </c>
      <c r="K609" s="189" t="str">
        <f t="shared" si="169"/>
        <v/>
      </c>
      <c r="L609" s="189" t="str">
        <f t="shared" si="170"/>
        <v/>
      </c>
      <c r="M609" s="189" t="str">
        <f t="shared" si="171"/>
        <v/>
      </c>
      <c r="N609" s="76" t="str">
        <f t="shared" si="172"/>
        <v/>
      </c>
      <c r="O609" s="20">
        <f t="shared" si="173"/>
        <v>0</v>
      </c>
      <c r="P609" s="76">
        <f t="shared" si="174"/>
        <v>0</v>
      </c>
      <c r="Q609" s="206">
        <f t="shared" si="164"/>
        <v>0</v>
      </c>
      <c r="R609" s="206">
        <f t="shared" si="165"/>
        <v>0</v>
      </c>
      <c r="S609" s="206">
        <f t="shared" si="166"/>
        <v>0</v>
      </c>
      <c r="T609" s="206">
        <f t="shared" si="167"/>
        <v>0</v>
      </c>
      <c r="AA609" s="71" t="str">
        <f t="shared" si="175"/>
        <v/>
      </c>
      <c r="AB609" s="189">
        <f t="shared" si="176"/>
        <v>0</v>
      </c>
      <c r="AC609" s="189">
        <f t="shared" si="177"/>
        <v>0</v>
      </c>
      <c r="AD609" s="189">
        <f t="shared" si="178"/>
        <v>0</v>
      </c>
      <c r="AE609" s="189">
        <f t="shared" si="179"/>
        <v>0</v>
      </c>
    </row>
    <row r="610" spans="10:31" x14ac:dyDescent="0.4">
      <c r="J610" s="189" t="str">
        <f t="shared" si="168"/>
        <v/>
      </c>
      <c r="K610" s="189" t="str">
        <f t="shared" si="169"/>
        <v/>
      </c>
      <c r="L610" s="189" t="str">
        <f t="shared" si="170"/>
        <v/>
      </c>
      <c r="M610" s="189" t="str">
        <f t="shared" si="171"/>
        <v/>
      </c>
      <c r="N610" s="76" t="str">
        <f t="shared" si="172"/>
        <v/>
      </c>
      <c r="O610" s="20">
        <f t="shared" si="173"/>
        <v>0</v>
      </c>
      <c r="P610" s="76">
        <f t="shared" si="174"/>
        <v>0</v>
      </c>
      <c r="Q610" s="206">
        <f t="shared" si="164"/>
        <v>0</v>
      </c>
      <c r="R610" s="206">
        <f t="shared" si="165"/>
        <v>0</v>
      </c>
      <c r="S610" s="206">
        <f t="shared" si="166"/>
        <v>0</v>
      </c>
      <c r="T610" s="206">
        <f t="shared" si="167"/>
        <v>0</v>
      </c>
      <c r="AA610" s="71" t="str">
        <f t="shared" si="175"/>
        <v/>
      </c>
      <c r="AB610" s="189">
        <f t="shared" si="176"/>
        <v>0</v>
      </c>
      <c r="AC610" s="189">
        <f t="shared" si="177"/>
        <v>0</v>
      </c>
      <c r="AD610" s="189">
        <f t="shared" si="178"/>
        <v>0</v>
      </c>
      <c r="AE610" s="189">
        <f t="shared" si="179"/>
        <v>0</v>
      </c>
    </row>
    <row r="611" spans="10:31" x14ac:dyDescent="0.4">
      <c r="J611" s="189" t="str">
        <f t="shared" si="168"/>
        <v/>
      </c>
      <c r="K611" s="189" t="str">
        <f t="shared" si="169"/>
        <v/>
      </c>
      <c r="L611" s="189" t="str">
        <f t="shared" si="170"/>
        <v/>
      </c>
      <c r="M611" s="189" t="str">
        <f t="shared" si="171"/>
        <v/>
      </c>
      <c r="N611" s="76" t="str">
        <f t="shared" si="172"/>
        <v/>
      </c>
      <c r="O611" s="20">
        <f t="shared" si="173"/>
        <v>0</v>
      </c>
      <c r="P611" s="76">
        <f t="shared" si="174"/>
        <v>0</v>
      </c>
      <c r="Q611" s="206">
        <f t="shared" si="164"/>
        <v>0</v>
      </c>
      <c r="R611" s="206">
        <f t="shared" si="165"/>
        <v>0</v>
      </c>
      <c r="S611" s="206">
        <f t="shared" si="166"/>
        <v>0</v>
      </c>
      <c r="T611" s="206">
        <f t="shared" si="167"/>
        <v>0</v>
      </c>
      <c r="AA611" s="71" t="str">
        <f t="shared" si="175"/>
        <v/>
      </c>
      <c r="AB611" s="189">
        <f t="shared" si="176"/>
        <v>0</v>
      </c>
      <c r="AC611" s="189">
        <f t="shared" si="177"/>
        <v>0</v>
      </c>
      <c r="AD611" s="189">
        <f t="shared" si="178"/>
        <v>0</v>
      </c>
      <c r="AE611" s="189">
        <f t="shared" si="179"/>
        <v>0</v>
      </c>
    </row>
    <row r="612" spans="10:31" x14ac:dyDescent="0.4">
      <c r="J612" s="189" t="str">
        <f t="shared" si="168"/>
        <v/>
      </c>
      <c r="K612" s="189" t="str">
        <f t="shared" si="169"/>
        <v/>
      </c>
      <c r="L612" s="189" t="str">
        <f t="shared" si="170"/>
        <v/>
      </c>
      <c r="M612" s="189" t="str">
        <f t="shared" si="171"/>
        <v/>
      </c>
      <c r="N612" s="76" t="str">
        <f t="shared" si="172"/>
        <v/>
      </c>
      <c r="O612" s="20">
        <f t="shared" si="173"/>
        <v>0</v>
      </c>
      <c r="P612" s="76">
        <f t="shared" si="174"/>
        <v>0</v>
      </c>
      <c r="Q612" s="206">
        <f t="shared" si="164"/>
        <v>0</v>
      </c>
      <c r="R612" s="206">
        <f t="shared" si="165"/>
        <v>0</v>
      </c>
      <c r="S612" s="206">
        <f t="shared" si="166"/>
        <v>0</v>
      </c>
      <c r="T612" s="206">
        <f t="shared" si="167"/>
        <v>0</v>
      </c>
      <c r="AA612" s="71" t="str">
        <f t="shared" si="175"/>
        <v/>
      </c>
      <c r="AB612" s="189">
        <f t="shared" si="176"/>
        <v>0</v>
      </c>
      <c r="AC612" s="189">
        <f t="shared" si="177"/>
        <v>0</v>
      </c>
      <c r="AD612" s="189">
        <f t="shared" si="178"/>
        <v>0</v>
      </c>
      <c r="AE612" s="189">
        <f t="shared" si="179"/>
        <v>0</v>
      </c>
    </row>
    <row r="613" spans="10:31" x14ac:dyDescent="0.4">
      <c r="J613" s="189" t="str">
        <f t="shared" si="168"/>
        <v/>
      </c>
      <c r="K613" s="189" t="str">
        <f t="shared" si="169"/>
        <v/>
      </c>
      <c r="L613" s="189" t="str">
        <f t="shared" si="170"/>
        <v/>
      </c>
      <c r="M613" s="189" t="str">
        <f t="shared" si="171"/>
        <v/>
      </c>
      <c r="N613" s="76" t="str">
        <f t="shared" si="172"/>
        <v/>
      </c>
      <c r="O613" s="20">
        <f t="shared" si="173"/>
        <v>0</v>
      </c>
      <c r="P613" s="76">
        <f t="shared" si="174"/>
        <v>0</v>
      </c>
      <c r="Q613" s="206">
        <f t="shared" si="164"/>
        <v>0</v>
      </c>
      <c r="R613" s="206">
        <f t="shared" si="165"/>
        <v>0</v>
      </c>
      <c r="S613" s="206">
        <f t="shared" si="166"/>
        <v>0</v>
      </c>
      <c r="T613" s="206">
        <f t="shared" si="167"/>
        <v>0</v>
      </c>
      <c r="AA613" s="71" t="str">
        <f t="shared" si="175"/>
        <v/>
      </c>
      <c r="AB613" s="189">
        <f t="shared" si="176"/>
        <v>0</v>
      </c>
      <c r="AC613" s="189">
        <f t="shared" si="177"/>
        <v>0</v>
      </c>
      <c r="AD613" s="189">
        <f t="shared" si="178"/>
        <v>0</v>
      </c>
      <c r="AE613" s="189">
        <f t="shared" si="179"/>
        <v>0</v>
      </c>
    </row>
    <row r="614" spans="10:31" x14ac:dyDescent="0.4">
      <c r="J614" s="189" t="str">
        <f t="shared" si="168"/>
        <v/>
      </c>
      <c r="K614" s="189" t="str">
        <f t="shared" si="169"/>
        <v/>
      </c>
      <c r="L614" s="189" t="str">
        <f t="shared" si="170"/>
        <v/>
      </c>
      <c r="M614" s="189" t="str">
        <f t="shared" si="171"/>
        <v/>
      </c>
      <c r="N614" s="76" t="str">
        <f t="shared" si="172"/>
        <v/>
      </c>
      <c r="O614" s="20">
        <f t="shared" si="173"/>
        <v>0</v>
      </c>
      <c r="P614" s="76">
        <f t="shared" si="174"/>
        <v>0</v>
      </c>
      <c r="Q614" s="206">
        <f t="shared" ref="Q614:Q677" si="180">IF(P614=0,0,VALUE(LEFT(C614,LEN(C614)-4)))</f>
        <v>0</v>
      </c>
      <c r="R614" s="206">
        <f t="shared" ref="R614:R677" si="181">IF(Q614=0,0,VALUE(LEFT(D614,LEN(D614)-4)))</f>
        <v>0</v>
      </c>
      <c r="S614" s="206">
        <f t="shared" ref="S614:S677" si="182">IF(R614=0,0,VALUE(LEFT(E614,LEN(E614)-4)))</f>
        <v>0</v>
      </c>
      <c r="T614" s="206">
        <f t="shared" ref="T614:T677" si="183">IF(S614=0,0,VALUE(LEFT(F614,LEN(F614)-7)))</f>
        <v>0</v>
      </c>
      <c r="AA614" s="71" t="str">
        <f t="shared" si="175"/>
        <v/>
      </c>
      <c r="AB614" s="189">
        <f t="shared" si="176"/>
        <v>0</v>
      </c>
      <c r="AC614" s="189">
        <f t="shared" si="177"/>
        <v>0</v>
      </c>
      <c r="AD614" s="189">
        <f t="shared" si="178"/>
        <v>0</v>
      </c>
      <c r="AE614" s="189">
        <f t="shared" si="179"/>
        <v>0</v>
      </c>
    </row>
    <row r="615" spans="10:31" x14ac:dyDescent="0.4">
      <c r="J615" s="189" t="str">
        <f t="shared" si="168"/>
        <v/>
      </c>
      <c r="K615" s="189" t="str">
        <f t="shared" si="169"/>
        <v/>
      </c>
      <c r="L615" s="189" t="str">
        <f t="shared" si="170"/>
        <v/>
      </c>
      <c r="M615" s="189" t="str">
        <f t="shared" si="171"/>
        <v/>
      </c>
      <c r="N615" s="76" t="str">
        <f t="shared" si="172"/>
        <v/>
      </c>
      <c r="O615" s="20">
        <f t="shared" si="173"/>
        <v>0</v>
      </c>
      <c r="P615" s="76">
        <f t="shared" si="174"/>
        <v>0</v>
      </c>
      <c r="Q615" s="206">
        <f t="shared" si="180"/>
        <v>0</v>
      </c>
      <c r="R615" s="206">
        <f t="shared" si="181"/>
        <v>0</v>
      </c>
      <c r="S615" s="206">
        <f t="shared" si="182"/>
        <v>0</v>
      </c>
      <c r="T615" s="206">
        <f t="shared" si="183"/>
        <v>0</v>
      </c>
      <c r="AA615" s="71" t="str">
        <f t="shared" si="175"/>
        <v/>
      </c>
      <c r="AB615" s="189">
        <f t="shared" si="176"/>
        <v>0</v>
      </c>
      <c r="AC615" s="189">
        <f t="shared" si="177"/>
        <v>0</v>
      </c>
      <c r="AD615" s="189">
        <f t="shared" si="178"/>
        <v>0</v>
      </c>
      <c r="AE615" s="189">
        <f t="shared" si="179"/>
        <v>0</v>
      </c>
    </row>
    <row r="616" spans="10:31" x14ac:dyDescent="0.4">
      <c r="J616" s="189" t="str">
        <f t="shared" si="168"/>
        <v/>
      </c>
      <c r="K616" s="189" t="str">
        <f t="shared" si="169"/>
        <v/>
      </c>
      <c r="L616" s="189" t="str">
        <f t="shared" si="170"/>
        <v/>
      </c>
      <c r="M616" s="189" t="str">
        <f t="shared" si="171"/>
        <v/>
      </c>
      <c r="N616" s="76" t="str">
        <f t="shared" si="172"/>
        <v/>
      </c>
      <c r="O616" s="20">
        <f t="shared" si="173"/>
        <v>0</v>
      </c>
      <c r="P616" s="76">
        <f t="shared" si="174"/>
        <v>0</v>
      </c>
      <c r="Q616" s="206">
        <f t="shared" si="180"/>
        <v>0</v>
      </c>
      <c r="R616" s="206">
        <f t="shared" si="181"/>
        <v>0</v>
      </c>
      <c r="S616" s="206">
        <f t="shared" si="182"/>
        <v>0</v>
      </c>
      <c r="T616" s="206">
        <f t="shared" si="183"/>
        <v>0</v>
      </c>
      <c r="AA616" s="71" t="str">
        <f t="shared" si="175"/>
        <v/>
      </c>
      <c r="AB616" s="189">
        <f t="shared" si="176"/>
        <v>0</v>
      </c>
      <c r="AC616" s="189">
        <f t="shared" si="177"/>
        <v>0</v>
      </c>
      <c r="AD616" s="189">
        <f t="shared" si="178"/>
        <v>0</v>
      </c>
      <c r="AE616" s="189">
        <f t="shared" si="179"/>
        <v>0</v>
      </c>
    </row>
    <row r="617" spans="10:31" x14ac:dyDescent="0.4">
      <c r="J617" s="189" t="str">
        <f t="shared" si="168"/>
        <v/>
      </c>
      <c r="K617" s="189" t="str">
        <f t="shared" si="169"/>
        <v/>
      </c>
      <c r="L617" s="189" t="str">
        <f t="shared" si="170"/>
        <v/>
      </c>
      <c r="M617" s="189" t="str">
        <f t="shared" si="171"/>
        <v/>
      </c>
      <c r="N617" s="76" t="str">
        <f t="shared" si="172"/>
        <v/>
      </c>
      <c r="O617" s="20">
        <f t="shared" si="173"/>
        <v>0</v>
      </c>
      <c r="P617" s="76">
        <f t="shared" si="174"/>
        <v>0</v>
      </c>
      <c r="Q617" s="206">
        <f t="shared" si="180"/>
        <v>0</v>
      </c>
      <c r="R617" s="206">
        <f t="shared" si="181"/>
        <v>0</v>
      </c>
      <c r="S617" s="206">
        <f t="shared" si="182"/>
        <v>0</v>
      </c>
      <c r="T617" s="206">
        <f t="shared" si="183"/>
        <v>0</v>
      </c>
      <c r="AA617" s="71" t="str">
        <f t="shared" si="175"/>
        <v/>
      </c>
      <c r="AB617" s="189">
        <f t="shared" si="176"/>
        <v>0</v>
      </c>
      <c r="AC617" s="189">
        <f t="shared" si="177"/>
        <v>0</v>
      </c>
      <c r="AD617" s="189">
        <f t="shared" si="178"/>
        <v>0</v>
      </c>
      <c r="AE617" s="189">
        <f t="shared" si="179"/>
        <v>0</v>
      </c>
    </row>
    <row r="618" spans="10:31" x14ac:dyDescent="0.4">
      <c r="J618" s="189" t="str">
        <f t="shared" si="168"/>
        <v/>
      </c>
      <c r="K618" s="189" t="str">
        <f t="shared" si="169"/>
        <v/>
      </c>
      <c r="L618" s="189" t="str">
        <f t="shared" si="170"/>
        <v/>
      </c>
      <c r="M618" s="189" t="str">
        <f t="shared" si="171"/>
        <v/>
      </c>
      <c r="N618" s="76" t="str">
        <f t="shared" si="172"/>
        <v/>
      </c>
      <c r="O618" s="20">
        <f t="shared" si="173"/>
        <v>0</v>
      </c>
      <c r="P618" s="76">
        <f t="shared" si="174"/>
        <v>0</v>
      </c>
      <c r="Q618" s="206">
        <f t="shared" si="180"/>
        <v>0</v>
      </c>
      <c r="R618" s="206">
        <f t="shared" si="181"/>
        <v>0</v>
      </c>
      <c r="S618" s="206">
        <f t="shared" si="182"/>
        <v>0</v>
      </c>
      <c r="T618" s="206">
        <f t="shared" si="183"/>
        <v>0</v>
      </c>
      <c r="AA618" s="71" t="str">
        <f t="shared" si="175"/>
        <v/>
      </c>
      <c r="AB618" s="189">
        <f t="shared" si="176"/>
        <v>0</v>
      </c>
      <c r="AC618" s="189">
        <f t="shared" si="177"/>
        <v>0</v>
      </c>
      <c r="AD618" s="189">
        <f t="shared" si="178"/>
        <v>0</v>
      </c>
      <c r="AE618" s="189">
        <f t="shared" si="179"/>
        <v>0</v>
      </c>
    </row>
    <row r="619" spans="10:31" x14ac:dyDescent="0.4">
      <c r="J619" s="189" t="str">
        <f t="shared" si="168"/>
        <v/>
      </c>
      <c r="K619" s="189" t="str">
        <f t="shared" si="169"/>
        <v/>
      </c>
      <c r="L619" s="189" t="str">
        <f t="shared" si="170"/>
        <v/>
      </c>
      <c r="M619" s="189" t="str">
        <f t="shared" si="171"/>
        <v/>
      </c>
      <c r="N619" s="76" t="str">
        <f t="shared" si="172"/>
        <v/>
      </c>
      <c r="O619" s="20">
        <f t="shared" si="173"/>
        <v>0</v>
      </c>
      <c r="P619" s="76">
        <f t="shared" si="174"/>
        <v>0</v>
      </c>
      <c r="Q619" s="206">
        <f t="shared" si="180"/>
        <v>0</v>
      </c>
      <c r="R619" s="206">
        <f t="shared" si="181"/>
        <v>0</v>
      </c>
      <c r="S619" s="206">
        <f t="shared" si="182"/>
        <v>0</v>
      </c>
      <c r="T619" s="206">
        <f t="shared" si="183"/>
        <v>0</v>
      </c>
      <c r="AA619" s="71" t="str">
        <f t="shared" si="175"/>
        <v/>
      </c>
      <c r="AB619" s="189">
        <f t="shared" si="176"/>
        <v>0</v>
      </c>
      <c r="AC619" s="189">
        <f t="shared" si="177"/>
        <v>0</v>
      </c>
      <c r="AD619" s="189">
        <f t="shared" si="178"/>
        <v>0</v>
      </c>
      <c r="AE619" s="189">
        <f t="shared" si="179"/>
        <v>0</v>
      </c>
    </row>
    <row r="620" spans="10:31" x14ac:dyDescent="0.4">
      <c r="J620" s="189" t="str">
        <f t="shared" si="168"/>
        <v/>
      </c>
      <c r="K620" s="189" t="str">
        <f t="shared" si="169"/>
        <v/>
      </c>
      <c r="L620" s="189" t="str">
        <f t="shared" si="170"/>
        <v/>
      </c>
      <c r="M620" s="189" t="str">
        <f t="shared" si="171"/>
        <v/>
      </c>
      <c r="N620" s="76" t="str">
        <f t="shared" si="172"/>
        <v/>
      </c>
      <c r="O620" s="20">
        <f t="shared" si="173"/>
        <v>0</v>
      </c>
      <c r="P620" s="76">
        <f t="shared" si="174"/>
        <v>0</v>
      </c>
      <c r="Q620" s="206">
        <f t="shared" si="180"/>
        <v>0</v>
      </c>
      <c r="R620" s="206">
        <f t="shared" si="181"/>
        <v>0</v>
      </c>
      <c r="S620" s="206">
        <f t="shared" si="182"/>
        <v>0</v>
      </c>
      <c r="T620" s="206">
        <f t="shared" si="183"/>
        <v>0</v>
      </c>
      <c r="AA620" s="71" t="str">
        <f t="shared" si="175"/>
        <v/>
      </c>
      <c r="AB620" s="189">
        <f t="shared" si="176"/>
        <v>0</v>
      </c>
      <c r="AC620" s="189">
        <f t="shared" si="177"/>
        <v>0</v>
      </c>
      <c r="AD620" s="189">
        <f t="shared" si="178"/>
        <v>0</v>
      </c>
      <c r="AE620" s="189">
        <f t="shared" si="179"/>
        <v>0</v>
      </c>
    </row>
    <row r="621" spans="10:31" x14ac:dyDescent="0.4">
      <c r="J621" s="189" t="str">
        <f t="shared" si="168"/>
        <v/>
      </c>
      <c r="K621" s="189" t="str">
        <f t="shared" si="169"/>
        <v/>
      </c>
      <c r="L621" s="189" t="str">
        <f t="shared" si="170"/>
        <v/>
      </c>
      <c r="M621" s="189" t="str">
        <f t="shared" si="171"/>
        <v/>
      </c>
      <c r="N621" s="76" t="str">
        <f t="shared" si="172"/>
        <v/>
      </c>
      <c r="O621" s="20">
        <f t="shared" si="173"/>
        <v>0</v>
      </c>
      <c r="P621" s="76">
        <f t="shared" si="174"/>
        <v>0</v>
      </c>
      <c r="Q621" s="206">
        <f t="shared" si="180"/>
        <v>0</v>
      </c>
      <c r="R621" s="206">
        <f t="shared" si="181"/>
        <v>0</v>
      </c>
      <c r="S621" s="206">
        <f t="shared" si="182"/>
        <v>0</v>
      </c>
      <c r="T621" s="206">
        <f t="shared" si="183"/>
        <v>0</v>
      </c>
      <c r="AA621" s="71" t="str">
        <f t="shared" si="175"/>
        <v/>
      </c>
      <c r="AB621" s="189">
        <f t="shared" si="176"/>
        <v>0</v>
      </c>
      <c r="AC621" s="189">
        <f t="shared" si="177"/>
        <v>0</v>
      </c>
      <c r="AD621" s="189">
        <f t="shared" si="178"/>
        <v>0</v>
      </c>
      <c r="AE621" s="189">
        <f t="shared" si="179"/>
        <v>0</v>
      </c>
    </row>
    <row r="622" spans="10:31" x14ac:dyDescent="0.4">
      <c r="J622" s="189" t="str">
        <f t="shared" si="168"/>
        <v/>
      </c>
      <c r="K622" s="189" t="str">
        <f t="shared" si="169"/>
        <v/>
      </c>
      <c r="L622" s="189" t="str">
        <f t="shared" si="170"/>
        <v/>
      </c>
      <c r="M622" s="189" t="str">
        <f t="shared" si="171"/>
        <v/>
      </c>
      <c r="N622" s="76" t="str">
        <f t="shared" si="172"/>
        <v/>
      </c>
      <c r="O622" s="20">
        <f t="shared" si="173"/>
        <v>0</v>
      </c>
      <c r="P622" s="76">
        <f t="shared" si="174"/>
        <v>0</v>
      </c>
      <c r="Q622" s="206">
        <f t="shared" si="180"/>
        <v>0</v>
      </c>
      <c r="R622" s="206">
        <f t="shared" si="181"/>
        <v>0</v>
      </c>
      <c r="S622" s="206">
        <f t="shared" si="182"/>
        <v>0</v>
      </c>
      <c r="T622" s="206">
        <f t="shared" si="183"/>
        <v>0</v>
      </c>
      <c r="AA622" s="71" t="str">
        <f t="shared" si="175"/>
        <v/>
      </c>
      <c r="AB622" s="189">
        <f t="shared" si="176"/>
        <v>0</v>
      </c>
      <c r="AC622" s="189">
        <f t="shared" si="177"/>
        <v>0</v>
      </c>
      <c r="AD622" s="189">
        <f t="shared" si="178"/>
        <v>0</v>
      </c>
      <c r="AE622" s="189">
        <f t="shared" si="179"/>
        <v>0</v>
      </c>
    </row>
    <row r="623" spans="10:31" x14ac:dyDescent="0.4">
      <c r="J623" s="189" t="str">
        <f t="shared" si="168"/>
        <v/>
      </c>
      <c r="K623" s="189" t="str">
        <f t="shared" si="169"/>
        <v/>
      </c>
      <c r="L623" s="189" t="str">
        <f t="shared" si="170"/>
        <v/>
      </c>
      <c r="M623" s="189" t="str">
        <f t="shared" si="171"/>
        <v/>
      </c>
      <c r="N623" s="76" t="str">
        <f t="shared" si="172"/>
        <v/>
      </c>
      <c r="O623" s="20">
        <f t="shared" si="173"/>
        <v>0</v>
      </c>
      <c r="P623" s="76">
        <f t="shared" si="174"/>
        <v>0</v>
      </c>
      <c r="Q623" s="206">
        <f t="shared" si="180"/>
        <v>0</v>
      </c>
      <c r="R623" s="206">
        <f t="shared" si="181"/>
        <v>0</v>
      </c>
      <c r="S623" s="206">
        <f t="shared" si="182"/>
        <v>0</v>
      </c>
      <c r="T623" s="206">
        <f t="shared" si="183"/>
        <v>0</v>
      </c>
      <c r="AA623" s="71" t="str">
        <f t="shared" si="175"/>
        <v/>
      </c>
      <c r="AB623" s="189">
        <f t="shared" si="176"/>
        <v>0</v>
      </c>
      <c r="AC623" s="189">
        <f t="shared" si="177"/>
        <v>0</v>
      </c>
      <c r="AD623" s="189">
        <f t="shared" si="178"/>
        <v>0</v>
      </c>
      <c r="AE623" s="189">
        <f t="shared" si="179"/>
        <v>0</v>
      </c>
    </row>
    <row r="624" spans="10:31" x14ac:dyDescent="0.4">
      <c r="J624" s="189" t="str">
        <f t="shared" si="168"/>
        <v/>
      </c>
      <c r="K624" s="189" t="str">
        <f t="shared" si="169"/>
        <v/>
      </c>
      <c r="L624" s="189" t="str">
        <f t="shared" si="170"/>
        <v/>
      </c>
      <c r="M624" s="189" t="str">
        <f t="shared" si="171"/>
        <v/>
      </c>
      <c r="N624" s="76" t="str">
        <f t="shared" si="172"/>
        <v/>
      </c>
      <c r="O624" s="20">
        <f t="shared" si="173"/>
        <v>0</v>
      </c>
      <c r="P624" s="76">
        <f t="shared" si="174"/>
        <v>0</v>
      </c>
      <c r="Q624" s="206">
        <f t="shared" si="180"/>
        <v>0</v>
      </c>
      <c r="R624" s="206">
        <f t="shared" si="181"/>
        <v>0</v>
      </c>
      <c r="S624" s="206">
        <f t="shared" si="182"/>
        <v>0</v>
      </c>
      <c r="T624" s="206">
        <f t="shared" si="183"/>
        <v>0</v>
      </c>
      <c r="AA624" s="71" t="str">
        <f t="shared" si="175"/>
        <v/>
      </c>
      <c r="AB624" s="189">
        <f t="shared" si="176"/>
        <v>0</v>
      </c>
      <c r="AC624" s="189">
        <f t="shared" si="177"/>
        <v>0</v>
      </c>
      <c r="AD624" s="189">
        <f t="shared" si="178"/>
        <v>0</v>
      </c>
      <c r="AE624" s="189">
        <f t="shared" si="179"/>
        <v>0</v>
      </c>
    </row>
    <row r="625" spans="10:31" x14ac:dyDescent="0.4">
      <c r="J625" s="189" t="str">
        <f t="shared" si="168"/>
        <v/>
      </c>
      <c r="K625" s="189" t="str">
        <f t="shared" si="169"/>
        <v/>
      </c>
      <c r="L625" s="189" t="str">
        <f t="shared" si="170"/>
        <v/>
      </c>
      <c r="M625" s="189" t="str">
        <f t="shared" si="171"/>
        <v/>
      </c>
      <c r="N625" s="76" t="str">
        <f t="shared" si="172"/>
        <v/>
      </c>
      <c r="O625" s="20">
        <f t="shared" si="173"/>
        <v>0</v>
      </c>
      <c r="P625" s="76">
        <f t="shared" si="174"/>
        <v>0</v>
      </c>
      <c r="Q625" s="206">
        <f t="shared" si="180"/>
        <v>0</v>
      </c>
      <c r="R625" s="206">
        <f t="shared" si="181"/>
        <v>0</v>
      </c>
      <c r="S625" s="206">
        <f t="shared" si="182"/>
        <v>0</v>
      </c>
      <c r="T625" s="206">
        <f t="shared" si="183"/>
        <v>0</v>
      </c>
      <c r="AA625" s="71" t="str">
        <f t="shared" si="175"/>
        <v/>
      </c>
      <c r="AB625" s="189">
        <f t="shared" si="176"/>
        <v>0</v>
      </c>
      <c r="AC625" s="189">
        <f t="shared" si="177"/>
        <v>0</v>
      </c>
      <c r="AD625" s="189">
        <f t="shared" si="178"/>
        <v>0</v>
      </c>
      <c r="AE625" s="189">
        <f t="shared" si="179"/>
        <v>0</v>
      </c>
    </row>
    <row r="626" spans="10:31" x14ac:dyDescent="0.4">
      <c r="J626" s="189" t="str">
        <f t="shared" si="168"/>
        <v/>
      </c>
      <c r="K626" s="189" t="str">
        <f t="shared" si="169"/>
        <v/>
      </c>
      <c r="L626" s="189" t="str">
        <f t="shared" si="170"/>
        <v/>
      </c>
      <c r="M626" s="189" t="str">
        <f t="shared" si="171"/>
        <v/>
      </c>
      <c r="N626" s="76" t="str">
        <f t="shared" si="172"/>
        <v/>
      </c>
      <c r="O626" s="20">
        <f t="shared" si="173"/>
        <v>0</v>
      </c>
      <c r="P626" s="76">
        <f t="shared" si="174"/>
        <v>0</v>
      </c>
      <c r="Q626" s="206">
        <f t="shared" si="180"/>
        <v>0</v>
      </c>
      <c r="R626" s="206">
        <f t="shared" si="181"/>
        <v>0</v>
      </c>
      <c r="S626" s="206">
        <f t="shared" si="182"/>
        <v>0</v>
      </c>
      <c r="T626" s="206">
        <f t="shared" si="183"/>
        <v>0</v>
      </c>
      <c r="AA626" s="71" t="str">
        <f t="shared" si="175"/>
        <v/>
      </c>
      <c r="AB626" s="189">
        <f t="shared" si="176"/>
        <v>0</v>
      </c>
      <c r="AC626" s="189">
        <f t="shared" si="177"/>
        <v>0</v>
      </c>
      <c r="AD626" s="189">
        <f t="shared" si="178"/>
        <v>0</v>
      </c>
      <c r="AE626" s="189">
        <f t="shared" si="179"/>
        <v>0</v>
      </c>
    </row>
    <row r="627" spans="10:31" x14ac:dyDescent="0.4">
      <c r="J627" s="189" t="str">
        <f t="shared" si="168"/>
        <v/>
      </c>
      <c r="K627" s="189" t="str">
        <f t="shared" si="169"/>
        <v/>
      </c>
      <c r="L627" s="189" t="str">
        <f t="shared" si="170"/>
        <v/>
      </c>
      <c r="M627" s="189" t="str">
        <f t="shared" si="171"/>
        <v/>
      </c>
      <c r="N627" s="76" t="str">
        <f t="shared" si="172"/>
        <v/>
      </c>
      <c r="O627" s="20">
        <f t="shared" si="173"/>
        <v>0</v>
      </c>
      <c r="P627" s="76">
        <f t="shared" si="174"/>
        <v>0</v>
      </c>
      <c r="Q627" s="206">
        <f t="shared" si="180"/>
        <v>0</v>
      </c>
      <c r="R627" s="206">
        <f t="shared" si="181"/>
        <v>0</v>
      </c>
      <c r="S627" s="206">
        <f t="shared" si="182"/>
        <v>0</v>
      </c>
      <c r="T627" s="206">
        <f t="shared" si="183"/>
        <v>0</v>
      </c>
      <c r="AA627" s="71" t="str">
        <f t="shared" si="175"/>
        <v/>
      </c>
      <c r="AB627" s="189">
        <f t="shared" si="176"/>
        <v>0</v>
      </c>
      <c r="AC627" s="189">
        <f t="shared" si="177"/>
        <v>0</v>
      </c>
      <c r="AD627" s="189">
        <f t="shared" si="178"/>
        <v>0</v>
      </c>
      <c r="AE627" s="189">
        <f t="shared" si="179"/>
        <v>0</v>
      </c>
    </row>
    <row r="628" spans="10:31" x14ac:dyDescent="0.4">
      <c r="J628" s="189" t="str">
        <f t="shared" ref="J628:J691" si="184">IF(G628="Détail des tarifs",LEN(A628),"")</f>
        <v/>
      </c>
      <c r="K628" s="189" t="str">
        <f t="shared" ref="K628:K691" si="185">IF(J628="","",LEFT(A628,3))</f>
        <v/>
      </c>
      <c r="L628" s="189" t="str">
        <f t="shared" ref="L628:L691" si="186">IF(K628&lt;&gt;"",MID(A628,7,3),"")</f>
        <v/>
      </c>
      <c r="M628" s="189" t="str">
        <f t="shared" ref="M628:M691" si="187">IF(K628&lt;&gt;"",RIGHT(A628,2),"")</f>
        <v/>
      </c>
      <c r="N628" s="76" t="str">
        <f t="shared" ref="N628:N691" si="188">IF(K628&lt;&gt;"",CONCATENATE(K628,"/",L628),"")</f>
        <v/>
      </c>
      <c r="O628" s="20">
        <f t="shared" ref="O628:O691" si="189">IF(J628&lt;&gt;"",LEFT(B628,LEN(B628)-3),0)</f>
        <v>0</v>
      </c>
      <c r="P628" s="76">
        <f t="shared" ref="P628:P691" si="190">IF(O628&lt;&gt;"",VALUE(O628),"")</f>
        <v>0</v>
      </c>
      <c r="Q628" s="206">
        <f t="shared" si="180"/>
        <v>0</v>
      </c>
      <c r="R628" s="206">
        <f t="shared" si="181"/>
        <v>0</v>
      </c>
      <c r="S628" s="206">
        <f t="shared" si="182"/>
        <v>0</v>
      </c>
      <c r="T628" s="206">
        <f t="shared" si="183"/>
        <v>0</v>
      </c>
      <c r="AA628" s="71" t="str">
        <f t="shared" si="175"/>
        <v/>
      </c>
      <c r="AB628" s="189">
        <f t="shared" si="176"/>
        <v>0</v>
      </c>
      <c r="AC628" s="189">
        <f t="shared" si="177"/>
        <v>0</v>
      </c>
      <c r="AD628" s="189">
        <f t="shared" si="178"/>
        <v>0</v>
      </c>
      <c r="AE628" s="189">
        <f t="shared" si="179"/>
        <v>0</v>
      </c>
    </row>
    <row r="629" spans="10:31" x14ac:dyDescent="0.4">
      <c r="J629" s="189" t="str">
        <f t="shared" si="184"/>
        <v/>
      </c>
      <c r="K629" s="189" t="str">
        <f t="shared" si="185"/>
        <v/>
      </c>
      <c r="L629" s="189" t="str">
        <f t="shared" si="186"/>
        <v/>
      </c>
      <c r="M629" s="189" t="str">
        <f t="shared" si="187"/>
        <v/>
      </c>
      <c r="N629" s="76" t="str">
        <f t="shared" si="188"/>
        <v/>
      </c>
      <c r="O629" s="20">
        <f t="shared" si="189"/>
        <v>0</v>
      </c>
      <c r="P629" s="76">
        <f t="shared" si="190"/>
        <v>0</v>
      </c>
      <c r="Q629" s="206">
        <f t="shared" si="180"/>
        <v>0</v>
      </c>
      <c r="R629" s="206">
        <f t="shared" si="181"/>
        <v>0</v>
      </c>
      <c r="S629" s="206">
        <f t="shared" si="182"/>
        <v>0</v>
      </c>
      <c r="T629" s="206">
        <f t="shared" si="183"/>
        <v>0</v>
      </c>
      <c r="AA629" s="71" t="str">
        <f t="shared" si="175"/>
        <v/>
      </c>
      <c r="AB629" s="189">
        <f t="shared" si="176"/>
        <v>0</v>
      </c>
      <c r="AC629" s="189">
        <f t="shared" si="177"/>
        <v>0</v>
      </c>
      <c r="AD629" s="189">
        <f t="shared" si="178"/>
        <v>0</v>
      </c>
      <c r="AE629" s="189">
        <f t="shared" si="179"/>
        <v>0</v>
      </c>
    </row>
    <row r="630" spans="10:31" x14ac:dyDescent="0.4">
      <c r="J630" s="189" t="str">
        <f t="shared" si="184"/>
        <v/>
      </c>
      <c r="K630" s="189" t="str">
        <f t="shared" si="185"/>
        <v/>
      </c>
      <c r="L630" s="189" t="str">
        <f t="shared" si="186"/>
        <v/>
      </c>
      <c r="M630" s="189" t="str">
        <f t="shared" si="187"/>
        <v/>
      </c>
      <c r="N630" s="76" t="str">
        <f t="shared" si="188"/>
        <v/>
      </c>
      <c r="O630" s="20">
        <f t="shared" si="189"/>
        <v>0</v>
      </c>
      <c r="P630" s="76">
        <f t="shared" si="190"/>
        <v>0</v>
      </c>
      <c r="Q630" s="206">
        <f t="shared" si="180"/>
        <v>0</v>
      </c>
      <c r="R630" s="206">
        <f t="shared" si="181"/>
        <v>0</v>
      </c>
      <c r="S630" s="206">
        <f t="shared" si="182"/>
        <v>0</v>
      </c>
      <c r="T630" s="206">
        <f t="shared" si="183"/>
        <v>0</v>
      </c>
      <c r="AA630" s="71" t="str">
        <f t="shared" si="175"/>
        <v/>
      </c>
      <c r="AB630" s="189">
        <f t="shared" si="176"/>
        <v>0</v>
      </c>
      <c r="AC630" s="189">
        <f t="shared" si="177"/>
        <v>0</v>
      </c>
      <c r="AD630" s="189">
        <f t="shared" si="178"/>
        <v>0</v>
      </c>
      <c r="AE630" s="189">
        <f t="shared" si="179"/>
        <v>0</v>
      </c>
    </row>
    <row r="631" spans="10:31" x14ac:dyDescent="0.4">
      <c r="J631" s="189" t="str">
        <f t="shared" si="184"/>
        <v/>
      </c>
      <c r="K631" s="189" t="str">
        <f t="shared" si="185"/>
        <v/>
      </c>
      <c r="L631" s="189" t="str">
        <f t="shared" si="186"/>
        <v/>
      </c>
      <c r="M631" s="189" t="str">
        <f t="shared" si="187"/>
        <v/>
      </c>
      <c r="N631" s="76" t="str">
        <f t="shared" si="188"/>
        <v/>
      </c>
      <c r="O631" s="20">
        <f t="shared" si="189"/>
        <v>0</v>
      </c>
      <c r="P631" s="76">
        <f t="shared" si="190"/>
        <v>0</v>
      </c>
      <c r="Q631" s="206">
        <f t="shared" si="180"/>
        <v>0</v>
      </c>
      <c r="R631" s="206">
        <f t="shared" si="181"/>
        <v>0</v>
      </c>
      <c r="S631" s="206">
        <f t="shared" si="182"/>
        <v>0</v>
      </c>
      <c r="T631" s="206">
        <f t="shared" si="183"/>
        <v>0</v>
      </c>
      <c r="AA631" s="71" t="str">
        <f t="shared" si="175"/>
        <v/>
      </c>
      <c r="AB631" s="189">
        <f t="shared" si="176"/>
        <v>0</v>
      </c>
      <c r="AC631" s="189">
        <f t="shared" si="177"/>
        <v>0</v>
      </c>
      <c r="AD631" s="189">
        <f t="shared" si="178"/>
        <v>0</v>
      </c>
      <c r="AE631" s="189">
        <f t="shared" si="179"/>
        <v>0</v>
      </c>
    </row>
    <row r="632" spans="10:31" x14ac:dyDescent="0.4">
      <c r="J632" s="189" t="str">
        <f t="shared" si="184"/>
        <v/>
      </c>
      <c r="K632" s="189" t="str">
        <f t="shared" si="185"/>
        <v/>
      </c>
      <c r="L632" s="189" t="str">
        <f t="shared" si="186"/>
        <v/>
      </c>
      <c r="M632" s="189" t="str">
        <f t="shared" si="187"/>
        <v/>
      </c>
      <c r="N632" s="76" t="str">
        <f t="shared" si="188"/>
        <v/>
      </c>
      <c r="O632" s="20">
        <f t="shared" si="189"/>
        <v>0</v>
      </c>
      <c r="P632" s="76">
        <f t="shared" si="190"/>
        <v>0</v>
      </c>
      <c r="Q632" s="206">
        <f t="shared" si="180"/>
        <v>0</v>
      </c>
      <c r="R632" s="206">
        <f t="shared" si="181"/>
        <v>0</v>
      </c>
      <c r="S632" s="206">
        <f t="shared" si="182"/>
        <v>0</v>
      </c>
      <c r="T632" s="206">
        <f t="shared" si="183"/>
        <v>0</v>
      </c>
      <c r="AA632" s="71" t="str">
        <f t="shared" si="175"/>
        <v/>
      </c>
      <c r="AB632" s="189">
        <f t="shared" si="176"/>
        <v>0</v>
      </c>
      <c r="AC632" s="189">
        <f t="shared" si="177"/>
        <v>0</v>
      </c>
      <c r="AD632" s="189">
        <f t="shared" si="178"/>
        <v>0</v>
      </c>
      <c r="AE632" s="189">
        <f t="shared" si="179"/>
        <v>0</v>
      </c>
    </row>
    <row r="633" spans="10:31" x14ac:dyDescent="0.4">
      <c r="J633" s="189" t="str">
        <f t="shared" si="184"/>
        <v/>
      </c>
      <c r="K633" s="189" t="str">
        <f t="shared" si="185"/>
        <v/>
      </c>
      <c r="L633" s="189" t="str">
        <f t="shared" si="186"/>
        <v/>
      </c>
      <c r="M633" s="189" t="str">
        <f t="shared" si="187"/>
        <v/>
      </c>
      <c r="N633" s="76" t="str">
        <f t="shared" si="188"/>
        <v/>
      </c>
      <c r="O633" s="20">
        <f t="shared" si="189"/>
        <v>0</v>
      </c>
      <c r="P633" s="76">
        <f t="shared" si="190"/>
        <v>0</v>
      </c>
      <c r="Q633" s="206">
        <f t="shared" si="180"/>
        <v>0</v>
      </c>
      <c r="R633" s="206">
        <f t="shared" si="181"/>
        <v>0</v>
      </c>
      <c r="S633" s="206">
        <f t="shared" si="182"/>
        <v>0</v>
      </c>
      <c r="T633" s="206">
        <f t="shared" si="183"/>
        <v>0</v>
      </c>
      <c r="AA633" s="71" t="str">
        <f t="shared" si="175"/>
        <v/>
      </c>
      <c r="AB633" s="189">
        <f t="shared" si="176"/>
        <v>0</v>
      </c>
      <c r="AC633" s="189">
        <f t="shared" si="177"/>
        <v>0</v>
      </c>
      <c r="AD633" s="189">
        <f t="shared" si="178"/>
        <v>0</v>
      </c>
      <c r="AE633" s="189">
        <f t="shared" si="179"/>
        <v>0</v>
      </c>
    </row>
    <row r="634" spans="10:31" x14ac:dyDescent="0.4">
      <c r="J634" s="189" t="str">
        <f t="shared" si="184"/>
        <v/>
      </c>
      <c r="K634" s="189" t="str">
        <f t="shared" si="185"/>
        <v/>
      </c>
      <c r="L634" s="189" t="str">
        <f t="shared" si="186"/>
        <v/>
      </c>
      <c r="M634" s="189" t="str">
        <f t="shared" si="187"/>
        <v/>
      </c>
      <c r="N634" s="76" t="str">
        <f t="shared" si="188"/>
        <v/>
      </c>
      <c r="O634" s="20">
        <f t="shared" si="189"/>
        <v>0</v>
      </c>
      <c r="P634" s="76">
        <f t="shared" si="190"/>
        <v>0</v>
      </c>
      <c r="Q634" s="206">
        <f t="shared" si="180"/>
        <v>0</v>
      </c>
      <c r="R634" s="206">
        <f t="shared" si="181"/>
        <v>0</v>
      </c>
      <c r="S634" s="206">
        <f t="shared" si="182"/>
        <v>0</v>
      </c>
      <c r="T634" s="206">
        <f t="shared" si="183"/>
        <v>0</v>
      </c>
      <c r="AA634" s="71" t="str">
        <f t="shared" si="175"/>
        <v/>
      </c>
      <c r="AB634" s="189">
        <f t="shared" si="176"/>
        <v>0</v>
      </c>
      <c r="AC634" s="189">
        <f t="shared" si="177"/>
        <v>0</v>
      </c>
      <c r="AD634" s="189">
        <f t="shared" si="178"/>
        <v>0</v>
      </c>
      <c r="AE634" s="189">
        <f t="shared" si="179"/>
        <v>0</v>
      </c>
    </row>
    <row r="635" spans="10:31" x14ac:dyDescent="0.4">
      <c r="J635" s="189" t="str">
        <f t="shared" si="184"/>
        <v/>
      </c>
      <c r="K635" s="189" t="str">
        <f t="shared" si="185"/>
        <v/>
      </c>
      <c r="L635" s="189" t="str">
        <f t="shared" si="186"/>
        <v/>
      </c>
      <c r="M635" s="189" t="str">
        <f t="shared" si="187"/>
        <v/>
      </c>
      <c r="N635" s="76" t="str">
        <f t="shared" si="188"/>
        <v/>
      </c>
      <c r="O635" s="20">
        <f t="shared" si="189"/>
        <v>0</v>
      </c>
      <c r="P635" s="76">
        <f t="shared" si="190"/>
        <v>0</v>
      </c>
      <c r="Q635" s="206">
        <f t="shared" si="180"/>
        <v>0</v>
      </c>
      <c r="R635" s="206">
        <f t="shared" si="181"/>
        <v>0</v>
      </c>
      <c r="S635" s="206">
        <f t="shared" si="182"/>
        <v>0</v>
      </c>
      <c r="T635" s="206">
        <f t="shared" si="183"/>
        <v>0</v>
      </c>
      <c r="AA635" s="71" t="str">
        <f t="shared" si="175"/>
        <v/>
      </c>
      <c r="AB635" s="189">
        <f t="shared" si="176"/>
        <v>0</v>
      </c>
      <c r="AC635" s="189">
        <f t="shared" si="177"/>
        <v>0</v>
      </c>
      <c r="AD635" s="189">
        <f t="shared" si="178"/>
        <v>0</v>
      </c>
      <c r="AE635" s="189">
        <f t="shared" si="179"/>
        <v>0</v>
      </c>
    </row>
    <row r="636" spans="10:31" x14ac:dyDescent="0.4">
      <c r="J636" s="189" t="str">
        <f t="shared" si="184"/>
        <v/>
      </c>
      <c r="K636" s="189" t="str">
        <f t="shared" si="185"/>
        <v/>
      </c>
      <c r="L636" s="189" t="str">
        <f t="shared" si="186"/>
        <v/>
      </c>
      <c r="M636" s="189" t="str">
        <f t="shared" si="187"/>
        <v/>
      </c>
      <c r="N636" s="76" t="str">
        <f t="shared" si="188"/>
        <v/>
      </c>
      <c r="O636" s="20">
        <f t="shared" si="189"/>
        <v>0</v>
      </c>
      <c r="P636" s="76">
        <f t="shared" si="190"/>
        <v>0</v>
      </c>
      <c r="Q636" s="206">
        <f t="shared" si="180"/>
        <v>0</v>
      </c>
      <c r="R636" s="206">
        <f t="shared" si="181"/>
        <v>0</v>
      </c>
      <c r="S636" s="206">
        <f t="shared" si="182"/>
        <v>0</v>
      </c>
      <c r="T636" s="206">
        <f t="shared" si="183"/>
        <v>0</v>
      </c>
      <c r="AA636" s="71" t="str">
        <f t="shared" si="175"/>
        <v/>
      </c>
      <c r="AB636" s="189">
        <f t="shared" si="176"/>
        <v>0</v>
      </c>
      <c r="AC636" s="189">
        <f t="shared" si="177"/>
        <v>0</v>
      </c>
      <c r="AD636" s="189">
        <f t="shared" si="178"/>
        <v>0</v>
      </c>
      <c r="AE636" s="189">
        <f t="shared" si="179"/>
        <v>0</v>
      </c>
    </row>
    <row r="637" spans="10:31" x14ac:dyDescent="0.4">
      <c r="J637" s="189" t="str">
        <f t="shared" si="184"/>
        <v/>
      </c>
      <c r="K637" s="189" t="str">
        <f t="shared" si="185"/>
        <v/>
      </c>
      <c r="L637" s="189" t="str">
        <f t="shared" si="186"/>
        <v/>
      </c>
      <c r="M637" s="189" t="str">
        <f t="shared" si="187"/>
        <v/>
      </c>
      <c r="N637" s="76" t="str">
        <f t="shared" si="188"/>
        <v/>
      </c>
      <c r="O637" s="20">
        <f t="shared" si="189"/>
        <v>0</v>
      </c>
      <c r="P637" s="76">
        <f t="shared" si="190"/>
        <v>0</v>
      </c>
      <c r="Q637" s="206">
        <f t="shared" si="180"/>
        <v>0</v>
      </c>
      <c r="R637" s="206">
        <f t="shared" si="181"/>
        <v>0</v>
      </c>
      <c r="S637" s="206">
        <f t="shared" si="182"/>
        <v>0</v>
      </c>
      <c r="T637" s="206">
        <f t="shared" si="183"/>
        <v>0</v>
      </c>
      <c r="AA637" s="71" t="str">
        <f t="shared" si="175"/>
        <v/>
      </c>
      <c r="AB637" s="189">
        <f t="shared" si="176"/>
        <v>0</v>
      </c>
      <c r="AC637" s="189">
        <f t="shared" si="177"/>
        <v>0</v>
      </c>
      <c r="AD637" s="189">
        <f t="shared" si="178"/>
        <v>0</v>
      </c>
      <c r="AE637" s="189">
        <f t="shared" si="179"/>
        <v>0</v>
      </c>
    </row>
    <row r="638" spans="10:31" x14ac:dyDescent="0.4">
      <c r="J638" s="189" t="str">
        <f t="shared" si="184"/>
        <v/>
      </c>
      <c r="K638" s="189" t="str">
        <f t="shared" si="185"/>
        <v/>
      </c>
      <c r="L638" s="189" t="str">
        <f t="shared" si="186"/>
        <v/>
      </c>
      <c r="M638" s="189" t="str">
        <f t="shared" si="187"/>
        <v/>
      </c>
      <c r="N638" s="76" t="str">
        <f t="shared" si="188"/>
        <v/>
      </c>
      <c r="O638" s="20">
        <f t="shared" si="189"/>
        <v>0</v>
      </c>
      <c r="P638" s="76">
        <f t="shared" si="190"/>
        <v>0</v>
      </c>
      <c r="Q638" s="206">
        <f t="shared" si="180"/>
        <v>0</v>
      </c>
      <c r="R638" s="206">
        <f t="shared" si="181"/>
        <v>0</v>
      </c>
      <c r="S638" s="206">
        <f t="shared" si="182"/>
        <v>0</v>
      </c>
      <c r="T638" s="206">
        <f t="shared" si="183"/>
        <v>0</v>
      </c>
      <c r="AA638" s="71" t="str">
        <f t="shared" si="175"/>
        <v/>
      </c>
      <c r="AB638" s="189">
        <f t="shared" si="176"/>
        <v>0</v>
      </c>
      <c r="AC638" s="189">
        <f t="shared" si="177"/>
        <v>0</v>
      </c>
      <c r="AD638" s="189">
        <f t="shared" si="178"/>
        <v>0</v>
      </c>
      <c r="AE638" s="189">
        <f t="shared" si="179"/>
        <v>0</v>
      </c>
    </row>
    <row r="639" spans="10:31" x14ac:dyDescent="0.4">
      <c r="J639" s="189" t="str">
        <f t="shared" si="184"/>
        <v/>
      </c>
      <c r="K639" s="189" t="str">
        <f t="shared" si="185"/>
        <v/>
      </c>
      <c r="L639" s="189" t="str">
        <f t="shared" si="186"/>
        <v/>
      </c>
      <c r="M639" s="189" t="str">
        <f t="shared" si="187"/>
        <v/>
      </c>
      <c r="N639" s="76" t="str">
        <f t="shared" si="188"/>
        <v/>
      </c>
      <c r="O639" s="20">
        <f t="shared" si="189"/>
        <v>0</v>
      </c>
      <c r="P639" s="76">
        <f t="shared" si="190"/>
        <v>0</v>
      </c>
      <c r="Q639" s="206">
        <f t="shared" si="180"/>
        <v>0</v>
      </c>
      <c r="R639" s="206">
        <f t="shared" si="181"/>
        <v>0</v>
      </c>
      <c r="S639" s="206">
        <f t="shared" si="182"/>
        <v>0</v>
      </c>
      <c r="T639" s="206">
        <f t="shared" si="183"/>
        <v>0</v>
      </c>
      <c r="AA639" s="71" t="str">
        <f t="shared" si="175"/>
        <v/>
      </c>
      <c r="AB639" s="189">
        <f t="shared" si="176"/>
        <v>0</v>
      </c>
      <c r="AC639" s="189">
        <f t="shared" si="177"/>
        <v>0</v>
      </c>
      <c r="AD639" s="189">
        <f t="shared" si="178"/>
        <v>0</v>
      </c>
      <c r="AE639" s="189">
        <f t="shared" si="179"/>
        <v>0</v>
      </c>
    </row>
    <row r="640" spans="10:31" x14ac:dyDescent="0.4">
      <c r="J640" s="189" t="str">
        <f t="shared" si="184"/>
        <v/>
      </c>
      <c r="K640" s="189" t="str">
        <f t="shared" si="185"/>
        <v/>
      </c>
      <c r="L640" s="189" t="str">
        <f t="shared" si="186"/>
        <v/>
      </c>
      <c r="M640" s="189" t="str">
        <f t="shared" si="187"/>
        <v/>
      </c>
      <c r="N640" s="76" t="str">
        <f t="shared" si="188"/>
        <v/>
      </c>
      <c r="O640" s="20">
        <f t="shared" si="189"/>
        <v>0</v>
      </c>
      <c r="P640" s="76">
        <f t="shared" si="190"/>
        <v>0</v>
      </c>
      <c r="Q640" s="206">
        <f t="shared" si="180"/>
        <v>0</v>
      </c>
      <c r="R640" s="206">
        <f t="shared" si="181"/>
        <v>0</v>
      </c>
      <c r="S640" s="206">
        <f t="shared" si="182"/>
        <v>0</v>
      </c>
      <c r="T640" s="206">
        <f t="shared" si="183"/>
        <v>0</v>
      </c>
      <c r="AA640" s="71" t="str">
        <f t="shared" si="175"/>
        <v/>
      </c>
      <c r="AB640" s="189">
        <f t="shared" si="176"/>
        <v>0</v>
      </c>
      <c r="AC640" s="189">
        <f t="shared" si="177"/>
        <v>0</v>
      </c>
      <c r="AD640" s="189">
        <f t="shared" si="178"/>
        <v>0</v>
      </c>
      <c r="AE640" s="189">
        <f t="shared" si="179"/>
        <v>0</v>
      </c>
    </row>
    <row r="641" spans="10:31" x14ac:dyDescent="0.4">
      <c r="J641" s="189" t="str">
        <f t="shared" si="184"/>
        <v/>
      </c>
      <c r="K641" s="189" t="str">
        <f t="shared" si="185"/>
        <v/>
      </c>
      <c r="L641" s="189" t="str">
        <f t="shared" si="186"/>
        <v/>
      </c>
      <c r="M641" s="189" t="str">
        <f t="shared" si="187"/>
        <v/>
      </c>
      <c r="N641" s="76" t="str">
        <f t="shared" si="188"/>
        <v/>
      </c>
      <c r="O641" s="20">
        <f t="shared" si="189"/>
        <v>0</v>
      </c>
      <c r="P641" s="76">
        <f t="shared" si="190"/>
        <v>0</v>
      </c>
      <c r="Q641" s="206">
        <f t="shared" si="180"/>
        <v>0</v>
      </c>
      <c r="R641" s="206">
        <f t="shared" si="181"/>
        <v>0</v>
      </c>
      <c r="S641" s="206">
        <f t="shared" si="182"/>
        <v>0</v>
      </c>
      <c r="T641" s="206">
        <f t="shared" si="183"/>
        <v>0</v>
      </c>
      <c r="AA641" s="71" t="str">
        <f t="shared" si="175"/>
        <v/>
      </c>
      <c r="AB641" s="189">
        <f t="shared" si="176"/>
        <v>0</v>
      </c>
      <c r="AC641" s="189">
        <f t="shared" si="177"/>
        <v>0</v>
      </c>
      <c r="AD641" s="189">
        <f t="shared" si="178"/>
        <v>0</v>
      </c>
      <c r="AE641" s="189">
        <f t="shared" si="179"/>
        <v>0</v>
      </c>
    </row>
    <row r="642" spans="10:31" x14ac:dyDescent="0.4">
      <c r="J642" s="189" t="str">
        <f t="shared" si="184"/>
        <v/>
      </c>
      <c r="K642" s="189" t="str">
        <f t="shared" si="185"/>
        <v/>
      </c>
      <c r="L642" s="189" t="str">
        <f t="shared" si="186"/>
        <v/>
      </c>
      <c r="M642" s="189" t="str">
        <f t="shared" si="187"/>
        <v/>
      </c>
      <c r="N642" s="76" t="str">
        <f t="shared" si="188"/>
        <v/>
      </c>
      <c r="O642" s="20">
        <f t="shared" si="189"/>
        <v>0</v>
      </c>
      <c r="P642" s="76">
        <f t="shared" si="190"/>
        <v>0</v>
      </c>
      <c r="Q642" s="206">
        <f t="shared" si="180"/>
        <v>0</v>
      </c>
      <c r="R642" s="206">
        <f t="shared" si="181"/>
        <v>0</v>
      </c>
      <c r="S642" s="206">
        <f t="shared" si="182"/>
        <v>0</v>
      </c>
      <c r="T642" s="206">
        <f t="shared" si="183"/>
        <v>0</v>
      </c>
      <c r="AA642" s="71" t="str">
        <f t="shared" si="175"/>
        <v/>
      </c>
      <c r="AB642" s="189">
        <f t="shared" si="176"/>
        <v>0</v>
      </c>
      <c r="AC642" s="189">
        <f t="shared" si="177"/>
        <v>0</v>
      </c>
      <c r="AD642" s="189">
        <f t="shared" si="178"/>
        <v>0</v>
      </c>
      <c r="AE642" s="189">
        <f t="shared" si="179"/>
        <v>0</v>
      </c>
    </row>
    <row r="643" spans="10:31" x14ac:dyDescent="0.4">
      <c r="J643" s="189" t="str">
        <f t="shared" si="184"/>
        <v/>
      </c>
      <c r="K643" s="189" t="str">
        <f t="shared" si="185"/>
        <v/>
      </c>
      <c r="L643" s="189" t="str">
        <f t="shared" si="186"/>
        <v/>
      </c>
      <c r="M643" s="189" t="str">
        <f t="shared" si="187"/>
        <v/>
      </c>
      <c r="N643" s="76" t="str">
        <f t="shared" si="188"/>
        <v/>
      </c>
      <c r="O643" s="20">
        <f t="shared" si="189"/>
        <v>0</v>
      </c>
      <c r="P643" s="76">
        <f t="shared" si="190"/>
        <v>0</v>
      </c>
      <c r="Q643" s="206">
        <f t="shared" si="180"/>
        <v>0</v>
      </c>
      <c r="R643" s="206">
        <f t="shared" si="181"/>
        <v>0</v>
      </c>
      <c r="S643" s="206">
        <f t="shared" si="182"/>
        <v>0</v>
      </c>
      <c r="T643" s="206">
        <f t="shared" si="183"/>
        <v>0</v>
      </c>
      <c r="AA643" s="71" t="str">
        <f t="shared" si="175"/>
        <v/>
      </c>
      <c r="AB643" s="189">
        <f t="shared" si="176"/>
        <v>0</v>
      </c>
      <c r="AC643" s="189">
        <f t="shared" si="177"/>
        <v>0</v>
      </c>
      <c r="AD643" s="189">
        <f t="shared" si="178"/>
        <v>0</v>
      </c>
      <c r="AE643" s="189">
        <f t="shared" si="179"/>
        <v>0</v>
      </c>
    </row>
    <row r="644" spans="10:31" x14ac:dyDescent="0.4">
      <c r="J644" s="189" t="str">
        <f t="shared" si="184"/>
        <v/>
      </c>
      <c r="K644" s="189" t="str">
        <f t="shared" si="185"/>
        <v/>
      </c>
      <c r="L644" s="189" t="str">
        <f t="shared" si="186"/>
        <v/>
      </c>
      <c r="M644" s="189" t="str">
        <f t="shared" si="187"/>
        <v/>
      </c>
      <c r="N644" s="76" t="str">
        <f t="shared" si="188"/>
        <v/>
      </c>
      <c r="O644" s="20">
        <f t="shared" si="189"/>
        <v>0</v>
      </c>
      <c r="P644" s="76">
        <f t="shared" si="190"/>
        <v>0</v>
      </c>
      <c r="Q644" s="206">
        <f t="shared" si="180"/>
        <v>0</v>
      </c>
      <c r="R644" s="206">
        <f t="shared" si="181"/>
        <v>0</v>
      </c>
      <c r="S644" s="206">
        <f t="shared" si="182"/>
        <v>0</v>
      </c>
      <c r="T644" s="206">
        <f t="shared" si="183"/>
        <v>0</v>
      </c>
      <c r="AA644" s="71" t="str">
        <f t="shared" si="175"/>
        <v/>
      </c>
      <c r="AB644" s="189">
        <f t="shared" si="176"/>
        <v>0</v>
      </c>
      <c r="AC644" s="189">
        <f t="shared" si="177"/>
        <v>0</v>
      </c>
      <c r="AD644" s="189">
        <f t="shared" si="178"/>
        <v>0</v>
      </c>
      <c r="AE644" s="189">
        <f t="shared" si="179"/>
        <v>0</v>
      </c>
    </row>
    <row r="645" spans="10:31" x14ac:dyDescent="0.4">
      <c r="J645" s="189" t="str">
        <f t="shared" si="184"/>
        <v/>
      </c>
      <c r="K645" s="189" t="str">
        <f t="shared" si="185"/>
        <v/>
      </c>
      <c r="L645" s="189" t="str">
        <f t="shared" si="186"/>
        <v/>
      </c>
      <c r="M645" s="189" t="str">
        <f t="shared" si="187"/>
        <v/>
      </c>
      <c r="N645" s="76" t="str">
        <f t="shared" si="188"/>
        <v/>
      </c>
      <c r="O645" s="20">
        <f t="shared" si="189"/>
        <v>0</v>
      </c>
      <c r="P645" s="76">
        <f t="shared" si="190"/>
        <v>0</v>
      </c>
      <c r="Q645" s="206">
        <f t="shared" si="180"/>
        <v>0</v>
      </c>
      <c r="R645" s="206">
        <f t="shared" si="181"/>
        <v>0</v>
      </c>
      <c r="S645" s="206">
        <f t="shared" si="182"/>
        <v>0</v>
      </c>
      <c r="T645" s="206">
        <f t="shared" si="183"/>
        <v>0</v>
      </c>
      <c r="AA645" s="71" t="str">
        <f t="shared" si="175"/>
        <v/>
      </c>
      <c r="AB645" s="189">
        <f t="shared" si="176"/>
        <v>0</v>
      </c>
      <c r="AC645" s="189">
        <f t="shared" si="177"/>
        <v>0</v>
      </c>
      <c r="AD645" s="189">
        <f t="shared" si="178"/>
        <v>0</v>
      </c>
      <c r="AE645" s="189">
        <f t="shared" si="179"/>
        <v>0</v>
      </c>
    </row>
    <row r="646" spans="10:31" x14ac:dyDescent="0.4">
      <c r="J646" s="189" t="str">
        <f t="shared" si="184"/>
        <v/>
      </c>
      <c r="K646" s="189" t="str">
        <f t="shared" si="185"/>
        <v/>
      </c>
      <c r="L646" s="189" t="str">
        <f t="shared" si="186"/>
        <v/>
      </c>
      <c r="M646" s="189" t="str">
        <f t="shared" si="187"/>
        <v/>
      </c>
      <c r="N646" s="76" t="str">
        <f t="shared" si="188"/>
        <v/>
      </c>
      <c r="O646" s="20">
        <f t="shared" si="189"/>
        <v>0</v>
      </c>
      <c r="P646" s="76">
        <f t="shared" si="190"/>
        <v>0</v>
      </c>
      <c r="Q646" s="206">
        <f t="shared" si="180"/>
        <v>0</v>
      </c>
      <c r="R646" s="206">
        <f t="shared" si="181"/>
        <v>0</v>
      </c>
      <c r="S646" s="206">
        <f t="shared" si="182"/>
        <v>0</v>
      </c>
      <c r="T646" s="206">
        <f t="shared" si="183"/>
        <v>0</v>
      </c>
      <c r="AA646" s="71" t="str">
        <f t="shared" si="175"/>
        <v/>
      </c>
      <c r="AB646" s="189">
        <f t="shared" si="176"/>
        <v>0</v>
      </c>
      <c r="AC646" s="189">
        <f t="shared" si="177"/>
        <v>0</v>
      </c>
      <c r="AD646" s="189">
        <f t="shared" si="178"/>
        <v>0</v>
      </c>
      <c r="AE646" s="189">
        <f t="shared" si="179"/>
        <v>0</v>
      </c>
    </row>
    <row r="647" spans="10:31" x14ac:dyDescent="0.4">
      <c r="J647" s="189" t="str">
        <f t="shared" si="184"/>
        <v/>
      </c>
      <c r="K647" s="189" t="str">
        <f t="shared" si="185"/>
        <v/>
      </c>
      <c r="L647" s="189" t="str">
        <f t="shared" si="186"/>
        <v/>
      </c>
      <c r="M647" s="189" t="str">
        <f t="shared" si="187"/>
        <v/>
      </c>
      <c r="N647" s="76" t="str">
        <f t="shared" si="188"/>
        <v/>
      </c>
      <c r="O647" s="20">
        <f t="shared" si="189"/>
        <v>0</v>
      </c>
      <c r="P647" s="76">
        <f t="shared" si="190"/>
        <v>0</v>
      </c>
      <c r="Q647" s="206">
        <f t="shared" si="180"/>
        <v>0</v>
      </c>
      <c r="R647" s="206">
        <f t="shared" si="181"/>
        <v>0</v>
      </c>
      <c r="S647" s="206">
        <f t="shared" si="182"/>
        <v>0</v>
      </c>
      <c r="T647" s="206">
        <f t="shared" si="183"/>
        <v>0</v>
      </c>
      <c r="AA647" s="71" t="str">
        <f t="shared" si="175"/>
        <v/>
      </c>
      <c r="AB647" s="189">
        <f t="shared" si="176"/>
        <v>0</v>
      </c>
      <c r="AC647" s="189">
        <f t="shared" si="177"/>
        <v>0</v>
      </c>
      <c r="AD647" s="189">
        <f t="shared" si="178"/>
        <v>0</v>
      </c>
      <c r="AE647" s="189">
        <f t="shared" si="179"/>
        <v>0</v>
      </c>
    </row>
    <row r="648" spans="10:31" x14ac:dyDescent="0.4">
      <c r="J648" s="189" t="str">
        <f t="shared" si="184"/>
        <v/>
      </c>
      <c r="K648" s="189" t="str">
        <f t="shared" si="185"/>
        <v/>
      </c>
      <c r="L648" s="189" t="str">
        <f t="shared" si="186"/>
        <v/>
      </c>
      <c r="M648" s="189" t="str">
        <f t="shared" si="187"/>
        <v/>
      </c>
      <c r="N648" s="76" t="str">
        <f t="shared" si="188"/>
        <v/>
      </c>
      <c r="O648" s="20">
        <f t="shared" si="189"/>
        <v>0</v>
      </c>
      <c r="P648" s="76">
        <f t="shared" si="190"/>
        <v>0</v>
      </c>
      <c r="Q648" s="206">
        <f t="shared" si="180"/>
        <v>0</v>
      </c>
      <c r="R648" s="206">
        <f t="shared" si="181"/>
        <v>0</v>
      </c>
      <c r="S648" s="206">
        <f t="shared" si="182"/>
        <v>0</v>
      </c>
      <c r="T648" s="206">
        <f t="shared" si="183"/>
        <v>0</v>
      </c>
      <c r="AA648" s="71" t="str">
        <f t="shared" si="175"/>
        <v/>
      </c>
      <c r="AB648" s="189">
        <f t="shared" si="176"/>
        <v>0</v>
      </c>
      <c r="AC648" s="189">
        <f t="shared" si="177"/>
        <v>0</v>
      </c>
      <c r="AD648" s="189">
        <f t="shared" si="178"/>
        <v>0</v>
      </c>
      <c r="AE648" s="189">
        <f t="shared" si="179"/>
        <v>0</v>
      </c>
    </row>
    <row r="649" spans="10:31" x14ac:dyDescent="0.4">
      <c r="J649" s="189" t="str">
        <f t="shared" si="184"/>
        <v/>
      </c>
      <c r="K649" s="189" t="str">
        <f t="shared" si="185"/>
        <v/>
      </c>
      <c r="L649" s="189" t="str">
        <f t="shared" si="186"/>
        <v/>
      </c>
      <c r="M649" s="189" t="str">
        <f t="shared" si="187"/>
        <v/>
      </c>
      <c r="N649" s="76" t="str">
        <f t="shared" si="188"/>
        <v/>
      </c>
      <c r="O649" s="20">
        <f t="shared" si="189"/>
        <v>0</v>
      </c>
      <c r="P649" s="76">
        <f t="shared" si="190"/>
        <v>0</v>
      </c>
      <c r="Q649" s="206">
        <f t="shared" si="180"/>
        <v>0</v>
      </c>
      <c r="R649" s="206">
        <f t="shared" si="181"/>
        <v>0</v>
      </c>
      <c r="S649" s="206">
        <f t="shared" si="182"/>
        <v>0</v>
      </c>
      <c r="T649" s="206">
        <f t="shared" si="183"/>
        <v>0</v>
      </c>
      <c r="AA649" s="71" t="str">
        <f t="shared" si="175"/>
        <v/>
      </c>
      <c r="AB649" s="189">
        <f t="shared" si="176"/>
        <v>0</v>
      </c>
      <c r="AC649" s="189">
        <f t="shared" si="177"/>
        <v>0</v>
      </c>
      <c r="AD649" s="189">
        <f t="shared" si="178"/>
        <v>0</v>
      </c>
      <c r="AE649" s="189">
        <f t="shared" si="179"/>
        <v>0</v>
      </c>
    </row>
    <row r="650" spans="10:31" x14ac:dyDescent="0.4">
      <c r="J650" s="189" t="str">
        <f t="shared" si="184"/>
        <v/>
      </c>
      <c r="K650" s="189" t="str">
        <f t="shared" si="185"/>
        <v/>
      </c>
      <c r="L650" s="189" t="str">
        <f t="shared" si="186"/>
        <v/>
      </c>
      <c r="M650" s="189" t="str">
        <f t="shared" si="187"/>
        <v/>
      </c>
      <c r="N650" s="76" t="str">
        <f t="shared" si="188"/>
        <v/>
      </c>
      <c r="O650" s="20">
        <f t="shared" si="189"/>
        <v>0</v>
      </c>
      <c r="P650" s="76">
        <f t="shared" si="190"/>
        <v>0</v>
      </c>
      <c r="Q650" s="206">
        <f t="shared" si="180"/>
        <v>0</v>
      </c>
      <c r="R650" s="206">
        <f t="shared" si="181"/>
        <v>0</v>
      </c>
      <c r="S650" s="206">
        <f t="shared" si="182"/>
        <v>0</v>
      </c>
      <c r="T650" s="206">
        <f t="shared" si="183"/>
        <v>0</v>
      </c>
      <c r="AA650" s="71" t="str">
        <f t="shared" si="175"/>
        <v/>
      </c>
      <c r="AB650" s="189">
        <f t="shared" si="176"/>
        <v>0</v>
      </c>
      <c r="AC650" s="189">
        <f t="shared" si="177"/>
        <v>0</v>
      </c>
      <c r="AD650" s="189">
        <f t="shared" si="178"/>
        <v>0</v>
      </c>
      <c r="AE650" s="189">
        <f t="shared" si="179"/>
        <v>0</v>
      </c>
    </row>
    <row r="651" spans="10:31" x14ac:dyDescent="0.4">
      <c r="J651" s="189" t="str">
        <f t="shared" si="184"/>
        <v/>
      </c>
      <c r="K651" s="189" t="str">
        <f t="shared" si="185"/>
        <v/>
      </c>
      <c r="L651" s="189" t="str">
        <f t="shared" si="186"/>
        <v/>
      </c>
      <c r="M651" s="189" t="str">
        <f t="shared" si="187"/>
        <v/>
      </c>
      <c r="N651" s="76" t="str">
        <f t="shared" si="188"/>
        <v/>
      </c>
      <c r="O651" s="20">
        <f t="shared" si="189"/>
        <v>0</v>
      </c>
      <c r="P651" s="76">
        <f t="shared" si="190"/>
        <v>0</v>
      </c>
      <c r="Q651" s="206">
        <f t="shared" si="180"/>
        <v>0</v>
      </c>
      <c r="R651" s="206">
        <f t="shared" si="181"/>
        <v>0</v>
      </c>
      <c r="S651" s="206">
        <f t="shared" si="182"/>
        <v>0</v>
      </c>
      <c r="T651" s="206">
        <f t="shared" si="183"/>
        <v>0</v>
      </c>
      <c r="AA651" s="71" t="str">
        <f t="shared" si="175"/>
        <v/>
      </c>
      <c r="AB651" s="189">
        <f t="shared" si="176"/>
        <v>0</v>
      </c>
      <c r="AC651" s="189">
        <f t="shared" si="177"/>
        <v>0</v>
      </c>
      <c r="AD651" s="189">
        <f t="shared" si="178"/>
        <v>0</v>
      </c>
      <c r="AE651" s="189">
        <f t="shared" si="179"/>
        <v>0</v>
      </c>
    </row>
    <row r="652" spans="10:31" x14ac:dyDescent="0.4">
      <c r="J652" s="189" t="str">
        <f t="shared" si="184"/>
        <v/>
      </c>
      <c r="K652" s="189" t="str">
        <f t="shared" si="185"/>
        <v/>
      </c>
      <c r="L652" s="189" t="str">
        <f t="shared" si="186"/>
        <v/>
      </c>
      <c r="M652" s="189" t="str">
        <f t="shared" si="187"/>
        <v/>
      </c>
      <c r="N652" s="76" t="str">
        <f t="shared" si="188"/>
        <v/>
      </c>
      <c r="O652" s="20">
        <f t="shared" si="189"/>
        <v>0</v>
      </c>
      <c r="P652" s="76">
        <f t="shared" si="190"/>
        <v>0</v>
      </c>
      <c r="Q652" s="206">
        <f t="shared" si="180"/>
        <v>0</v>
      </c>
      <c r="R652" s="206">
        <f t="shared" si="181"/>
        <v>0</v>
      </c>
      <c r="S652" s="206">
        <f t="shared" si="182"/>
        <v>0</v>
      </c>
      <c r="T652" s="206">
        <f t="shared" si="183"/>
        <v>0</v>
      </c>
      <c r="AA652" s="71" t="str">
        <f t="shared" si="175"/>
        <v/>
      </c>
      <c r="AB652" s="189">
        <f t="shared" si="176"/>
        <v>0</v>
      </c>
      <c r="AC652" s="189">
        <f t="shared" si="177"/>
        <v>0</v>
      </c>
      <c r="AD652" s="189">
        <f t="shared" si="178"/>
        <v>0</v>
      </c>
      <c r="AE652" s="189">
        <f t="shared" si="179"/>
        <v>0</v>
      </c>
    </row>
    <row r="653" spans="10:31" x14ac:dyDescent="0.4">
      <c r="J653" s="189" t="str">
        <f t="shared" si="184"/>
        <v/>
      </c>
      <c r="K653" s="189" t="str">
        <f t="shared" si="185"/>
        <v/>
      </c>
      <c r="L653" s="189" t="str">
        <f t="shared" si="186"/>
        <v/>
      </c>
      <c r="M653" s="189" t="str">
        <f t="shared" si="187"/>
        <v/>
      </c>
      <c r="N653" s="76" t="str">
        <f t="shared" si="188"/>
        <v/>
      </c>
      <c r="O653" s="20">
        <f t="shared" si="189"/>
        <v>0</v>
      </c>
      <c r="P653" s="76">
        <f t="shared" si="190"/>
        <v>0</v>
      </c>
      <c r="Q653" s="206">
        <f t="shared" si="180"/>
        <v>0</v>
      </c>
      <c r="R653" s="206">
        <f t="shared" si="181"/>
        <v>0</v>
      </c>
      <c r="S653" s="206">
        <f t="shared" si="182"/>
        <v>0</v>
      </c>
      <c r="T653" s="206">
        <f t="shared" si="183"/>
        <v>0</v>
      </c>
      <c r="AA653" s="71" t="str">
        <f t="shared" si="175"/>
        <v/>
      </c>
      <c r="AB653" s="189">
        <f t="shared" si="176"/>
        <v>0</v>
      </c>
      <c r="AC653" s="189">
        <f t="shared" si="177"/>
        <v>0</v>
      </c>
      <c r="AD653" s="189">
        <f t="shared" si="178"/>
        <v>0</v>
      </c>
      <c r="AE653" s="189">
        <f t="shared" si="179"/>
        <v>0</v>
      </c>
    </row>
    <row r="654" spans="10:31" x14ac:dyDescent="0.4">
      <c r="J654" s="189" t="str">
        <f t="shared" si="184"/>
        <v/>
      </c>
      <c r="K654" s="189" t="str">
        <f t="shared" si="185"/>
        <v/>
      </c>
      <c r="L654" s="189" t="str">
        <f t="shared" si="186"/>
        <v/>
      </c>
      <c r="M654" s="189" t="str">
        <f t="shared" si="187"/>
        <v/>
      </c>
      <c r="N654" s="76" t="str">
        <f t="shared" si="188"/>
        <v/>
      </c>
      <c r="O654" s="20">
        <f t="shared" si="189"/>
        <v>0</v>
      </c>
      <c r="P654" s="76">
        <f t="shared" si="190"/>
        <v>0</v>
      </c>
      <c r="Q654" s="206">
        <f t="shared" si="180"/>
        <v>0</v>
      </c>
      <c r="R654" s="206">
        <f t="shared" si="181"/>
        <v>0</v>
      </c>
      <c r="S654" s="206">
        <f t="shared" si="182"/>
        <v>0</v>
      </c>
      <c r="T654" s="206">
        <f t="shared" si="183"/>
        <v>0</v>
      </c>
      <c r="AA654" s="71" t="str">
        <f t="shared" si="175"/>
        <v/>
      </c>
      <c r="AB654" s="189">
        <f t="shared" si="176"/>
        <v>0</v>
      </c>
      <c r="AC654" s="189">
        <f t="shared" si="177"/>
        <v>0</v>
      </c>
      <c r="AD654" s="189">
        <f t="shared" si="178"/>
        <v>0</v>
      </c>
      <c r="AE654" s="189">
        <f t="shared" si="179"/>
        <v>0</v>
      </c>
    </row>
    <row r="655" spans="10:31" x14ac:dyDescent="0.4">
      <c r="J655" s="189" t="str">
        <f t="shared" si="184"/>
        <v/>
      </c>
      <c r="K655" s="189" t="str">
        <f t="shared" si="185"/>
        <v/>
      </c>
      <c r="L655" s="189" t="str">
        <f t="shared" si="186"/>
        <v/>
      </c>
      <c r="M655" s="189" t="str">
        <f t="shared" si="187"/>
        <v/>
      </c>
      <c r="N655" s="76" t="str">
        <f t="shared" si="188"/>
        <v/>
      </c>
      <c r="O655" s="20">
        <f t="shared" si="189"/>
        <v>0</v>
      </c>
      <c r="P655" s="76">
        <f t="shared" si="190"/>
        <v>0</v>
      </c>
      <c r="Q655" s="206">
        <f t="shared" si="180"/>
        <v>0</v>
      </c>
      <c r="R655" s="206">
        <f t="shared" si="181"/>
        <v>0</v>
      </c>
      <c r="S655" s="206">
        <f t="shared" si="182"/>
        <v>0</v>
      </c>
      <c r="T655" s="206">
        <f t="shared" si="183"/>
        <v>0</v>
      </c>
      <c r="AA655" s="71" t="str">
        <f t="shared" si="175"/>
        <v/>
      </c>
      <c r="AB655" s="189">
        <f t="shared" si="176"/>
        <v>0</v>
      </c>
      <c r="AC655" s="189">
        <f t="shared" si="177"/>
        <v>0</v>
      </c>
      <c r="AD655" s="189">
        <f t="shared" si="178"/>
        <v>0</v>
      </c>
      <c r="AE655" s="189">
        <f t="shared" si="179"/>
        <v>0</v>
      </c>
    </row>
    <row r="656" spans="10:31" x14ac:dyDescent="0.4">
      <c r="J656" s="189" t="str">
        <f t="shared" si="184"/>
        <v/>
      </c>
      <c r="K656" s="189" t="str">
        <f t="shared" si="185"/>
        <v/>
      </c>
      <c r="L656" s="189" t="str">
        <f t="shared" si="186"/>
        <v/>
      </c>
      <c r="M656" s="189" t="str">
        <f t="shared" si="187"/>
        <v/>
      </c>
      <c r="N656" s="76" t="str">
        <f t="shared" si="188"/>
        <v/>
      </c>
      <c r="O656" s="20">
        <f t="shared" si="189"/>
        <v>0</v>
      </c>
      <c r="P656" s="76">
        <f t="shared" si="190"/>
        <v>0</v>
      </c>
      <c r="Q656" s="206">
        <f t="shared" si="180"/>
        <v>0</v>
      </c>
      <c r="R656" s="206">
        <f t="shared" si="181"/>
        <v>0</v>
      </c>
      <c r="S656" s="206">
        <f t="shared" si="182"/>
        <v>0</v>
      </c>
      <c r="T656" s="206">
        <f t="shared" si="183"/>
        <v>0</v>
      </c>
      <c r="AA656" s="71" t="str">
        <f t="shared" si="175"/>
        <v/>
      </c>
      <c r="AB656" s="189">
        <f t="shared" si="176"/>
        <v>0</v>
      </c>
      <c r="AC656" s="189">
        <f t="shared" si="177"/>
        <v>0</v>
      </c>
      <c r="AD656" s="189">
        <f t="shared" si="178"/>
        <v>0</v>
      </c>
      <c r="AE656" s="189">
        <f t="shared" si="179"/>
        <v>0</v>
      </c>
    </row>
    <row r="657" spans="10:31" x14ac:dyDescent="0.4">
      <c r="J657" s="189" t="str">
        <f t="shared" si="184"/>
        <v/>
      </c>
      <c r="K657" s="189" t="str">
        <f t="shared" si="185"/>
        <v/>
      </c>
      <c r="L657" s="189" t="str">
        <f t="shared" si="186"/>
        <v/>
      </c>
      <c r="M657" s="189" t="str">
        <f t="shared" si="187"/>
        <v/>
      </c>
      <c r="N657" s="76" t="str">
        <f t="shared" si="188"/>
        <v/>
      </c>
      <c r="O657" s="20">
        <f t="shared" si="189"/>
        <v>0</v>
      </c>
      <c r="P657" s="76">
        <f t="shared" si="190"/>
        <v>0</v>
      </c>
      <c r="Q657" s="206">
        <f t="shared" si="180"/>
        <v>0</v>
      </c>
      <c r="R657" s="206">
        <f t="shared" si="181"/>
        <v>0</v>
      </c>
      <c r="S657" s="206">
        <f t="shared" si="182"/>
        <v>0</v>
      </c>
      <c r="T657" s="206">
        <f t="shared" si="183"/>
        <v>0</v>
      </c>
      <c r="AA657" s="71" t="str">
        <f t="shared" si="175"/>
        <v/>
      </c>
      <c r="AB657" s="189">
        <f t="shared" si="176"/>
        <v>0</v>
      </c>
      <c r="AC657" s="189">
        <f t="shared" si="177"/>
        <v>0</v>
      </c>
      <c r="AD657" s="189">
        <f t="shared" si="178"/>
        <v>0</v>
      </c>
      <c r="AE657" s="189">
        <f t="shared" si="179"/>
        <v>0</v>
      </c>
    </row>
    <row r="658" spans="10:31" x14ac:dyDescent="0.4">
      <c r="J658" s="189" t="str">
        <f t="shared" si="184"/>
        <v/>
      </c>
      <c r="K658" s="189" t="str">
        <f t="shared" si="185"/>
        <v/>
      </c>
      <c r="L658" s="189" t="str">
        <f t="shared" si="186"/>
        <v/>
      </c>
      <c r="M658" s="189" t="str">
        <f t="shared" si="187"/>
        <v/>
      </c>
      <c r="N658" s="76" t="str">
        <f t="shared" si="188"/>
        <v/>
      </c>
      <c r="O658" s="20">
        <f t="shared" si="189"/>
        <v>0</v>
      </c>
      <c r="P658" s="76">
        <f t="shared" si="190"/>
        <v>0</v>
      </c>
      <c r="Q658" s="206">
        <f t="shared" si="180"/>
        <v>0</v>
      </c>
      <c r="R658" s="206">
        <f t="shared" si="181"/>
        <v>0</v>
      </c>
      <c r="S658" s="206">
        <f t="shared" si="182"/>
        <v>0</v>
      </c>
      <c r="T658" s="206">
        <f t="shared" si="183"/>
        <v>0</v>
      </c>
      <c r="AA658" s="71" t="str">
        <f t="shared" si="175"/>
        <v/>
      </c>
      <c r="AB658" s="189">
        <f t="shared" si="176"/>
        <v>0</v>
      </c>
      <c r="AC658" s="189">
        <f t="shared" si="177"/>
        <v>0</v>
      </c>
      <c r="AD658" s="189">
        <f t="shared" si="178"/>
        <v>0</v>
      </c>
      <c r="AE658" s="189">
        <f t="shared" si="179"/>
        <v>0</v>
      </c>
    </row>
    <row r="659" spans="10:31" x14ac:dyDescent="0.4">
      <c r="J659" s="189" t="str">
        <f t="shared" si="184"/>
        <v/>
      </c>
      <c r="K659" s="189" t="str">
        <f t="shared" si="185"/>
        <v/>
      </c>
      <c r="L659" s="189" t="str">
        <f t="shared" si="186"/>
        <v/>
      </c>
      <c r="M659" s="189" t="str">
        <f t="shared" si="187"/>
        <v/>
      </c>
      <c r="N659" s="76" t="str">
        <f t="shared" si="188"/>
        <v/>
      </c>
      <c r="O659" s="20">
        <f t="shared" si="189"/>
        <v>0</v>
      </c>
      <c r="P659" s="76">
        <f t="shared" si="190"/>
        <v>0</v>
      </c>
      <c r="Q659" s="206">
        <f t="shared" si="180"/>
        <v>0</v>
      </c>
      <c r="R659" s="206">
        <f t="shared" si="181"/>
        <v>0</v>
      </c>
      <c r="S659" s="206">
        <f t="shared" si="182"/>
        <v>0</v>
      </c>
      <c r="T659" s="206">
        <f t="shared" si="183"/>
        <v>0</v>
      </c>
      <c r="AA659" s="71" t="str">
        <f t="shared" si="175"/>
        <v/>
      </c>
      <c r="AB659" s="189">
        <f t="shared" si="176"/>
        <v>0</v>
      </c>
      <c r="AC659" s="189">
        <f t="shared" si="177"/>
        <v>0</v>
      </c>
      <c r="AD659" s="189">
        <f t="shared" si="178"/>
        <v>0</v>
      </c>
      <c r="AE659" s="189">
        <f t="shared" si="179"/>
        <v>0</v>
      </c>
    </row>
    <row r="660" spans="10:31" x14ac:dyDescent="0.4">
      <c r="J660" s="189" t="str">
        <f t="shared" si="184"/>
        <v/>
      </c>
      <c r="K660" s="189" t="str">
        <f t="shared" si="185"/>
        <v/>
      </c>
      <c r="L660" s="189" t="str">
        <f t="shared" si="186"/>
        <v/>
      </c>
      <c r="M660" s="189" t="str">
        <f t="shared" si="187"/>
        <v/>
      </c>
      <c r="N660" s="76" t="str">
        <f t="shared" si="188"/>
        <v/>
      </c>
      <c r="O660" s="20">
        <f t="shared" si="189"/>
        <v>0</v>
      </c>
      <c r="P660" s="76">
        <f t="shared" si="190"/>
        <v>0</v>
      </c>
      <c r="Q660" s="206">
        <f t="shared" si="180"/>
        <v>0</v>
      </c>
      <c r="R660" s="206">
        <f t="shared" si="181"/>
        <v>0</v>
      </c>
      <c r="S660" s="206">
        <f t="shared" si="182"/>
        <v>0</v>
      </c>
      <c r="T660" s="206">
        <f t="shared" si="183"/>
        <v>0</v>
      </c>
      <c r="AA660" s="71" t="str">
        <f t="shared" si="175"/>
        <v/>
      </c>
      <c r="AB660" s="189">
        <f t="shared" si="176"/>
        <v>0</v>
      </c>
      <c r="AC660" s="189">
        <f t="shared" si="177"/>
        <v>0</v>
      </c>
      <c r="AD660" s="189">
        <f t="shared" si="178"/>
        <v>0</v>
      </c>
      <c r="AE660" s="189">
        <f t="shared" si="179"/>
        <v>0</v>
      </c>
    </row>
    <row r="661" spans="10:31" x14ac:dyDescent="0.4">
      <c r="J661" s="189" t="str">
        <f t="shared" si="184"/>
        <v/>
      </c>
      <c r="K661" s="189" t="str">
        <f t="shared" si="185"/>
        <v/>
      </c>
      <c r="L661" s="189" t="str">
        <f t="shared" si="186"/>
        <v/>
      </c>
      <c r="M661" s="189" t="str">
        <f t="shared" si="187"/>
        <v/>
      </c>
      <c r="N661" s="76" t="str">
        <f t="shared" si="188"/>
        <v/>
      </c>
      <c r="O661" s="20">
        <f t="shared" si="189"/>
        <v>0</v>
      </c>
      <c r="P661" s="76">
        <f t="shared" si="190"/>
        <v>0</v>
      </c>
      <c r="Q661" s="206">
        <f t="shared" si="180"/>
        <v>0</v>
      </c>
      <c r="R661" s="206">
        <f t="shared" si="181"/>
        <v>0</v>
      </c>
      <c r="S661" s="206">
        <f t="shared" si="182"/>
        <v>0</v>
      </c>
      <c r="T661" s="206">
        <f t="shared" si="183"/>
        <v>0</v>
      </c>
      <c r="AA661" s="71" t="str">
        <f t="shared" si="175"/>
        <v/>
      </c>
      <c r="AB661" s="189">
        <f t="shared" si="176"/>
        <v>0</v>
      </c>
      <c r="AC661" s="189">
        <f t="shared" si="177"/>
        <v>0</v>
      </c>
      <c r="AD661" s="189">
        <f t="shared" si="178"/>
        <v>0</v>
      </c>
      <c r="AE661" s="189">
        <f t="shared" si="179"/>
        <v>0</v>
      </c>
    </row>
    <row r="662" spans="10:31" x14ac:dyDescent="0.4">
      <c r="J662" s="189" t="str">
        <f t="shared" si="184"/>
        <v/>
      </c>
      <c r="K662" s="189" t="str">
        <f t="shared" si="185"/>
        <v/>
      </c>
      <c r="L662" s="189" t="str">
        <f t="shared" si="186"/>
        <v/>
      </c>
      <c r="M662" s="189" t="str">
        <f t="shared" si="187"/>
        <v/>
      </c>
      <c r="N662" s="76" t="str">
        <f t="shared" si="188"/>
        <v/>
      </c>
      <c r="O662" s="20">
        <f t="shared" si="189"/>
        <v>0</v>
      </c>
      <c r="P662" s="76">
        <f t="shared" si="190"/>
        <v>0</v>
      </c>
      <c r="Q662" s="206">
        <f t="shared" si="180"/>
        <v>0</v>
      </c>
      <c r="R662" s="206">
        <f t="shared" si="181"/>
        <v>0</v>
      </c>
      <c r="S662" s="206">
        <f t="shared" si="182"/>
        <v>0</v>
      </c>
      <c r="T662" s="206">
        <f t="shared" si="183"/>
        <v>0</v>
      </c>
      <c r="AA662" s="71" t="str">
        <f t="shared" si="175"/>
        <v/>
      </c>
      <c r="AB662" s="189">
        <f t="shared" si="176"/>
        <v>0</v>
      </c>
      <c r="AC662" s="189">
        <f t="shared" si="177"/>
        <v>0</v>
      </c>
      <c r="AD662" s="189">
        <f t="shared" si="178"/>
        <v>0</v>
      </c>
      <c r="AE662" s="189">
        <f t="shared" si="179"/>
        <v>0</v>
      </c>
    </row>
    <row r="663" spans="10:31" x14ac:dyDescent="0.4">
      <c r="J663" s="189" t="str">
        <f t="shared" si="184"/>
        <v/>
      </c>
      <c r="K663" s="189" t="str">
        <f t="shared" si="185"/>
        <v/>
      </c>
      <c r="L663" s="189" t="str">
        <f t="shared" si="186"/>
        <v/>
      </c>
      <c r="M663" s="189" t="str">
        <f t="shared" si="187"/>
        <v/>
      </c>
      <c r="N663" s="76" t="str">
        <f t="shared" si="188"/>
        <v/>
      </c>
      <c r="O663" s="20">
        <f t="shared" si="189"/>
        <v>0</v>
      </c>
      <c r="P663" s="76">
        <f t="shared" si="190"/>
        <v>0</v>
      </c>
      <c r="Q663" s="206">
        <f t="shared" si="180"/>
        <v>0</v>
      </c>
      <c r="R663" s="206">
        <f t="shared" si="181"/>
        <v>0</v>
      </c>
      <c r="S663" s="206">
        <f t="shared" si="182"/>
        <v>0</v>
      </c>
      <c r="T663" s="206">
        <f t="shared" si="183"/>
        <v>0</v>
      </c>
      <c r="AA663" s="71" t="str">
        <f t="shared" si="175"/>
        <v/>
      </c>
      <c r="AB663" s="189">
        <f t="shared" si="176"/>
        <v>0</v>
      </c>
      <c r="AC663" s="189">
        <f t="shared" si="177"/>
        <v>0</v>
      </c>
      <c r="AD663" s="189">
        <f t="shared" si="178"/>
        <v>0</v>
      </c>
      <c r="AE663" s="189">
        <f t="shared" si="179"/>
        <v>0</v>
      </c>
    </row>
    <row r="664" spans="10:31" x14ac:dyDescent="0.4">
      <c r="J664" s="189" t="str">
        <f t="shared" si="184"/>
        <v/>
      </c>
      <c r="K664" s="189" t="str">
        <f t="shared" si="185"/>
        <v/>
      </c>
      <c r="L664" s="189" t="str">
        <f t="shared" si="186"/>
        <v/>
      </c>
      <c r="M664" s="189" t="str">
        <f t="shared" si="187"/>
        <v/>
      </c>
      <c r="N664" s="76" t="str">
        <f t="shared" si="188"/>
        <v/>
      </c>
      <c r="O664" s="20">
        <f t="shared" si="189"/>
        <v>0</v>
      </c>
      <c r="P664" s="76">
        <f t="shared" si="190"/>
        <v>0</v>
      </c>
      <c r="Q664" s="206">
        <f t="shared" si="180"/>
        <v>0</v>
      </c>
      <c r="R664" s="206">
        <f t="shared" si="181"/>
        <v>0</v>
      </c>
      <c r="S664" s="206">
        <f t="shared" si="182"/>
        <v>0</v>
      </c>
      <c r="T664" s="206">
        <f t="shared" si="183"/>
        <v>0</v>
      </c>
      <c r="AA664" s="71" t="str">
        <f t="shared" si="175"/>
        <v/>
      </c>
      <c r="AB664" s="189">
        <f t="shared" si="176"/>
        <v>0</v>
      </c>
      <c r="AC664" s="189">
        <f t="shared" si="177"/>
        <v>0</v>
      </c>
      <c r="AD664" s="189">
        <f t="shared" si="178"/>
        <v>0</v>
      </c>
      <c r="AE664" s="189">
        <f t="shared" si="179"/>
        <v>0</v>
      </c>
    </row>
    <row r="665" spans="10:31" x14ac:dyDescent="0.4">
      <c r="J665" s="189" t="str">
        <f t="shared" si="184"/>
        <v/>
      </c>
      <c r="K665" s="189" t="str">
        <f t="shared" si="185"/>
        <v/>
      </c>
      <c r="L665" s="189" t="str">
        <f t="shared" si="186"/>
        <v/>
      </c>
      <c r="M665" s="189" t="str">
        <f t="shared" si="187"/>
        <v/>
      </c>
      <c r="N665" s="76" t="str">
        <f t="shared" si="188"/>
        <v/>
      </c>
      <c r="O665" s="20">
        <f t="shared" si="189"/>
        <v>0</v>
      </c>
      <c r="P665" s="76">
        <f t="shared" si="190"/>
        <v>0</v>
      </c>
      <c r="Q665" s="206">
        <f t="shared" si="180"/>
        <v>0</v>
      </c>
      <c r="R665" s="206">
        <f t="shared" si="181"/>
        <v>0</v>
      </c>
      <c r="S665" s="206">
        <f t="shared" si="182"/>
        <v>0</v>
      </c>
      <c r="T665" s="206">
        <f t="shared" si="183"/>
        <v>0</v>
      </c>
      <c r="AA665" s="71" t="str">
        <f t="shared" si="175"/>
        <v/>
      </c>
      <c r="AB665" s="189">
        <f t="shared" si="176"/>
        <v>0</v>
      </c>
      <c r="AC665" s="189">
        <f t="shared" si="177"/>
        <v>0</v>
      </c>
      <c r="AD665" s="189">
        <f t="shared" si="178"/>
        <v>0</v>
      </c>
      <c r="AE665" s="189">
        <f t="shared" si="179"/>
        <v>0</v>
      </c>
    </row>
    <row r="666" spans="10:31" x14ac:dyDescent="0.4">
      <c r="J666" s="189" t="str">
        <f t="shared" si="184"/>
        <v/>
      </c>
      <c r="K666" s="189" t="str">
        <f t="shared" si="185"/>
        <v/>
      </c>
      <c r="L666" s="189" t="str">
        <f t="shared" si="186"/>
        <v/>
      </c>
      <c r="M666" s="189" t="str">
        <f t="shared" si="187"/>
        <v/>
      </c>
      <c r="N666" s="76" t="str">
        <f t="shared" si="188"/>
        <v/>
      </c>
      <c r="O666" s="20">
        <f t="shared" si="189"/>
        <v>0</v>
      </c>
      <c r="P666" s="76">
        <f t="shared" si="190"/>
        <v>0</v>
      </c>
      <c r="Q666" s="206">
        <f t="shared" si="180"/>
        <v>0</v>
      </c>
      <c r="R666" s="206">
        <f t="shared" si="181"/>
        <v>0</v>
      </c>
      <c r="S666" s="206">
        <f t="shared" si="182"/>
        <v>0</v>
      </c>
      <c r="T666" s="206">
        <f t="shared" si="183"/>
        <v>0</v>
      </c>
      <c r="AA666" s="71" t="str">
        <f t="shared" si="175"/>
        <v/>
      </c>
      <c r="AB666" s="189">
        <f t="shared" si="176"/>
        <v>0</v>
      </c>
      <c r="AC666" s="189">
        <f t="shared" si="177"/>
        <v>0</v>
      </c>
      <c r="AD666" s="189">
        <f t="shared" si="178"/>
        <v>0</v>
      </c>
      <c r="AE666" s="189">
        <f t="shared" si="179"/>
        <v>0</v>
      </c>
    </row>
    <row r="667" spans="10:31" x14ac:dyDescent="0.4">
      <c r="J667" s="189" t="str">
        <f t="shared" si="184"/>
        <v/>
      </c>
      <c r="K667" s="189" t="str">
        <f t="shared" si="185"/>
        <v/>
      </c>
      <c r="L667" s="189" t="str">
        <f t="shared" si="186"/>
        <v/>
      </c>
      <c r="M667" s="189" t="str">
        <f t="shared" si="187"/>
        <v/>
      </c>
      <c r="N667" s="76" t="str">
        <f t="shared" si="188"/>
        <v/>
      </c>
      <c r="O667" s="20">
        <f t="shared" si="189"/>
        <v>0</v>
      </c>
      <c r="P667" s="76">
        <f t="shared" si="190"/>
        <v>0</v>
      </c>
      <c r="Q667" s="206">
        <f t="shared" si="180"/>
        <v>0</v>
      </c>
      <c r="R667" s="206">
        <f t="shared" si="181"/>
        <v>0</v>
      </c>
      <c r="S667" s="206">
        <f t="shared" si="182"/>
        <v>0</v>
      </c>
      <c r="T667" s="206">
        <f t="shared" si="183"/>
        <v>0</v>
      </c>
      <c r="AA667" s="71" t="str">
        <f t="shared" si="175"/>
        <v/>
      </c>
      <c r="AB667" s="189">
        <f t="shared" si="176"/>
        <v>0</v>
      </c>
      <c r="AC667" s="189">
        <f t="shared" si="177"/>
        <v>0</v>
      </c>
      <c r="AD667" s="189">
        <f t="shared" si="178"/>
        <v>0</v>
      </c>
      <c r="AE667" s="189">
        <f t="shared" si="179"/>
        <v>0</v>
      </c>
    </row>
    <row r="668" spans="10:31" x14ac:dyDescent="0.4">
      <c r="J668" s="189" t="str">
        <f t="shared" si="184"/>
        <v/>
      </c>
      <c r="K668" s="189" t="str">
        <f t="shared" si="185"/>
        <v/>
      </c>
      <c r="L668" s="189" t="str">
        <f t="shared" si="186"/>
        <v/>
      </c>
      <c r="M668" s="189" t="str">
        <f t="shared" si="187"/>
        <v/>
      </c>
      <c r="N668" s="76" t="str">
        <f t="shared" si="188"/>
        <v/>
      </c>
      <c r="O668" s="20">
        <f t="shared" si="189"/>
        <v>0</v>
      </c>
      <c r="P668" s="76">
        <f t="shared" si="190"/>
        <v>0</v>
      </c>
      <c r="Q668" s="206">
        <f t="shared" si="180"/>
        <v>0</v>
      </c>
      <c r="R668" s="206">
        <f t="shared" si="181"/>
        <v>0</v>
      </c>
      <c r="S668" s="206">
        <f t="shared" si="182"/>
        <v>0</v>
      </c>
      <c r="T668" s="206">
        <f t="shared" si="183"/>
        <v>0</v>
      </c>
      <c r="AA668" s="71" t="str">
        <f t="shared" ref="AA668:AA731" si="191">N668</f>
        <v/>
      </c>
      <c r="AB668" s="189">
        <f t="shared" ref="AB668:AB731" si="192">IFERROR(IF(FIND("Km",$B668),IF($B669="",IF(FIND("Pax",C669),VALUE((LEFT(C669,LEN(C669)-4))),))),0)</f>
        <v>0</v>
      </c>
      <c r="AC668" s="189">
        <f t="shared" ref="AC668:AC731" si="193">IFERROR(IF(FIND("Km",$B668),IF($B669="",IF(FIND("Pax",D669),VALUE((LEFT(D669,LEN(D669)-4))),))),0)</f>
        <v>0</v>
      </c>
      <c r="AD668" s="189">
        <f t="shared" ref="AD668:AD731" si="194">IFERROR(IF(FIND("Km",$B668),IF($B669="",IF(FIND("Pax",E669),VALUE((LEFT(E669,LEN(E669)-4))),))),0)</f>
        <v>0</v>
      </c>
      <c r="AE668" s="189">
        <f t="shared" ref="AE668:AE731" si="195">IFERROR(IF($J668&lt;&gt;"",VALUE(LEFT(F669,LEN(F669)-7)),0),1)</f>
        <v>0</v>
      </c>
    </row>
    <row r="669" spans="10:31" x14ac:dyDescent="0.4">
      <c r="J669" s="189" t="str">
        <f t="shared" si="184"/>
        <v/>
      </c>
      <c r="K669" s="189" t="str">
        <f t="shared" si="185"/>
        <v/>
      </c>
      <c r="L669" s="189" t="str">
        <f t="shared" si="186"/>
        <v/>
      </c>
      <c r="M669" s="189" t="str">
        <f t="shared" si="187"/>
        <v/>
      </c>
      <c r="N669" s="76" t="str">
        <f t="shared" si="188"/>
        <v/>
      </c>
      <c r="O669" s="20">
        <f t="shared" si="189"/>
        <v>0</v>
      </c>
      <c r="P669" s="76">
        <f t="shared" si="190"/>
        <v>0</v>
      </c>
      <c r="Q669" s="206">
        <f t="shared" si="180"/>
        <v>0</v>
      </c>
      <c r="R669" s="206">
        <f t="shared" si="181"/>
        <v>0</v>
      </c>
      <c r="S669" s="206">
        <f t="shared" si="182"/>
        <v>0</v>
      </c>
      <c r="T669" s="206">
        <f t="shared" si="183"/>
        <v>0</v>
      </c>
      <c r="AA669" s="71" t="str">
        <f t="shared" si="191"/>
        <v/>
      </c>
      <c r="AB669" s="189">
        <f t="shared" si="192"/>
        <v>0</v>
      </c>
      <c r="AC669" s="189">
        <f t="shared" si="193"/>
        <v>0</v>
      </c>
      <c r="AD669" s="189">
        <f t="shared" si="194"/>
        <v>0</v>
      </c>
      <c r="AE669" s="189">
        <f t="shared" si="195"/>
        <v>0</v>
      </c>
    </row>
    <row r="670" spans="10:31" x14ac:dyDescent="0.4">
      <c r="J670" s="189" t="str">
        <f t="shared" si="184"/>
        <v/>
      </c>
      <c r="K670" s="189" t="str">
        <f t="shared" si="185"/>
        <v/>
      </c>
      <c r="L670" s="189" t="str">
        <f t="shared" si="186"/>
        <v/>
      </c>
      <c r="M670" s="189" t="str">
        <f t="shared" si="187"/>
        <v/>
      </c>
      <c r="N670" s="76" t="str">
        <f t="shared" si="188"/>
        <v/>
      </c>
      <c r="O670" s="20">
        <f t="shared" si="189"/>
        <v>0</v>
      </c>
      <c r="P670" s="76">
        <f t="shared" si="190"/>
        <v>0</v>
      </c>
      <c r="Q670" s="206">
        <f t="shared" si="180"/>
        <v>0</v>
      </c>
      <c r="R670" s="206">
        <f t="shared" si="181"/>
        <v>0</v>
      </c>
      <c r="S670" s="206">
        <f t="shared" si="182"/>
        <v>0</v>
      </c>
      <c r="T670" s="206">
        <f t="shared" si="183"/>
        <v>0</v>
      </c>
      <c r="AA670" s="71" t="str">
        <f t="shared" si="191"/>
        <v/>
      </c>
      <c r="AB670" s="189">
        <f t="shared" si="192"/>
        <v>0</v>
      </c>
      <c r="AC670" s="189">
        <f t="shared" si="193"/>
        <v>0</v>
      </c>
      <c r="AD670" s="189">
        <f t="shared" si="194"/>
        <v>0</v>
      </c>
      <c r="AE670" s="189">
        <f t="shared" si="195"/>
        <v>0</v>
      </c>
    </row>
    <row r="671" spans="10:31" x14ac:dyDescent="0.4">
      <c r="J671" s="189" t="str">
        <f t="shared" si="184"/>
        <v/>
      </c>
      <c r="K671" s="189" t="str">
        <f t="shared" si="185"/>
        <v/>
      </c>
      <c r="L671" s="189" t="str">
        <f t="shared" si="186"/>
        <v/>
      </c>
      <c r="M671" s="189" t="str">
        <f t="shared" si="187"/>
        <v/>
      </c>
      <c r="N671" s="76" t="str">
        <f t="shared" si="188"/>
        <v/>
      </c>
      <c r="O671" s="20">
        <f t="shared" si="189"/>
        <v>0</v>
      </c>
      <c r="P671" s="76">
        <f t="shared" si="190"/>
        <v>0</v>
      </c>
      <c r="Q671" s="206">
        <f t="shared" si="180"/>
        <v>0</v>
      </c>
      <c r="R671" s="206">
        <f t="shared" si="181"/>
        <v>0</v>
      </c>
      <c r="S671" s="206">
        <f t="shared" si="182"/>
        <v>0</v>
      </c>
      <c r="T671" s="206">
        <f t="shared" si="183"/>
        <v>0</v>
      </c>
      <c r="AA671" s="71" t="str">
        <f t="shared" si="191"/>
        <v/>
      </c>
      <c r="AB671" s="189">
        <f t="shared" si="192"/>
        <v>0</v>
      </c>
      <c r="AC671" s="189">
        <f t="shared" si="193"/>
        <v>0</v>
      </c>
      <c r="AD671" s="189">
        <f t="shared" si="194"/>
        <v>0</v>
      </c>
      <c r="AE671" s="189">
        <f t="shared" si="195"/>
        <v>0</v>
      </c>
    </row>
    <row r="672" spans="10:31" x14ac:dyDescent="0.4">
      <c r="J672" s="189" t="str">
        <f t="shared" si="184"/>
        <v/>
      </c>
      <c r="K672" s="189" t="str">
        <f t="shared" si="185"/>
        <v/>
      </c>
      <c r="L672" s="189" t="str">
        <f t="shared" si="186"/>
        <v/>
      </c>
      <c r="M672" s="189" t="str">
        <f t="shared" si="187"/>
        <v/>
      </c>
      <c r="N672" s="76" t="str">
        <f t="shared" si="188"/>
        <v/>
      </c>
      <c r="O672" s="20">
        <f t="shared" si="189"/>
        <v>0</v>
      </c>
      <c r="P672" s="76">
        <f t="shared" si="190"/>
        <v>0</v>
      </c>
      <c r="Q672" s="206">
        <f t="shared" si="180"/>
        <v>0</v>
      </c>
      <c r="R672" s="206">
        <f t="shared" si="181"/>
        <v>0</v>
      </c>
      <c r="S672" s="206">
        <f t="shared" si="182"/>
        <v>0</v>
      </c>
      <c r="T672" s="206">
        <f t="shared" si="183"/>
        <v>0</v>
      </c>
      <c r="AA672" s="71" t="str">
        <f t="shared" si="191"/>
        <v/>
      </c>
      <c r="AB672" s="189">
        <f t="shared" si="192"/>
        <v>0</v>
      </c>
      <c r="AC672" s="189">
        <f t="shared" si="193"/>
        <v>0</v>
      </c>
      <c r="AD672" s="189">
        <f t="shared" si="194"/>
        <v>0</v>
      </c>
      <c r="AE672" s="189">
        <f t="shared" si="195"/>
        <v>0</v>
      </c>
    </row>
    <row r="673" spans="10:31" x14ac:dyDescent="0.4">
      <c r="J673" s="189" t="str">
        <f t="shared" si="184"/>
        <v/>
      </c>
      <c r="K673" s="189" t="str">
        <f t="shared" si="185"/>
        <v/>
      </c>
      <c r="L673" s="189" t="str">
        <f t="shared" si="186"/>
        <v/>
      </c>
      <c r="M673" s="189" t="str">
        <f t="shared" si="187"/>
        <v/>
      </c>
      <c r="N673" s="76" t="str">
        <f t="shared" si="188"/>
        <v/>
      </c>
      <c r="O673" s="20">
        <f t="shared" si="189"/>
        <v>0</v>
      </c>
      <c r="P673" s="76">
        <f t="shared" si="190"/>
        <v>0</v>
      </c>
      <c r="Q673" s="206">
        <f t="shared" si="180"/>
        <v>0</v>
      </c>
      <c r="R673" s="206">
        <f t="shared" si="181"/>
        <v>0</v>
      </c>
      <c r="S673" s="206">
        <f t="shared" si="182"/>
        <v>0</v>
      </c>
      <c r="T673" s="206">
        <f t="shared" si="183"/>
        <v>0</v>
      </c>
      <c r="AA673" s="71" t="str">
        <f t="shared" si="191"/>
        <v/>
      </c>
      <c r="AB673" s="189">
        <f t="shared" si="192"/>
        <v>0</v>
      </c>
      <c r="AC673" s="189">
        <f t="shared" si="193"/>
        <v>0</v>
      </c>
      <c r="AD673" s="189">
        <f t="shared" si="194"/>
        <v>0</v>
      </c>
      <c r="AE673" s="189">
        <f t="shared" si="195"/>
        <v>0</v>
      </c>
    </row>
    <row r="674" spans="10:31" x14ac:dyDescent="0.4">
      <c r="J674" s="189" t="str">
        <f t="shared" si="184"/>
        <v/>
      </c>
      <c r="K674" s="189" t="str">
        <f t="shared" si="185"/>
        <v/>
      </c>
      <c r="L674" s="189" t="str">
        <f t="shared" si="186"/>
        <v/>
      </c>
      <c r="M674" s="189" t="str">
        <f t="shared" si="187"/>
        <v/>
      </c>
      <c r="N674" s="76" t="str">
        <f t="shared" si="188"/>
        <v/>
      </c>
      <c r="O674" s="20">
        <f t="shared" si="189"/>
        <v>0</v>
      </c>
      <c r="P674" s="76">
        <f t="shared" si="190"/>
        <v>0</v>
      </c>
      <c r="Q674" s="206">
        <f t="shared" si="180"/>
        <v>0</v>
      </c>
      <c r="R674" s="206">
        <f t="shared" si="181"/>
        <v>0</v>
      </c>
      <c r="S674" s="206">
        <f t="shared" si="182"/>
        <v>0</v>
      </c>
      <c r="T674" s="206">
        <f t="shared" si="183"/>
        <v>0</v>
      </c>
      <c r="AA674" s="71" t="str">
        <f t="shared" si="191"/>
        <v/>
      </c>
      <c r="AB674" s="189">
        <f t="shared" si="192"/>
        <v>0</v>
      </c>
      <c r="AC674" s="189">
        <f t="shared" si="193"/>
        <v>0</v>
      </c>
      <c r="AD674" s="189">
        <f t="shared" si="194"/>
        <v>0</v>
      </c>
      <c r="AE674" s="189">
        <f t="shared" si="195"/>
        <v>0</v>
      </c>
    </row>
    <row r="675" spans="10:31" x14ac:dyDescent="0.4">
      <c r="J675" s="189" t="str">
        <f t="shared" si="184"/>
        <v/>
      </c>
      <c r="K675" s="189" t="str">
        <f t="shared" si="185"/>
        <v/>
      </c>
      <c r="L675" s="189" t="str">
        <f t="shared" si="186"/>
        <v/>
      </c>
      <c r="M675" s="189" t="str">
        <f t="shared" si="187"/>
        <v/>
      </c>
      <c r="N675" s="76" t="str">
        <f t="shared" si="188"/>
        <v/>
      </c>
      <c r="O675" s="20">
        <f t="shared" si="189"/>
        <v>0</v>
      </c>
      <c r="P675" s="76">
        <f t="shared" si="190"/>
        <v>0</v>
      </c>
      <c r="Q675" s="206">
        <f t="shared" si="180"/>
        <v>0</v>
      </c>
      <c r="R675" s="206">
        <f t="shared" si="181"/>
        <v>0</v>
      </c>
      <c r="S675" s="206">
        <f t="shared" si="182"/>
        <v>0</v>
      </c>
      <c r="T675" s="206">
        <f t="shared" si="183"/>
        <v>0</v>
      </c>
      <c r="AA675" s="71" t="str">
        <f t="shared" si="191"/>
        <v/>
      </c>
      <c r="AB675" s="189">
        <f t="shared" si="192"/>
        <v>0</v>
      </c>
      <c r="AC675" s="189">
        <f t="shared" si="193"/>
        <v>0</v>
      </c>
      <c r="AD675" s="189">
        <f t="shared" si="194"/>
        <v>0</v>
      </c>
      <c r="AE675" s="189">
        <f t="shared" si="195"/>
        <v>0</v>
      </c>
    </row>
    <row r="676" spans="10:31" x14ac:dyDescent="0.4">
      <c r="J676" s="189" t="str">
        <f t="shared" si="184"/>
        <v/>
      </c>
      <c r="K676" s="189" t="str">
        <f t="shared" si="185"/>
        <v/>
      </c>
      <c r="L676" s="189" t="str">
        <f t="shared" si="186"/>
        <v/>
      </c>
      <c r="M676" s="189" t="str">
        <f t="shared" si="187"/>
        <v/>
      </c>
      <c r="N676" s="76" t="str">
        <f t="shared" si="188"/>
        <v/>
      </c>
      <c r="O676" s="20">
        <f t="shared" si="189"/>
        <v>0</v>
      </c>
      <c r="P676" s="76">
        <f t="shared" si="190"/>
        <v>0</v>
      </c>
      <c r="Q676" s="206">
        <f t="shared" si="180"/>
        <v>0</v>
      </c>
      <c r="R676" s="206">
        <f t="shared" si="181"/>
        <v>0</v>
      </c>
      <c r="S676" s="206">
        <f t="shared" si="182"/>
        <v>0</v>
      </c>
      <c r="T676" s="206">
        <f t="shared" si="183"/>
        <v>0</v>
      </c>
      <c r="AA676" s="71" t="str">
        <f t="shared" si="191"/>
        <v/>
      </c>
      <c r="AB676" s="189">
        <f t="shared" si="192"/>
        <v>0</v>
      </c>
      <c r="AC676" s="189">
        <f t="shared" si="193"/>
        <v>0</v>
      </c>
      <c r="AD676" s="189">
        <f t="shared" si="194"/>
        <v>0</v>
      </c>
      <c r="AE676" s="189">
        <f t="shared" si="195"/>
        <v>0</v>
      </c>
    </row>
    <row r="677" spans="10:31" x14ac:dyDescent="0.4">
      <c r="J677" s="189" t="str">
        <f t="shared" si="184"/>
        <v/>
      </c>
      <c r="K677" s="189" t="str">
        <f t="shared" si="185"/>
        <v/>
      </c>
      <c r="L677" s="189" t="str">
        <f t="shared" si="186"/>
        <v/>
      </c>
      <c r="M677" s="189" t="str">
        <f t="shared" si="187"/>
        <v/>
      </c>
      <c r="N677" s="76" t="str">
        <f t="shared" si="188"/>
        <v/>
      </c>
      <c r="O677" s="20">
        <f t="shared" si="189"/>
        <v>0</v>
      </c>
      <c r="P677" s="76">
        <f t="shared" si="190"/>
        <v>0</v>
      </c>
      <c r="Q677" s="206">
        <f t="shared" si="180"/>
        <v>0</v>
      </c>
      <c r="R677" s="206">
        <f t="shared" si="181"/>
        <v>0</v>
      </c>
      <c r="S677" s="206">
        <f t="shared" si="182"/>
        <v>0</v>
      </c>
      <c r="T677" s="206">
        <f t="shared" si="183"/>
        <v>0</v>
      </c>
      <c r="AA677" s="71" t="str">
        <f t="shared" si="191"/>
        <v/>
      </c>
      <c r="AB677" s="189">
        <f t="shared" si="192"/>
        <v>0</v>
      </c>
      <c r="AC677" s="189">
        <f t="shared" si="193"/>
        <v>0</v>
      </c>
      <c r="AD677" s="189">
        <f t="shared" si="194"/>
        <v>0</v>
      </c>
      <c r="AE677" s="189">
        <f t="shared" si="195"/>
        <v>0</v>
      </c>
    </row>
    <row r="678" spans="10:31" x14ac:dyDescent="0.4">
      <c r="J678" s="189" t="str">
        <f t="shared" si="184"/>
        <v/>
      </c>
      <c r="K678" s="189" t="str">
        <f t="shared" si="185"/>
        <v/>
      </c>
      <c r="L678" s="189" t="str">
        <f t="shared" si="186"/>
        <v/>
      </c>
      <c r="M678" s="189" t="str">
        <f t="shared" si="187"/>
        <v/>
      </c>
      <c r="N678" s="76" t="str">
        <f t="shared" si="188"/>
        <v/>
      </c>
      <c r="O678" s="20">
        <f t="shared" si="189"/>
        <v>0</v>
      </c>
      <c r="P678" s="76">
        <f t="shared" si="190"/>
        <v>0</v>
      </c>
      <c r="Q678" s="206">
        <f t="shared" ref="Q678:Q741" si="196">IF(P678=0,0,VALUE(LEFT(C678,LEN(C678)-4)))</f>
        <v>0</v>
      </c>
      <c r="R678" s="206">
        <f t="shared" ref="R678:R741" si="197">IF(Q678=0,0,VALUE(LEFT(D678,LEN(D678)-4)))</f>
        <v>0</v>
      </c>
      <c r="S678" s="206">
        <f t="shared" ref="S678:S741" si="198">IF(R678=0,0,VALUE(LEFT(E678,LEN(E678)-4)))</f>
        <v>0</v>
      </c>
      <c r="T678" s="206">
        <f t="shared" ref="T678:T741" si="199">IF(S678=0,0,VALUE(LEFT(F678,LEN(F678)-7)))</f>
        <v>0</v>
      </c>
      <c r="AA678" s="71" t="str">
        <f t="shared" si="191"/>
        <v/>
      </c>
      <c r="AB678" s="189">
        <f t="shared" si="192"/>
        <v>0</v>
      </c>
      <c r="AC678" s="189">
        <f t="shared" si="193"/>
        <v>0</v>
      </c>
      <c r="AD678" s="189">
        <f t="shared" si="194"/>
        <v>0</v>
      </c>
      <c r="AE678" s="189">
        <f t="shared" si="195"/>
        <v>0</v>
      </c>
    </row>
    <row r="679" spans="10:31" x14ac:dyDescent="0.4">
      <c r="J679" s="189" t="str">
        <f t="shared" si="184"/>
        <v/>
      </c>
      <c r="K679" s="189" t="str">
        <f t="shared" si="185"/>
        <v/>
      </c>
      <c r="L679" s="189" t="str">
        <f t="shared" si="186"/>
        <v/>
      </c>
      <c r="M679" s="189" t="str">
        <f t="shared" si="187"/>
        <v/>
      </c>
      <c r="N679" s="76" t="str">
        <f t="shared" si="188"/>
        <v/>
      </c>
      <c r="O679" s="20">
        <f t="shared" si="189"/>
        <v>0</v>
      </c>
      <c r="P679" s="76">
        <f t="shared" si="190"/>
        <v>0</v>
      </c>
      <c r="Q679" s="206">
        <f t="shared" si="196"/>
        <v>0</v>
      </c>
      <c r="R679" s="206">
        <f t="shared" si="197"/>
        <v>0</v>
      </c>
      <c r="S679" s="206">
        <f t="shared" si="198"/>
        <v>0</v>
      </c>
      <c r="T679" s="206">
        <f t="shared" si="199"/>
        <v>0</v>
      </c>
      <c r="AA679" s="71" t="str">
        <f t="shared" si="191"/>
        <v/>
      </c>
      <c r="AB679" s="189">
        <f t="shared" si="192"/>
        <v>0</v>
      </c>
      <c r="AC679" s="189">
        <f t="shared" si="193"/>
        <v>0</v>
      </c>
      <c r="AD679" s="189">
        <f t="shared" si="194"/>
        <v>0</v>
      </c>
      <c r="AE679" s="189">
        <f t="shared" si="195"/>
        <v>0</v>
      </c>
    </row>
    <row r="680" spans="10:31" x14ac:dyDescent="0.4">
      <c r="J680" s="189" t="str">
        <f t="shared" si="184"/>
        <v/>
      </c>
      <c r="K680" s="189" t="str">
        <f t="shared" si="185"/>
        <v/>
      </c>
      <c r="L680" s="189" t="str">
        <f t="shared" si="186"/>
        <v/>
      </c>
      <c r="M680" s="189" t="str">
        <f t="shared" si="187"/>
        <v/>
      </c>
      <c r="N680" s="76" t="str">
        <f t="shared" si="188"/>
        <v/>
      </c>
      <c r="O680" s="20">
        <f t="shared" si="189"/>
        <v>0</v>
      </c>
      <c r="P680" s="76">
        <f t="shared" si="190"/>
        <v>0</v>
      </c>
      <c r="Q680" s="206">
        <f t="shared" si="196"/>
        <v>0</v>
      </c>
      <c r="R680" s="206">
        <f t="shared" si="197"/>
        <v>0</v>
      </c>
      <c r="S680" s="206">
        <f t="shared" si="198"/>
        <v>0</v>
      </c>
      <c r="T680" s="206">
        <f t="shared" si="199"/>
        <v>0</v>
      </c>
      <c r="AA680" s="71" t="str">
        <f t="shared" si="191"/>
        <v/>
      </c>
      <c r="AB680" s="189">
        <f t="shared" si="192"/>
        <v>0</v>
      </c>
      <c r="AC680" s="189">
        <f t="shared" si="193"/>
        <v>0</v>
      </c>
      <c r="AD680" s="189">
        <f t="shared" si="194"/>
        <v>0</v>
      </c>
      <c r="AE680" s="189">
        <f t="shared" si="195"/>
        <v>0</v>
      </c>
    </row>
    <row r="681" spans="10:31" x14ac:dyDescent="0.4">
      <c r="J681" s="189" t="str">
        <f t="shared" si="184"/>
        <v/>
      </c>
      <c r="K681" s="189" t="str">
        <f t="shared" si="185"/>
        <v/>
      </c>
      <c r="L681" s="189" t="str">
        <f t="shared" si="186"/>
        <v/>
      </c>
      <c r="M681" s="189" t="str">
        <f t="shared" si="187"/>
        <v/>
      </c>
      <c r="N681" s="76" t="str">
        <f t="shared" si="188"/>
        <v/>
      </c>
      <c r="O681" s="20">
        <f t="shared" si="189"/>
        <v>0</v>
      </c>
      <c r="P681" s="76">
        <f t="shared" si="190"/>
        <v>0</v>
      </c>
      <c r="Q681" s="206">
        <f t="shared" si="196"/>
        <v>0</v>
      </c>
      <c r="R681" s="206">
        <f t="shared" si="197"/>
        <v>0</v>
      </c>
      <c r="S681" s="206">
        <f t="shared" si="198"/>
        <v>0</v>
      </c>
      <c r="T681" s="206">
        <f t="shared" si="199"/>
        <v>0</v>
      </c>
      <c r="AA681" s="71" t="str">
        <f t="shared" si="191"/>
        <v/>
      </c>
      <c r="AB681" s="189">
        <f t="shared" si="192"/>
        <v>0</v>
      </c>
      <c r="AC681" s="189">
        <f t="shared" si="193"/>
        <v>0</v>
      </c>
      <c r="AD681" s="189">
        <f t="shared" si="194"/>
        <v>0</v>
      </c>
      <c r="AE681" s="189">
        <f t="shared" si="195"/>
        <v>0</v>
      </c>
    </row>
    <row r="682" spans="10:31" x14ac:dyDescent="0.4">
      <c r="J682" s="189" t="str">
        <f t="shared" si="184"/>
        <v/>
      </c>
      <c r="K682" s="189" t="str">
        <f t="shared" si="185"/>
        <v/>
      </c>
      <c r="L682" s="189" t="str">
        <f t="shared" si="186"/>
        <v/>
      </c>
      <c r="M682" s="189" t="str">
        <f t="shared" si="187"/>
        <v/>
      </c>
      <c r="N682" s="76" t="str">
        <f t="shared" si="188"/>
        <v/>
      </c>
      <c r="O682" s="20">
        <f t="shared" si="189"/>
        <v>0</v>
      </c>
      <c r="P682" s="76">
        <f t="shared" si="190"/>
        <v>0</v>
      </c>
      <c r="Q682" s="206">
        <f t="shared" si="196"/>
        <v>0</v>
      </c>
      <c r="R682" s="206">
        <f t="shared" si="197"/>
        <v>0</v>
      </c>
      <c r="S682" s="206">
        <f t="shared" si="198"/>
        <v>0</v>
      </c>
      <c r="T682" s="206">
        <f t="shared" si="199"/>
        <v>0</v>
      </c>
      <c r="AA682" s="71" t="str">
        <f t="shared" si="191"/>
        <v/>
      </c>
      <c r="AB682" s="189">
        <f t="shared" si="192"/>
        <v>0</v>
      </c>
      <c r="AC682" s="189">
        <f t="shared" si="193"/>
        <v>0</v>
      </c>
      <c r="AD682" s="189">
        <f t="shared" si="194"/>
        <v>0</v>
      </c>
      <c r="AE682" s="189">
        <f t="shared" si="195"/>
        <v>0</v>
      </c>
    </row>
    <row r="683" spans="10:31" x14ac:dyDescent="0.4">
      <c r="J683" s="189" t="str">
        <f t="shared" si="184"/>
        <v/>
      </c>
      <c r="K683" s="189" t="str">
        <f t="shared" si="185"/>
        <v/>
      </c>
      <c r="L683" s="189" t="str">
        <f t="shared" si="186"/>
        <v/>
      </c>
      <c r="M683" s="189" t="str">
        <f t="shared" si="187"/>
        <v/>
      </c>
      <c r="N683" s="76" t="str">
        <f t="shared" si="188"/>
        <v/>
      </c>
      <c r="O683" s="20">
        <f t="shared" si="189"/>
        <v>0</v>
      </c>
      <c r="P683" s="76">
        <f t="shared" si="190"/>
        <v>0</v>
      </c>
      <c r="Q683" s="206">
        <f t="shared" si="196"/>
        <v>0</v>
      </c>
      <c r="R683" s="206">
        <f t="shared" si="197"/>
        <v>0</v>
      </c>
      <c r="S683" s="206">
        <f t="shared" si="198"/>
        <v>0</v>
      </c>
      <c r="T683" s="206">
        <f t="shared" si="199"/>
        <v>0</v>
      </c>
      <c r="AA683" s="71" t="str">
        <f t="shared" si="191"/>
        <v/>
      </c>
      <c r="AB683" s="189">
        <f t="shared" si="192"/>
        <v>0</v>
      </c>
      <c r="AC683" s="189">
        <f t="shared" si="193"/>
        <v>0</v>
      </c>
      <c r="AD683" s="189">
        <f t="shared" si="194"/>
        <v>0</v>
      </c>
      <c r="AE683" s="189">
        <f t="shared" si="195"/>
        <v>0</v>
      </c>
    </row>
    <row r="684" spans="10:31" x14ac:dyDescent="0.4">
      <c r="J684" s="189" t="str">
        <f t="shared" si="184"/>
        <v/>
      </c>
      <c r="K684" s="189" t="str">
        <f t="shared" si="185"/>
        <v/>
      </c>
      <c r="L684" s="189" t="str">
        <f t="shared" si="186"/>
        <v/>
      </c>
      <c r="M684" s="189" t="str">
        <f t="shared" si="187"/>
        <v/>
      </c>
      <c r="N684" s="76" t="str">
        <f t="shared" si="188"/>
        <v/>
      </c>
      <c r="O684" s="20">
        <f t="shared" si="189"/>
        <v>0</v>
      </c>
      <c r="P684" s="76">
        <f t="shared" si="190"/>
        <v>0</v>
      </c>
      <c r="Q684" s="206">
        <f t="shared" si="196"/>
        <v>0</v>
      </c>
      <c r="R684" s="206">
        <f t="shared" si="197"/>
        <v>0</v>
      </c>
      <c r="S684" s="206">
        <f t="shared" si="198"/>
        <v>0</v>
      </c>
      <c r="T684" s="206">
        <f t="shared" si="199"/>
        <v>0</v>
      </c>
      <c r="AA684" s="71" t="str">
        <f t="shared" si="191"/>
        <v/>
      </c>
      <c r="AB684" s="189">
        <f t="shared" si="192"/>
        <v>0</v>
      </c>
      <c r="AC684" s="189">
        <f t="shared" si="193"/>
        <v>0</v>
      </c>
      <c r="AD684" s="189">
        <f t="shared" si="194"/>
        <v>0</v>
      </c>
      <c r="AE684" s="189">
        <f t="shared" si="195"/>
        <v>0</v>
      </c>
    </row>
    <row r="685" spans="10:31" x14ac:dyDescent="0.4">
      <c r="J685" s="189" t="str">
        <f t="shared" si="184"/>
        <v/>
      </c>
      <c r="K685" s="189" t="str">
        <f t="shared" si="185"/>
        <v/>
      </c>
      <c r="L685" s="189" t="str">
        <f t="shared" si="186"/>
        <v/>
      </c>
      <c r="M685" s="189" t="str">
        <f t="shared" si="187"/>
        <v/>
      </c>
      <c r="N685" s="76" t="str">
        <f t="shared" si="188"/>
        <v/>
      </c>
      <c r="O685" s="20">
        <f t="shared" si="189"/>
        <v>0</v>
      </c>
      <c r="P685" s="76">
        <f t="shared" si="190"/>
        <v>0</v>
      </c>
      <c r="Q685" s="206">
        <f t="shared" si="196"/>
        <v>0</v>
      </c>
      <c r="R685" s="206">
        <f t="shared" si="197"/>
        <v>0</v>
      </c>
      <c r="S685" s="206">
        <f t="shared" si="198"/>
        <v>0</v>
      </c>
      <c r="T685" s="206">
        <f t="shared" si="199"/>
        <v>0</v>
      </c>
      <c r="AA685" s="71" t="str">
        <f t="shared" si="191"/>
        <v/>
      </c>
      <c r="AB685" s="189">
        <f t="shared" si="192"/>
        <v>0</v>
      </c>
      <c r="AC685" s="189">
        <f t="shared" si="193"/>
        <v>0</v>
      </c>
      <c r="AD685" s="189">
        <f t="shared" si="194"/>
        <v>0</v>
      </c>
      <c r="AE685" s="189">
        <f t="shared" si="195"/>
        <v>0</v>
      </c>
    </row>
    <row r="686" spans="10:31" x14ac:dyDescent="0.4">
      <c r="J686" s="189" t="str">
        <f t="shared" si="184"/>
        <v/>
      </c>
      <c r="K686" s="189" t="str">
        <f t="shared" si="185"/>
        <v/>
      </c>
      <c r="L686" s="189" t="str">
        <f t="shared" si="186"/>
        <v/>
      </c>
      <c r="M686" s="189" t="str">
        <f t="shared" si="187"/>
        <v/>
      </c>
      <c r="N686" s="76" t="str">
        <f t="shared" si="188"/>
        <v/>
      </c>
      <c r="O686" s="20">
        <f t="shared" si="189"/>
        <v>0</v>
      </c>
      <c r="P686" s="76">
        <f t="shared" si="190"/>
        <v>0</v>
      </c>
      <c r="Q686" s="206">
        <f t="shared" si="196"/>
        <v>0</v>
      </c>
      <c r="R686" s="206">
        <f t="shared" si="197"/>
        <v>0</v>
      </c>
      <c r="S686" s="206">
        <f t="shared" si="198"/>
        <v>0</v>
      </c>
      <c r="T686" s="206">
        <f t="shared" si="199"/>
        <v>0</v>
      </c>
      <c r="AA686" s="71" t="str">
        <f t="shared" si="191"/>
        <v/>
      </c>
      <c r="AB686" s="189">
        <f t="shared" si="192"/>
        <v>0</v>
      </c>
      <c r="AC686" s="189">
        <f t="shared" si="193"/>
        <v>0</v>
      </c>
      <c r="AD686" s="189">
        <f t="shared" si="194"/>
        <v>0</v>
      </c>
      <c r="AE686" s="189">
        <f t="shared" si="195"/>
        <v>0</v>
      </c>
    </row>
    <row r="687" spans="10:31" x14ac:dyDescent="0.4">
      <c r="J687" s="189" t="str">
        <f t="shared" si="184"/>
        <v/>
      </c>
      <c r="K687" s="189" t="str">
        <f t="shared" si="185"/>
        <v/>
      </c>
      <c r="L687" s="189" t="str">
        <f t="shared" si="186"/>
        <v/>
      </c>
      <c r="M687" s="189" t="str">
        <f t="shared" si="187"/>
        <v/>
      </c>
      <c r="N687" s="76" t="str">
        <f t="shared" si="188"/>
        <v/>
      </c>
      <c r="O687" s="20">
        <f t="shared" si="189"/>
        <v>0</v>
      </c>
      <c r="P687" s="76">
        <f t="shared" si="190"/>
        <v>0</v>
      </c>
      <c r="Q687" s="206">
        <f t="shared" si="196"/>
        <v>0</v>
      </c>
      <c r="R687" s="206">
        <f t="shared" si="197"/>
        <v>0</v>
      </c>
      <c r="S687" s="206">
        <f t="shared" si="198"/>
        <v>0</v>
      </c>
      <c r="T687" s="206">
        <f t="shared" si="199"/>
        <v>0</v>
      </c>
      <c r="AA687" s="71" t="str">
        <f t="shared" si="191"/>
        <v/>
      </c>
      <c r="AB687" s="189">
        <f t="shared" si="192"/>
        <v>0</v>
      </c>
      <c r="AC687" s="189">
        <f t="shared" si="193"/>
        <v>0</v>
      </c>
      <c r="AD687" s="189">
        <f t="shared" si="194"/>
        <v>0</v>
      </c>
      <c r="AE687" s="189">
        <f t="shared" si="195"/>
        <v>0</v>
      </c>
    </row>
    <row r="688" spans="10:31" x14ac:dyDescent="0.4">
      <c r="J688" s="189" t="str">
        <f t="shared" si="184"/>
        <v/>
      </c>
      <c r="K688" s="189" t="str">
        <f t="shared" si="185"/>
        <v/>
      </c>
      <c r="L688" s="189" t="str">
        <f t="shared" si="186"/>
        <v/>
      </c>
      <c r="M688" s="189" t="str">
        <f t="shared" si="187"/>
        <v/>
      </c>
      <c r="N688" s="76" t="str">
        <f t="shared" si="188"/>
        <v/>
      </c>
      <c r="O688" s="20">
        <f t="shared" si="189"/>
        <v>0</v>
      </c>
      <c r="P688" s="76">
        <f t="shared" si="190"/>
        <v>0</v>
      </c>
      <c r="Q688" s="206">
        <f t="shared" si="196"/>
        <v>0</v>
      </c>
      <c r="R688" s="206">
        <f t="shared" si="197"/>
        <v>0</v>
      </c>
      <c r="S688" s="206">
        <f t="shared" si="198"/>
        <v>0</v>
      </c>
      <c r="T688" s="206">
        <f t="shared" si="199"/>
        <v>0</v>
      </c>
      <c r="AA688" s="71" t="str">
        <f t="shared" si="191"/>
        <v/>
      </c>
      <c r="AB688" s="189">
        <f t="shared" si="192"/>
        <v>0</v>
      </c>
      <c r="AC688" s="189">
        <f t="shared" si="193"/>
        <v>0</v>
      </c>
      <c r="AD688" s="189">
        <f t="shared" si="194"/>
        <v>0</v>
      </c>
      <c r="AE688" s="189">
        <f t="shared" si="195"/>
        <v>0</v>
      </c>
    </row>
    <row r="689" spans="10:31" x14ac:dyDescent="0.4">
      <c r="J689" s="189" t="str">
        <f t="shared" si="184"/>
        <v/>
      </c>
      <c r="K689" s="189" t="str">
        <f t="shared" si="185"/>
        <v/>
      </c>
      <c r="L689" s="189" t="str">
        <f t="shared" si="186"/>
        <v/>
      </c>
      <c r="M689" s="189" t="str">
        <f t="shared" si="187"/>
        <v/>
      </c>
      <c r="N689" s="76" t="str">
        <f t="shared" si="188"/>
        <v/>
      </c>
      <c r="O689" s="20">
        <f t="shared" si="189"/>
        <v>0</v>
      </c>
      <c r="P689" s="76">
        <f t="shared" si="190"/>
        <v>0</v>
      </c>
      <c r="Q689" s="206">
        <f t="shared" si="196"/>
        <v>0</v>
      </c>
      <c r="R689" s="206">
        <f t="shared" si="197"/>
        <v>0</v>
      </c>
      <c r="S689" s="206">
        <f t="shared" si="198"/>
        <v>0</v>
      </c>
      <c r="T689" s="206">
        <f t="shared" si="199"/>
        <v>0</v>
      </c>
      <c r="AA689" s="71" t="str">
        <f t="shared" si="191"/>
        <v/>
      </c>
      <c r="AB689" s="189">
        <f t="shared" si="192"/>
        <v>0</v>
      </c>
      <c r="AC689" s="189">
        <f t="shared" si="193"/>
        <v>0</v>
      </c>
      <c r="AD689" s="189">
        <f t="shared" si="194"/>
        <v>0</v>
      </c>
      <c r="AE689" s="189">
        <f t="shared" si="195"/>
        <v>0</v>
      </c>
    </row>
    <row r="690" spans="10:31" x14ac:dyDescent="0.4">
      <c r="J690" s="189" t="str">
        <f t="shared" si="184"/>
        <v/>
      </c>
      <c r="K690" s="189" t="str">
        <f t="shared" si="185"/>
        <v/>
      </c>
      <c r="L690" s="189" t="str">
        <f t="shared" si="186"/>
        <v/>
      </c>
      <c r="M690" s="189" t="str">
        <f t="shared" si="187"/>
        <v/>
      </c>
      <c r="N690" s="76" t="str">
        <f t="shared" si="188"/>
        <v/>
      </c>
      <c r="O690" s="20">
        <f t="shared" si="189"/>
        <v>0</v>
      </c>
      <c r="P690" s="76">
        <f t="shared" si="190"/>
        <v>0</v>
      </c>
      <c r="Q690" s="206">
        <f t="shared" si="196"/>
        <v>0</v>
      </c>
      <c r="R690" s="206">
        <f t="shared" si="197"/>
        <v>0</v>
      </c>
      <c r="S690" s="206">
        <f t="shared" si="198"/>
        <v>0</v>
      </c>
      <c r="T690" s="206">
        <f t="shared" si="199"/>
        <v>0</v>
      </c>
      <c r="AA690" s="71" t="str">
        <f t="shared" si="191"/>
        <v/>
      </c>
      <c r="AB690" s="189">
        <f t="shared" si="192"/>
        <v>0</v>
      </c>
      <c r="AC690" s="189">
        <f t="shared" si="193"/>
        <v>0</v>
      </c>
      <c r="AD690" s="189">
        <f t="shared" si="194"/>
        <v>0</v>
      </c>
      <c r="AE690" s="189">
        <f t="shared" si="195"/>
        <v>0</v>
      </c>
    </row>
    <row r="691" spans="10:31" x14ac:dyDescent="0.4">
      <c r="J691" s="189" t="str">
        <f t="shared" si="184"/>
        <v/>
      </c>
      <c r="K691" s="189" t="str">
        <f t="shared" si="185"/>
        <v/>
      </c>
      <c r="L691" s="189" t="str">
        <f t="shared" si="186"/>
        <v/>
      </c>
      <c r="M691" s="189" t="str">
        <f t="shared" si="187"/>
        <v/>
      </c>
      <c r="N691" s="76" t="str">
        <f t="shared" si="188"/>
        <v/>
      </c>
      <c r="O691" s="20">
        <f t="shared" si="189"/>
        <v>0</v>
      </c>
      <c r="P691" s="76">
        <f t="shared" si="190"/>
        <v>0</v>
      </c>
      <c r="Q691" s="206">
        <f t="shared" si="196"/>
        <v>0</v>
      </c>
      <c r="R691" s="206">
        <f t="shared" si="197"/>
        <v>0</v>
      </c>
      <c r="S691" s="206">
        <f t="shared" si="198"/>
        <v>0</v>
      </c>
      <c r="T691" s="206">
        <f t="shared" si="199"/>
        <v>0</v>
      </c>
      <c r="AA691" s="71" t="str">
        <f t="shared" si="191"/>
        <v/>
      </c>
      <c r="AB691" s="189">
        <f t="shared" si="192"/>
        <v>0</v>
      </c>
      <c r="AC691" s="189">
        <f t="shared" si="193"/>
        <v>0</v>
      </c>
      <c r="AD691" s="189">
        <f t="shared" si="194"/>
        <v>0</v>
      </c>
      <c r="AE691" s="189">
        <f t="shared" si="195"/>
        <v>0</v>
      </c>
    </row>
    <row r="692" spans="10:31" x14ac:dyDescent="0.4">
      <c r="J692" s="189" t="str">
        <f t="shared" ref="J692:J755" si="200">IF(G692="Détail des tarifs",LEN(A692),"")</f>
        <v/>
      </c>
      <c r="K692" s="189" t="str">
        <f t="shared" ref="K692:K755" si="201">IF(J692="","",LEFT(A692,3))</f>
        <v/>
      </c>
      <c r="L692" s="189" t="str">
        <f t="shared" ref="L692:L755" si="202">IF(K692&lt;&gt;"",MID(A692,7,3),"")</f>
        <v/>
      </c>
      <c r="M692" s="189" t="str">
        <f t="shared" ref="M692:M755" si="203">IF(K692&lt;&gt;"",RIGHT(A692,2),"")</f>
        <v/>
      </c>
      <c r="N692" s="76" t="str">
        <f t="shared" ref="N692:N755" si="204">IF(K692&lt;&gt;"",CONCATENATE(K692,"/",L692),"")</f>
        <v/>
      </c>
      <c r="O692" s="20">
        <f t="shared" ref="O692:O755" si="205">IF(J692&lt;&gt;"",LEFT(B692,LEN(B692)-3),0)</f>
        <v>0</v>
      </c>
      <c r="P692" s="76">
        <f t="shared" ref="P692:P755" si="206">IF(O692&lt;&gt;"",VALUE(O692),"")</f>
        <v>0</v>
      </c>
      <c r="Q692" s="206">
        <f t="shared" si="196"/>
        <v>0</v>
      </c>
      <c r="R692" s="206">
        <f t="shared" si="197"/>
        <v>0</v>
      </c>
      <c r="S692" s="206">
        <f t="shared" si="198"/>
        <v>0</v>
      </c>
      <c r="T692" s="206">
        <f t="shared" si="199"/>
        <v>0</v>
      </c>
      <c r="AA692" s="71" t="str">
        <f t="shared" si="191"/>
        <v/>
      </c>
      <c r="AB692" s="189">
        <f t="shared" si="192"/>
        <v>0</v>
      </c>
      <c r="AC692" s="189">
        <f t="shared" si="193"/>
        <v>0</v>
      </c>
      <c r="AD692" s="189">
        <f t="shared" si="194"/>
        <v>0</v>
      </c>
      <c r="AE692" s="189">
        <f t="shared" si="195"/>
        <v>0</v>
      </c>
    </row>
    <row r="693" spans="10:31" x14ac:dyDescent="0.4">
      <c r="J693" s="189" t="str">
        <f t="shared" si="200"/>
        <v/>
      </c>
      <c r="K693" s="189" t="str">
        <f t="shared" si="201"/>
        <v/>
      </c>
      <c r="L693" s="189" t="str">
        <f t="shared" si="202"/>
        <v/>
      </c>
      <c r="M693" s="189" t="str">
        <f t="shared" si="203"/>
        <v/>
      </c>
      <c r="N693" s="76" t="str">
        <f t="shared" si="204"/>
        <v/>
      </c>
      <c r="O693" s="20">
        <f t="shared" si="205"/>
        <v>0</v>
      </c>
      <c r="P693" s="76">
        <f t="shared" si="206"/>
        <v>0</v>
      </c>
      <c r="Q693" s="206">
        <f t="shared" si="196"/>
        <v>0</v>
      </c>
      <c r="R693" s="206">
        <f t="shared" si="197"/>
        <v>0</v>
      </c>
      <c r="S693" s="206">
        <f t="shared" si="198"/>
        <v>0</v>
      </c>
      <c r="T693" s="206">
        <f t="shared" si="199"/>
        <v>0</v>
      </c>
      <c r="AA693" s="71" t="str">
        <f t="shared" si="191"/>
        <v/>
      </c>
      <c r="AB693" s="189">
        <f t="shared" si="192"/>
        <v>0</v>
      </c>
      <c r="AC693" s="189">
        <f t="shared" si="193"/>
        <v>0</v>
      </c>
      <c r="AD693" s="189">
        <f t="shared" si="194"/>
        <v>0</v>
      </c>
      <c r="AE693" s="189">
        <f t="shared" si="195"/>
        <v>0</v>
      </c>
    </row>
    <row r="694" spans="10:31" x14ac:dyDescent="0.4">
      <c r="J694" s="189" t="str">
        <f t="shared" si="200"/>
        <v/>
      </c>
      <c r="K694" s="189" t="str">
        <f t="shared" si="201"/>
        <v/>
      </c>
      <c r="L694" s="189" t="str">
        <f t="shared" si="202"/>
        <v/>
      </c>
      <c r="M694" s="189" t="str">
        <f t="shared" si="203"/>
        <v/>
      </c>
      <c r="N694" s="76" t="str">
        <f t="shared" si="204"/>
        <v/>
      </c>
      <c r="O694" s="20">
        <f t="shared" si="205"/>
        <v>0</v>
      </c>
      <c r="P694" s="76">
        <f t="shared" si="206"/>
        <v>0</v>
      </c>
      <c r="Q694" s="206">
        <f t="shared" si="196"/>
        <v>0</v>
      </c>
      <c r="R694" s="206">
        <f t="shared" si="197"/>
        <v>0</v>
      </c>
      <c r="S694" s="206">
        <f t="shared" si="198"/>
        <v>0</v>
      </c>
      <c r="T694" s="206">
        <f t="shared" si="199"/>
        <v>0</v>
      </c>
      <c r="AA694" s="71" t="str">
        <f t="shared" si="191"/>
        <v/>
      </c>
      <c r="AB694" s="189">
        <f t="shared" si="192"/>
        <v>0</v>
      </c>
      <c r="AC694" s="189">
        <f t="shared" si="193"/>
        <v>0</v>
      </c>
      <c r="AD694" s="189">
        <f t="shared" si="194"/>
        <v>0</v>
      </c>
      <c r="AE694" s="189">
        <f t="shared" si="195"/>
        <v>0</v>
      </c>
    </row>
    <row r="695" spans="10:31" x14ac:dyDescent="0.4">
      <c r="J695" s="189" t="str">
        <f t="shared" si="200"/>
        <v/>
      </c>
      <c r="K695" s="189" t="str">
        <f t="shared" si="201"/>
        <v/>
      </c>
      <c r="L695" s="189" t="str">
        <f t="shared" si="202"/>
        <v/>
      </c>
      <c r="M695" s="189" t="str">
        <f t="shared" si="203"/>
        <v/>
      </c>
      <c r="N695" s="76" t="str">
        <f t="shared" si="204"/>
        <v/>
      </c>
      <c r="O695" s="20">
        <f t="shared" si="205"/>
        <v>0</v>
      </c>
      <c r="P695" s="76">
        <f t="shared" si="206"/>
        <v>0</v>
      </c>
      <c r="Q695" s="206">
        <f t="shared" si="196"/>
        <v>0</v>
      </c>
      <c r="R695" s="206">
        <f t="shared" si="197"/>
        <v>0</v>
      </c>
      <c r="S695" s="206">
        <f t="shared" si="198"/>
        <v>0</v>
      </c>
      <c r="T695" s="206">
        <f t="shared" si="199"/>
        <v>0</v>
      </c>
      <c r="AA695" s="71" t="str">
        <f t="shared" si="191"/>
        <v/>
      </c>
      <c r="AB695" s="189">
        <f t="shared" si="192"/>
        <v>0</v>
      </c>
      <c r="AC695" s="189">
        <f t="shared" si="193"/>
        <v>0</v>
      </c>
      <c r="AD695" s="189">
        <f t="shared" si="194"/>
        <v>0</v>
      </c>
      <c r="AE695" s="189">
        <f t="shared" si="195"/>
        <v>0</v>
      </c>
    </row>
    <row r="696" spans="10:31" x14ac:dyDescent="0.4">
      <c r="J696" s="189" t="str">
        <f t="shared" si="200"/>
        <v/>
      </c>
      <c r="K696" s="189" t="str">
        <f t="shared" si="201"/>
        <v/>
      </c>
      <c r="L696" s="189" t="str">
        <f t="shared" si="202"/>
        <v/>
      </c>
      <c r="M696" s="189" t="str">
        <f t="shared" si="203"/>
        <v/>
      </c>
      <c r="N696" s="76" t="str">
        <f t="shared" si="204"/>
        <v/>
      </c>
      <c r="O696" s="20">
        <f t="shared" si="205"/>
        <v>0</v>
      </c>
      <c r="P696" s="76">
        <f t="shared" si="206"/>
        <v>0</v>
      </c>
      <c r="Q696" s="206">
        <f t="shared" si="196"/>
        <v>0</v>
      </c>
      <c r="R696" s="206">
        <f t="shared" si="197"/>
        <v>0</v>
      </c>
      <c r="S696" s="206">
        <f t="shared" si="198"/>
        <v>0</v>
      </c>
      <c r="T696" s="206">
        <f t="shared" si="199"/>
        <v>0</v>
      </c>
      <c r="AA696" s="71" t="str">
        <f t="shared" si="191"/>
        <v/>
      </c>
      <c r="AB696" s="189">
        <f t="shared" si="192"/>
        <v>0</v>
      </c>
      <c r="AC696" s="189">
        <f t="shared" si="193"/>
        <v>0</v>
      </c>
      <c r="AD696" s="189">
        <f t="shared" si="194"/>
        <v>0</v>
      </c>
      <c r="AE696" s="189">
        <f t="shared" si="195"/>
        <v>0</v>
      </c>
    </row>
    <row r="697" spans="10:31" x14ac:dyDescent="0.4">
      <c r="J697" s="189" t="str">
        <f t="shared" si="200"/>
        <v/>
      </c>
      <c r="K697" s="189" t="str">
        <f t="shared" si="201"/>
        <v/>
      </c>
      <c r="L697" s="189" t="str">
        <f t="shared" si="202"/>
        <v/>
      </c>
      <c r="M697" s="189" t="str">
        <f t="shared" si="203"/>
        <v/>
      </c>
      <c r="N697" s="76" t="str">
        <f t="shared" si="204"/>
        <v/>
      </c>
      <c r="O697" s="20">
        <f t="shared" si="205"/>
        <v>0</v>
      </c>
      <c r="P697" s="76">
        <f t="shared" si="206"/>
        <v>0</v>
      </c>
      <c r="Q697" s="206">
        <f t="shared" si="196"/>
        <v>0</v>
      </c>
      <c r="R697" s="206">
        <f t="shared" si="197"/>
        <v>0</v>
      </c>
      <c r="S697" s="206">
        <f t="shared" si="198"/>
        <v>0</v>
      </c>
      <c r="T697" s="206">
        <f t="shared" si="199"/>
        <v>0</v>
      </c>
      <c r="AA697" s="71" t="str">
        <f t="shared" si="191"/>
        <v/>
      </c>
      <c r="AB697" s="189">
        <f t="shared" si="192"/>
        <v>0</v>
      </c>
      <c r="AC697" s="189">
        <f t="shared" si="193"/>
        <v>0</v>
      </c>
      <c r="AD697" s="189">
        <f t="shared" si="194"/>
        <v>0</v>
      </c>
      <c r="AE697" s="189">
        <f t="shared" si="195"/>
        <v>0</v>
      </c>
    </row>
    <row r="698" spans="10:31" x14ac:dyDescent="0.4">
      <c r="J698" s="189" t="str">
        <f t="shared" si="200"/>
        <v/>
      </c>
      <c r="K698" s="189" t="str">
        <f t="shared" si="201"/>
        <v/>
      </c>
      <c r="L698" s="189" t="str">
        <f t="shared" si="202"/>
        <v/>
      </c>
      <c r="M698" s="189" t="str">
        <f t="shared" si="203"/>
        <v/>
      </c>
      <c r="N698" s="76" t="str">
        <f t="shared" si="204"/>
        <v/>
      </c>
      <c r="O698" s="20">
        <f t="shared" si="205"/>
        <v>0</v>
      </c>
      <c r="P698" s="76">
        <f t="shared" si="206"/>
        <v>0</v>
      </c>
      <c r="Q698" s="206">
        <f t="shared" si="196"/>
        <v>0</v>
      </c>
      <c r="R698" s="206">
        <f t="shared" si="197"/>
        <v>0</v>
      </c>
      <c r="S698" s="206">
        <f t="shared" si="198"/>
        <v>0</v>
      </c>
      <c r="T698" s="206">
        <f t="shared" si="199"/>
        <v>0</v>
      </c>
      <c r="AA698" s="71" t="str">
        <f t="shared" si="191"/>
        <v/>
      </c>
      <c r="AB698" s="189">
        <f t="shared" si="192"/>
        <v>0</v>
      </c>
      <c r="AC698" s="189">
        <f t="shared" si="193"/>
        <v>0</v>
      </c>
      <c r="AD698" s="189">
        <f t="shared" si="194"/>
        <v>0</v>
      </c>
      <c r="AE698" s="189">
        <f t="shared" si="195"/>
        <v>0</v>
      </c>
    </row>
    <row r="699" spans="10:31" x14ac:dyDescent="0.4">
      <c r="J699" s="189" t="str">
        <f t="shared" si="200"/>
        <v/>
      </c>
      <c r="K699" s="189" t="str">
        <f t="shared" si="201"/>
        <v/>
      </c>
      <c r="L699" s="189" t="str">
        <f t="shared" si="202"/>
        <v/>
      </c>
      <c r="M699" s="189" t="str">
        <f t="shared" si="203"/>
        <v/>
      </c>
      <c r="N699" s="76" t="str">
        <f t="shared" si="204"/>
        <v/>
      </c>
      <c r="O699" s="20">
        <f t="shared" si="205"/>
        <v>0</v>
      </c>
      <c r="P699" s="76">
        <f t="shared" si="206"/>
        <v>0</v>
      </c>
      <c r="Q699" s="206">
        <f t="shared" si="196"/>
        <v>0</v>
      </c>
      <c r="R699" s="206">
        <f t="shared" si="197"/>
        <v>0</v>
      </c>
      <c r="S699" s="206">
        <f t="shared" si="198"/>
        <v>0</v>
      </c>
      <c r="T699" s="206">
        <f t="shared" si="199"/>
        <v>0</v>
      </c>
      <c r="AA699" s="71" t="str">
        <f t="shared" si="191"/>
        <v/>
      </c>
      <c r="AB699" s="189">
        <f t="shared" si="192"/>
        <v>0</v>
      </c>
      <c r="AC699" s="189">
        <f t="shared" si="193"/>
        <v>0</v>
      </c>
      <c r="AD699" s="189">
        <f t="shared" si="194"/>
        <v>0</v>
      </c>
      <c r="AE699" s="189">
        <f t="shared" si="195"/>
        <v>0</v>
      </c>
    </row>
    <row r="700" spans="10:31" x14ac:dyDescent="0.4">
      <c r="J700" s="189" t="str">
        <f t="shared" si="200"/>
        <v/>
      </c>
      <c r="K700" s="189" t="str">
        <f t="shared" si="201"/>
        <v/>
      </c>
      <c r="L700" s="189" t="str">
        <f t="shared" si="202"/>
        <v/>
      </c>
      <c r="M700" s="189" t="str">
        <f t="shared" si="203"/>
        <v/>
      </c>
      <c r="N700" s="76" t="str">
        <f t="shared" si="204"/>
        <v/>
      </c>
      <c r="O700" s="20">
        <f t="shared" si="205"/>
        <v>0</v>
      </c>
      <c r="P700" s="76">
        <f t="shared" si="206"/>
        <v>0</v>
      </c>
      <c r="Q700" s="206">
        <f t="shared" si="196"/>
        <v>0</v>
      </c>
      <c r="R700" s="206">
        <f t="shared" si="197"/>
        <v>0</v>
      </c>
      <c r="S700" s="206">
        <f t="shared" si="198"/>
        <v>0</v>
      </c>
      <c r="T700" s="206">
        <f t="shared" si="199"/>
        <v>0</v>
      </c>
      <c r="AA700" s="71" t="str">
        <f t="shared" si="191"/>
        <v/>
      </c>
      <c r="AB700" s="189">
        <f t="shared" si="192"/>
        <v>0</v>
      </c>
      <c r="AC700" s="189">
        <f t="shared" si="193"/>
        <v>0</v>
      </c>
      <c r="AD700" s="189">
        <f t="shared" si="194"/>
        <v>0</v>
      </c>
      <c r="AE700" s="189">
        <f t="shared" si="195"/>
        <v>0</v>
      </c>
    </row>
    <row r="701" spans="10:31" x14ac:dyDescent="0.4">
      <c r="J701" s="189" t="str">
        <f t="shared" si="200"/>
        <v/>
      </c>
      <c r="K701" s="189" t="str">
        <f t="shared" si="201"/>
        <v/>
      </c>
      <c r="L701" s="189" t="str">
        <f t="shared" si="202"/>
        <v/>
      </c>
      <c r="M701" s="189" t="str">
        <f t="shared" si="203"/>
        <v/>
      </c>
      <c r="N701" s="76" t="str">
        <f t="shared" si="204"/>
        <v/>
      </c>
      <c r="O701" s="20">
        <f t="shared" si="205"/>
        <v>0</v>
      </c>
      <c r="P701" s="76">
        <f t="shared" si="206"/>
        <v>0</v>
      </c>
      <c r="Q701" s="206">
        <f t="shared" si="196"/>
        <v>0</v>
      </c>
      <c r="R701" s="206">
        <f t="shared" si="197"/>
        <v>0</v>
      </c>
      <c r="S701" s="206">
        <f t="shared" si="198"/>
        <v>0</v>
      </c>
      <c r="T701" s="206">
        <f t="shared" si="199"/>
        <v>0</v>
      </c>
      <c r="AA701" s="71" t="str">
        <f t="shared" si="191"/>
        <v/>
      </c>
      <c r="AB701" s="189">
        <f t="shared" si="192"/>
        <v>0</v>
      </c>
      <c r="AC701" s="189">
        <f t="shared" si="193"/>
        <v>0</v>
      </c>
      <c r="AD701" s="189">
        <f t="shared" si="194"/>
        <v>0</v>
      </c>
      <c r="AE701" s="189">
        <f t="shared" si="195"/>
        <v>0</v>
      </c>
    </row>
    <row r="702" spans="10:31" x14ac:dyDescent="0.4">
      <c r="J702" s="189" t="str">
        <f t="shared" si="200"/>
        <v/>
      </c>
      <c r="K702" s="189" t="str">
        <f t="shared" si="201"/>
        <v/>
      </c>
      <c r="L702" s="189" t="str">
        <f t="shared" si="202"/>
        <v/>
      </c>
      <c r="M702" s="189" t="str">
        <f t="shared" si="203"/>
        <v/>
      </c>
      <c r="N702" s="76" t="str">
        <f t="shared" si="204"/>
        <v/>
      </c>
      <c r="O702" s="20">
        <f t="shared" si="205"/>
        <v>0</v>
      </c>
      <c r="P702" s="76">
        <f t="shared" si="206"/>
        <v>0</v>
      </c>
      <c r="Q702" s="206">
        <f t="shared" si="196"/>
        <v>0</v>
      </c>
      <c r="R702" s="206">
        <f t="shared" si="197"/>
        <v>0</v>
      </c>
      <c r="S702" s="206">
        <f t="shared" si="198"/>
        <v>0</v>
      </c>
      <c r="T702" s="206">
        <f t="shared" si="199"/>
        <v>0</v>
      </c>
      <c r="AA702" s="71" t="str">
        <f t="shared" si="191"/>
        <v/>
      </c>
      <c r="AB702" s="189">
        <f t="shared" si="192"/>
        <v>0</v>
      </c>
      <c r="AC702" s="189">
        <f t="shared" si="193"/>
        <v>0</v>
      </c>
      <c r="AD702" s="189">
        <f t="shared" si="194"/>
        <v>0</v>
      </c>
      <c r="AE702" s="189">
        <f t="shared" si="195"/>
        <v>0</v>
      </c>
    </row>
    <row r="703" spans="10:31" x14ac:dyDescent="0.4">
      <c r="J703" s="189" t="str">
        <f t="shared" si="200"/>
        <v/>
      </c>
      <c r="K703" s="189" t="str">
        <f t="shared" si="201"/>
        <v/>
      </c>
      <c r="L703" s="189" t="str">
        <f t="shared" si="202"/>
        <v/>
      </c>
      <c r="M703" s="189" t="str">
        <f t="shared" si="203"/>
        <v/>
      </c>
      <c r="N703" s="76" t="str">
        <f t="shared" si="204"/>
        <v/>
      </c>
      <c r="O703" s="20">
        <f t="shared" si="205"/>
        <v>0</v>
      </c>
      <c r="P703" s="76">
        <f t="shared" si="206"/>
        <v>0</v>
      </c>
      <c r="Q703" s="206">
        <f t="shared" si="196"/>
        <v>0</v>
      </c>
      <c r="R703" s="206">
        <f t="shared" si="197"/>
        <v>0</v>
      </c>
      <c r="S703" s="206">
        <f t="shared" si="198"/>
        <v>0</v>
      </c>
      <c r="T703" s="206">
        <f t="shared" si="199"/>
        <v>0</v>
      </c>
      <c r="AA703" s="71" t="str">
        <f t="shared" si="191"/>
        <v/>
      </c>
      <c r="AB703" s="189">
        <f t="shared" si="192"/>
        <v>0</v>
      </c>
      <c r="AC703" s="189">
        <f t="shared" si="193"/>
        <v>0</v>
      </c>
      <c r="AD703" s="189">
        <f t="shared" si="194"/>
        <v>0</v>
      </c>
      <c r="AE703" s="189">
        <f t="shared" si="195"/>
        <v>0</v>
      </c>
    </row>
    <row r="704" spans="10:31" x14ac:dyDescent="0.4">
      <c r="J704" s="189" t="str">
        <f t="shared" si="200"/>
        <v/>
      </c>
      <c r="K704" s="189" t="str">
        <f t="shared" si="201"/>
        <v/>
      </c>
      <c r="L704" s="189" t="str">
        <f t="shared" si="202"/>
        <v/>
      </c>
      <c r="M704" s="189" t="str">
        <f t="shared" si="203"/>
        <v/>
      </c>
      <c r="N704" s="76" t="str">
        <f t="shared" si="204"/>
        <v/>
      </c>
      <c r="O704" s="20">
        <f t="shared" si="205"/>
        <v>0</v>
      </c>
      <c r="P704" s="76">
        <f t="shared" si="206"/>
        <v>0</v>
      </c>
      <c r="Q704" s="206">
        <f t="shared" si="196"/>
        <v>0</v>
      </c>
      <c r="R704" s="206">
        <f t="shared" si="197"/>
        <v>0</v>
      </c>
      <c r="S704" s="206">
        <f t="shared" si="198"/>
        <v>0</v>
      </c>
      <c r="T704" s="206">
        <f t="shared" si="199"/>
        <v>0</v>
      </c>
      <c r="AA704" s="71" t="str">
        <f t="shared" si="191"/>
        <v/>
      </c>
      <c r="AB704" s="189">
        <f t="shared" si="192"/>
        <v>0</v>
      </c>
      <c r="AC704" s="189">
        <f t="shared" si="193"/>
        <v>0</v>
      </c>
      <c r="AD704" s="189">
        <f t="shared" si="194"/>
        <v>0</v>
      </c>
      <c r="AE704" s="189">
        <f t="shared" si="195"/>
        <v>0</v>
      </c>
    </row>
    <row r="705" spans="10:31" x14ac:dyDescent="0.4">
      <c r="J705" s="189" t="str">
        <f t="shared" si="200"/>
        <v/>
      </c>
      <c r="K705" s="189" t="str">
        <f t="shared" si="201"/>
        <v/>
      </c>
      <c r="L705" s="189" t="str">
        <f t="shared" si="202"/>
        <v/>
      </c>
      <c r="M705" s="189" t="str">
        <f t="shared" si="203"/>
        <v/>
      </c>
      <c r="N705" s="76" t="str">
        <f t="shared" si="204"/>
        <v/>
      </c>
      <c r="O705" s="20">
        <f t="shared" si="205"/>
        <v>0</v>
      </c>
      <c r="P705" s="76">
        <f t="shared" si="206"/>
        <v>0</v>
      </c>
      <c r="Q705" s="206">
        <f t="shared" si="196"/>
        <v>0</v>
      </c>
      <c r="R705" s="206">
        <f t="shared" si="197"/>
        <v>0</v>
      </c>
      <c r="S705" s="206">
        <f t="shared" si="198"/>
        <v>0</v>
      </c>
      <c r="T705" s="206">
        <f t="shared" si="199"/>
        <v>0</v>
      </c>
      <c r="AA705" s="71" t="str">
        <f t="shared" si="191"/>
        <v/>
      </c>
      <c r="AB705" s="189">
        <f t="shared" si="192"/>
        <v>0</v>
      </c>
      <c r="AC705" s="189">
        <f t="shared" si="193"/>
        <v>0</v>
      </c>
      <c r="AD705" s="189">
        <f t="shared" si="194"/>
        <v>0</v>
      </c>
      <c r="AE705" s="189">
        <f t="shared" si="195"/>
        <v>0</v>
      </c>
    </row>
    <row r="706" spans="10:31" x14ac:dyDescent="0.4">
      <c r="J706" s="189" t="str">
        <f t="shared" si="200"/>
        <v/>
      </c>
      <c r="K706" s="189" t="str">
        <f t="shared" si="201"/>
        <v/>
      </c>
      <c r="L706" s="189" t="str">
        <f t="shared" si="202"/>
        <v/>
      </c>
      <c r="M706" s="189" t="str">
        <f t="shared" si="203"/>
        <v/>
      </c>
      <c r="N706" s="76" t="str">
        <f t="shared" si="204"/>
        <v/>
      </c>
      <c r="O706" s="20">
        <f t="shared" si="205"/>
        <v>0</v>
      </c>
      <c r="P706" s="76">
        <f t="shared" si="206"/>
        <v>0</v>
      </c>
      <c r="Q706" s="206">
        <f t="shared" si="196"/>
        <v>0</v>
      </c>
      <c r="R706" s="206">
        <f t="shared" si="197"/>
        <v>0</v>
      </c>
      <c r="S706" s="206">
        <f t="shared" si="198"/>
        <v>0</v>
      </c>
      <c r="T706" s="206">
        <f t="shared" si="199"/>
        <v>0</v>
      </c>
      <c r="AA706" s="71" t="str">
        <f t="shared" si="191"/>
        <v/>
      </c>
      <c r="AB706" s="189">
        <f t="shared" si="192"/>
        <v>0</v>
      </c>
      <c r="AC706" s="189">
        <f t="shared" si="193"/>
        <v>0</v>
      </c>
      <c r="AD706" s="189">
        <f t="shared" si="194"/>
        <v>0</v>
      </c>
      <c r="AE706" s="189">
        <f t="shared" si="195"/>
        <v>0</v>
      </c>
    </row>
    <row r="707" spans="10:31" x14ac:dyDescent="0.4">
      <c r="J707" s="189" t="str">
        <f t="shared" si="200"/>
        <v/>
      </c>
      <c r="K707" s="189" t="str">
        <f t="shared" si="201"/>
        <v/>
      </c>
      <c r="L707" s="189" t="str">
        <f t="shared" si="202"/>
        <v/>
      </c>
      <c r="M707" s="189" t="str">
        <f t="shared" si="203"/>
        <v/>
      </c>
      <c r="N707" s="76" t="str">
        <f t="shared" si="204"/>
        <v/>
      </c>
      <c r="O707" s="20">
        <f t="shared" si="205"/>
        <v>0</v>
      </c>
      <c r="P707" s="76">
        <f t="shared" si="206"/>
        <v>0</v>
      </c>
      <c r="Q707" s="206">
        <f t="shared" si="196"/>
        <v>0</v>
      </c>
      <c r="R707" s="206">
        <f t="shared" si="197"/>
        <v>0</v>
      </c>
      <c r="S707" s="206">
        <f t="shared" si="198"/>
        <v>0</v>
      </c>
      <c r="T707" s="206">
        <f t="shared" si="199"/>
        <v>0</v>
      </c>
      <c r="AA707" s="71" t="str">
        <f t="shared" si="191"/>
        <v/>
      </c>
      <c r="AB707" s="189">
        <f t="shared" si="192"/>
        <v>0</v>
      </c>
      <c r="AC707" s="189">
        <f t="shared" si="193"/>
        <v>0</v>
      </c>
      <c r="AD707" s="189">
        <f t="shared" si="194"/>
        <v>0</v>
      </c>
      <c r="AE707" s="189">
        <f t="shared" si="195"/>
        <v>0</v>
      </c>
    </row>
    <row r="708" spans="10:31" x14ac:dyDescent="0.4">
      <c r="J708" s="189" t="str">
        <f t="shared" si="200"/>
        <v/>
      </c>
      <c r="K708" s="189" t="str">
        <f t="shared" si="201"/>
        <v/>
      </c>
      <c r="L708" s="189" t="str">
        <f t="shared" si="202"/>
        <v/>
      </c>
      <c r="M708" s="189" t="str">
        <f t="shared" si="203"/>
        <v/>
      </c>
      <c r="N708" s="76" t="str">
        <f t="shared" si="204"/>
        <v/>
      </c>
      <c r="O708" s="20">
        <f t="shared" si="205"/>
        <v>0</v>
      </c>
      <c r="P708" s="76">
        <f t="shared" si="206"/>
        <v>0</v>
      </c>
      <c r="Q708" s="206">
        <f t="shared" si="196"/>
        <v>0</v>
      </c>
      <c r="R708" s="206">
        <f t="shared" si="197"/>
        <v>0</v>
      </c>
      <c r="S708" s="206">
        <f t="shared" si="198"/>
        <v>0</v>
      </c>
      <c r="T708" s="206">
        <f t="shared" si="199"/>
        <v>0</v>
      </c>
      <c r="AA708" s="71" t="str">
        <f t="shared" si="191"/>
        <v/>
      </c>
      <c r="AB708" s="189">
        <f t="shared" si="192"/>
        <v>0</v>
      </c>
      <c r="AC708" s="189">
        <f t="shared" si="193"/>
        <v>0</v>
      </c>
      <c r="AD708" s="189">
        <f t="shared" si="194"/>
        <v>0</v>
      </c>
      <c r="AE708" s="189">
        <f t="shared" si="195"/>
        <v>0</v>
      </c>
    </row>
    <row r="709" spans="10:31" x14ac:dyDescent="0.4">
      <c r="J709" s="189" t="str">
        <f t="shared" si="200"/>
        <v/>
      </c>
      <c r="K709" s="189" t="str">
        <f t="shared" si="201"/>
        <v/>
      </c>
      <c r="L709" s="189" t="str">
        <f t="shared" si="202"/>
        <v/>
      </c>
      <c r="M709" s="189" t="str">
        <f t="shared" si="203"/>
        <v/>
      </c>
      <c r="N709" s="76" t="str">
        <f t="shared" si="204"/>
        <v/>
      </c>
      <c r="O709" s="20">
        <f t="shared" si="205"/>
        <v>0</v>
      </c>
      <c r="P709" s="76">
        <f t="shared" si="206"/>
        <v>0</v>
      </c>
      <c r="Q709" s="206">
        <f t="shared" si="196"/>
        <v>0</v>
      </c>
      <c r="R709" s="206">
        <f t="shared" si="197"/>
        <v>0</v>
      </c>
      <c r="S709" s="206">
        <f t="shared" si="198"/>
        <v>0</v>
      </c>
      <c r="T709" s="206">
        <f t="shared" si="199"/>
        <v>0</v>
      </c>
      <c r="AA709" s="71" t="str">
        <f t="shared" si="191"/>
        <v/>
      </c>
      <c r="AB709" s="189">
        <f t="shared" si="192"/>
        <v>0</v>
      </c>
      <c r="AC709" s="189">
        <f t="shared" si="193"/>
        <v>0</v>
      </c>
      <c r="AD709" s="189">
        <f t="shared" si="194"/>
        <v>0</v>
      </c>
      <c r="AE709" s="189">
        <f t="shared" si="195"/>
        <v>0</v>
      </c>
    </row>
    <row r="710" spans="10:31" x14ac:dyDescent="0.4">
      <c r="J710" s="189" t="str">
        <f t="shared" si="200"/>
        <v/>
      </c>
      <c r="K710" s="189" t="str">
        <f t="shared" si="201"/>
        <v/>
      </c>
      <c r="L710" s="189" t="str">
        <f t="shared" si="202"/>
        <v/>
      </c>
      <c r="M710" s="189" t="str">
        <f t="shared" si="203"/>
        <v/>
      </c>
      <c r="N710" s="76" t="str">
        <f t="shared" si="204"/>
        <v/>
      </c>
      <c r="O710" s="20">
        <f t="shared" si="205"/>
        <v>0</v>
      </c>
      <c r="P710" s="76">
        <f t="shared" si="206"/>
        <v>0</v>
      </c>
      <c r="Q710" s="206">
        <f t="shared" si="196"/>
        <v>0</v>
      </c>
      <c r="R710" s="206">
        <f t="shared" si="197"/>
        <v>0</v>
      </c>
      <c r="S710" s="206">
        <f t="shared" si="198"/>
        <v>0</v>
      </c>
      <c r="T710" s="206">
        <f t="shared" si="199"/>
        <v>0</v>
      </c>
      <c r="AA710" s="71" t="str">
        <f t="shared" si="191"/>
        <v/>
      </c>
      <c r="AB710" s="189">
        <f t="shared" si="192"/>
        <v>0</v>
      </c>
      <c r="AC710" s="189">
        <f t="shared" si="193"/>
        <v>0</v>
      </c>
      <c r="AD710" s="189">
        <f t="shared" si="194"/>
        <v>0</v>
      </c>
      <c r="AE710" s="189">
        <f t="shared" si="195"/>
        <v>0</v>
      </c>
    </row>
    <row r="711" spans="10:31" x14ac:dyDescent="0.4">
      <c r="J711" s="189" t="str">
        <f t="shared" si="200"/>
        <v/>
      </c>
      <c r="K711" s="189" t="str">
        <f t="shared" si="201"/>
        <v/>
      </c>
      <c r="L711" s="189" t="str">
        <f t="shared" si="202"/>
        <v/>
      </c>
      <c r="M711" s="189" t="str">
        <f t="shared" si="203"/>
        <v/>
      </c>
      <c r="N711" s="76" t="str">
        <f t="shared" si="204"/>
        <v/>
      </c>
      <c r="O711" s="20">
        <f t="shared" si="205"/>
        <v>0</v>
      </c>
      <c r="P711" s="76">
        <f t="shared" si="206"/>
        <v>0</v>
      </c>
      <c r="Q711" s="206">
        <f t="shared" si="196"/>
        <v>0</v>
      </c>
      <c r="R711" s="206">
        <f t="shared" si="197"/>
        <v>0</v>
      </c>
      <c r="S711" s="206">
        <f t="shared" si="198"/>
        <v>0</v>
      </c>
      <c r="T711" s="206">
        <f t="shared" si="199"/>
        <v>0</v>
      </c>
      <c r="AA711" s="71" t="str">
        <f t="shared" si="191"/>
        <v/>
      </c>
      <c r="AB711" s="189">
        <f t="shared" si="192"/>
        <v>0</v>
      </c>
      <c r="AC711" s="189">
        <f t="shared" si="193"/>
        <v>0</v>
      </c>
      <c r="AD711" s="189">
        <f t="shared" si="194"/>
        <v>0</v>
      </c>
      <c r="AE711" s="189">
        <f t="shared" si="195"/>
        <v>0</v>
      </c>
    </row>
    <row r="712" spans="10:31" x14ac:dyDescent="0.4">
      <c r="J712" s="189" t="str">
        <f t="shared" si="200"/>
        <v/>
      </c>
      <c r="K712" s="189" t="str">
        <f t="shared" si="201"/>
        <v/>
      </c>
      <c r="L712" s="189" t="str">
        <f t="shared" si="202"/>
        <v/>
      </c>
      <c r="M712" s="189" t="str">
        <f t="shared" si="203"/>
        <v/>
      </c>
      <c r="N712" s="76" t="str">
        <f t="shared" si="204"/>
        <v/>
      </c>
      <c r="O712" s="20">
        <f t="shared" si="205"/>
        <v>0</v>
      </c>
      <c r="P712" s="76">
        <f t="shared" si="206"/>
        <v>0</v>
      </c>
      <c r="Q712" s="206">
        <f t="shared" si="196"/>
        <v>0</v>
      </c>
      <c r="R712" s="206">
        <f t="shared" si="197"/>
        <v>0</v>
      </c>
      <c r="S712" s="206">
        <f t="shared" si="198"/>
        <v>0</v>
      </c>
      <c r="T712" s="206">
        <f t="shared" si="199"/>
        <v>0</v>
      </c>
      <c r="AA712" s="71" t="str">
        <f t="shared" si="191"/>
        <v/>
      </c>
      <c r="AB712" s="189">
        <f t="shared" si="192"/>
        <v>0</v>
      </c>
      <c r="AC712" s="189">
        <f t="shared" si="193"/>
        <v>0</v>
      </c>
      <c r="AD712" s="189">
        <f t="shared" si="194"/>
        <v>0</v>
      </c>
      <c r="AE712" s="189">
        <f t="shared" si="195"/>
        <v>0</v>
      </c>
    </row>
    <row r="713" spans="10:31" x14ac:dyDescent="0.4">
      <c r="J713" s="189" t="str">
        <f t="shared" si="200"/>
        <v/>
      </c>
      <c r="K713" s="189" t="str">
        <f t="shared" si="201"/>
        <v/>
      </c>
      <c r="L713" s="189" t="str">
        <f t="shared" si="202"/>
        <v/>
      </c>
      <c r="M713" s="189" t="str">
        <f t="shared" si="203"/>
        <v/>
      </c>
      <c r="N713" s="76" t="str">
        <f t="shared" si="204"/>
        <v/>
      </c>
      <c r="O713" s="20">
        <f t="shared" si="205"/>
        <v>0</v>
      </c>
      <c r="P713" s="76">
        <f t="shared" si="206"/>
        <v>0</v>
      </c>
      <c r="Q713" s="206">
        <f t="shared" si="196"/>
        <v>0</v>
      </c>
      <c r="R713" s="206">
        <f t="shared" si="197"/>
        <v>0</v>
      </c>
      <c r="S713" s="206">
        <f t="shared" si="198"/>
        <v>0</v>
      </c>
      <c r="T713" s="206">
        <f t="shared" si="199"/>
        <v>0</v>
      </c>
      <c r="AA713" s="71" t="str">
        <f t="shared" si="191"/>
        <v/>
      </c>
      <c r="AB713" s="189">
        <f t="shared" si="192"/>
        <v>0</v>
      </c>
      <c r="AC713" s="189">
        <f t="shared" si="193"/>
        <v>0</v>
      </c>
      <c r="AD713" s="189">
        <f t="shared" si="194"/>
        <v>0</v>
      </c>
      <c r="AE713" s="189">
        <f t="shared" si="195"/>
        <v>0</v>
      </c>
    </row>
    <row r="714" spans="10:31" x14ac:dyDescent="0.4">
      <c r="J714" s="189" t="str">
        <f t="shared" si="200"/>
        <v/>
      </c>
      <c r="K714" s="189" t="str">
        <f t="shared" si="201"/>
        <v/>
      </c>
      <c r="L714" s="189" t="str">
        <f t="shared" si="202"/>
        <v/>
      </c>
      <c r="M714" s="189" t="str">
        <f t="shared" si="203"/>
        <v/>
      </c>
      <c r="N714" s="76" t="str">
        <f t="shared" si="204"/>
        <v/>
      </c>
      <c r="O714" s="20">
        <f t="shared" si="205"/>
        <v>0</v>
      </c>
      <c r="P714" s="76">
        <f t="shared" si="206"/>
        <v>0</v>
      </c>
      <c r="Q714" s="206">
        <f t="shared" si="196"/>
        <v>0</v>
      </c>
      <c r="R714" s="206">
        <f t="shared" si="197"/>
        <v>0</v>
      </c>
      <c r="S714" s="206">
        <f t="shared" si="198"/>
        <v>0</v>
      </c>
      <c r="T714" s="206">
        <f t="shared" si="199"/>
        <v>0</v>
      </c>
      <c r="AA714" s="71" t="str">
        <f t="shared" si="191"/>
        <v/>
      </c>
      <c r="AB714" s="189">
        <f t="shared" si="192"/>
        <v>0</v>
      </c>
      <c r="AC714" s="189">
        <f t="shared" si="193"/>
        <v>0</v>
      </c>
      <c r="AD714" s="189">
        <f t="shared" si="194"/>
        <v>0</v>
      </c>
      <c r="AE714" s="189">
        <f t="shared" si="195"/>
        <v>0</v>
      </c>
    </row>
    <row r="715" spans="10:31" x14ac:dyDescent="0.4">
      <c r="J715" s="189" t="str">
        <f t="shared" si="200"/>
        <v/>
      </c>
      <c r="K715" s="189" t="str">
        <f t="shared" si="201"/>
        <v/>
      </c>
      <c r="L715" s="189" t="str">
        <f t="shared" si="202"/>
        <v/>
      </c>
      <c r="M715" s="189" t="str">
        <f t="shared" si="203"/>
        <v/>
      </c>
      <c r="N715" s="76" t="str">
        <f t="shared" si="204"/>
        <v/>
      </c>
      <c r="O715" s="20">
        <f t="shared" si="205"/>
        <v>0</v>
      </c>
      <c r="P715" s="76">
        <f t="shared" si="206"/>
        <v>0</v>
      </c>
      <c r="Q715" s="206">
        <f t="shared" si="196"/>
        <v>0</v>
      </c>
      <c r="R715" s="206">
        <f t="shared" si="197"/>
        <v>0</v>
      </c>
      <c r="S715" s="206">
        <f t="shared" si="198"/>
        <v>0</v>
      </c>
      <c r="T715" s="206">
        <f t="shared" si="199"/>
        <v>0</v>
      </c>
      <c r="AA715" s="71" t="str">
        <f t="shared" si="191"/>
        <v/>
      </c>
      <c r="AB715" s="189">
        <f t="shared" si="192"/>
        <v>0</v>
      </c>
      <c r="AC715" s="189">
        <f t="shared" si="193"/>
        <v>0</v>
      </c>
      <c r="AD715" s="189">
        <f t="shared" si="194"/>
        <v>0</v>
      </c>
      <c r="AE715" s="189">
        <f t="shared" si="195"/>
        <v>0</v>
      </c>
    </row>
    <row r="716" spans="10:31" x14ac:dyDescent="0.4">
      <c r="J716" s="189" t="str">
        <f t="shared" si="200"/>
        <v/>
      </c>
      <c r="K716" s="189" t="str">
        <f t="shared" si="201"/>
        <v/>
      </c>
      <c r="L716" s="189" t="str">
        <f t="shared" si="202"/>
        <v/>
      </c>
      <c r="M716" s="189" t="str">
        <f t="shared" si="203"/>
        <v/>
      </c>
      <c r="N716" s="76" t="str">
        <f t="shared" si="204"/>
        <v/>
      </c>
      <c r="O716" s="20">
        <f t="shared" si="205"/>
        <v>0</v>
      </c>
      <c r="P716" s="76">
        <f t="shared" si="206"/>
        <v>0</v>
      </c>
      <c r="Q716" s="206">
        <f t="shared" si="196"/>
        <v>0</v>
      </c>
      <c r="R716" s="206">
        <f t="shared" si="197"/>
        <v>0</v>
      </c>
      <c r="S716" s="206">
        <f t="shared" si="198"/>
        <v>0</v>
      </c>
      <c r="T716" s="206">
        <f t="shared" si="199"/>
        <v>0</v>
      </c>
      <c r="AA716" s="71" t="str">
        <f t="shared" si="191"/>
        <v/>
      </c>
      <c r="AB716" s="189">
        <f t="shared" si="192"/>
        <v>0</v>
      </c>
      <c r="AC716" s="189">
        <f t="shared" si="193"/>
        <v>0</v>
      </c>
      <c r="AD716" s="189">
        <f t="shared" si="194"/>
        <v>0</v>
      </c>
      <c r="AE716" s="189">
        <f t="shared" si="195"/>
        <v>0</v>
      </c>
    </row>
    <row r="717" spans="10:31" x14ac:dyDescent="0.4">
      <c r="J717" s="189" t="str">
        <f t="shared" si="200"/>
        <v/>
      </c>
      <c r="K717" s="189" t="str">
        <f t="shared" si="201"/>
        <v/>
      </c>
      <c r="L717" s="189" t="str">
        <f t="shared" si="202"/>
        <v/>
      </c>
      <c r="M717" s="189" t="str">
        <f t="shared" si="203"/>
        <v/>
      </c>
      <c r="N717" s="76" t="str">
        <f t="shared" si="204"/>
        <v/>
      </c>
      <c r="O717" s="20">
        <f t="shared" si="205"/>
        <v>0</v>
      </c>
      <c r="P717" s="76">
        <f t="shared" si="206"/>
        <v>0</v>
      </c>
      <c r="Q717" s="206">
        <f t="shared" si="196"/>
        <v>0</v>
      </c>
      <c r="R717" s="206">
        <f t="shared" si="197"/>
        <v>0</v>
      </c>
      <c r="S717" s="206">
        <f t="shared" si="198"/>
        <v>0</v>
      </c>
      <c r="T717" s="206">
        <f t="shared" si="199"/>
        <v>0</v>
      </c>
      <c r="AA717" s="71" t="str">
        <f t="shared" si="191"/>
        <v/>
      </c>
      <c r="AB717" s="189">
        <f t="shared" si="192"/>
        <v>0</v>
      </c>
      <c r="AC717" s="189">
        <f t="shared" si="193"/>
        <v>0</v>
      </c>
      <c r="AD717" s="189">
        <f t="shared" si="194"/>
        <v>0</v>
      </c>
      <c r="AE717" s="189">
        <f t="shared" si="195"/>
        <v>0</v>
      </c>
    </row>
    <row r="718" spans="10:31" x14ac:dyDescent="0.4">
      <c r="J718" s="189" t="str">
        <f t="shared" si="200"/>
        <v/>
      </c>
      <c r="K718" s="189" t="str">
        <f t="shared" si="201"/>
        <v/>
      </c>
      <c r="L718" s="189" t="str">
        <f t="shared" si="202"/>
        <v/>
      </c>
      <c r="M718" s="189" t="str">
        <f t="shared" si="203"/>
        <v/>
      </c>
      <c r="N718" s="76" t="str">
        <f t="shared" si="204"/>
        <v/>
      </c>
      <c r="O718" s="20">
        <f t="shared" si="205"/>
        <v>0</v>
      </c>
      <c r="P718" s="76">
        <f t="shared" si="206"/>
        <v>0</v>
      </c>
      <c r="Q718" s="206">
        <f t="shared" si="196"/>
        <v>0</v>
      </c>
      <c r="R718" s="206">
        <f t="shared" si="197"/>
        <v>0</v>
      </c>
      <c r="S718" s="206">
        <f t="shared" si="198"/>
        <v>0</v>
      </c>
      <c r="T718" s="206">
        <f t="shared" si="199"/>
        <v>0</v>
      </c>
      <c r="AA718" s="71" t="str">
        <f t="shared" si="191"/>
        <v/>
      </c>
      <c r="AB718" s="189">
        <f t="shared" si="192"/>
        <v>0</v>
      </c>
      <c r="AC718" s="189">
        <f t="shared" si="193"/>
        <v>0</v>
      </c>
      <c r="AD718" s="189">
        <f t="shared" si="194"/>
        <v>0</v>
      </c>
      <c r="AE718" s="189">
        <f t="shared" si="195"/>
        <v>0</v>
      </c>
    </row>
    <row r="719" spans="10:31" x14ac:dyDescent="0.4">
      <c r="J719" s="189" t="str">
        <f t="shared" si="200"/>
        <v/>
      </c>
      <c r="K719" s="189" t="str">
        <f t="shared" si="201"/>
        <v/>
      </c>
      <c r="L719" s="189" t="str">
        <f t="shared" si="202"/>
        <v/>
      </c>
      <c r="M719" s="189" t="str">
        <f t="shared" si="203"/>
        <v/>
      </c>
      <c r="N719" s="76" t="str">
        <f t="shared" si="204"/>
        <v/>
      </c>
      <c r="O719" s="20">
        <f t="shared" si="205"/>
        <v>0</v>
      </c>
      <c r="P719" s="76">
        <f t="shared" si="206"/>
        <v>0</v>
      </c>
      <c r="Q719" s="206">
        <f t="shared" si="196"/>
        <v>0</v>
      </c>
      <c r="R719" s="206">
        <f t="shared" si="197"/>
        <v>0</v>
      </c>
      <c r="S719" s="206">
        <f t="shared" si="198"/>
        <v>0</v>
      </c>
      <c r="T719" s="206">
        <f t="shared" si="199"/>
        <v>0</v>
      </c>
      <c r="AA719" s="71" t="str">
        <f t="shared" si="191"/>
        <v/>
      </c>
      <c r="AB719" s="189">
        <f t="shared" si="192"/>
        <v>0</v>
      </c>
      <c r="AC719" s="189">
        <f t="shared" si="193"/>
        <v>0</v>
      </c>
      <c r="AD719" s="189">
        <f t="shared" si="194"/>
        <v>0</v>
      </c>
      <c r="AE719" s="189">
        <f t="shared" si="195"/>
        <v>0</v>
      </c>
    </row>
    <row r="720" spans="10:31" x14ac:dyDescent="0.4">
      <c r="J720" s="189" t="str">
        <f t="shared" si="200"/>
        <v/>
      </c>
      <c r="K720" s="189" t="str">
        <f t="shared" si="201"/>
        <v/>
      </c>
      <c r="L720" s="189" t="str">
        <f t="shared" si="202"/>
        <v/>
      </c>
      <c r="M720" s="189" t="str">
        <f t="shared" si="203"/>
        <v/>
      </c>
      <c r="N720" s="76" t="str">
        <f t="shared" si="204"/>
        <v/>
      </c>
      <c r="O720" s="20">
        <f t="shared" si="205"/>
        <v>0</v>
      </c>
      <c r="P720" s="76">
        <f t="shared" si="206"/>
        <v>0</v>
      </c>
      <c r="Q720" s="206">
        <f t="shared" si="196"/>
        <v>0</v>
      </c>
      <c r="R720" s="206">
        <f t="shared" si="197"/>
        <v>0</v>
      </c>
      <c r="S720" s="206">
        <f t="shared" si="198"/>
        <v>0</v>
      </c>
      <c r="T720" s="206">
        <f t="shared" si="199"/>
        <v>0</v>
      </c>
      <c r="AA720" s="71" t="str">
        <f t="shared" si="191"/>
        <v/>
      </c>
      <c r="AB720" s="189">
        <f t="shared" si="192"/>
        <v>0</v>
      </c>
      <c r="AC720" s="189">
        <f t="shared" si="193"/>
        <v>0</v>
      </c>
      <c r="AD720" s="189">
        <f t="shared" si="194"/>
        <v>0</v>
      </c>
      <c r="AE720" s="189">
        <f t="shared" si="195"/>
        <v>0</v>
      </c>
    </row>
    <row r="721" spans="10:31" x14ac:dyDescent="0.4">
      <c r="J721" s="189" t="str">
        <f t="shared" si="200"/>
        <v/>
      </c>
      <c r="K721" s="189" t="str">
        <f t="shared" si="201"/>
        <v/>
      </c>
      <c r="L721" s="189" t="str">
        <f t="shared" si="202"/>
        <v/>
      </c>
      <c r="M721" s="189" t="str">
        <f t="shared" si="203"/>
        <v/>
      </c>
      <c r="N721" s="76" t="str">
        <f t="shared" si="204"/>
        <v/>
      </c>
      <c r="O721" s="20">
        <f t="shared" si="205"/>
        <v>0</v>
      </c>
      <c r="P721" s="76">
        <f t="shared" si="206"/>
        <v>0</v>
      </c>
      <c r="Q721" s="206">
        <f t="shared" si="196"/>
        <v>0</v>
      </c>
      <c r="R721" s="206">
        <f t="shared" si="197"/>
        <v>0</v>
      </c>
      <c r="S721" s="206">
        <f t="shared" si="198"/>
        <v>0</v>
      </c>
      <c r="T721" s="206">
        <f t="shared" si="199"/>
        <v>0</v>
      </c>
      <c r="AA721" s="71" t="str">
        <f t="shared" si="191"/>
        <v/>
      </c>
      <c r="AB721" s="189">
        <f t="shared" si="192"/>
        <v>0</v>
      </c>
      <c r="AC721" s="189">
        <f t="shared" si="193"/>
        <v>0</v>
      </c>
      <c r="AD721" s="189">
        <f t="shared" si="194"/>
        <v>0</v>
      </c>
      <c r="AE721" s="189">
        <f t="shared" si="195"/>
        <v>0</v>
      </c>
    </row>
    <row r="722" spans="10:31" x14ac:dyDescent="0.4">
      <c r="J722" s="189" t="str">
        <f t="shared" si="200"/>
        <v/>
      </c>
      <c r="K722" s="189" t="str">
        <f t="shared" si="201"/>
        <v/>
      </c>
      <c r="L722" s="189" t="str">
        <f t="shared" si="202"/>
        <v/>
      </c>
      <c r="M722" s="189" t="str">
        <f t="shared" si="203"/>
        <v/>
      </c>
      <c r="N722" s="76" t="str">
        <f t="shared" si="204"/>
        <v/>
      </c>
      <c r="O722" s="20">
        <f t="shared" si="205"/>
        <v>0</v>
      </c>
      <c r="P722" s="76">
        <f t="shared" si="206"/>
        <v>0</v>
      </c>
      <c r="Q722" s="206">
        <f t="shared" si="196"/>
        <v>0</v>
      </c>
      <c r="R722" s="206">
        <f t="shared" si="197"/>
        <v>0</v>
      </c>
      <c r="S722" s="206">
        <f t="shared" si="198"/>
        <v>0</v>
      </c>
      <c r="T722" s="206">
        <f t="shared" si="199"/>
        <v>0</v>
      </c>
      <c r="AA722" s="71" t="str">
        <f t="shared" si="191"/>
        <v/>
      </c>
      <c r="AB722" s="189">
        <f t="shared" si="192"/>
        <v>0</v>
      </c>
      <c r="AC722" s="189">
        <f t="shared" si="193"/>
        <v>0</v>
      </c>
      <c r="AD722" s="189">
        <f t="shared" si="194"/>
        <v>0</v>
      </c>
      <c r="AE722" s="189">
        <f t="shared" si="195"/>
        <v>0</v>
      </c>
    </row>
    <row r="723" spans="10:31" x14ac:dyDescent="0.4">
      <c r="J723" s="189" t="str">
        <f t="shared" si="200"/>
        <v/>
      </c>
      <c r="K723" s="189" t="str">
        <f t="shared" si="201"/>
        <v/>
      </c>
      <c r="L723" s="189" t="str">
        <f t="shared" si="202"/>
        <v/>
      </c>
      <c r="M723" s="189" t="str">
        <f t="shared" si="203"/>
        <v/>
      </c>
      <c r="N723" s="76" t="str">
        <f t="shared" si="204"/>
        <v/>
      </c>
      <c r="O723" s="20">
        <f t="shared" si="205"/>
        <v>0</v>
      </c>
      <c r="P723" s="76">
        <f t="shared" si="206"/>
        <v>0</v>
      </c>
      <c r="Q723" s="206">
        <f t="shared" si="196"/>
        <v>0</v>
      </c>
      <c r="R723" s="206">
        <f t="shared" si="197"/>
        <v>0</v>
      </c>
      <c r="S723" s="206">
        <f t="shared" si="198"/>
        <v>0</v>
      </c>
      <c r="T723" s="206">
        <f t="shared" si="199"/>
        <v>0</v>
      </c>
      <c r="AA723" s="71" t="str">
        <f t="shared" si="191"/>
        <v/>
      </c>
      <c r="AB723" s="189">
        <f t="shared" si="192"/>
        <v>0</v>
      </c>
      <c r="AC723" s="189">
        <f t="shared" si="193"/>
        <v>0</v>
      </c>
      <c r="AD723" s="189">
        <f t="shared" si="194"/>
        <v>0</v>
      </c>
      <c r="AE723" s="189">
        <f t="shared" si="195"/>
        <v>0</v>
      </c>
    </row>
    <row r="724" spans="10:31" x14ac:dyDescent="0.4">
      <c r="J724" s="189" t="str">
        <f t="shared" si="200"/>
        <v/>
      </c>
      <c r="K724" s="189" t="str">
        <f t="shared" si="201"/>
        <v/>
      </c>
      <c r="L724" s="189" t="str">
        <f t="shared" si="202"/>
        <v/>
      </c>
      <c r="M724" s="189" t="str">
        <f t="shared" si="203"/>
        <v/>
      </c>
      <c r="N724" s="76" t="str">
        <f t="shared" si="204"/>
        <v/>
      </c>
      <c r="O724" s="20">
        <f t="shared" si="205"/>
        <v>0</v>
      </c>
      <c r="P724" s="76">
        <f t="shared" si="206"/>
        <v>0</v>
      </c>
      <c r="Q724" s="206">
        <f t="shared" si="196"/>
        <v>0</v>
      </c>
      <c r="R724" s="206">
        <f t="shared" si="197"/>
        <v>0</v>
      </c>
      <c r="S724" s="206">
        <f t="shared" si="198"/>
        <v>0</v>
      </c>
      <c r="T724" s="206">
        <f t="shared" si="199"/>
        <v>0</v>
      </c>
      <c r="AA724" s="71" t="str">
        <f t="shared" si="191"/>
        <v/>
      </c>
      <c r="AB724" s="189">
        <f t="shared" si="192"/>
        <v>0</v>
      </c>
      <c r="AC724" s="189">
        <f t="shared" si="193"/>
        <v>0</v>
      </c>
      <c r="AD724" s="189">
        <f t="shared" si="194"/>
        <v>0</v>
      </c>
      <c r="AE724" s="189">
        <f t="shared" si="195"/>
        <v>0</v>
      </c>
    </row>
    <row r="725" spans="10:31" x14ac:dyDescent="0.4">
      <c r="J725" s="189" t="str">
        <f t="shared" si="200"/>
        <v/>
      </c>
      <c r="K725" s="189" t="str">
        <f t="shared" si="201"/>
        <v/>
      </c>
      <c r="L725" s="189" t="str">
        <f t="shared" si="202"/>
        <v/>
      </c>
      <c r="M725" s="189" t="str">
        <f t="shared" si="203"/>
        <v/>
      </c>
      <c r="N725" s="76" t="str">
        <f t="shared" si="204"/>
        <v/>
      </c>
      <c r="O725" s="20">
        <f t="shared" si="205"/>
        <v>0</v>
      </c>
      <c r="P725" s="76">
        <f t="shared" si="206"/>
        <v>0</v>
      </c>
      <c r="Q725" s="206">
        <f t="shared" si="196"/>
        <v>0</v>
      </c>
      <c r="R725" s="206">
        <f t="shared" si="197"/>
        <v>0</v>
      </c>
      <c r="S725" s="206">
        <f t="shared" si="198"/>
        <v>0</v>
      </c>
      <c r="T725" s="206">
        <f t="shared" si="199"/>
        <v>0</v>
      </c>
      <c r="AA725" s="71" t="str">
        <f t="shared" si="191"/>
        <v/>
      </c>
      <c r="AB725" s="189">
        <f t="shared" si="192"/>
        <v>0</v>
      </c>
      <c r="AC725" s="189">
        <f t="shared" si="193"/>
        <v>0</v>
      </c>
      <c r="AD725" s="189">
        <f t="shared" si="194"/>
        <v>0</v>
      </c>
      <c r="AE725" s="189">
        <f t="shared" si="195"/>
        <v>0</v>
      </c>
    </row>
    <row r="726" spans="10:31" x14ac:dyDescent="0.4">
      <c r="J726" s="189" t="str">
        <f t="shared" si="200"/>
        <v/>
      </c>
      <c r="K726" s="189" t="str">
        <f t="shared" si="201"/>
        <v/>
      </c>
      <c r="L726" s="189" t="str">
        <f t="shared" si="202"/>
        <v/>
      </c>
      <c r="M726" s="189" t="str">
        <f t="shared" si="203"/>
        <v/>
      </c>
      <c r="N726" s="76" t="str">
        <f t="shared" si="204"/>
        <v/>
      </c>
      <c r="O726" s="20">
        <f t="shared" si="205"/>
        <v>0</v>
      </c>
      <c r="P726" s="76">
        <f t="shared" si="206"/>
        <v>0</v>
      </c>
      <c r="Q726" s="206">
        <f t="shared" si="196"/>
        <v>0</v>
      </c>
      <c r="R726" s="206">
        <f t="shared" si="197"/>
        <v>0</v>
      </c>
      <c r="S726" s="206">
        <f t="shared" si="198"/>
        <v>0</v>
      </c>
      <c r="T726" s="206">
        <f t="shared" si="199"/>
        <v>0</v>
      </c>
      <c r="AA726" s="71" t="str">
        <f t="shared" si="191"/>
        <v/>
      </c>
      <c r="AB726" s="189">
        <f t="shared" si="192"/>
        <v>0</v>
      </c>
      <c r="AC726" s="189">
        <f t="shared" si="193"/>
        <v>0</v>
      </c>
      <c r="AD726" s="189">
        <f t="shared" si="194"/>
        <v>0</v>
      </c>
      <c r="AE726" s="189">
        <f t="shared" si="195"/>
        <v>0</v>
      </c>
    </row>
    <row r="727" spans="10:31" x14ac:dyDescent="0.4">
      <c r="J727" s="189" t="str">
        <f t="shared" si="200"/>
        <v/>
      </c>
      <c r="K727" s="189" t="str">
        <f t="shared" si="201"/>
        <v/>
      </c>
      <c r="L727" s="189" t="str">
        <f t="shared" si="202"/>
        <v/>
      </c>
      <c r="M727" s="189" t="str">
        <f t="shared" si="203"/>
        <v/>
      </c>
      <c r="N727" s="76" t="str">
        <f t="shared" si="204"/>
        <v/>
      </c>
      <c r="O727" s="20">
        <f t="shared" si="205"/>
        <v>0</v>
      </c>
      <c r="P727" s="76">
        <f t="shared" si="206"/>
        <v>0</v>
      </c>
      <c r="Q727" s="206">
        <f t="shared" si="196"/>
        <v>0</v>
      </c>
      <c r="R727" s="206">
        <f t="shared" si="197"/>
        <v>0</v>
      </c>
      <c r="S727" s="206">
        <f t="shared" si="198"/>
        <v>0</v>
      </c>
      <c r="T727" s="206">
        <f t="shared" si="199"/>
        <v>0</v>
      </c>
      <c r="AA727" s="71" t="str">
        <f t="shared" si="191"/>
        <v/>
      </c>
      <c r="AB727" s="189">
        <f t="shared" si="192"/>
        <v>0</v>
      </c>
      <c r="AC727" s="189">
        <f t="shared" si="193"/>
        <v>0</v>
      </c>
      <c r="AD727" s="189">
        <f t="shared" si="194"/>
        <v>0</v>
      </c>
      <c r="AE727" s="189">
        <f t="shared" si="195"/>
        <v>0</v>
      </c>
    </row>
    <row r="728" spans="10:31" x14ac:dyDescent="0.4">
      <c r="J728" s="189" t="str">
        <f t="shared" si="200"/>
        <v/>
      </c>
      <c r="K728" s="189" t="str">
        <f t="shared" si="201"/>
        <v/>
      </c>
      <c r="L728" s="189" t="str">
        <f t="shared" si="202"/>
        <v/>
      </c>
      <c r="M728" s="189" t="str">
        <f t="shared" si="203"/>
        <v/>
      </c>
      <c r="N728" s="76" t="str">
        <f t="shared" si="204"/>
        <v/>
      </c>
      <c r="O728" s="20">
        <f t="shared" si="205"/>
        <v>0</v>
      </c>
      <c r="P728" s="76">
        <f t="shared" si="206"/>
        <v>0</v>
      </c>
      <c r="Q728" s="206">
        <f t="shared" si="196"/>
        <v>0</v>
      </c>
      <c r="R728" s="206">
        <f t="shared" si="197"/>
        <v>0</v>
      </c>
      <c r="S728" s="206">
        <f t="shared" si="198"/>
        <v>0</v>
      </c>
      <c r="T728" s="206">
        <f t="shared" si="199"/>
        <v>0</v>
      </c>
      <c r="AA728" s="71" t="str">
        <f t="shared" si="191"/>
        <v/>
      </c>
      <c r="AB728" s="189">
        <f t="shared" si="192"/>
        <v>0</v>
      </c>
      <c r="AC728" s="189">
        <f t="shared" si="193"/>
        <v>0</v>
      </c>
      <c r="AD728" s="189">
        <f t="shared" si="194"/>
        <v>0</v>
      </c>
      <c r="AE728" s="189">
        <f t="shared" si="195"/>
        <v>0</v>
      </c>
    </row>
    <row r="729" spans="10:31" x14ac:dyDescent="0.4">
      <c r="J729" s="189" t="str">
        <f t="shared" si="200"/>
        <v/>
      </c>
      <c r="K729" s="189" t="str">
        <f t="shared" si="201"/>
        <v/>
      </c>
      <c r="L729" s="189" t="str">
        <f t="shared" si="202"/>
        <v/>
      </c>
      <c r="M729" s="189" t="str">
        <f t="shared" si="203"/>
        <v/>
      </c>
      <c r="N729" s="76" t="str">
        <f t="shared" si="204"/>
        <v/>
      </c>
      <c r="O729" s="20">
        <f t="shared" si="205"/>
        <v>0</v>
      </c>
      <c r="P729" s="76">
        <f t="shared" si="206"/>
        <v>0</v>
      </c>
      <c r="Q729" s="206">
        <f t="shared" si="196"/>
        <v>0</v>
      </c>
      <c r="R729" s="206">
        <f t="shared" si="197"/>
        <v>0</v>
      </c>
      <c r="S729" s="206">
        <f t="shared" si="198"/>
        <v>0</v>
      </c>
      <c r="T729" s="206">
        <f t="shared" si="199"/>
        <v>0</v>
      </c>
      <c r="AA729" s="71" t="str">
        <f t="shared" si="191"/>
        <v/>
      </c>
      <c r="AB729" s="189">
        <f t="shared" si="192"/>
        <v>0</v>
      </c>
      <c r="AC729" s="189">
        <f t="shared" si="193"/>
        <v>0</v>
      </c>
      <c r="AD729" s="189">
        <f t="shared" si="194"/>
        <v>0</v>
      </c>
      <c r="AE729" s="189">
        <f t="shared" si="195"/>
        <v>0</v>
      </c>
    </row>
    <row r="730" spans="10:31" x14ac:dyDescent="0.4">
      <c r="J730" s="189" t="str">
        <f t="shared" si="200"/>
        <v/>
      </c>
      <c r="K730" s="189" t="str">
        <f t="shared" si="201"/>
        <v/>
      </c>
      <c r="L730" s="189" t="str">
        <f t="shared" si="202"/>
        <v/>
      </c>
      <c r="M730" s="189" t="str">
        <f t="shared" si="203"/>
        <v/>
      </c>
      <c r="N730" s="76" t="str">
        <f t="shared" si="204"/>
        <v/>
      </c>
      <c r="O730" s="20">
        <f t="shared" si="205"/>
        <v>0</v>
      </c>
      <c r="P730" s="76">
        <f t="shared" si="206"/>
        <v>0</v>
      </c>
      <c r="Q730" s="206">
        <f t="shared" si="196"/>
        <v>0</v>
      </c>
      <c r="R730" s="206">
        <f t="shared" si="197"/>
        <v>0</v>
      </c>
      <c r="S730" s="206">
        <f t="shared" si="198"/>
        <v>0</v>
      </c>
      <c r="T730" s="206">
        <f t="shared" si="199"/>
        <v>0</v>
      </c>
      <c r="AA730" s="71" t="str">
        <f t="shared" si="191"/>
        <v/>
      </c>
      <c r="AB730" s="189">
        <f t="shared" si="192"/>
        <v>0</v>
      </c>
      <c r="AC730" s="189">
        <f t="shared" si="193"/>
        <v>0</v>
      </c>
      <c r="AD730" s="189">
        <f t="shared" si="194"/>
        <v>0</v>
      </c>
      <c r="AE730" s="189">
        <f t="shared" si="195"/>
        <v>0</v>
      </c>
    </row>
    <row r="731" spans="10:31" x14ac:dyDescent="0.4">
      <c r="J731" s="189" t="str">
        <f t="shared" si="200"/>
        <v/>
      </c>
      <c r="K731" s="189" t="str">
        <f t="shared" si="201"/>
        <v/>
      </c>
      <c r="L731" s="189" t="str">
        <f t="shared" si="202"/>
        <v/>
      </c>
      <c r="M731" s="189" t="str">
        <f t="shared" si="203"/>
        <v/>
      </c>
      <c r="N731" s="76" t="str">
        <f t="shared" si="204"/>
        <v/>
      </c>
      <c r="O731" s="20">
        <f t="shared" si="205"/>
        <v>0</v>
      </c>
      <c r="P731" s="76">
        <f t="shared" si="206"/>
        <v>0</v>
      </c>
      <c r="Q731" s="206">
        <f t="shared" si="196"/>
        <v>0</v>
      </c>
      <c r="R731" s="206">
        <f t="shared" si="197"/>
        <v>0</v>
      </c>
      <c r="S731" s="206">
        <f t="shared" si="198"/>
        <v>0</v>
      </c>
      <c r="T731" s="206">
        <f t="shared" si="199"/>
        <v>0</v>
      </c>
      <c r="AA731" s="71" t="str">
        <f t="shared" si="191"/>
        <v/>
      </c>
      <c r="AB731" s="189">
        <f t="shared" si="192"/>
        <v>0</v>
      </c>
      <c r="AC731" s="189">
        <f t="shared" si="193"/>
        <v>0</v>
      </c>
      <c r="AD731" s="189">
        <f t="shared" si="194"/>
        <v>0</v>
      </c>
      <c r="AE731" s="189">
        <f t="shared" si="195"/>
        <v>0</v>
      </c>
    </row>
    <row r="732" spans="10:31" x14ac:dyDescent="0.4">
      <c r="J732" s="189" t="str">
        <f t="shared" si="200"/>
        <v/>
      </c>
      <c r="K732" s="189" t="str">
        <f t="shared" si="201"/>
        <v/>
      </c>
      <c r="L732" s="189" t="str">
        <f t="shared" si="202"/>
        <v/>
      </c>
      <c r="M732" s="189" t="str">
        <f t="shared" si="203"/>
        <v/>
      </c>
      <c r="N732" s="76" t="str">
        <f t="shared" si="204"/>
        <v/>
      </c>
      <c r="O732" s="20">
        <f t="shared" si="205"/>
        <v>0</v>
      </c>
      <c r="P732" s="76">
        <f t="shared" si="206"/>
        <v>0</v>
      </c>
      <c r="Q732" s="206">
        <f t="shared" si="196"/>
        <v>0</v>
      </c>
      <c r="R732" s="206">
        <f t="shared" si="197"/>
        <v>0</v>
      </c>
      <c r="S732" s="206">
        <f t="shared" si="198"/>
        <v>0</v>
      </c>
      <c r="T732" s="206">
        <f t="shared" si="199"/>
        <v>0</v>
      </c>
      <c r="AA732" s="71" t="str">
        <f t="shared" ref="AA732:AA795" si="207">N732</f>
        <v/>
      </c>
      <c r="AB732" s="189">
        <f t="shared" ref="AB732:AB795" si="208">IFERROR(IF(FIND("Km",$B732),IF($B733="",IF(FIND("Pax",C733),VALUE((LEFT(C733,LEN(C733)-4))),))),0)</f>
        <v>0</v>
      </c>
      <c r="AC732" s="189">
        <f t="shared" ref="AC732:AC795" si="209">IFERROR(IF(FIND("Km",$B732),IF($B733="",IF(FIND("Pax",D733),VALUE((LEFT(D733,LEN(D733)-4))),))),0)</f>
        <v>0</v>
      </c>
      <c r="AD732" s="189">
        <f t="shared" ref="AD732:AD795" si="210">IFERROR(IF(FIND("Km",$B732),IF($B733="",IF(FIND("Pax",E733),VALUE((LEFT(E733,LEN(E733)-4))),))),0)</f>
        <v>0</v>
      </c>
      <c r="AE732" s="189">
        <f t="shared" ref="AE732:AE795" si="211">IFERROR(IF($J732&lt;&gt;"",VALUE(LEFT(F733,LEN(F733)-7)),0),1)</f>
        <v>0</v>
      </c>
    </row>
    <row r="733" spans="10:31" x14ac:dyDescent="0.4">
      <c r="J733" s="189" t="str">
        <f t="shared" si="200"/>
        <v/>
      </c>
      <c r="K733" s="189" t="str">
        <f t="shared" si="201"/>
        <v/>
      </c>
      <c r="L733" s="189" t="str">
        <f t="shared" si="202"/>
        <v/>
      </c>
      <c r="M733" s="189" t="str">
        <f t="shared" si="203"/>
        <v/>
      </c>
      <c r="N733" s="76" t="str">
        <f t="shared" si="204"/>
        <v/>
      </c>
      <c r="O733" s="20">
        <f t="shared" si="205"/>
        <v>0</v>
      </c>
      <c r="P733" s="76">
        <f t="shared" si="206"/>
        <v>0</v>
      </c>
      <c r="Q733" s="206">
        <f t="shared" si="196"/>
        <v>0</v>
      </c>
      <c r="R733" s="206">
        <f t="shared" si="197"/>
        <v>0</v>
      </c>
      <c r="S733" s="206">
        <f t="shared" si="198"/>
        <v>0</v>
      </c>
      <c r="T733" s="206">
        <f t="shared" si="199"/>
        <v>0</v>
      </c>
      <c r="AA733" s="71" t="str">
        <f t="shared" si="207"/>
        <v/>
      </c>
      <c r="AB733" s="189">
        <f t="shared" si="208"/>
        <v>0</v>
      </c>
      <c r="AC733" s="189">
        <f t="shared" si="209"/>
        <v>0</v>
      </c>
      <c r="AD733" s="189">
        <f t="shared" si="210"/>
        <v>0</v>
      </c>
      <c r="AE733" s="189">
        <f t="shared" si="211"/>
        <v>0</v>
      </c>
    </row>
    <row r="734" spans="10:31" x14ac:dyDescent="0.4">
      <c r="J734" s="189" t="str">
        <f t="shared" si="200"/>
        <v/>
      </c>
      <c r="K734" s="189" t="str">
        <f t="shared" si="201"/>
        <v/>
      </c>
      <c r="L734" s="189" t="str">
        <f t="shared" si="202"/>
        <v/>
      </c>
      <c r="M734" s="189" t="str">
        <f t="shared" si="203"/>
        <v/>
      </c>
      <c r="N734" s="76" t="str">
        <f t="shared" si="204"/>
        <v/>
      </c>
      <c r="O734" s="20">
        <f t="shared" si="205"/>
        <v>0</v>
      </c>
      <c r="P734" s="76">
        <f t="shared" si="206"/>
        <v>0</v>
      </c>
      <c r="Q734" s="206">
        <f t="shared" si="196"/>
        <v>0</v>
      </c>
      <c r="R734" s="206">
        <f t="shared" si="197"/>
        <v>0</v>
      </c>
      <c r="S734" s="206">
        <f t="shared" si="198"/>
        <v>0</v>
      </c>
      <c r="T734" s="206">
        <f t="shared" si="199"/>
        <v>0</v>
      </c>
      <c r="AA734" s="71" t="str">
        <f t="shared" si="207"/>
        <v/>
      </c>
      <c r="AB734" s="189">
        <f t="shared" si="208"/>
        <v>0</v>
      </c>
      <c r="AC734" s="189">
        <f t="shared" si="209"/>
        <v>0</v>
      </c>
      <c r="AD734" s="189">
        <f t="shared" si="210"/>
        <v>0</v>
      </c>
      <c r="AE734" s="189">
        <f t="shared" si="211"/>
        <v>0</v>
      </c>
    </row>
    <row r="735" spans="10:31" x14ac:dyDescent="0.4">
      <c r="J735" s="189" t="str">
        <f t="shared" si="200"/>
        <v/>
      </c>
      <c r="K735" s="189" t="str">
        <f t="shared" si="201"/>
        <v/>
      </c>
      <c r="L735" s="189" t="str">
        <f t="shared" si="202"/>
        <v/>
      </c>
      <c r="M735" s="189" t="str">
        <f t="shared" si="203"/>
        <v/>
      </c>
      <c r="N735" s="76" t="str">
        <f t="shared" si="204"/>
        <v/>
      </c>
      <c r="O735" s="20">
        <f t="shared" si="205"/>
        <v>0</v>
      </c>
      <c r="P735" s="76">
        <f t="shared" si="206"/>
        <v>0</v>
      </c>
      <c r="Q735" s="206">
        <f t="shared" si="196"/>
        <v>0</v>
      </c>
      <c r="R735" s="206">
        <f t="shared" si="197"/>
        <v>0</v>
      </c>
      <c r="S735" s="206">
        <f t="shared" si="198"/>
        <v>0</v>
      </c>
      <c r="T735" s="206">
        <f t="shared" si="199"/>
        <v>0</v>
      </c>
      <c r="AA735" s="71" t="str">
        <f t="shared" si="207"/>
        <v/>
      </c>
      <c r="AB735" s="189">
        <f t="shared" si="208"/>
        <v>0</v>
      </c>
      <c r="AC735" s="189">
        <f t="shared" si="209"/>
        <v>0</v>
      </c>
      <c r="AD735" s="189">
        <f t="shared" si="210"/>
        <v>0</v>
      </c>
      <c r="AE735" s="189">
        <f t="shared" si="211"/>
        <v>0</v>
      </c>
    </row>
    <row r="736" spans="10:31" x14ac:dyDescent="0.4">
      <c r="J736" s="189" t="str">
        <f t="shared" si="200"/>
        <v/>
      </c>
      <c r="K736" s="189" t="str">
        <f t="shared" si="201"/>
        <v/>
      </c>
      <c r="L736" s="189" t="str">
        <f t="shared" si="202"/>
        <v/>
      </c>
      <c r="M736" s="189" t="str">
        <f t="shared" si="203"/>
        <v/>
      </c>
      <c r="N736" s="76" t="str">
        <f t="shared" si="204"/>
        <v/>
      </c>
      <c r="O736" s="20">
        <f t="shared" si="205"/>
        <v>0</v>
      </c>
      <c r="P736" s="76">
        <f t="shared" si="206"/>
        <v>0</v>
      </c>
      <c r="Q736" s="206">
        <f t="shared" si="196"/>
        <v>0</v>
      </c>
      <c r="R736" s="206">
        <f t="shared" si="197"/>
        <v>0</v>
      </c>
      <c r="S736" s="206">
        <f t="shared" si="198"/>
        <v>0</v>
      </c>
      <c r="T736" s="206">
        <f t="shared" si="199"/>
        <v>0</v>
      </c>
      <c r="AA736" s="71" t="str">
        <f t="shared" si="207"/>
        <v/>
      </c>
      <c r="AB736" s="189">
        <f t="shared" si="208"/>
        <v>0</v>
      </c>
      <c r="AC736" s="189">
        <f t="shared" si="209"/>
        <v>0</v>
      </c>
      <c r="AD736" s="189">
        <f t="shared" si="210"/>
        <v>0</v>
      </c>
      <c r="AE736" s="189">
        <f t="shared" si="211"/>
        <v>0</v>
      </c>
    </row>
    <row r="737" spans="10:31" x14ac:dyDescent="0.4">
      <c r="J737" s="189" t="str">
        <f t="shared" si="200"/>
        <v/>
      </c>
      <c r="K737" s="189" t="str">
        <f t="shared" si="201"/>
        <v/>
      </c>
      <c r="L737" s="189" t="str">
        <f t="shared" si="202"/>
        <v/>
      </c>
      <c r="M737" s="189" t="str">
        <f t="shared" si="203"/>
        <v/>
      </c>
      <c r="N737" s="76" t="str">
        <f t="shared" si="204"/>
        <v/>
      </c>
      <c r="O737" s="20">
        <f t="shared" si="205"/>
        <v>0</v>
      </c>
      <c r="P737" s="76">
        <f t="shared" si="206"/>
        <v>0</v>
      </c>
      <c r="Q737" s="206">
        <f t="shared" si="196"/>
        <v>0</v>
      </c>
      <c r="R737" s="206">
        <f t="shared" si="197"/>
        <v>0</v>
      </c>
      <c r="S737" s="206">
        <f t="shared" si="198"/>
        <v>0</v>
      </c>
      <c r="T737" s="206">
        <f t="shared" si="199"/>
        <v>0</v>
      </c>
      <c r="AA737" s="71" t="str">
        <f t="shared" si="207"/>
        <v/>
      </c>
      <c r="AB737" s="189">
        <f t="shared" si="208"/>
        <v>0</v>
      </c>
      <c r="AC737" s="189">
        <f t="shared" si="209"/>
        <v>0</v>
      </c>
      <c r="AD737" s="189">
        <f t="shared" si="210"/>
        <v>0</v>
      </c>
      <c r="AE737" s="189">
        <f t="shared" si="211"/>
        <v>0</v>
      </c>
    </row>
    <row r="738" spans="10:31" x14ac:dyDescent="0.4">
      <c r="J738" s="189" t="str">
        <f t="shared" si="200"/>
        <v/>
      </c>
      <c r="K738" s="189" t="str">
        <f t="shared" si="201"/>
        <v/>
      </c>
      <c r="L738" s="189" t="str">
        <f t="shared" si="202"/>
        <v/>
      </c>
      <c r="M738" s="189" t="str">
        <f t="shared" si="203"/>
        <v/>
      </c>
      <c r="N738" s="76" t="str">
        <f t="shared" si="204"/>
        <v/>
      </c>
      <c r="O738" s="20">
        <f t="shared" si="205"/>
        <v>0</v>
      </c>
      <c r="P738" s="76">
        <f t="shared" si="206"/>
        <v>0</v>
      </c>
      <c r="Q738" s="206">
        <f t="shared" si="196"/>
        <v>0</v>
      </c>
      <c r="R738" s="206">
        <f t="shared" si="197"/>
        <v>0</v>
      </c>
      <c r="S738" s="206">
        <f t="shared" si="198"/>
        <v>0</v>
      </c>
      <c r="T738" s="206">
        <f t="shared" si="199"/>
        <v>0</v>
      </c>
      <c r="AA738" s="71" t="str">
        <f t="shared" si="207"/>
        <v/>
      </c>
      <c r="AB738" s="189">
        <f t="shared" si="208"/>
        <v>0</v>
      </c>
      <c r="AC738" s="189">
        <f t="shared" si="209"/>
        <v>0</v>
      </c>
      <c r="AD738" s="189">
        <f t="shared" si="210"/>
        <v>0</v>
      </c>
      <c r="AE738" s="189">
        <f t="shared" si="211"/>
        <v>0</v>
      </c>
    </row>
    <row r="739" spans="10:31" x14ac:dyDescent="0.4">
      <c r="J739" s="189" t="str">
        <f t="shared" si="200"/>
        <v/>
      </c>
      <c r="K739" s="189" t="str">
        <f t="shared" si="201"/>
        <v/>
      </c>
      <c r="L739" s="189" t="str">
        <f t="shared" si="202"/>
        <v/>
      </c>
      <c r="M739" s="189" t="str">
        <f t="shared" si="203"/>
        <v/>
      </c>
      <c r="N739" s="76" t="str">
        <f t="shared" si="204"/>
        <v/>
      </c>
      <c r="O739" s="20">
        <f t="shared" si="205"/>
        <v>0</v>
      </c>
      <c r="P739" s="76">
        <f t="shared" si="206"/>
        <v>0</v>
      </c>
      <c r="Q739" s="206">
        <f t="shared" si="196"/>
        <v>0</v>
      </c>
      <c r="R739" s="206">
        <f t="shared" si="197"/>
        <v>0</v>
      </c>
      <c r="S739" s="206">
        <f t="shared" si="198"/>
        <v>0</v>
      </c>
      <c r="T739" s="206">
        <f t="shared" si="199"/>
        <v>0</v>
      </c>
      <c r="AA739" s="71" t="str">
        <f t="shared" si="207"/>
        <v/>
      </c>
      <c r="AB739" s="189">
        <f t="shared" si="208"/>
        <v>0</v>
      </c>
      <c r="AC739" s="189">
        <f t="shared" si="209"/>
        <v>0</v>
      </c>
      <c r="AD739" s="189">
        <f t="shared" si="210"/>
        <v>0</v>
      </c>
      <c r="AE739" s="189">
        <f t="shared" si="211"/>
        <v>0</v>
      </c>
    </row>
    <row r="740" spans="10:31" x14ac:dyDescent="0.4">
      <c r="J740" s="189" t="str">
        <f t="shared" si="200"/>
        <v/>
      </c>
      <c r="K740" s="189" t="str">
        <f t="shared" si="201"/>
        <v/>
      </c>
      <c r="L740" s="189" t="str">
        <f t="shared" si="202"/>
        <v/>
      </c>
      <c r="M740" s="189" t="str">
        <f t="shared" si="203"/>
        <v/>
      </c>
      <c r="N740" s="76" t="str">
        <f t="shared" si="204"/>
        <v/>
      </c>
      <c r="O740" s="20">
        <f t="shared" si="205"/>
        <v>0</v>
      </c>
      <c r="P740" s="76">
        <f t="shared" si="206"/>
        <v>0</v>
      </c>
      <c r="Q740" s="206">
        <f t="shared" si="196"/>
        <v>0</v>
      </c>
      <c r="R740" s="206">
        <f t="shared" si="197"/>
        <v>0</v>
      </c>
      <c r="S740" s="206">
        <f t="shared" si="198"/>
        <v>0</v>
      </c>
      <c r="T740" s="206">
        <f t="shared" si="199"/>
        <v>0</v>
      </c>
      <c r="AA740" s="71" t="str">
        <f t="shared" si="207"/>
        <v/>
      </c>
      <c r="AB740" s="189">
        <f t="shared" si="208"/>
        <v>0</v>
      </c>
      <c r="AC740" s="189">
        <f t="shared" si="209"/>
        <v>0</v>
      </c>
      <c r="AD740" s="189">
        <f t="shared" si="210"/>
        <v>0</v>
      </c>
      <c r="AE740" s="189">
        <f t="shared" si="211"/>
        <v>0</v>
      </c>
    </row>
    <row r="741" spans="10:31" x14ac:dyDescent="0.4">
      <c r="J741" s="189" t="str">
        <f t="shared" si="200"/>
        <v/>
      </c>
      <c r="K741" s="189" t="str">
        <f t="shared" si="201"/>
        <v/>
      </c>
      <c r="L741" s="189" t="str">
        <f t="shared" si="202"/>
        <v/>
      </c>
      <c r="M741" s="189" t="str">
        <f t="shared" si="203"/>
        <v/>
      </c>
      <c r="N741" s="76" t="str">
        <f t="shared" si="204"/>
        <v/>
      </c>
      <c r="O741" s="20">
        <f t="shared" si="205"/>
        <v>0</v>
      </c>
      <c r="P741" s="76">
        <f t="shared" si="206"/>
        <v>0</v>
      </c>
      <c r="Q741" s="206">
        <f t="shared" si="196"/>
        <v>0</v>
      </c>
      <c r="R741" s="206">
        <f t="shared" si="197"/>
        <v>0</v>
      </c>
      <c r="S741" s="206">
        <f t="shared" si="198"/>
        <v>0</v>
      </c>
      <c r="T741" s="206">
        <f t="shared" si="199"/>
        <v>0</v>
      </c>
      <c r="AA741" s="71" t="str">
        <f t="shared" si="207"/>
        <v/>
      </c>
      <c r="AB741" s="189">
        <f t="shared" si="208"/>
        <v>0</v>
      </c>
      <c r="AC741" s="189">
        <f t="shared" si="209"/>
        <v>0</v>
      </c>
      <c r="AD741" s="189">
        <f t="shared" si="210"/>
        <v>0</v>
      </c>
      <c r="AE741" s="189">
        <f t="shared" si="211"/>
        <v>0</v>
      </c>
    </row>
    <row r="742" spans="10:31" x14ac:dyDescent="0.4">
      <c r="J742" s="189" t="str">
        <f t="shared" si="200"/>
        <v/>
      </c>
      <c r="K742" s="189" t="str">
        <f t="shared" si="201"/>
        <v/>
      </c>
      <c r="L742" s="189" t="str">
        <f t="shared" si="202"/>
        <v/>
      </c>
      <c r="M742" s="189" t="str">
        <f t="shared" si="203"/>
        <v/>
      </c>
      <c r="N742" s="76" t="str">
        <f t="shared" si="204"/>
        <v/>
      </c>
      <c r="O742" s="20">
        <f t="shared" si="205"/>
        <v>0</v>
      </c>
      <c r="P742" s="76">
        <f t="shared" si="206"/>
        <v>0</v>
      </c>
      <c r="Q742" s="206">
        <f t="shared" ref="Q742:Q805" si="212">IF(P742=0,0,VALUE(LEFT(C742,LEN(C742)-4)))</f>
        <v>0</v>
      </c>
      <c r="R742" s="206">
        <f t="shared" ref="R742:R805" si="213">IF(Q742=0,0,VALUE(LEFT(D742,LEN(D742)-4)))</f>
        <v>0</v>
      </c>
      <c r="S742" s="206">
        <f t="shared" ref="S742:S805" si="214">IF(R742=0,0,VALUE(LEFT(E742,LEN(E742)-4)))</f>
        <v>0</v>
      </c>
      <c r="T742" s="206">
        <f t="shared" ref="T742:T805" si="215">IF(S742=0,0,VALUE(LEFT(F742,LEN(F742)-7)))</f>
        <v>0</v>
      </c>
      <c r="AA742" s="71" t="str">
        <f t="shared" si="207"/>
        <v/>
      </c>
      <c r="AB742" s="189">
        <f t="shared" si="208"/>
        <v>0</v>
      </c>
      <c r="AC742" s="189">
        <f t="shared" si="209"/>
        <v>0</v>
      </c>
      <c r="AD742" s="189">
        <f t="shared" si="210"/>
        <v>0</v>
      </c>
      <c r="AE742" s="189">
        <f t="shared" si="211"/>
        <v>0</v>
      </c>
    </row>
    <row r="743" spans="10:31" x14ac:dyDescent="0.4">
      <c r="J743" s="189" t="str">
        <f t="shared" si="200"/>
        <v/>
      </c>
      <c r="K743" s="189" t="str">
        <f t="shared" si="201"/>
        <v/>
      </c>
      <c r="L743" s="189" t="str">
        <f t="shared" si="202"/>
        <v/>
      </c>
      <c r="M743" s="189" t="str">
        <f t="shared" si="203"/>
        <v/>
      </c>
      <c r="N743" s="76" t="str">
        <f t="shared" si="204"/>
        <v/>
      </c>
      <c r="O743" s="20">
        <f t="shared" si="205"/>
        <v>0</v>
      </c>
      <c r="P743" s="76">
        <f t="shared" si="206"/>
        <v>0</v>
      </c>
      <c r="Q743" s="206">
        <f t="shared" si="212"/>
        <v>0</v>
      </c>
      <c r="R743" s="206">
        <f t="shared" si="213"/>
        <v>0</v>
      </c>
      <c r="S743" s="206">
        <f t="shared" si="214"/>
        <v>0</v>
      </c>
      <c r="T743" s="206">
        <f t="shared" si="215"/>
        <v>0</v>
      </c>
      <c r="AA743" s="71" t="str">
        <f t="shared" si="207"/>
        <v/>
      </c>
      <c r="AB743" s="189">
        <f t="shared" si="208"/>
        <v>0</v>
      </c>
      <c r="AC743" s="189">
        <f t="shared" si="209"/>
        <v>0</v>
      </c>
      <c r="AD743" s="189">
        <f t="shared" si="210"/>
        <v>0</v>
      </c>
      <c r="AE743" s="189">
        <f t="shared" si="211"/>
        <v>0</v>
      </c>
    </row>
    <row r="744" spans="10:31" x14ac:dyDescent="0.4">
      <c r="J744" s="189" t="str">
        <f t="shared" si="200"/>
        <v/>
      </c>
      <c r="K744" s="189" t="str">
        <f t="shared" si="201"/>
        <v/>
      </c>
      <c r="L744" s="189" t="str">
        <f t="shared" si="202"/>
        <v/>
      </c>
      <c r="M744" s="189" t="str">
        <f t="shared" si="203"/>
        <v/>
      </c>
      <c r="N744" s="76" t="str">
        <f t="shared" si="204"/>
        <v/>
      </c>
      <c r="O744" s="20">
        <f t="shared" si="205"/>
        <v>0</v>
      </c>
      <c r="P744" s="76">
        <f t="shared" si="206"/>
        <v>0</v>
      </c>
      <c r="Q744" s="206">
        <f t="shared" si="212"/>
        <v>0</v>
      </c>
      <c r="R744" s="206">
        <f t="shared" si="213"/>
        <v>0</v>
      </c>
      <c r="S744" s="206">
        <f t="shared" si="214"/>
        <v>0</v>
      </c>
      <c r="T744" s="206">
        <f t="shared" si="215"/>
        <v>0</v>
      </c>
      <c r="AA744" s="71" t="str">
        <f t="shared" si="207"/>
        <v/>
      </c>
      <c r="AB744" s="189">
        <f t="shared" si="208"/>
        <v>0</v>
      </c>
      <c r="AC744" s="189">
        <f t="shared" si="209"/>
        <v>0</v>
      </c>
      <c r="AD744" s="189">
        <f t="shared" si="210"/>
        <v>0</v>
      </c>
      <c r="AE744" s="189">
        <f t="shared" si="211"/>
        <v>0</v>
      </c>
    </row>
    <row r="745" spans="10:31" x14ac:dyDescent="0.4">
      <c r="J745" s="189" t="str">
        <f t="shared" si="200"/>
        <v/>
      </c>
      <c r="K745" s="189" t="str">
        <f t="shared" si="201"/>
        <v/>
      </c>
      <c r="L745" s="189" t="str">
        <f t="shared" si="202"/>
        <v/>
      </c>
      <c r="M745" s="189" t="str">
        <f t="shared" si="203"/>
        <v/>
      </c>
      <c r="N745" s="76" t="str">
        <f t="shared" si="204"/>
        <v/>
      </c>
      <c r="O745" s="20">
        <f t="shared" si="205"/>
        <v>0</v>
      </c>
      <c r="P745" s="76">
        <f t="shared" si="206"/>
        <v>0</v>
      </c>
      <c r="Q745" s="206">
        <f t="shared" si="212"/>
        <v>0</v>
      </c>
      <c r="R745" s="206">
        <f t="shared" si="213"/>
        <v>0</v>
      </c>
      <c r="S745" s="206">
        <f t="shared" si="214"/>
        <v>0</v>
      </c>
      <c r="T745" s="206">
        <f t="shared" si="215"/>
        <v>0</v>
      </c>
      <c r="AA745" s="71" t="str">
        <f t="shared" si="207"/>
        <v/>
      </c>
      <c r="AB745" s="189">
        <f t="shared" si="208"/>
        <v>0</v>
      </c>
      <c r="AC745" s="189">
        <f t="shared" si="209"/>
        <v>0</v>
      </c>
      <c r="AD745" s="189">
        <f t="shared" si="210"/>
        <v>0</v>
      </c>
      <c r="AE745" s="189">
        <f t="shared" si="211"/>
        <v>0</v>
      </c>
    </row>
    <row r="746" spans="10:31" x14ac:dyDescent="0.4">
      <c r="J746" s="189" t="str">
        <f t="shared" si="200"/>
        <v/>
      </c>
      <c r="K746" s="189" t="str">
        <f t="shared" si="201"/>
        <v/>
      </c>
      <c r="L746" s="189" t="str">
        <f t="shared" si="202"/>
        <v/>
      </c>
      <c r="M746" s="189" t="str">
        <f t="shared" si="203"/>
        <v/>
      </c>
      <c r="N746" s="76" t="str">
        <f t="shared" si="204"/>
        <v/>
      </c>
      <c r="O746" s="20">
        <f t="shared" si="205"/>
        <v>0</v>
      </c>
      <c r="P746" s="76">
        <f t="shared" si="206"/>
        <v>0</v>
      </c>
      <c r="Q746" s="206">
        <f t="shared" si="212"/>
        <v>0</v>
      </c>
      <c r="R746" s="206">
        <f t="shared" si="213"/>
        <v>0</v>
      </c>
      <c r="S746" s="206">
        <f t="shared" si="214"/>
        <v>0</v>
      </c>
      <c r="T746" s="206">
        <f t="shared" si="215"/>
        <v>0</v>
      </c>
      <c r="AA746" s="71" t="str">
        <f t="shared" si="207"/>
        <v/>
      </c>
      <c r="AB746" s="189">
        <f t="shared" si="208"/>
        <v>0</v>
      </c>
      <c r="AC746" s="189">
        <f t="shared" si="209"/>
        <v>0</v>
      </c>
      <c r="AD746" s="189">
        <f t="shared" si="210"/>
        <v>0</v>
      </c>
      <c r="AE746" s="189">
        <f t="shared" si="211"/>
        <v>0</v>
      </c>
    </row>
    <row r="747" spans="10:31" x14ac:dyDescent="0.4">
      <c r="J747" s="189" t="str">
        <f t="shared" si="200"/>
        <v/>
      </c>
      <c r="K747" s="189" t="str">
        <f t="shared" si="201"/>
        <v/>
      </c>
      <c r="L747" s="189" t="str">
        <f t="shared" si="202"/>
        <v/>
      </c>
      <c r="M747" s="189" t="str">
        <f t="shared" si="203"/>
        <v/>
      </c>
      <c r="N747" s="76" t="str">
        <f t="shared" si="204"/>
        <v/>
      </c>
      <c r="O747" s="20">
        <f t="shared" si="205"/>
        <v>0</v>
      </c>
      <c r="P747" s="76">
        <f t="shared" si="206"/>
        <v>0</v>
      </c>
      <c r="Q747" s="206">
        <f t="shared" si="212"/>
        <v>0</v>
      </c>
      <c r="R747" s="206">
        <f t="shared" si="213"/>
        <v>0</v>
      </c>
      <c r="S747" s="206">
        <f t="shared" si="214"/>
        <v>0</v>
      </c>
      <c r="T747" s="206">
        <f t="shared" si="215"/>
        <v>0</v>
      </c>
      <c r="AA747" s="71" t="str">
        <f t="shared" si="207"/>
        <v/>
      </c>
      <c r="AB747" s="189">
        <f t="shared" si="208"/>
        <v>0</v>
      </c>
      <c r="AC747" s="189">
        <f t="shared" si="209"/>
        <v>0</v>
      </c>
      <c r="AD747" s="189">
        <f t="shared" si="210"/>
        <v>0</v>
      </c>
      <c r="AE747" s="189">
        <f t="shared" si="211"/>
        <v>0</v>
      </c>
    </row>
    <row r="748" spans="10:31" x14ac:dyDescent="0.4">
      <c r="J748" s="189" t="str">
        <f t="shared" si="200"/>
        <v/>
      </c>
      <c r="K748" s="189" t="str">
        <f t="shared" si="201"/>
        <v/>
      </c>
      <c r="L748" s="189" t="str">
        <f t="shared" si="202"/>
        <v/>
      </c>
      <c r="M748" s="189" t="str">
        <f t="shared" si="203"/>
        <v/>
      </c>
      <c r="N748" s="76" t="str">
        <f t="shared" si="204"/>
        <v/>
      </c>
      <c r="O748" s="20">
        <f t="shared" si="205"/>
        <v>0</v>
      </c>
      <c r="P748" s="76">
        <f t="shared" si="206"/>
        <v>0</v>
      </c>
      <c r="Q748" s="206">
        <f t="shared" si="212"/>
        <v>0</v>
      </c>
      <c r="R748" s="206">
        <f t="shared" si="213"/>
        <v>0</v>
      </c>
      <c r="S748" s="206">
        <f t="shared" si="214"/>
        <v>0</v>
      </c>
      <c r="T748" s="206">
        <f t="shared" si="215"/>
        <v>0</v>
      </c>
      <c r="AA748" s="71" t="str">
        <f t="shared" si="207"/>
        <v/>
      </c>
      <c r="AB748" s="189">
        <f t="shared" si="208"/>
        <v>0</v>
      </c>
      <c r="AC748" s="189">
        <f t="shared" si="209"/>
        <v>0</v>
      </c>
      <c r="AD748" s="189">
        <f t="shared" si="210"/>
        <v>0</v>
      </c>
      <c r="AE748" s="189">
        <f t="shared" si="211"/>
        <v>0</v>
      </c>
    </row>
    <row r="749" spans="10:31" x14ac:dyDescent="0.4">
      <c r="J749" s="189" t="str">
        <f t="shared" si="200"/>
        <v/>
      </c>
      <c r="K749" s="189" t="str">
        <f t="shared" si="201"/>
        <v/>
      </c>
      <c r="L749" s="189" t="str">
        <f t="shared" si="202"/>
        <v/>
      </c>
      <c r="M749" s="189" t="str">
        <f t="shared" si="203"/>
        <v/>
      </c>
      <c r="N749" s="76" t="str">
        <f t="shared" si="204"/>
        <v/>
      </c>
      <c r="O749" s="20">
        <f t="shared" si="205"/>
        <v>0</v>
      </c>
      <c r="P749" s="76">
        <f t="shared" si="206"/>
        <v>0</v>
      </c>
      <c r="Q749" s="206">
        <f t="shared" si="212"/>
        <v>0</v>
      </c>
      <c r="R749" s="206">
        <f t="shared" si="213"/>
        <v>0</v>
      </c>
      <c r="S749" s="206">
        <f t="shared" si="214"/>
        <v>0</v>
      </c>
      <c r="T749" s="206">
        <f t="shared" si="215"/>
        <v>0</v>
      </c>
      <c r="AA749" s="71" t="str">
        <f t="shared" si="207"/>
        <v/>
      </c>
      <c r="AB749" s="189">
        <f t="shared" si="208"/>
        <v>0</v>
      </c>
      <c r="AC749" s="189">
        <f t="shared" si="209"/>
        <v>0</v>
      </c>
      <c r="AD749" s="189">
        <f t="shared" si="210"/>
        <v>0</v>
      </c>
      <c r="AE749" s="189">
        <f t="shared" si="211"/>
        <v>0</v>
      </c>
    </row>
    <row r="750" spans="10:31" x14ac:dyDescent="0.4">
      <c r="J750" s="189" t="str">
        <f t="shared" si="200"/>
        <v/>
      </c>
      <c r="K750" s="189" t="str">
        <f t="shared" si="201"/>
        <v/>
      </c>
      <c r="L750" s="189" t="str">
        <f t="shared" si="202"/>
        <v/>
      </c>
      <c r="M750" s="189" t="str">
        <f t="shared" si="203"/>
        <v/>
      </c>
      <c r="N750" s="76" t="str">
        <f t="shared" si="204"/>
        <v/>
      </c>
      <c r="O750" s="20">
        <f t="shared" si="205"/>
        <v>0</v>
      </c>
      <c r="P750" s="76">
        <f t="shared" si="206"/>
        <v>0</v>
      </c>
      <c r="Q750" s="206">
        <f t="shared" si="212"/>
        <v>0</v>
      </c>
      <c r="R750" s="206">
        <f t="shared" si="213"/>
        <v>0</v>
      </c>
      <c r="S750" s="206">
        <f t="shared" si="214"/>
        <v>0</v>
      </c>
      <c r="T750" s="206">
        <f t="shared" si="215"/>
        <v>0</v>
      </c>
      <c r="AA750" s="71" t="str">
        <f t="shared" si="207"/>
        <v/>
      </c>
      <c r="AB750" s="189">
        <f t="shared" si="208"/>
        <v>0</v>
      </c>
      <c r="AC750" s="189">
        <f t="shared" si="209"/>
        <v>0</v>
      </c>
      <c r="AD750" s="189">
        <f t="shared" si="210"/>
        <v>0</v>
      </c>
      <c r="AE750" s="189">
        <f t="shared" si="211"/>
        <v>0</v>
      </c>
    </row>
    <row r="751" spans="10:31" x14ac:dyDescent="0.4">
      <c r="J751" s="189" t="str">
        <f t="shared" si="200"/>
        <v/>
      </c>
      <c r="K751" s="189" t="str">
        <f t="shared" si="201"/>
        <v/>
      </c>
      <c r="L751" s="189" t="str">
        <f t="shared" si="202"/>
        <v/>
      </c>
      <c r="M751" s="189" t="str">
        <f t="shared" si="203"/>
        <v/>
      </c>
      <c r="N751" s="76" t="str">
        <f t="shared" si="204"/>
        <v/>
      </c>
      <c r="O751" s="20">
        <f t="shared" si="205"/>
        <v>0</v>
      </c>
      <c r="P751" s="76">
        <f t="shared" si="206"/>
        <v>0</v>
      </c>
      <c r="Q751" s="206">
        <f t="shared" si="212"/>
        <v>0</v>
      </c>
      <c r="R751" s="206">
        <f t="shared" si="213"/>
        <v>0</v>
      </c>
      <c r="S751" s="206">
        <f t="shared" si="214"/>
        <v>0</v>
      </c>
      <c r="T751" s="206">
        <f t="shared" si="215"/>
        <v>0</v>
      </c>
      <c r="AA751" s="71" t="str">
        <f t="shared" si="207"/>
        <v/>
      </c>
      <c r="AB751" s="189">
        <f t="shared" si="208"/>
        <v>0</v>
      </c>
      <c r="AC751" s="189">
        <f t="shared" si="209"/>
        <v>0</v>
      </c>
      <c r="AD751" s="189">
        <f t="shared" si="210"/>
        <v>0</v>
      </c>
      <c r="AE751" s="189">
        <f t="shared" si="211"/>
        <v>0</v>
      </c>
    </row>
    <row r="752" spans="10:31" x14ac:dyDescent="0.4">
      <c r="J752" s="189" t="str">
        <f t="shared" si="200"/>
        <v/>
      </c>
      <c r="K752" s="189" t="str">
        <f t="shared" si="201"/>
        <v/>
      </c>
      <c r="L752" s="189" t="str">
        <f t="shared" si="202"/>
        <v/>
      </c>
      <c r="M752" s="189" t="str">
        <f t="shared" si="203"/>
        <v/>
      </c>
      <c r="N752" s="76" t="str">
        <f t="shared" si="204"/>
        <v/>
      </c>
      <c r="O752" s="20">
        <f t="shared" si="205"/>
        <v>0</v>
      </c>
      <c r="P752" s="76">
        <f t="shared" si="206"/>
        <v>0</v>
      </c>
      <c r="Q752" s="206">
        <f t="shared" si="212"/>
        <v>0</v>
      </c>
      <c r="R752" s="206">
        <f t="shared" si="213"/>
        <v>0</v>
      </c>
      <c r="S752" s="206">
        <f t="shared" si="214"/>
        <v>0</v>
      </c>
      <c r="T752" s="206">
        <f t="shared" si="215"/>
        <v>0</v>
      </c>
      <c r="AA752" s="71" t="str">
        <f t="shared" si="207"/>
        <v/>
      </c>
      <c r="AB752" s="189">
        <f t="shared" si="208"/>
        <v>0</v>
      </c>
      <c r="AC752" s="189">
        <f t="shared" si="209"/>
        <v>0</v>
      </c>
      <c r="AD752" s="189">
        <f t="shared" si="210"/>
        <v>0</v>
      </c>
      <c r="AE752" s="189">
        <f t="shared" si="211"/>
        <v>0</v>
      </c>
    </row>
    <row r="753" spans="10:31" x14ac:dyDescent="0.4">
      <c r="J753" s="189" t="str">
        <f t="shared" si="200"/>
        <v/>
      </c>
      <c r="K753" s="189" t="str">
        <f t="shared" si="201"/>
        <v/>
      </c>
      <c r="L753" s="189" t="str">
        <f t="shared" si="202"/>
        <v/>
      </c>
      <c r="M753" s="189" t="str">
        <f t="shared" si="203"/>
        <v/>
      </c>
      <c r="N753" s="76" t="str">
        <f t="shared" si="204"/>
        <v/>
      </c>
      <c r="O753" s="20">
        <f t="shared" si="205"/>
        <v>0</v>
      </c>
      <c r="P753" s="76">
        <f t="shared" si="206"/>
        <v>0</v>
      </c>
      <c r="Q753" s="206">
        <f t="shared" si="212"/>
        <v>0</v>
      </c>
      <c r="R753" s="206">
        <f t="shared" si="213"/>
        <v>0</v>
      </c>
      <c r="S753" s="206">
        <f t="shared" si="214"/>
        <v>0</v>
      </c>
      <c r="T753" s="206">
        <f t="shared" si="215"/>
        <v>0</v>
      </c>
      <c r="AA753" s="71" t="str">
        <f t="shared" si="207"/>
        <v/>
      </c>
      <c r="AB753" s="189">
        <f t="shared" si="208"/>
        <v>0</v>
      </c>
      <c r="AC753" s="189">
        <f t="shared" si="209"/>
        <v>0</v>
      </c>
      <c r="AD753" s="189">
        <f t="shared" si="210"/>
        <v>0</v>
      </c>
      <c r="AE753" s="189">
        <f t="shared" si="211"/>
        <v>0</v>
      </c>
    </row>
    <row r="754" spans="10:31" x14ac:dyDescent="0.4">
      <c r="J754" s="189" t="str">
        <f t="shared" si="200"/>
        <v/>
      </c>
      <c r="K754" s="189" t="str">
        <f t="shared" si="201"/>
        <v/>
      </c>
      <c r="L754" s="189" t="str">
        <f t="shared" si="202"/>
        <v/>
      </c>
      <c r="M754" s="189" t="str">
        <f t="shared" si="203"/>
        <v/>
      </c>
      <c r="N754" s="76" t="str">
        <f t="shared" si="204"/>
        <v/>
      </c>
      <c r="O754" s="20">
        <f t="shared" si="205"/>
        <v>0</v>
      </c>
      <c r="P754" s="76">
        <f t="shared" si="206"/>
        <v>0</v>
      </c>
      <c r="Q754" s="206">
        <f t="shared" si="212"/>
        <v>0</v>
      </c>
      <c r="R754" s="206">
        <f t="shared" si="213"/>
        <v>0</v>
      </c>
      <c r="S754" s="206">
        <f t="shared" si="214"/>
        <v>0</v>
      </c>
      <c r="T754" s="206">
        <f t="shared" si="215"/>
        <v>0</v>
      </c>
      <c r="AA754" s="71" t="str">
        <f t="shared" si="207"/>
        <v/>
      </c>
      <c r="AB754" s="189">
        <f t="shared" si="208"/>
        <v>0</v>
      </c>
      <c r="AC754" s="189">
        <f t="shared" si="209"/>
        <v>0</v>
      </c>
      <c r="AD754" s="189">
        <f t="shared" si="210"/>
        <v>0</v>
      </c>
      <c r="AE754" s="189">
        <f t="shared" si="211"/>
        <v>0</v>
      </c>
    </row>
    <row r="755" spans="10:31" x14ac:dyDescent="0.4">
      <c r="J755" s="189" t="str">
        <f t="shared" si="200"/>
        <v/>
      </c>
      <c r="K755" s="189" t="str">
        <f t="shared" si="201"/>
        <v/>
      </c>
      <c r="L755" s="189" t="str">
        <f t="shared" si="202"/>
        <v/>
      </c>
      <c r="M755" s="189" t="str">
        <f t="shared" si="203"/>
        <v/>
      </c>
      <c r="N755" s="76" t="str">
        <f t="shared" si="204"/>
        <v/>
      </c>
      <c r="O755" s="20">
        <f t="shared" si="205"/>
        <v>0</v>
      </c>
      <c r="P755" s="76">
        <f t="shared" si="206"/>
        <v>0</v>
      </c>
      <c r="Q755" s="206">
        <f t="shared" si="212"/>
        <v>0</v>
      </c>
      <c r="R755" s="206">
        <f t="shared" si="213"/>
        <v>0</v>
      </c>
      <c r="S755" s="206">
        <f t="shared" si="214"/>
        <v>0</v>
      </c>
      <c r="T755" s="206">
        <f t="shared" si="215"/>
        <v>0</v>
      </c>
      <c r="AA755" s="71" t="str">
        <f t="shared" si="207"/>
        <v/>
      </c>
      <c r="AB755" s="189">
        <f t="shared" si="208"/>
        <v>0</v>
      </c>
      <c r="AC755" s="189">
        <f t="shared" si="209"/>
        <v>0</v>
      </c>
      <c r="AD755" s="189">
        <f t="shared" si="210"/>
        <v>0</v>
      </c>
      <c r="AE755" s="189">
        <f t="shared" si="211"/>
        <v>0</v>
      </c>
    </row>
    <row r="756" spans="10:31" x14ac:dyDescent="0.4">
      <c r="J756" s="189" t="str">
        <f t="shared" ref="J756:J819" si="216">IF(G756="Détail des tarifs",LEN(A756),"")</f>
        <v/>
      </c>
      <c r="K756" s="189" t="str">
        <f t="shared" ref="K756:K819" si="217">IF(J756="","",LEFT(A756,3))</f>
        <v/>
      </c>
      <c r="L756" s="189" t="str">
        <f t="shared" ref="L756:L819" si="218">IF(K756&lt;&gt;"",MID(A756,7,3),"")</f>
        <v/>
      </c>
      <c r="M756" s="189" t="str">
        <f t="shared" ref="M756:M819" si="219">IF(K756&lt;&gt;"",RIGHT(A756,2),"")</f>
        <v/>
      </c>
      <c r="N756" s="76" t="str">
        <f t="shared" ref="N756:N819" si="220">IF(K756&lt;&gt;"",CONCATENATE(K756,"/",L756),"")</f>
        <v/>
      </c>
      <c r="O756" s="20">
        <f t="shared" ref="O756:O819" si="221">IF(J756&lt;&gt;"",LEFT(B756,LEN(B756)-3),0)</f>
        <v>0</v>
      </c>
      <c r="P756" s="76">
        <f t="shared" ref="P756:P819" si="222">IF(O756&lt;&gt;"",VALUE(O756),"")</f>
        <v>0</v>
      </c>
      <c r="Q756" s="206">
        <f t="shared" si="212"/>
        <v>0</v>
      </c>
      <c r="R756" s="206">
        <f t="shared" si="213"/>
        <v>0</v>
      </c>
      <c r="S756" s="206">
        <f t="shared" si="214"/>
        <v>0</v>
      </c>
      <c r="T756" s="206">
        <f t="shared" si="215"/>
        <v>0</v>
      </c>
      <c r="AA756" s="71" t="str">
        <f t="shared" si="207"/>
        <v/>
      </c>
      <c r="AB756" s="189">
        <f t="shared" si="208"/>
        <v>0</v>
      </c>
      <c r="AC756" s="189">
        <f t="shared" si="209"/>
        <v>0</v>
      </c>
      <c r="AD756" s="189">
        <f t="shared" si="210"/>
        <v>0</v>
      </c>
      <c r="AE756" s="189">
        <f t="shared" si="211"/>
        <v>0</v>
      </c>
    </row>
    <row r="757" spans="10:31" x14ac:dyDescent="0.4">
      <c r="J757" s="189" t="str">
        <f t="shared" si="216"/>
        <v/>
      </c>
      <c r="K757" s="189" t="str">
        <f t="shared" si="217"/>
        <v/>
      </c>
      <c r="L757" s="189" t="str">
        <f t="shared" si="218"/>
        <v/>
      </c>
      <c r="M757" s="189" t="str">
        <f t="shared" si="219"/>
        <v/>
      </c>
      <c r="N757" s="76" t="str">
        <f t="shared" si="220"/>
        <v/>
      </c>
      <c r="O757" s="20">
        <f t="shared" si="221"/>
        <v>0</v>
      </c>
      <c r="P757" s="76">
        <f t="shared" si="222"/>
        <v>0</v>
      </c>
      <c r="Q757" s="206">
        <f t="shared" si="212"/>
        <v>0</v>
      </c>
      <c r="R757" s="206">
        <f t="shared" si="213"/>
        <v>0</v>
      </c>
      <c r="S757" s="206">
        <f t="shared" si="214"/>
        <v>0</v>
      </c>
      <c r="T757" s="206">
        <f t="shared" si="215"/>
        <v>0</v>
      </c>
      <c r="AA757" s="71" t="str">
        <f t="shared" si="207"/>
        <v/>
      </c>
      <c r="AB757" s="189">
        <f t="shared" si="208"/>
        <v>0</v>
      </c>
      <c r="AC757" s="189">
        <f t="shared" si="209"/>
        <v>0</v>
      </c>
      <c r="AD757" s="189">
        <f t="shared" si="210"/>
        <v>0</v>
      </c>
      <c r="AE757" s="189">
        <f t="shared" si="211"/>
        <v>0</v>
      </c>
    </row>
    <row r="758" spans="10:31" x14ac:dyDescent="0.4">
      <c r="J758" s="189" t="str">
        <f t="shared" si="216"/>
        <v/>
      </c>
      <c r="K758" s="189" t="str">
        <f t="shared" si="217"/>
        <v/>
      </c>
      <c r="L758" s="189" t="str">
        <f t="shared" si="218"/>
        <v/>
      </c>
      <c r="M758" s="189" t="str">
        <f t="shared" si="219"/>
        <v/>
      </c>
      <c r="N758" s="76" t="str">
        <f t="shared" si="220"/>
        <v/>
      </c>
      <c r="O758" s="20">
        <f t="shared" si="221"/>
        <v>0</v>
      </c>
      <c r="P758" s="76">
        <f t="shared" si="222"/>
        <v>0</v>
      </c>
      <c r="Q758" s="206">
        <f t="shared" si="212"/>
        <v>0</v>
      </c>
      <c r="R758" s="206">
        <f t="shared" si="213"/>
        <v>0</v>
      </c>
      <c r="S758" s="206">
        <f t="shared" si="214"/>
        <v>0</v>
      </c>
      <c r="T758" s="206">
        <f t="shared" si="215"/>
        <v>0</v>
      </c>
      <c r="AA758" s="71" t="str">
        <f t="shared" si="207"/>
        <v/>
      </c>
      <c r="AB758" s="189">
        <f t="shared" si="208"/>
        <v>0</v>
      </c>
      <c r="AC758" s="189">
        <f t="shared" si="209"/>
        <v>0</v>
      </c>
      <c r="AD758" s="189">
        <f t="shared" si="210"/>
        <v>0</v>
      </c>
      <c r="AE758" s="189">
        <f t="shared" si="211"/>
        <v>0</v>
      </c>
    </row>
    <row r="759" spans="10:31" x14ac:dyDescent="0.4">
      <c r="J759" s="189" t="str">
        <f t="shared" si="216"/>
        <v/>
      </c>
      <c r="K759" s="189" t="str">
        <f t="shared" si="217"/>
        <v/>
      </c>
      <c r="L759" s="189" t="str">
        <f t="shared" si="218"/>
        <v/>
      </c>
      <c r="M759" s="189" t="str">
        <f t="shared" si="219"/>
        <v/>
      </c>
      <c r="N759" s="76" t="str">
        <f t="shared" si="220"/>
        <v/>
      </c>
      <c r="O759" s="20">
        <f t="shared" si="221"/>
        <v>0</v>
      </c>
      <c r="P759" s="76">
        <f t="shared" si="222"/>
        <v>0</v>
      </c>
      <c r="Q759" s="206">
        <f t="shared" si="212"/>
        <v>0</v>
      </c>
      <c r="R759" s="206">
        <f t="shared" si="213"/>
        <v>0</v>
      </c>
      <c r="S759" s="206">
        <f t="shared" si="214"/>
        <v>0</v>
      </c>
      <c r="T759" s="206">
        <f t="shared" si="215"/>
        <v>0</v>
      </c>
      <c r="AA759" s="71" t="str">
        <f t="shared" si="207"/>
        <v/>
      </c>
      <c r="AB759" s="189">
        <f t="shared" si="208"/>
        <v>0</v>
      </c>
      <c r="AC759" s="189">
        <f t="shared" si="209"/>
        <v>0</v>
      </c>
      <c r="AD759" s="189">
        <f t="shared" si="210"/>
        <v>0</v>
      </c>
      <c r="AE759" s="189">
        <f t="shared" si="211"/>
        <v>0</v>
      </c>
    </row>
    <row r="760" spans="10:31" x14ac:dyDescent="0.4">
      <c r="J760" s="189" t="str">
        <f t="shared" si="216"/>
        <v/>
      </c>
      <c r="K760" s="189" t="str">
        <f t="shared" si="217"/>
        <v/>
      </c>
      <c r="L760" s="189" t="str">
        <f t="shared" si="218"/>
        <v/>
      </c>
      <c r="M760" s="189" t="str">
        <f t="shared" si="219"/>
        <v/>
      </c>
      <c r="N760" s="76" t="str">
        <f t="shared" si="220"/>
        <v/>
      </c>
      <c r="O760" s="20">
        <f t="shared" si="221"/>
        <v>0</v>
      </c>
      <c r="P760" s="76">
        <f t="shared" si="222"/>
        <v>0</v>
      </c>
      <c r="Q760" s="206">
        <f t="shared" si="212"/>
        <v>0</v>
      </c>
      <c r="R760" s="206">
        <f t="shared" si="213"/>
        <v>0</v>
      </c>
      <c r="S760" s="206">
        <f t="shared" si="214"/>
        <v>0</v>
      </c>
      <c r="T760" s="206">
        <f t="shared" si="215"/>
        <v>0</v>
      </c>
      <c r="AA760" s="71" t="str">
        <f t="shared" si="207"/>
        <v/>
      </c>
      <c r="AB760" s="189">
        <f t="shared" si="208"/>
        <v>0</v>
      </c>
      <c r="AC760" s="189">
        <f t="shared" si="209"/>
        <v>0</v>
      </c>
      <c r="AD760" s="189">
        <f t="shared" si="210"/>
        <v>0</v>
      </c>
      <c r="AE760" s="189">
        <f t="shared" si="211"/>
        <v>0</v>
      </c>
    </row>
    <row r="761" spans="10:31" x14ac:dyDescent="0.4">
      <c r="J761" s="189" t="str">
        <f t="shared" si="216"/>
        <v/>
      </c>
      <c r="K761" s="189" t="str">
        <f t="shared" si="217"/>
        <v/>
      </c>
      <c r="L761" s="189" t="str">
        <f t="shared" si="218"/>
        <v/>
      </c>
      <c r="M761" s="189" t="str">
        <f t="shared" si="219"/>
        <v/>
      </c>
      <c r="N761" s="76" t="str">
        <f t="shared" si="220"/>
        <v/>
      </c>
      <c r="O761" s="20">
        <f t="shared" si="221"/>
        <v>0</v>
      </c>
      <c r="P761" s="76">
        <f t="shared" si="222"/>
        <v>0</v>
      </c>
      <c r="Q761" s="206">
        <f t="shared" si="212"/>
        <v>0</v>
      </c>
      <c r="R761" s="206">
        <f t="shared" si="213"/>
        <v>0</v>
      </c>
      <c r="S761" s="206">
        <f t="shared" si="214"/>
        <v>0</v>
      </c>
      <c r="T761" s="206">
        <f t="shared" si="215"/>
        <v>0</v>
      </c>
      <c r="AA761" s="71" t="str">
        <f t="shared" si="207"/>
        <v/>
      </c>
      <c r="AB761" s="189">
        <f t="shared" si="208"/>
        <v>0</v>
      </c>
      <c r="AC761" s="189">
        <f t="shared" si="209"/>
        <v>0</v>
      </c>
      <c r="AD761" s="189">
        <f t="shared" si="210"/>
        <v>0</v>
      </c>
      <c r="AE761" s="189">
        <f t="shared" si="211"/>
        <v>0</v>
      </c>
    </row>
    <row r="762" spans="10:31" x14ac:dyDescent="0.4">
      <c r="J762" s="189" t="str">
        <f t="shared" si="216"/>
        <v/>
      </c>
      <c r="K762" s="189" t="str">
        <f t="shared" si="217"/>
        <v/>
      </c>
      <c r="L762" s="189" t="str">
        <f t="shared" si="218"/>
        <v/>
      </c>
      <c r="M762" s="189" t="str">
        <f t="shared" si="219"/>
        <v/>
      </c>
      <c r="N762" s="76" t="str">
        <f t="shared" si="220"/>
        <v/>
      </c>
      <c r="O762" s="20">
        <f t="shared" si="221"/>
        <v>0</v>
      </c>
      <c r="P762" s="76">
        <f t="shared" si="222"/>
        <v>0</v>
      </c>
      <c r="Q762" s="206">
        <f t="shared" si="212"/>
        <v>0</v>
      </c>
      <c r="R762" s="206">
        <f t="shared" si="213"/>
        <v>0</v>
      </c>
      <c r="S762" s="206">
        <f t="shared" si="214"/>
        <v>0</v>
      </c>
      <c r="T762" s="206">
        <f t="shared" si="215"/>
        <v>0</v>
      </c>
      <c r="AA762" s="71" t="str">
        <f t="shared" si="207"/>
        <v/>
      </c>
      <c r="AB762" s="189">
        <f t="shared" si="208"/>
        <v>0</v>
      </c>
      <c r="AC762" s="189">
        <f t="shared" si="209"/>
        <v>0</v>
      </c>
      <c r="AD762" s="189">
        <f t="shared" si="210"/>
        <v>0</v>
      </c>
      <c r="AE762" s="189">
        <f t="shared" si="211"/>
        <v>0</v>
      </c>
    </row>
    <row r="763" spans="10:31" x14ac:dyDescent="0.4">
      <c r="J763" s="189" t="str">
        <f t="shared" si="216"/>
        <v/>
      </c>
      <c r="K763" s="189" t="str">
        <f t="shared" si="217"/>
        <v/>
      </c>
      <c r="L763" s="189" t="str">
        <f t="shared" si="218"/>
        <v/>
      </c>
      <c r="M763" s="189" t="str">
        <f t="shared" si="219"/>
        <v/>
      </c>
      <c r="N763" s="76" t="str">
        <f t="shared" si="220"/>
        <v/>
      </c>
      <c r="O763" s="20">
        <f t="shared" si="221"/>
        <v>0</v>
      </c>
      <c r="P763" s="76">
        <f t="shared" si="222"/>
        <v>0</v>
      </c>
      <c r="Q763" s="206">
        <f t="shared" si="212"/>
        <v>0</v>
      </c>
      <c r="R763" s="206">
        <f t="shared" si="213"/>
        <v>0</v>
      </c>
      <c r="S763" s="206">
        <f t="shared" si="214"/>
        <v>0</v>
      </c>
      <c r="T763" s="206">
        <f t="shared" si="215"/>
        <v>0</v>
      </c>
      <c r="AA763" s="71" t="str">
        <f t="shared" si="207"/>
        <v/>
      </c>
      <c r="AB763" s="189">
        <f t="shared" si="208"/>
        <v>0</v>
      </c>
      <c r="AC763" s="189">
        <f t="shared" si="209"/>
        <v>0</v>
      </c>
      <c r="AD763" s="189">
        <f t="shared" si="210"/>
        <v>0</v>
      </c>
      <c r="AE763" s="189">
        <f t="shared" si="211"/>
        <v>0</v>
      </c>
    </row>
    <row r="764" spans="10:31" x14ac:dyDescent="0.4">
      <c r="J764" s="189" t="str">
        <f t="shared" si="216"/>
        <v/>
      </c>
      <c r="K764" s="189" t="str">
        <f t="shared" si="217"/>
        <v/>
      </c>
      <c r="L764" s="189" t="str">
        <f t="shared" si="218"/>
        <v/>
      </c>
      <c r="M764" s="189" t="str">
        <f t="shared" si="219"/>
        <v/>
      </c>
      <c r="N764" s="76" t="str">
        <f t="shared" si="220"/>
        <v/>
      </c>
      <c r="O764" s="20">
        <f t="shared" si="221"/>
        <v>0</v>
      </c>
      <c r="P764" s="76">
        <f t="shared" si="222"/>
        <v>0</v>
      </c>
      <c r="Q764" s="206">
        <f t="shared" si="212"/>
        <v>0</v>
      </c>
      <c r="R764" s="206">
        <f t="shared" si="213"/>
        <v>0</v>
      </c>
      <c r="S764" s="206">
        <f t="shared" si="214"/>
        <v>0</v>
      </c>
      <c r="T764" s="206">
        <f t="shared" si="215"/>
        <v>0</v>
      </c>
      <c r="AA764" s="71" t="str">
        <f t="shared" si="207"/>
        <v/>
      </c>
      <c r="AB764" s="189">
        <f t="shared" si="208"/>
        <v>0</v>
      </c>
      <c r="AC764" s="189">
        <f t="shared" si="209"/>
        <v>0</v>
      </c>
      <c r="AD764" s="189">
        <f t="shared" si="210"/>
        <v>0</v>
      </c>
      <c r="AE764" s="189">
        <f t="shared" si="211"/>
        <v>0</v>
      </c>
    </row>
    <row r="765" spans="10:31" x14ac:dyDescent="0.4">
      <c r="J765" s="189" t="str">
        <f t="shared" si="216"/>
        <v/>
      </c>
      <c r="K765" s="189" t="str">
        <f t="shared" si="217"/>
        <v/>
      </c>
      <c r="L765" s="189" t="str">
        <f t="shared" si="218"/>
        <v/>
      </c>
      <c r="M765" s="189" t="str">
        <f t="shared" si="219"/>
        <v/>
      </c>
      <c r="N765" s="76" t="str">
        <f t="shared" si="220"/>
        <v/>
      </c>
      <c r="O765" s="20">
        <f t="shared" si="221"/>
        <v>0</v>
      </c>
      <c r="P765" s="76">
        <f t="shared" si="222"/>
        <v>0</v>
      </c>
      <c r="Q765" s="206">
        <f t="shared" si="212"/>
        <v>0</v>
      </c>
      <c r="R765" s="206">
        <f t="shared" si="213"/>
        <v>0</v>
      </c>
      <c r="S765" s="206">
        <f t="shared" si="214"/>
        <v>0</v>
      </c>
      <c r="T765" s="206">
        <f t="shared" si="215"/>
        <v>0</v>
      </c>
      <c r="AA765" s="71" t="str">
        <f t="shared" si="207"/>
        <v/>
      </c>
      <c r="AB765" s="189">
        <f t="shared" si="208"/>
        <v>0</v>
      </c>
      <c r="AC765" s="189">
        <f t="shared" si="209"/>
        <v>0</v>
      </c>
      <c r="AD765" s="189">
        <f t="shared" si="210"/>
        <v>0</v>
      </c>
      <c r="AE765" s="189">
        <f t="shared" si="211"/>
        <v>0</v>
      </c>
    </row>
    <row r="766" spans="10:31" x14ac:dyDescent="0.4">
      <c r="J766" s="189" t="str">
        <f t="shared" si="216"/>
        <v/>
      </c>
      <c r="K766" s="189" t="str">
        <f t="shared" si="217"/>
        <v/>
      </c>
      <c r="L766" s="189" t="str">
        <f t="shared" si="218"/>
        <v/>
      </c>
      <c r="M766" s="189" t="str">
        <f t="shared" si="219"/>
        <v/>
      </c>
      <c r="N766" s="76" t="str">
        <f t="shared" si="220"/>
        <v/>
      </c>
      <c r="O766" s="20">
        <f t="shared" si="221"/>
        <v>0</v>
      </c>
      <c r="P766" s="76">
        <f t="shared" si="222"/>
        <v>0</v>
      </c>
      <c r="Q766" s="206">
        <f t="shared" si="212"/>
        <v>0</v>
      </c>
      <c r="R766" s="206">
        <f t="shared" si="213"/>
        <v>0</v>
      </c>
      <c r="S766" s="206">
        <f t="shared" si="214"/>
        <v>0</v>
      </c>
      <c r="T766" s="206">
        <f t="shared" si="215"/>
        <v>0</v>
      </c>
      <c r="AA766" s="71" t="str">
        <f t="shared" si="207"/>
        <v/>
      </c>
      <c r="AB766" s="189">
        <f t="shared" si="208"/>
        <v>0</v>
      </c>
      <c r="AC766" s="189">
        <f t="shared" si="209"/>
        <v>0</v>
      </c>
      <c r="AD766" s="189">
        <f t="shared" si="210"/>
        <v>0</v>
      </c>
      <c r="AE766" s="189">
        <f t="shared" si="211"/>
        <v>0</v>
      </c>
    </row>
    <row r="767" spans="10:31" x14ac:dyDescent="0.4">
      <c r="J767" s="189" t="str">
        <f t="shared" si="216"/>
        <v/>
      </c>
      <c r="K767" s="189" t="str">
        <f t="shared" si="217"/>
        <v/>
      </c>
      <c r="L767" s="189" t="str">
        <f t="shared" si="218"/>
        <v/>
      </c>
      <c r="M767" s="189" t="str">
        <f t="shared" si="219"/>
        <v/>
      </c>
      <c r="N767" s="76" t="str">
        <f t="shared" si="220"/>
        <v/>
      </c>
      <c r="O767" s="20">
        <f t="shared" si="221"/>
        <v>0</v>
      </c>
      <c r="P767" s="76">
        <f t="shared" si="222"/>
        <v>0</v>
      </c>
      <c r="Q767" s="206">
        <f t="shared" si="212"/>
        <v>0</v>
      </c>
      <c r="R767" s="206">
        <f t="shared" si="213"/>
        <v>0</v>
      </c>
      <c r="S767" s="206">
        <f t="shared" si="214"/>
        <v>0</v>
      </c>
      <c r="T767" s="206">
        <f t="shared" si="215"/>
        <v>0</v>
      </c>
      <c r="AA767" s="71" t="str">
        <f t="shared" si="207"/>
        <v/>
      </c>
      <c r="AB767" s="189">
        <f t="shared" si="208"/>
        <v>0</v>
      </c>
      <c r="AC767" s="189">
        <f t="shared" si="209"/>
        <v>0</v>
      </c>
      <c r="AD767" s="189">
        <f t="shared" si="210"/>
        <v>0</v>
      </c>
      <c r="AE767" s="189">
        <f t="shared" si="211"/>
        <v>0</v>
      </c>
    </row>
    <row r="768" spans="10:31" x14ac:dyDescent="0.4">
      <c r="J768" s="189" t="str">
        <f t="shared" si="216"/>
        <v/>
      </c>
      <c r="K768" s="189" t="str">
        <f t="shared" si="217"/>
        <v/>
      </c>
      <c r="L768" s="189" t="str">
        <f t="shared" si="218"/>
        <v/>
      </c>
      <c r="M768" s="189" t="str">
        <f t="shared" si="219"/>
        <v/>
      </c>
      <c r="N768" s="76" t="str">
        <f t="shared" si="220"/>
        <v/>
      </c>
      <c r="O768" s="20">
        <f t="shared" si="221"/>
        <v>0</v>
      </c>
      <c r="P768" s="76">
        <f t="shared" si="222"/>
        <v>0</v>
      </c>
      <c r="Q768" s="206">
        <f t="shared" si="212"/>
        <v>0</v>
      </c>
      <c r="R768" s="206">
        <f t="shared" si="213"/>
        <v>0</v>
      </c>
      <c r="S768" s="206">
        <f t="shared" si="214"/>
        <v>0</v>
      </c>
      <c r="T768" s="206">
        <f t="shared" si="215"/>
        <v>0</v>
      </c>
      <c r="AA768" s="71" t="str">
        <f t="shared" si="207"/>
        <v/>
      </c>
      <c r="AB768" s="189">
        <f t="shared" si="208"/>
        <v>0</v>
      </c>
      <c r="AC768" s="189">
        <f t="shared" si="209"/>
        <v>0</v>
      </c>
      <c r="AD768" s="189">
        <f t="shared" si="210"/>
        <v>0</v>
      </c>
      <c r="AE768" s="189">
        <f t="shared" si="211"/>
        <v>0</v>
      </c>
    </row>
    <row r="769" spans="10:31" x14ac:dyDescent="0.4">
      <c r="J769" s="189" t="str">
        <f t="shared" si="216"/>
        <v/>
      </c>
      <c r="K769" s="189" t="str">
        <f t="shared" si="217"/>
        <v/>
      </c>
      <c r="L769" s="189" t="str">
        <f t="shared" si="218"/>
        <v/>
      </c>
      <c r="M769" s="189" t="str">
        <f t="shared" si="219"/>
        <v/>
      </c>
      <c r="N769" s="76" t="str">
        <f t="shared" si="220"/>
        <v/>
      </c>
      <c r="O769" s="20">
        <f t="shared" si="221"/>
        <v>0</v>
      </c>
      <c r="P769" s="76">
        <f t="shared" si="222"/>
        <v>0</v>
      </c>
      <c r="Q769" s="206">
        <f t="shared" si="212"/>
        <v>0</v>
      </c>
      <c r="R769" s="206">
        <f t="shared" si="213"/>
        <v>0</v>
      </c>
      <c r="S769" s="206">
        <f t="shared" si="214"/>
        <v>0</v>
      </c>
      <c r="T769" s="206">
        <f t="shared" si="215"/>
        <v>0</v>
      </c>
      <c r="AA769" s="71" t="str">
        <f t="shared" si="207"/>
        <v/>
      </c>
      <c r="AB769" s="189">
        <f t="shared" si="208"/>
        <v>0</v>
      </c>
      <c r="AC769" s="189">
        <f t="shared" si="209"/>
        <v>0</v>
      </c>
      <c r="AD769" s="189">
        <f t="shared" si="210"/>
        <v>0</v>
      </c>
      <c r="AE769" s="189">
        <f t="shared" si="211"/>
        <v>0</v>
      </c>
    </row>
    <row r="770" spans="10:31" x14ac:dyDescent="0.4">
      <c r="J770" s="189" t="str">
        <f t="shared" si="216"/>
        <v/>
      </c>
      <c r="K770" s="189" t="str">
        <f t="shared" si="217"/>
        <v/>
      </c>
      <c r="L770" s="189" t="str">
        <f t="shared" si="218"/>
        <v/>
      </c>
      <c r="M770" s="189" t="str">
        <f t="shared" si="219"/>
        <v/>
      </c>
      <c r="N770" s="76" t="str">
        <f t="shared" si="220"/>
        <v/>
      </c>
      <c r="O770" s="20">
        <f t="shared" si="221"/>
        <v>0</v>
      </c>
      <c r="P770" s="76">
        <f t="shared" si="222"/>
        <v>0</v>
      </c>
      <c r="Q770" s="206">
        <f t="shared" si="212"/>
        <v>0</v>
      </c>
      <c r="R770" s="206">
        <f t="shared" si="213"/>
        <v>0</v>
      </c>
      <c r="S770" s="206">
        <f t="shared" si="214"/>
        <v>0</v>
      </c>
      <c r="T770" s="206">
        <f t="shared" si="215"/>
        <v>0</v>
      </c>
      <c r="AA770" s="71" t="str">
        <f t="shared" si="207"/>
        <v/>
      </c>
      <c r="AB770" s="189">
        <f t="shared" si="208"/>
        <v>0</v>
      </c>
      <c r="AC770" s="189">
        <f t="shared" si="209"/>
        <v>0</v>
      </c>
      <c r="AD770" s="189">
        <f t="shared" si="210"/>
        <v>0</v>
      </c>
      <c r="AE770" s="189">
        <f t="shared" si="211"/>
        <v>0</v>
      </c>
    </row>
    <row r="771" spans="10:31" x14ac:dyDescent="0.4">
      <c r="J771" s="189" t="str">
        <f t="shared" si="216"/>
        <v/>
      </c>
      <c r="K771" s="189" t="str">
        <f t="shared" si="217"/>
        <v/>
      </c>
      <c r="L771" s="189" t="str">
        <f t="shared" si="218"/>
        <v/>
      </c>
      <c r="M771" s="189" t="str">
        <f t="shared" si="219"/>
        <v/>
      </c>
      <c r="N771" s="76" t="str">
        <f t="shared" si="220"/>
        <v/>
      </c>
      <c r="O771" s="20">
        <f t="shared" si="221"/>
        <v>0</v>
      </c>
      <c r="P771" s="76">
        <f t="shared" si="222"/>
        <v>0</v>
      </c>
      <c r="Q771" s="206">
        <f t="shared" si="212"/>
        <v>0</v>
      </c>
      <c r="R771" s="206">
        <f t="shared" si="213"/>
        <v>0</v>
      </c>
      <c r="S771" s="206">
        <f t="shared" si="214"/>
        <v>0</v>
      </c>
      <c r="T771" s="206">
        <f t="shared" si="215"/>
        <v>0</v>
      </c>
      <c r="AA771" s="71" t="str">
        <f t="shared" si="207"/>
        <v/>
      </c>
      <c r="AB771" s="189">
        <f t="shared" si="208"/>
        <v>0</v>
      </c>
      <c r="AC771" s="189">
        <f t="shared" si="209"/>
        <v>0</v>
      </c>
      <c r="AD771" s="189">
        <f t="shared" si="210"/>
        <v>0</v>
      </c>
      <c r="AE771" s="189">
        <f t="shared" si="211"/>
        <v>0</v>
      </c>
    </row>
    <row r="772" spans="10:31" x14ac:dyDescent="0.4">
      <c r="J772" s="189" t="str">
        <f t="shared" si="216"/>
        <v/>
      </c>
      <c r="K772" s="189" t="str">
        <f t="shared" si="217"/>
        <v/>
      </c>
      <c r="L772" s="189" t="str">
        <f t="shared" si="218"/>
        <v/>
      </c>
      <c r="M772" s="189" t="str">
        <f t="shared" si="219"/>
        <v/>
      </c>
      <c r="N772" s="76" t="str">
        <f t="shared" si="220"/>
        <v/>
      </c>
      <c r="O772" s="20">
        <f t="shared" si="221"/>
        <v>0</v>
      </c>
      <c r="P772" s="76">
        <f t="shared" si="222"/>
        <v>0</v>
      </c>
      <c r="Q772" s="206">
        <f t="shared" si="212"/>
        <v>0</v>
      </c>
      <c r="R772" s="206">
        <f t="shared" si="213"/>
        <v>0</v>
      </c>
      <c r="S772" s="206">
        <f t="shared" si="214"/>
        <v>0</v>
      </c>
      <c r="T772" s="206">
        <f t="shared" si="215"/>
        <v>0</v>
      </c>
      <c r="AA772" s="71" t="str">
        <f t="shared" si="207"/>
        <v/>
      </c>
      <c r="AB772" s="189">
        <f t="shared" si="208"/>
        <v>0</v>
      </c>
      <c r="AC772" s="189">
        <f t="shared" si="209"/>
        <v>0</v>
      </c>
      <c r="AD772" s="189">
        <f t="shared" si="210"/>
        <v>0</v>
      </c>
      <c r="AE772" s="189">
        <f t="shared" si="211"/>
        <v>0</v>
      </c>
    </row>
    <row r="773" spans="10:31" x14ac:dyDescent="0.4">
      <c r="J773" s="189" t="str">
        <f t="shared" si="216"/>
        <v/>
      </c>
      <c r="K773" s="189" t="str">
        <f t="shared" si="217"/>
        <v/>
      </c>
      <c r="L773" s="189" t="str">
        <f t="shared" si="218"/>
        <v/>
      </c>
      <c r="M773" s="189" t="str">
        <f t="shared" si="219"/>
        <v/>
      </c>
      <c r="N773" s="76" t="str">
        <f t="shared" si="220"/>
        <v/>
      </c>
      <c r="O773" s="20">
        <f t="shared" si="221"/>
        <v>0</v>
      </c>
      <c r="P773" s="76">
        <f t="shared" si="222"/>
        <v>0</v>
      </c>
      <c r="Q773" s="206">
        <f t="shared" si="212"/>
        <v>0</v>
      </c>
      <c r="R773" s="206">
        <f t="shared" si="213"/>
        <v>0</v>
      </c>
      <c r="S773" s="206">
        <f t="shared" si="214"/>
        <v>0</v>
      </c>
      <c r="T773" s="206">
        <f t="shared" si="215"/>
        <v>0</v>
      </c>
      <c r="AA773" s="71" t="str">
        <f t="shared" si="207"/>
        <v/>
      </c>
      <c r="AB773" s="189">
        <f t="shared" si="208"/>
        <v>0</v>
      </c>
      <c r="AC773" s="189">
        <f t="shared" si="209"/>
        <v>0</v>
      </c>
      <c r="AD773" s="189">
        <f t="shared" si="210"/>
        <v>0</v>
      </c>
      <c r="AE773" s="189">
        <f t="shared" si="211"/>
        <v>0</v>
      </c>
    </row>
    <row r="774" spans="10:31" x14ac:dyDescent="0.4">
      <c r="J774" s="189" t="str">
        <f t="shared" si="216"/>
        <v/>
      </c>
      <c r="K774" s="189" t="str">
        <f t="shared" si="217"/>
        <v/>
      </c>
      <c r="L774" s="189" t="str">
        <f t="shared" si="218"/>
        <v/>
      </c>
      <c r="M774" s="189" t="str">
        <f t="shared" si="219"/>
        <v/>
      </c>
      <c r="N774" s="76" t="str">
        <f t="shared" si="220"/>
        <v/>
      </c>
      <c r="O774" s="20">
        <f t="shared" si="221"/>
        <v>0</v>
      </c>
      <c r="P774" s="76">
        <f t="shared" si="222"/>
        <v>0</v>
      </c>
      <c r="Q774" s="206">
        <f t="shared" si="212"/>
        <v>0</v>
      </c>
      <c r="R774" s="206">
        <f t="shared" si="213"/>
        <v>0</v>
      </c>
      <c r="S774" s="206">
        <f t="shared" si="214"/>
        <v>0</v>
      </c>
      <c r="T774" s="206">
        <f t="shared" si="215"/>
        <v>0</v>
      </c>
      <c r="AA774" s="71" t="str">
        <f t="shared" si="207"/>
        <v/>
      </c>
      <c r="AB774" s="189">
        <f t="shared" si="208"/>
        <v>0</v>
      </c>
      <c r="AC774" s="189">
        <f t="shared" si="209"/>
        <v>0</v>
      </c>
      <c r="AD774" s="189">
        <f t="shared" si="210"/>
        <v>0</v>
      </c>
      <c r="AE774" s="189">
        <f t="shared" si="211"/>
        <v>0</v>
      </c>
    </row>
    <row r="775" spans="10:31" x14ac:dyDescent="0.4">
      <c r="J775" s="189" t="str">
        <f t="shared" si="216"/>
        <v/>
      </c>
      <c r="K775" s="189" t="str">
        <f t="shared" si="217"/>
        <v/>
      </c>
      <c r="L775" s="189" t="str">
        <f t="shared" si="218"/>
        <v/>
      </c>
      <c r="M775" s="189" t="str">
        <f t="shared" si="219"/>
        <v/>
      </c>
      <c r="N775" s="76" t="str">
        <f t="shared" si="220"/>
        <v/>
      </c>
      <c r="O775" s="20">
        <f t="shared" si="221"/>
        <v>0</v>
      </c>
      <c r="P775" s="76">
        <f t="shared" si="222"/>
        <v>0</v>
      </c>
      <c r="Q775" s="206">
        <f t="shared" si="212"/>
        <v>0</v>
      </c>
      <c r="R775" s="206">
        <f t="shared" si="213"/>
        <v>0</v>
      </c>
      <c r="S775" s="206">
        <f t="shared" si="214"/>
        <v>0</v>
      </c>
      <c r="T775" s="206">
        <f t="shared" si="215"/>
        <v>0</v>
      </c>
      <c r="AA775" s="71" t="str">
        <f t="shared" si="207"/>
        <v/>
      </c>
      <c r="AB775" s="189">
        <f t="shared" si="208"/>
        <v>0</v>
      </c>
      <c r="AC775" s="189">
        <f t="shared" si="209"/>
        <v>0</v>
      </c>
      <c r="AD775" s="189">
        <f t="shared" si="210"/>
        <v>0</v>
      </c>
      <c r="AE775" s="189">
        <f t="shared" si="211"/>
        <v>0</v>
      </c>
    </row>
    <row r="776" spans="10:31" x14ac:dyDescent="0.4">
      <c r="J776" s="189" t="str">
        <f t="shared" si="216"/>
        <v/>
      </c>
      <c r="K776" s="189" t="str">
        <f t="shared" si="217"/>
        <v/>
      </c>
      <c r="L776" s="189" t="str">
        <f t="shared" si="218"/>
        <v/>
      </c>
      <c r="M776" s="189" t="str">
        <f t="shared" si="219"/>
        <v/>
      </c>
      <c r="N776" s="76" t="str">
        <f t="shared" si="220"/>
        <v/>
      </c>
      <c r="O776" s="20">
        <f t="shared" si="221"/>
        <v>0</v>
      </c>
      <c r="P776" s="76">
        <f t="shared" si="222"/>
        <v>0</v>
      </c>
      <c r="Q776" s="206">
        <f t="shared" si="212"/>
        <v>0</v>
      </c>
      <c r="R776" s="206">
        <f t="shared" si="213"/>
        <v>0</v>
      </c>
      <c r="S776" s="206">
        <f t="shared" si="214"/>
        <v>0</v>
      </c>
      <c r="T776" s="206">
        <f t="shared" si="215"/>
        <v>0</v>
      </c>
      <c r="AA776" s="71" t="str">
        <f t="shared" si="207"/>
        <v/>
      </c>
      <c r="AB776" s="189">
        <f t="shared" si="208"/>
        <v>0</v>
      </c>
      <c r="AC776" s="189">
        <f t="shared" si="209"/>
        <v>0</v>
      </c>
      <c r="AD776" s="189">
        <f t="shared" si="210"/>
        <v>0</v>
      </c>
      <c r="AE776" s="189">
        <f t="shared" si="211"/>
        <v>0</v>
      </c>
    </row>
    <row r="777" spans="10:31" x14ac:dyDescent="0.4">
      <c r="J777" s="189" t="str">
        <f t="shared" si="216"/>
        <v/>
      </c>
      <c r="K777" s="189" t="str">
        <f t="shared" si="217"/>
        <v/>
      </c>
      <c r="L777" s="189" t="str">
        <f t="shared" si="218"/>
        <v/>
      </c>
      <c r="M777" s="189" t="str">
        <f t="shared" si="219"/>
        <v/>
      </c>
      <c r="N777" s="76" t="str">
        <f t="shared" si="220"/>
        <v/>
      </c>
      <c r="O777" s="20">
        <f t="shared" si="221"/>
        <v>0</v>
      </c>
      <c r="P777" s="76">
        <f t="shared" si="222"/>
        <v>0</v>
      </c>
      <c r="Q777" s="206">
        <f t="shared" si="212"/>
        <v>0</v>
      </c>
      <c r="R777" s="206">
        <f t="shared" si="213"/>
        <v>0</v>
      </c>
      <c r="S777" s="206">
        <f t="shared" si="214"/>
        <v>0</v>
      </c>
      <c r="T777" s="206">
        <f t="shared" si="215"/>
        <v>0</v>
      </c>
      <c r="AA777" s="71" t="str">
        <f t="shared" si="207"/>
        <v/>
      </c>
      <c r="AB777" s="189">
        <f t="shared" si="208"/>
        <v>0</v>
      </c>
      <c r="AC777" s="189">
        <f t="shared" si="209"/>
        <v>0</v>
      </c>
      <c r="AD777" s="189">
        <f t="shared" si="210"/>
        <v>0</v>
      </c>
      <c r="AE777" s="189">
        <f t="shared" si="211"/>
        <v>0</v>
      </c>
    </row>
    <row r="778" spans="10:31" x14ac:dyDescent="0.4">
      <c r="J778" s="189" t="str">
        <f t="shared" si="216"/>
        <v/>
      </c>
      <c r="K778" s="189" t="str">
        <f t="shared" si="217"/>
        <v/>
      </c>
      <c r="L778" s="189" t="str">
        <f t="shared" si="218"/>
        <v/>
      </c>
      <c r="M778" s="189" t="str">
        <f t="shared" si="219"/>
        <v/>
      </c>
      <c r="N778" s="76" t="str">
        <f t="shared" si="220"/>
        <v/>
      </c>
      <c r="O778" s="20">
        <f t="shared" si="221"/>
        <v>0</v>
      </c>
      <c r="P778" s="76">
        <f t="shared" si="222"/>
        <v>0</v>
      </c>
      <c r="Q778" s="206">
        <f t="shared" si="212"/>
        <v>0</v>
      </c>
      <c r="R778" s="206">
        <f t="shared" si="213"/>
        <v>0</v>
      </c>
      <c r="S778" s="206">
        <f t="shared" si="214"/>
        <v>0</v>
      </c>
      <c r="T778" s="206">
        <f t="shared" si="215"/>
        <v>0</v>
      </c>
      <c r="AA778" s="71" t="str">
        <f t="shared" si="207"/>
        <v/>
      </c>
      <c r="AB778" s="189">
        <f t="shared" si="208"/>
        <v>0</v>
      </c>
      <c r="AC778" s="189">
        <f t="shared" si="209"/>
        <v>0</v>
      </c>
      <c r="AD778" s="189">
        <f t="shared" si="210"/>
        <v>0</v>
      </c>
      <c r="AE778" s="189">
        <f t="shared" si="211"/>
        <v>0</v>
      </c>
    </row>
    <row r="779" spans="10:31" x14ac:dyDescent="0.4">
      <c r="J779" s="189" t="str">
        <f t="shared" si="216"/>
        <v/>
      </c>
      <c r="K779" s="189" t="str">
        <f t="shared" si="217"/>
        <v/>
      </c>
      <c r="L779" s="189" t="str">
        <f t="shared" si="218"/>
        <v/>
      </c>
      <c r="M779" s="189" t="str">
        <f t="shared" si="219"/>
        <v/>
      </c>
      <c r="N779" s="76" t="str">
        <f t="shared" si="220"/>
        <v/>
      </c>
      <c r="O779" s="20">
        <f t="shared" si="221"/>
        <v>0</v>
      </c>
      <c r="P779" s="76">
        <f t="shared" si="222"/>
        <v>0</v>
      </c>
      <c r="Q779" s="206">
        <f t="shared" si="212"/>
        <v>0</v>
      </c>
      <c r="R779" s="206">
        <f t="shared" si="213"/>
        <v>0</v>
      </c>
      <c r="S779" s="206">
        <f t="shared" si="214"/>
        <v>0</v>
      </c>
      <c r="T779" s="206">
        <f t="shared" si="215"/>
        <v>0</v>
      </c>
      <c r="AA779" s="71" t="str">
        <f t="shared" si="207"/>
        <v/>
      </c>
      <c r="AB779" s="189">
        <f t="shared" si="208"/>
        <v>0</v>
      </c>
      <c r="AC779" s="189">
        <f t="shared" si="209"/>
        <v>0</v>
      </c>
      <c r="AD779" s="189">
        <f t="shared" si="210"/>
        <v>0</v>
      </c>
      <c r="AE779" s="189">
        <f t="shared" si="211"/>
        <v>0</v>
      </c>
    </row>
    <row r="780" spans="10:31" x14ac:dyDescent="0.4">
      <c r="J780" s="189" t="str">
        <f t="shared" si="216"/>
        <v/>
      </c>
      <c r="K780" s="189" t="str">
        <f t="shared" si="217"/>
        <v/>
      </c>
      <c r="L780" s="189" t="str">
        <f t="shared" si="218"/>
        <v/>
      </c>
      <c r="M780" s="189" t="str">
        <f t="shared" si="219"/>
        <v/>
      </c>
      <c r="N780" s="76" t="str">
        <f t="shared" si="220"/>
        <v/>
      </c>
      <c r="O780" s="20">
        <f t="shared" si="221"/>
        <v>0</v>
      </c>
      <c r="P780" s="76">
        <f t="shared" si="222"/>
        <v>0</v>
      </c>
      <c r="Q780" s="206">
        <f t="shared" si="212"/>
        <v>0</v>
      </c>
      <c r="R780" s="206">
        <f t="shared" si="213"/>
        <v>0</v>
      </c>
      <c r="S780" s="206">
        <f t="shared" si="214"/>
        <v>0</v>
      </c>
      <c r="T780" s="206">
        <f t="shared" si="215"/>
        <v>0</v>
      </c>
      <c r="AA780" s="71" t="str">
        <f t="shared" si="207"/>
        <v/>
      </c>
      <c r="AB780" s="189">
        <f t="shared" si="208"/>
        <v>0</v>
      </c>
      <c r="AC780" s="189">
        <f t="shared" si="209"/>
        <v>0</v>
      </c>
      <c r="AD780" s="189">
        <f t="shared" si="210"/>
        <v>0</v>
      </c>
      <c r="AE780" s="189">
        <f t="shared" si="211"/>
        <v>0</v>
      </c>
    </row>
    <row r="781" spans="10:31" x14ac:dyDescent="0.4">
      <c r="J781" s="189" t="str">
        <f t="shared" si="216"/>
        <v/>
      </c>
      <c r="K781" s="189" t="str">
        <f t="shared" si="217"/>
        <v/>
      </c>
      <c r="L781" s="189" t="str">
        <f t="shared" si="218"/>
        <v/>
      </c>
      <c r="M781" s="189" t="str">
        <f t="shared" si="219"/>
        <v/>
      </c>
      <c r="N781" s="76" t="str">
        <f t="shared" si="220"/>
        <v/>
      </c>
      <c r="O781" s="20">
        <f t="shared" si="221"/>
        <v>0</v>
      </c>
      <c r="P781" s="76">
        <f t="shared" si="222"/>
        <v>0</v>
      </c>
      <c r="Q781" s="206">
        <f t="shared" si="212"/>
        <v>0</v>
      </c>
      <c r="R781" s="206">
        <f t="shared" si="213"/>
        <v>0</v>
      </c>
      <c r="S781" s="206">
        <f t="shared" si="214"/>
        <v>0</v>
      </c>
      <c r="T781" s="206">
        <f t="shared" si="215"/>
        <v>0</v>
      </c>
      <c r="AA781" s="71" t="str">
        <f t="shared" si="207"/>
        <v/>
      </c>
      <c r="AB781" s="189">
        <f t="shared" si="208"/>
        <v>0</v>
      </c>
      <c r="AC781" s="189">
        <f t="shared" si="209"/>
        <v>0</v>
      </c>
      <c r="AD781" s="189">
        <f t="shared" si="210"/>
        <v>0</v>
      </c>
      <c r="AE781" s="189">
        <f t="shared" si="211"/>
        <v>0</v>
      </c>
    </row>
    <row r="782" spans="10:31" x14ac:dyDescent="0.4">
      <c r="J782" s="189" t="str">
        <f t="shared" si="216"/>
        <v/>
      </c>
      <c r="K782" s="189" t="str">
        <f t="shared" si="217"/>
        <v/>
      </c>
      <c r="L782" s="189" t="str">
        <f t="shared" si="218"/>
        <v/>
      </c>
      <c r="M782" s="189" t="str">
        <f t="shared" si="219"/>
        <v/>
      </c>
      <c r="N782" s="76" t="str">
        <f t="shared" si="220"/>
        <v/>
      </c>
      <c r="O782" s="20">
        <f t="shared" si="221"/>
        <v>0</v>
      </c>
      <c r="P782" s="76">
        <f t="shared" si="222"/>
        <v>0</v>
      </c>
      <c r="Q782" s="206">
        <f t="shared" si="212"/>
        <v>0</v>
      </c>
      <c r="R782" s="206">
        <f t="shared" si="213"/>
        <v>0</v>
      </c>
      <c r="S782" s="206">
        <f t="shared" si="214"/>
        <v>0</v>
      </c>
      <c r="T782" s="206">
        <f t="shared" si="215"/>
        <v>0</v>
      </c>
      <c r="AA782" s="71" t="str">
        <f t="shared" si="207"/>
        <v/>
      </c>
      <c r="AB782" s="189">
        <f t="shared" si="208"/>
        <v>0</v>
      </c>
      <c r="AC782" s="189">
        <f t="shared" si="209"/>
        <v>0</v>
      </c>
      <c r="AD782" s="189">
        <f t="shared" si="210"/>
        <v>0</v>
      </c>
      <c r="AE782" s="189">
        <f t="shared" si="211"/>
        <v>0</v>
      </c>
    </row>
    <row r="783" spans="10:31" x14ac:dyDescent="0.4">
      <c r="J783" s="189" t="str">
        <f t="shared" si="216"/>
        <v/>
      </c>
      <c r="K783" s="189" t="str">
        <f t="shared" si="217"/>
        <v/>
      </c>
      <c r="L783" s="189" t="str">
        <f t="shared" si="218"/>
        <v/>
      </c>
      <c r="M783" s="189" t="str">
        <f t="shared" si="219"/>
        <v/>
      </c>
      <c r="N783" s="76" t="str">
        <f t="shared" si="220"/>
        <v/>
      </c>
      <c r="O783" s="20">
        <f t="shared" si="221"/>
        <v>0</v>
      </c>
      <c r="P783" s="76">
        <f t="shared" si="222"/>
        <v>0</v>
      </c>
      <c r="Q783" s="206">
        <f t="shared" si="212"/>
        <v>0</v>
      </c>
      <c r="R783" s="206">
        <f t="shared" si="213"/>
        <v>0</v>
      </c>
      <c r="S783" s="206">
        <f t="shared" si="214"/>
        <v>0</v>
      </c>
      <c r="T783" s="206">
        <f t="shared" si="215"/>
        <v>0</v>
      </c>
      <c r="AA783" s="71" t="str">
        <f t="shared" si="207"/>
        <v/>
      </c>
      <c r="AB783" s="189">
        <f t="shared" si="208"/>
        <v>0</v>
      </c>
      <c r="AC783" s="189">
        <f t="shared" si="209"/>
        <v>0</v>
      </c>
      <c r="AD783" s="189">
        <f t="shared" si="210"/>
        <v>0</v>
      </c>
      <c r="AE783" s="189">
        <f t="shared" si="211"/>
        <v>0</v>
      </c>
    </row>
    <row r="784" spans="10:31" x14ac:dyDescent="0.4">
      <c r="J784" s="189" t="str">
        <f t="shared" si="216"/>
        <v/>
      </c>
      <c r="K784" s="189" t="str">
        <f t="shared" si="217"/>
        <v/>
      </c>
      <c r="L784" s="189" t="str">
        <f t="shared" si="218"/>
        <v/>
      </c>
      <c r="M784" s="189" t="str">
        <f t="shared" si="219"/>
        <v/>
      </c>
      <c r="N784" s="76" t="str">
        <f t="shared" si="220"/>
        <v/>
      </c>
      <c r="O784" s="20">
        <f t="shared" si="221"/>
        <v>0</v>
      </c>
      <c r="P784" s="76">
        <f t="shared" si="222"/>
        <v>0</v>
      </c>
      <c r="Q784" s="206">
        <f t="shared" si="212"/>
        <v>0</v>
      </c>
      <c r="R784" s="206">
        <f t="shared" si="213"/>
        <v>0</v>
      </c>
      <c r="S784" s="206">
        <f t="shared" si="214"/>
        <v>0</v>
      </c>
      <c r="T784" s="206">
        <f t="shared" si="215"/>
        <v>0</v>
      </c>
      <c r="AA784" s="71" t="str">
        <f t="shared" si="207"/>
        <v/>
      </c>
      <c r="AB784" s="189">
        <f t="shared" si="208"/>
        <v>0</v>
      </c>
      <c r="AC784" s="189">
        <f t="shared" si="209"/>
        <v>0</v>
      </c>
      <c r="AD784" s="189">
        <f t="shared" si="210"/>
        <v>0</v>
      </c>
      <c r="AE784" s="189">
        <f t="shared" si="211"/>
        <v>0</v>
      </c>
    </row>
    <row r="785" spans="10:31" x14ac:dyDescent="0.4">
      <c r="J785" s="189" t="str">
        <f t="shared" si="216"/>
        <v/>
      </c>
      <c r="K785" s="189" t="str">
        <f t="shared" si="217"/>
        <v/>
      </c>
      <c r="L785" s="189" t="str">
        <f t="shared" si="218"/>
        <v/>
      </c>
      <c r="M785" s="189" t="str">
        <f t="shared" si="219"/>
        <v/>
      </c>
      <c r="N785" s="76" t="str">
        <f t="shared" si="220"/>
        <v/>
      </c>
      <c r="O785" s="20">
        <f t="shared" si="221"/>
        <v>0</v>
      </c>
      <c r="P785" s="76">
        <f t="shared" si="222"/>
        <v>0</v>
      </c>
      <c r="Q785" s="206">
        <f t="shared" si="212"/>
        <v>0</v>
      </c>
      <c r="R785" s="206">
        <f t="shared" si="213"/>
        <v>0</v>
      </c>
      <c r="S785" s="206">
        <f t="shared" si="214"/>
        <v>0</v>
      </c>
      <c r="T785" s="206">
        <f t="shared" si="215"/>
        <v>0</v>
      </c>
      <c r="AA785" s="71" t="str">
        <f t="shared" si="207"/>
        <v/>
      </c>
      <c r="AB785" s="189">
        <f t="shared" si="208"/>
        <v>0</v>
      </c>
      <c r="AC785" s="189">
        <f t="shared" si="209"/>
        <v>0</v>
      </c>
      <c r="AD785" s="189">
        <f t="shared" si="210"/>
        <v>0</v>
      </c>
      <c r="AE785" s="189">
        <f t="shared" si="211"/>
        <v>0</v>
      </c>
    </row>
    <row r="786" spans="10:31" x14ac:dyDescent="0.4">
      <c r="J786" s="189" t="str">
        <f t="shared" si="216"/>
        <v/>
      </c>
      <c r="K786" s="189" t="str">
        <f t="shared" si="217"/>
        <v/>
      </c>
      <c r="L786" s="189" t="str">
        <f t="shared" si="218"/>
        <v/>
      </c>
      <c r="M786" s="189" t="str">
        <f t="shared" si="219"/>
        <v/>
      </c>
      <c r="N786" s="76" t="str">
        <f t="shared" si="220"/>
        <v/>
      </c>
      <c r="O786" s="20">
        <f t="shared" si="221"/>
        <v>0</v>
      </c>
      <c r="P786" s="76">
        <f t="shared" si="222"/>
        <v>0</v>
      </c>
      <c r="Q786" s="206">
        <f t="shared" si="212"/>
        <v>0</v>
      </c>
      <c r="R786" s="206">
        <f t="shared" si="213"/>
        <v>0</v>
      </c>
      <c r="S786" s="206">
        <f t="shared" si="214"/>
        <v>0</v>
      </c>
      <c r="T786" s="206">
        <f t="shared" si="215"/>
        <v>0</v>
      </c>
      <c r="AA786" s="71" t="str">
        <f t="shared" si="207"/>
        <v/>
      </c>
      <c r="AB786" s="189">
        <f t="shared" si="208"/>
        <v>0</v>
      </c>
      <c r="AC786" s="189">
        <f t="shared" si="209"/>
        <v>0</v>
      </c>
      <c r="AD786" s="189">
        <f t="shared" si="210"/>
        <v>0</v>
      </c>
      <c r="AE786" s="189">
        <f t="shared" si="211"/>
        <v>0</v>
      </c>
    </row>
    <row r="787" spans="10:31" x14ac:dyDescent="0.4">
      <c r="J787" s="189" t="str">
        <f t="shared" si="216"/>
        <v/>
      </c>
      <c r="K787" s="189" t="str">
        <f t="shared" si="217"/>
        <v/>
      </c>
      <c r="L787" s="189" t="str">
        <f t="shared" si="218"/>
        <v/>
      </c>
      <c r="M787" s="189" t="str">
        <f t="shared" si="219"/>
        <v/>
      </c>
      <c r="N787" s="76" t="str">
        <f t="shared" si="220"/>
        <v/>
      </c>
      <c r="O787" s="20">
        <f t="shared" si="221"/>
        <v>0</v>
      </c>
      <c r="P787" s="76">
        <f t="shared" si="222"/>
        <v>0</v>
      </c>
      <c r="Q787" s="206">
        <f t="shared" si="212"/>
        <v>0</v>
      </c>
      <c r="R787" s="206">
        <f t="shared" si="213"/>
        <v>0</v>
      </c>
      <c r="S787" s="206">
        <f t="shared" si="214"/>
        <v>0</v>
      </c>
      <c r="T787" s="206">
        <f t="shared" si="215"/>
        <v>0</v>
      </c>
      <c r="AA787" s="71" t="str">
        <f t="shared" si="207"/>
        <v/>
      </c>
      <c r="AB787" s="189">
        <f t="shared" si="208"/>
        <v>0</v>
      </c>
      <c r="AC787" s="189">
        <f t="shared" si="209"/>
        <v>0</v>
      </c>
      <c r="AD787" s="189">
        <f t="shared" si="210"/>
        <v>0</v>
      </c>
      <c r="AE787" s="189">
        <f t="shared" si="211"/>
        <v>0</v>
      </c>
    </row>
    <row r="788" spans="10:31" x14ac:dyDescent="0.4">
      <c r="J788" s="189" t="str">
        <f t="shared" si="216"/>
        <v/>
      </c>
      <c r="K788" s="189" t="str">
        <f t="shared" si="217"/>
        <v/>
      </c>
      <c r="L788" s="189" t="str">
        <f t="shared" si="218"/>
        <v/>
      </c>
      <c r="M788" s="189" t="str">
        <f t="shared" si="219"/>
        <v/>
      </c>
      <c r="N788" s="76" t="str">
        <f t="shared" si="220"/>
        <v/>
      </c>
      <c r="O788" s="20">
        <f t="shared" si="221"/>
        <v>0</v>
      </c>
      <c r="P788" s="76">
        <f t="shared" si="222"/>
        <v>0</v>
      </c>
      <c r="Q788" s="206">
        <f t="shared" si="212"/>
        <v>0</v>
      </c>
      <c r="R788" s="206">
        <f t="shared" si="213"/>
        <v>0</v>
      </c>
      <c r="S788" s="206">
        <f t="shared" si="214"/>
        <v>0</v>
      </c>
      <c r="T788" s="206">
        <f t="shared" si="215"/>
        <v>0</v>
      </c>
      <c r="AA788" s="71" t="str">
        <f t="shared" si="207"/>
        <v/>
      </c>
      <c r="AB788" s="189">
        <f t="shared" si="208"/>
        <v>0</v>
      </c>
      <c r="AC788" s="189">
        <f t="shared" si="209"/>
        <v>0</v>
      </c>
      <c r="AD788" s="189">
        <f t="shared" si="210"/>
        <v>0</v>
      </c>
      <c r="AE788" s="189">
        <f t="shared" si="211"/>
        <v>0</v>
      </c>
    </row>
    <row r="789" spans="10:31" x14ac:dyDescent="0.4">
      <c r="J789" s="189" t="str">
        <f t="shared" si="216"/>
        <v/>
      </c>
      <c r="K789" s="189" t="str">
        <f t="shared" si="217"/>
        <v/>
      </c>
      <c r="L789" s="189" t="str">
        <f t="shared" si="218"/>
        <v/>
      </c>
      <c r="M789" s="189" t="str">
        <f t="shared" si="219"/>
        <v/>
      </c>
      <c r="N789" s="76" t="str">
        <f t="shared" si="220"/>
        <v/>
      </c>
      <c r="O789" s="20">
        <f t="shared" si="221"/>
        <v>0</v>
      </c>
      <c r="P789" s="76">
        <f t="shared" si="222"/>
        <v>0</v>
      </c>
      <c r="Q789" s="206">
        <f t="shared" si="212"/>
        <v>0</v>
      </c>
      <c r="R789" s="206">
        <f t="shared" si="213"/>
        <v>0</v>
      </c>
      <c r="S789" s="206">
        <f t="shared" si="214"/>
        <v>0</v>
      </c>
      <c r="T789" s="206">
        <f t="shared" si="215"/>
        <v>0</v>
      </c>
      <c r="AA789" s="71" t="str">
        <f t="shared" si="207"/>
        <v/>
      </c>
      <c r="AB789" s="189">
        <f t="shared" si="208"/>
        <v>0</v>
      </c>
      <c r="AC789" s="189">
        <f t="shared" si="209"/>
        <v>0</v>
      </c>
      <c r="AD789" s="189">
        <f t="shared" si="210"/>
        <v>0</v>
      </c>
      <c r="AE789" s="189">
        <f t="shared" si="211"/>
        <v>0</v>
      </c>
    </row>
    <row r="790" spans="10:31" x14ac:dyDescent="0.4">
      <c r="J790" s="189" t="str">
        <f t="shared" si="216"/>
        <v/>
      </c>
      <c r="K790" s="189" t="str">
        <f t="shared" si="217"/>
        <v/>
      </c>
      <c r="L790" s="189" t="str">
        <f t="shared" si="218"/>
        <v/>
      </c>
      <c r="M790" s="189" t="str">
        <f t="shared" si="219"/>
        <v/>
      </c>
      <c r="N790" s="76" t="str">
        <f t="shared" si="220"/>
        <v/>
      </c>
      <c r="O790" s="20">
        <f t="shared" si="221"/>
        <v>0</v>
      </c>
      <c r="P790" s="76">
        <f t="shared" si="222"/>
        <v>0</v>
      </c>
      <c r="Q790" s="206">
        <f t="shared" si="212"/>
        <v>0</v>
      </c>
      <c r="R790" s="206">
        <f t="shared" si="213"/>
        <v>0</v>
      </c>
      <c r="S790" s="206">
        <f t="shared" si="214"/>
        <v>0</v>
      </c>
      <c r="T790" s="206">
        <f t="shared" si="215"/>
        <v>0</v>
      </c>
      <c r="AA790" s="71" t="str">
        <f t="shared" si="207"/>
        <v/>
      </c>
      <c r="AB790" s="189">
        <f t="shared" si="208"/>
        <v>0</v>
      </c>
      <c r="AC790" s="189">
        <f t="shared" si="209"/>
        <v>0</v>
      </c>
      <c r="AD790" s="189">
        <f t="shared" si="210"/>
        <v>0</v>
      </c>
      <c r="AE790" s="189">
        <f t="shared" si="211"/>
        <v>0</v>
      </c>
    </row>
    <row r="791" spans="10:31" x14ac:dyDescent="0.4">
      <c r="J791" s="189" t="str">
        <f t="shared" si="216"/>
        <v/>
      </c>
      <c r="K791" s="189" t="str">
        <f t="shared" si="217"/>
        <v/>
      </c>
      <c r="L791" s="189" t="str">
        <f t="shared" si="218"/>
        <v/>
      </c>
      <c r="M791" s="189" t="str">
        <f t="shared" si="219"/>
        <v/>
      </c>
      <c r="N791" s="76" t="str">
        <f t="shared" si="220"/>
        <v/>
      </c>
      <c r="O791" s="20">
        <f t="shared" si="221"/>
        <v>0</v>
      </c>
      <c r="P791" s="76">
        <f t="shared" si="222"/>
        <v>0</v>
      </c>
      <c r="Q791" s="206">
        <f t="shared" si="212"/>
        <v>0</v>
      </c>
      <c r="R791" s="206">
        <f t="shared" si="213"/>
        <v>0</v>
      </c>
      <c r="S791" s="206">
        <f t="shared" si="214"/>
        <v>0</v>
      </c>
      <c r="T791" s="206">
        <f t="shared" si="215"/>
        <v>0</v>
      </c>
      <c r="AA791" s="71" t="str">
        <f t="shared" si="207"/>
        <v/>
      </c>
      <c r="AB791" s="189">
        <f t="shared" si="208"/>
        <v>0</v>
      </c>
      <c r="AC791" s="189">
        <f t="shared" si="209"/>
        <v>0</v>
      </c>
      <c r="AD791" s="189">
        <f t="shared" si="210"/>
        <v>0</v>
      </c>
      <c r="AE791" s="189">
        <f t="shared" si="211"/>
        <v>0</v>
      </c>
    </row>
    <row r="792" spans="10:31" x14ac:dyDescent="0.4">
      <c r="J792" s="189" t="str">
        <f t="shared" si="216"/>
        <v/>
      </c>
      <c r="K792" s="189" t="str">
        <f t="shared" si="217"/>
        <v/>
      </c>
      <c r="L792" s="189" t="str">
        <f t="shared" si="218"/>
        <v/>
      </c>
      <c r="M792" s="189" t="str">
        <f t="shared" si="219"/>
        <v/>
      </c>
      <c r="N792" s="76" t="str">
        <f t="shared" si="220"/>
        <v/>
      </c>
      <c r="O792" s="20">
        <f t="shared" si="221"/>
        <v>0</v>
      </c>
      <c r="P792" s="76">
        <f t="shared" si="222"/>
        <v>0</v>
      </c>
      <c r="Q792" s="206">
        <f t="shared" si="212"/>
        <v>0</v>
      </c>
      <c r="R792" s="206">
        <f t="shared" si="213"/>
        <v>0</v>
      </c>
      <c r="S792" s="206">
        <f t="shared" si="214"/>
        <v>0</v>
      </c>
      <c r="T792" s="206">
        <f t="shared" si="215"/>
        <v>0</v>
      </c>
      <c r="AA792" s="71" t="str">
        <f t="shared" si="207"/>
        <v/>
      </c>
      <c r="AB792" s="189">
        <f t="shared" si="208"/>
        <v>0</v>
      </c>
      <c r="AC792" s="189">
        <f t="shared" si="209"/>
        <v>0</v>
      </c>
      <c r="AD792" s="189">
        <f t="shared" si="210"/>
        <v>0</v>
      </c>
      <c r="AE792" s="189">
        <f t="shared" si="211"/>
        <v>0</v>
      </c>
    </row>
    <row r="793" spans="10:31" x14ac:dyDescent="0.4">
      <c r="J793" s="189" t="str">
        <f t="shared" si="216"/>
        <v/>
      </c>
      <c r="K793" s="189" t="str">
        <f t="shared" si="217"/>
        <v/>
      </c>
      <c r="L793" s="189" t="str">
        <f t="shared" si="218"/>
        <v/>
      </c>
      <c r="M793" s="189" t="str">
        <f t="shared" si="219"/>
        <v/>
      </c>
      <c r="N793" s="76" t="str">
        <f t="shared" si="220"/>
        <v/>
      </c>
      <c r="O793" s="20">
        <f t="shared" si="221"/>
        <v>0</v>
      </c>
      <c r="P793" s="76">
        <f t="shared" si="222"/>
        <v>0</v>
      </c>
      <c r="Q793" s="206">
        <f t="shared" si="212"/>
        <v>0</v>
      </c>
      <c r="R793" s="206">
        <f t="shared" si="213"/>
        <v>0</v>
      </c>
      <c r="S793" s="206">
        <f t="shared" si="214"/>
        <v>0</v>
      </c>
      <c r="T793" s="206">
        <f t="shared" si="215"/>
        <v>0</v>
      </c>
      <c r="AA793" s="71" t="str">
        <f t="shared" si="207"/>
        <v/>
      </c>
      <c r="AB793" s="189">
        <f t="shared" si="208"/>
        <v>0</v>
      </c>
      <c r="AC793" s="189">
        <f t="shared" si="209"/>
        <v>0</v>
      </c>
      <c r="AD793" s="189">
        <f t="shared" si="210"/>
        <v>0</v>
      </c>
      <c r="AE793" s="189">
        <f t="shared" si="211"/>
        <v>0</v>
      </c>
    </row>
    <row r="794" spans="10:31" x14ac:dyDescent="0.4">
      <c r="J794" s="189" t="str">
        <f t="shared" si="216"/>
        <v/>
      </c>
      <c r="K794" s="189" t="str">
        <f t="shared" si="217"/>
        <v/>
      </c>
      <c r="L794" s="189" t="str">
        <f t="shared" si="218"/>
        <v/>
      </c>
      <c r="M794" s="189" t="str">
        <f t="shared" si="219"/>
        <v/>
      </c>
      <c r="N794" s="76" t="str">
        <f t="shared" si="220"/>
        <v/>
      </c>
      <c r="O794" s="20">
        <f t="shared" si="221"/>
        <v>0</v>
      </c>
      <c r="P794" s="76">
        <f t="shared" si="222"/>
        <v>0</v>
      </c>
      <c r="Q794" s="206">
        <f t="shared" si="212"/>
        <v>0</v>
      </c>
      <c r="R794" s="206">
        <f t="shared" si="213"/>
        <v>0</v>
      </c>
      <c r="S794" s="206">
        <f t="shared" si="214"/>
        <v>0</v>
      </c>
      <c r="T794" s="206">
        <f t="shared" si="215"/>
        <v>0</v>
      </c>
      <c r="AA794" s="71" t="str">
        <f t="shared" si="207"/>
        <v/>
      </c>
      <c r="AB794" s="189">
        <f t="shared" si="208"/>
        <v>0</v>
      </c>
      <c r="AC794" s="189">
        <f t="shared" si="209"/>
        <v>0</v>
      </c>
      <c r="AD794" s="189">
        <f t="shared" si="210"/>
        <v>0</v>
      </c>
      <c r="AE794" s="189">
        <f t="shared" si="211"/>
        <v>0</v>
      </c>
    </row>
    <row r="795" spans="10:31" x14ac:dyDescent="0.4">
      <c r="J795" s="189" t="str">
        <f t="shared" si="216"/>
        <v/>
      </c>
      <c r="K795" s="189" t="str">
        <f t="shared" si="217"/>
        <v/>
      </c>
      <c r="L795" s="189" t="str">
        <f t="shared" si="218"/>
        <v/>
      </c>
      <c r="M795" s="189" t="str">
        <f t="shared" si="219"/>
        <v/>
      </c>
      <c r="N795" s="76" t="str">
        <f t="shared" si="220"/>
        <v/>
      </c>
      <c r="O795" s="20">
        <f t="shared" si="221"/>
        <v>0</v>
      </c>
      <c r="P795" s="76">
        <f t="shared" si="222"/>
        <v>0</v>
      </c>
      <c r="Q795" s="206">
        <f t="shared" si="212"/>
        <v>0</v>
      </c>
      <c r="R795" s="206">
        <f t="shared" si="213"/>
        <v>0</v>
      </c>
      <c r="S795" s="206">
        <f t="shared" si="214"/>
        <v>0</v>
      </c>
      <c r="T795" s="206">
        <f t="shared" si="215"/>
        <v>0</v>
      </c>
      <c r="AA795" s="71" t="str">
        <f t="shared" si="207"/>
        <v/>
      </c>
      <c r="AB795" s="189">
        <f t="shared" si="208"/>
        <v>0</v>
      </c>
      <c r="AC795" s="189">
        <f t="shared" si="209"/>
        <v>0</v>
      </c>
      <c r="AD795" s="189">
        <f t="shared" si="210"/>
        <v>0</v>
      </c>
      <c r="AE795" s="189">
        <f t="shared" si="211"/>
        <v>0</v>
      </c>
    </row>
    <row r="796" spans="10:31" x14ac:dyDescent="0.4">
      <c r="J796" s="189" t="str">
        <f t="shared" si="216"/>
        <v/>
      </c>
      <c r="K796" s="189" t="str">
        <f t="shared" si="217"/>
        <v/>
      </c>
      <c r="L796" s="189" t="str">
        <f t="shared" si="218"/>
        <v/>
      </c>
      <c r="M796" s="189" t="str">
        <f t="shared" si="219"/>
        <v/>
      </c>
      <c r="N796" s="76" t="str">
        <f t="shared" si="220"/>
        <v/>
      </c>
      <c r="O796" s="20">
        <f t="shared" si="221"/>
        <v>0</v>
      </c>
      <c r="P796" s="76">
        <f t="shared" si="222"/>
        <v>0</v>
      </c>
      <c r="Q796" s="206">
        <f t="shared" si="212"/>
        <v>0</v>
      </c>
      <c r="R796" s="206">
        <f t="shared" si="213"/>
        <v>0</v>
      </c>
      <c r="S796" s="206">
        <f t="shared" si="214"/>
        <v>0</v>
      </c>
      <c r="T796" s="206">
        <f t="shared" si="215"/>
        <v>0</v>
      </c>
      <c r="AA796" s="71" t="str">
        <f t="shared" ref="AA796:AA859" si="223">N796</f>
        <v/>
      </c>
      <c r="AB796" s="189">
        <f t="shared" ref="AB796:AB859" si="224">IFERROR(IF(FIND("Km",$B796),IF($B797="",IF(FIND("Pax",C797),VALUE((LEFT(C797,LEN(C797)-4))),))),0)</f>
        <v>0</v>
      </c>
      <c r="AC796" s="189">
        <f t="shared" ref="AC796:AC859" si="225">IFERROR(IF(FIND("Km",$B796),IF($B797="",IF(FIND("Pax",D797),VALUE((LEFT(D797,LEN(D797)-4))),))),0)</f>
        <v>0</v>
      </c>
      <c r="AD796" s="189">
        <f t="shared" ref="AD796:AD859" si="226">IFERROR(IF(FIND("Km",$B796),IF($B797="",IF(FIND("Pax",E797),VALUE((LEFT(E797,LEN(E797)-4))),))),0)</f>
        <v>0</v>
      </c>
      <c r="AE796" s="189">
        <f t="shared" ref="AE796:AE859" si="227">IFERROR(IF($J796&lt;&gt;"",VALUE(LEFT(F797,LEN(F797)-7)),0),1)</f>
        <v>0</v>
      </c>
    </row>
    <row r="797" spans="10:31" x14ac:dyDescent="0.4">
      <c r="J797" s="189" t="str">
        <f t="shared" si="216"/>
        <v/>
      </c>
      <c r="K797" s="189" t="str">
        <f t="shared" si="217"/>
        <v/>
      </c>
      <c r="L797" s="189" t="str">
        <f t="shared" si="218"/>
        <v/>
      </c>
      <c r="M797" s="189" t="str">
        <f t="shared" si="219"/>
        <v/>
      </c>
      <c r="N797" s="76" t="str">
        <f t="shared" si="220"/>
        <v/>
      </c>
      <c r="O797" s="20">
        <f t="shared" si="221"/>
        <v>0</v>
      </c>
      <c r="P797" s="76">
        <f t="shared" si="222"/>
        <v>0</v>
      </c>
      <c r="Q797" s="206">
        <f t="shared" si="212"/>
        <v>0</v>
      </c>
      <c r="R797" s="206">
        <f t="shared" si="213"/>
        <v>0</v>
      </c>
      <c r="S797" s="206">
        <f t="shared" si="214"/>
        <v>0</v>
      </c>
      <c r="T797" s="206">
        <f t="shared" si="215"/>
        <v>0</v>
      </c>
      <c r="AA797" s="71" t="str">
        <f t="shared" si="223"/>
        <v/>
      </c>
      <c r="AB797" s="189">
        <f t="shared" si="224"/>
        <v>0</v>
      </c>
      <c r="AC797" s="189">
        <f t="shared" si="225"/>
        <v>0</v>
      </c>
      <c r="AD797" s="189">
        <f t="shared" si="226"/>
        <v>0</v>
      </c>
      <c r="AE797" s="189">
        <f t="shared" si="227"/>
        <v>0</v>
      </c>
    </row>
    <row r="798" spans="10:31" x14ac:dyDescent="0.4">
      <c r="J798" s="189" t="str">
        <f t="shared" si="216"/>
        <v/>
      </c>
      <c r="K798" s="189" t="str">
        <f t="shared" si="217"/>
        <v/>
      </c>
      <c r="L798" s="189" t="str">
        <f t="shared" si="218"/>
        <v/>
      </c>
      <c r="M798" s="189" t="str">
        <f t="shared" si="219"/>
        <v/>
      </c>
      <c r="N798" s="76" t="str">
        <f t="shared" si="220"/>
        <v/>
      </c>
      <c r="O798" s="20">
        <f t="shared" si="221"/>
        <v>0</v>
      </c>
      <c r="P798" s="76">
        <f t="shared" si="222"/>
        <v>0</v>
      </c>
      <c r="Q798" s="206">
        <f t="shared" si="212"/>
        <v>0</v>
      </c>
      <c r="R798" s="206">
        <f t="shared" si="213"/>
        <v>0</v>
      </c>
      <c r="S798" s="206">
        <f t="shared" si="214"/>
        <v>0</v>
      </c>
      <c r="T798" s="206">
        <f t="shared" si="215"/>
        <v>0</v>
      </c>
      <c r="AA798" s="71" t="str">
        <f t="shared" si="223"/>
        <v/>
      </c>
      <c r="AB798" s="189">
        <f t="shared" si="224"/>
        <v>0</v>
      </c>
      <c r="AC798" s="189">
        <f t="shared" si="225"/>
        <v>0</v>
      </c>
      <c r="AD798" s="189">
        <f t="shared" si="226"/>
        <v>0</v>
      </c>
      <c r="AE798" s="189">
        <f t="shared" si="227"/>
        <v>0</v>
      </c>
    </row>
    <row r="799" spans="10:31" x14ac:dyDescent="0.4">
      <c r="J799" s="189" t="str">
        <f t="shared" si="216"/>
        <v/>
      </c>
      <c r="K799" s="189" t="str">
        <f t="shared" si="217"/>
        <v/>
      </c>
      <c r="L799" s="189" t="str">
        <f t="shared" si="218"/>
        <v/>
      </c>
      <c r="M799" s="189" t="str">
        <f t="shared" si="219"/>
        <v/>
      </c>
      <c r="N799" s="76" t="str">
        <f t="shared" si="220"/>
        <v/>
      </c>
      <c r="O799" s="20">
        <f t="shared" si="221"/>
        <v>0</v>
      </c>
      <c r="P799" s="76">
        <f t="shared" si="222"/>
        <v>0</v>
      </c>
      <c r="Q799" s="206">
        <f t="shared" si="212"/>
        <v>0</v>
      </c>
      <c r="R799" s="206">
        <f t="shared" si="213"/>
        <v>0</v>
      </c>
      <c r="S799" s="206">
        <f t="shared" si="214"/>
        <v>0</v>
      </c>
      <c r="T799" s="206">
        <f t="shared" si="215"/>
        <v>0</v>
      </c>
      <c r="AA799" s="71" t="str">
        <f t="shared" si="223"/>
        <v/>
      </c>
      <c r="AB799" s="189">
        <f t="shared" si="224"/>
        <v>0</v>
      </c>
      <c r="AC799" s="189">
        <f t="shared" si="225"/>
        <v>0</v>
      </c>
      <c r="AD799" s="189">
        <f t="shared" si="226"/>
        <v>0</v>
      </c>
      <c r="AE799" s="189">
        <f t="shared" si="227"/>
        <v>0</v>
      </c>
    </row>
    <row r="800" spans="10:31" x14ac:dyDescent="0.4">
      <c r="J800" s="189" t="str">
        <f t="shared" si="216"/>
        <v/>
      </c>
      <c r="K800" s="189" t="str">
        <f t="shared" si="217"/>
        <v/>
      </c>
      <c r="L800" s="189" t="str">
        <f t="shared" si="218"/>
        <v/>
      </c>
      <c r="M800" s="189" t="str">
        <f t="shared" si="219"/>
        <v/>
      </c>
      <c r="N800" s="76" t="str">
        <f t="shared" si="220"/>
        <v/>
      </c>
      <c r="O800" s="20">
        <f t="shared" si="221"/>
        <v>0</v>
      </c>
      <c r="P800" s="76">
        <f t="shared" si="222"/>
        <v>0</v>
      </c>
      <c r="Q800" s="206">
        <f t="shared" si="212"/>
        <v>0</v>
      </c>
      <c r="R800" s="206">
        <f t="shared" si="213"/>
        <v>0</v>
      </c>
      <c r="S800" s="206">
        <f t="shared" si="214"/>
        <v>0</v>
      </c>
      <c r="T800" s="206">
        <f t="shared" si="215"/>
        <v>0</v>
      </c>
      <c r="AA800" s="71" t="str">
        <f t="shared" si="223"/>
        <v/>
      </c>
      <c r="AB800" s="189">
        <f t="shared" si="224"/>
        <v>0</v>
      </c>
      <c r="AC800" s="189">
        <f t="shared" si="225"/>
        <v>0</v>
      </c>
      <c r="AD800" s="189">
        <f t="shared" si="226"/>
        <v>0</v>
      </c>
      <c r="AE800" s="189">
        <f t="shared" si="227"/>
        <v>0</v>
      </c>
    </row>
    <row r="801" spans="10:31" x14ac:dyDescent="0.4">
      <c r="J801" s="189" t="str">
        <f t="shared" si="216"/>
        <v/>
      </c>
      <c r="K801" s="189" t="str">
        <f t="shared" si="217"/>
        <v/>
      </c>
      <c r="L801" s="189" t="str">
        <f t="shared" si="218"/>
        <v/>
      </c>
      <c r="M801" s="189" t="str">
        <f t="shared" si="219"/>
        <v/>
      </c>
      <c r="N801" s="76" t="str">
        <f t="shared" si="220"/>
        <v/>
      </c>
      <c r="O801" s="20">
        <f t="shared" si="221"/>
        <v>0</v>
      </c>
      <c r="P801" s="76">
        <f t="shared" si="222"/>
        <v>0</v>
      </c>
      <c r="Q801" s="206">
        <f t="shared" si="212"/>
        <v>0</v>
      </c>
      <c r="R801" s="206">
        <f t="shared" si="213"/>
        <v>0</v>
      </c>
      <c r="S801" s="206">
        <f t="shared" si="214"/>
        <v>0</v>
      </c>
      <c r="T801" s="206">
        <f t="shared" si="215"/>
        <v>0</v>
      </c>
      <c r="AA801" s="71" t="str">
        <f t="shared" si="223"/>
        <v/>
      </c>
      <c r="AB801" s="189">
        <f t="shared" si="224"/>
        <v>0</v>
      </c>
      <c r="AC801" s="189">
        <f t="shared" si="225"/>
        <v>0</v>
      </c>
      <c r="AD801" s="189">
        <f t="shared" si="226"/>
        <v>0</v>
      </c>
      <c r="AE801" s="189">
        <f t="shared" si="227"/>
        <v>0</v>
      </c>
    </row>
    <row r="802" spans="10:31" x14ac:dyDescent="0.4">
      <c r="J802" s="189" t="str">
        <f t="shared" si="216"/>
        <v/>
      </c>
      <c r="K802" s="189" t="str">
        <f t="shared" si="217"/>
        <v/>
      </c>
      <c r="L802" s="189" t="str">
        <f t="shared" si="218"/>
        <v/>
      </c>
      <c r="M802" s="189" t="str">
        <f t="shared" si="219"/>
        <v/>
      </c>
      <c r="N802" s="76" t="str">
        <f t="shared" si="220"/>
        <v/>
      </c>
      <c r="O802" s="20">
        <f t="shared" si="221"/>
        <v>0</v>
      </c>
      <c r="P802" s="76">
        <f t="shared" si="222"/>
        <v>0</v>
      </c>
      <c r="Q802" s="206">
        <f t="shared" si="212"/>
        <v>0</v>
      </c>
      <c r="R802" s="206">
        <f t="shared" si="213"/>
        <v>0</v>
      </c>
      <c r="S802" s="206">
        <f t="shared" si="214"/>
        <v>0</v>
      </c>
      <c r="T802" s="206">
        <f t="shared" si="215"/>
        <v>0</v>
      </c>
      <c r="AA802" s="71" t="str">
        <f t="shared" si="223"/>
        <v/>
      </c>
      <c r="AB802" s="189">
        <f t="shared" si="224"/>
        <v>0</v>
      </c>
      <c r="AC802" s="189">
        <f t="shared" si="225"/>
        <v>0</v>
      </c>
      <c r="AD802" s="189">
        <f t="shared" si="226"/>
        <v>0</v>
      </c>
      <c r="AE802" s="189">
        <f t="shared" si="227"/>
        <v>0</v>
      </c>
    </row>
    <row r="803" spans="10:31" x14ac:dyDescent="0.4">
      <c r="J803" s="189" t="str">
        <f t="shared" si="216"/>
        <v/>
      </c>
      <c r="K803" s="189" t="str">
        <f t="shared" si="217"/>
        <v/>
      </c>
      <c r="L803" s="189" t="str">
        <f t="shared" si="218"/>
        <v/>
      </c>
      <c r="M803" s="189" t="str">
        <f t="shared" si="219"/>
        <v/>
      </c>
      <c r="N803" s="76" t="str">
        <f t="shared" si="220"/>
        <v/>
      </c>
      <c r="O803" s="20">
        <f t="shared" si="221"/>
        <v>0</v>
      </c>
      <c r="P803" s="76">
        <f t="shared" si="222"/>
        <v>0</v>
      </c>
      <c r="Q803" s="206">
        <f t="shared" si="212"/>
        <v>0</v>
      </c>
      <c r="R803" s="206">
        <f t="shared" si="213"/>
        <v>0</v>
      </c>
      <c r="S803" s="206">
        <f t="shared" si="214"/>
        <v>0</v>
      </c>
      <c r="T803" s="206">
        <f t="shared" si="215"/>
        <v>0</v>
      </c>
      <c r="AA803" s="71" t="str">
        <f t="shared" si="223"/>
        <v/>
      </c>
      <c r="AB803" s="189">
        <f t="shared" si="224"/>
        <v>0</v>
      </c>
      <c r="AC803" s="189">
        <f t="shared" si="225"/>
        <v>0</v>
      </c>
      <c r="AD803" s="189">
        <f t="shared" si="226"/>
        <v>0</v>
      </c>
      <c r="AE803" s="189">
        <f t="shared" si="227"/>
        <v>0</v>
      </c>
    </row>
    <row r="804" spans="10:31" x14ac:dyDescent="0.4">
      <c r="J804" s="189" t="str">
        <f t="shared" si="216"/>
        <v/>
      </c>
      <c r="K804" s="189" t="str">
        <f t="shared" si="217"/>
        <v/>
      </c>
      <c r="L804" s="189" t="str">
        <f t="shared" si="218"/>
        <v/>
      </c>
      <c r="M804" s="189" t="str">
        <f t="shared" si="219"/>
        <v/>
      </c>
      <c r="N804" s="76" t="str">
        <f t="shared" si="220"/>
        <v/>
      </c>
      <c r="O804" s="20">
        <f t="shared" si="221"/>
        <v>0</v>
      </c>
      <c r="P804" s="76">
        <f t="shared" si="222"/>
        <v>0</v>
      </c>
      <c r="Q804" s="206">
        <f t="shared" si="212"/>
        <v>0</v>
      </c>
      <c r="R804" s="206">
        <f t="shared" si="213"/>
        <v>0</v>
      </c>
      <c r="S804" s="206">
        <f t="shared" si="214"/>
        <v>0</v>
      </c>
      <c r="T804" s="206">
        <f t="shared" si="215"/>
        <v>0</v>
      </c>
      <c r="AA804" s="71" t="str">
        <f t="shared" si="223"/>
        <v/>
      </c>
      <c r="AB804" s="189">
        <f t="shared" si="224"/>
        <v>0</v>
      </c>
      <c r="AC804" s="189">
        <f t="shared" si="225"/>
        <v>0</v>
      </c>
      <c r="AD804" s="189">
        <f t="shared" si="226"/>
        <v>0</v>
      </c>
      <c r="AE804" s="189">
        <f t="shared" si="227"/>
        <v>0</v>
      </c>
    </row>
    <row r="805" spans="10:31" x14ac:dyDescent="0.4">
      <c r="J805" s="189" t="str">
        <f t="shared" si="216"/>
        <v/>
      </c>
      <c r="K805" s="189" t="str">
        <f t="shared" si="217"/>
        <v/>
      </c>
      <c r="L805" s="189" t="str">
        <f t="shared" si="218"/>
        <v/>
      </c>
      <c r="M805" s="189" t="str">
        <f t="shared" si="219"/>
        <v/>
      </c>
      <c r="N805" s="76" t="str">
        <f t="shared" si="220"/>
        <v/>
      </c>
      <c r="O805" s="20">
        <f t="shared" si="221"/>
        <v>0</v>
      </c>
      <c r="P805" s="76">
        <f t="shared" si="222"/>
        <v>0</v>
      </c>
      <c r="Q805" s="206">
        <f t="shared" si="212"/>
        <v>0</v>
      </c>
      <c r="R805" s="206">
        <f t="shared" si="213"/>
        <v>0</v>
      </c>
      <c r="S805" s="206">
        <f t="shared" si="214"/>
        <v>0</v>
      </c>
      <c r="T805" s="206">
        <f t="shared" si="215"/>
        <v>0</v>
      </c>
      <c r="AA805" s="71" t="str">
        <f t="shared" si="223"/>
        <v/>
      </c>
      <c r="AB805" s="189">
        <f t="shared" si="224"/>
        <v>0</v>
      </c>
      <c r="AC805" s="189">
        <f t="shared" si="225"/>
        <v>0</v>
      </c>
      <c r="AD805" s="189">
        <f t="shared" si="226"/>
        <v>0</v>
      </c>
      <c r="AE805" s="189">
        <f t="shared" si="227"/>
        <v>0</v>
      </c>
    </row>
    <row r="806" spans="10:31" x14ac:dyDescent="0.4">
      <c r="J806" s="189" t="str">
        <f t="shared" si="216"/>
        <v/>
      </c>
      <c r="K806" s="189" t="str">
        <f t="shared" si="217"/>
        <v/>
      </c>
      <c r="L806" s="189" t="str">
        <f t="shared" si="218"/>
        <v/>
      </c>
      <c r="M806" s="189" t="str">
        <f t="shared" si="219"/>
        <v/>
      </c>
      <c r="N806" s="76" t="str">
        <f t="shared" si="220"/>
        <v/>
      </c>
      <c r="O806" s="20">
        <f t="shared" si="221"/>
        <v>0</v>
      </c>
      <c r="P806" s="76">
        <f t="shared" si="222"/>
        <v>0</v>
      </c>
      <c r="Q806" s="206">
        <f t="shared" ref="Q806:Q869" si="228">IF(P806=0,0,VALUE(LEFT(C806,LEN(C806)-4)))</f>
        <v>0</v>
      </c>
      <c r="R806" s="206">
        <f t="shared" ref="R806:R869" si="229">IF(Q806=0,0,VALUE(LEFT(D806,LEN(D806)-4)))</f>
        <v>0</v>
      </c>
      <c r="S806" s="206">
        <f t="shared" ref="S806:S869" si="230">IF(R806=0,0,VALUE(LEFT(E806,LEN(E806)-4)))</f>
        <v>0</v>
      </c>
      <c r="T806" s="206">
        <f t="shared" ref="T806:T869" si="231">IF(S806=0,0,VALUE(LEFT(F806,LEN(F806)-7)))</f>
        <v>0</v>
      </c>
      <c r="AA806" s="71" t="str">
        <f t="shared" si="223"/>
        <v/>
      </c>
      <c r="AB806" s="189">
        <f t="shared" si="224"/>
        <v>0</v>
      </c>
      <c r="AC806" s="189">
        <f t="shared" si="225"/>
        <v>0</v>
      </c>
      <c r="AD806" s="189">
        <f t="shared" si="226"/>
        <v>0</v>
      </c>
      <c r="AE806" s="189">
        <f t="shared" si="227"/>
        <v>0</v>
      </c>
    </row>
    <row r="807" spans="10:31" x14ac:dyDescent="0.4">
      <c r="J807" s="189" t="str">
        <f t="shared" si="216"/>
        <v/>
      </c>
      <c r="K807" s="189" t="str">
        <f t="shared" si="217"/>
        <v/>
      </c>
      <c r="L807" s="189" t="str">
        <f t="shared" si="218"/>
        <v/>
      </c>
      <c r="M807" s="189" t="str">
        <f t="shared" si="219"/>
        <v/>
      </c>
      <c r="N807" s="76" t="str">
        <f t="shared" si="220"/>
        <v/>
      </c>
      <c r="O807" s="20">
        <f t="shared" si="221"/>
        <v>0</v>
      </c>
      <c r="P807" s="76">
        <f t="shared" si="222"/>
        <v>0</v>
      </c>
      <c r="Q807" s="206">
        <f t="shared" si="228"/>
        <v>0</v>
      </c>
      <c r="R807" s="206">
        <f t="shared" si="229"/>
        <v>0</v>
      </c>
      <c r="S807" s="206">
        <f t="shared" si="230"/>
        <v>0</v>
      </c>
      <c r="T807" s="206">
        <f t="shared" si="231"/>
        <v>0</v>
      </c>
      <c r="AA807" s="71" t="str">
        <f t="shared" si="223"/>
        <v/>
      </c>
      <c r="AB807" s="189">
        <f t="shared" si="224"/>
        <v>0</v>
      </c>
      <c r="AC807" s="189">
        <f t="shared" si="225"/>
        <v>0</v>
      </c>
      <c r="AD807" s="189">
        <f t="shared" si="226"/>
        <v>0</v>
      </c>
      <c r="AE807" s="189">
        <f t="shared" si="227"/>
        <v>0</v>
      </c>
    </row>
    <row r="808" spans="10:31" x14ac:dyDescent="0.4">
      <c r="J808" s="189" t="str">
        <f t="shared" si="216"/>
        <v/>
      </c>
      <c r="K808" s="189" t="str">
        <f t="shared" si="217"/>
        <v/>
      </c>
      <c r="L808" s="189" t="str">
        <f t="shared" si="218"/>
        <v/>
      </c>
      <c r="M808" s="189" t="str">
        <f t="shared" si="219"/>
        <v/>
      </c>
      <c r="N808" s="76" t="str">
        <f t="shared" si="220"/>
        <v/>
      </c>
      <c r="O808" s="20">
        <f t="shared" si="221"/>
        <v>0</v>
      </c>
      <c r="P808" s="76">
        <f t="shared" si="222"/>
        <v>0</v>
      </c>
      <c r="Q808" s="206">
        <f t="shared" si="228"/>
        <v>0</v>
      </c>
      <c r="R808" s="206">
        <f t="shared" si="229"/>
        <v>0</v>
      </c>
      <c r="S808" s="206">
        <f t="shared" si="230"/>
        <v>0</v>
      </c>
      <c r="T808" s="206">
        <f t="shared" si="231"/>
        <v>0</v>
      </c>
      <c r="AA808" s="71" t="str">
        <f t="shared" si="223"/>
        <v/>
      </c>
      <c r="AB808" s="189">
        <f t="shared" si="224"/>
        <v>0</v>
      </c>
      <c r="AC808" s="189">
        <f t="shared" si="225"/>
        <v>0</v>
      </c>
      <c r="AD808" s="189">
        <f t="shared" si="226"/>
        <v>0</v>
      </c>
      <c r="AE808" s="189">
        <f t="shared" si="227"/>
        <v>0</v>
      </c>
    </row>
    <row r="809" spans="10:31" x14ac:dyDescent="0.4">
      <c r="J809" s="189" t="str">
        <f t="shared" si="216"/>
        <v/>
      </c>
      <c r="K809" s="189" t="str">
        <f t="shared" si="217"/>
        <v/>
      </c>
      <c r="L809" s="189" t="str">
        <f t="shared" si="218"/>
        <v/>
      </c>
      <c r="M809" s="189" t="str">
        <f t="shared" si="219"/>
        <v/>
      </c>
      <c r="N809" s="76" t="str">
        <f t="shared" si="220"/>
        <v/>
      </c>
      <c r="O809" s="20">
        <f t="shared" si="221"/>
        <v>0</v>
      </c>
      <c r="P809" s="76">
        <f t="shared" si="222"/>
        <v>0</v>
      </c>
      <c r="Q809" s="206">
        <f t="shared" si="228"/>
        <v>0</v>
      </c>
      <c r="R809" s="206">
        <f t="shared" si="229"/>
        <v>0</v>
      </c>
      <c r="S809" s="206">
        <f t="shared" si="230"/>
        <v>0</v>
      </c>
      <c r="T809" s="206">
        <f t="shared" si="231"/>
        <v>0</v>
      </c>
      <c r="AA809" s="71" t="str">
        <f t="shared" si="223"/>
        <v/>
      </c>
      <c r="AB809" s="189">
        <f t="shared" si="224"/>
        <v>0</v>
      </c>
      <c r="AC809" s="189">
        <f t="shared" si="225"/>
        <v>0</v>
      </c>
      <c r="AD809" s="189">
        <f t="shared" si="226"/>
        <v>0</v>
      </c>
      <c r="AE809" s="189">
        <f t="shared" si="227"/>
        <v>0</v>
      </c>
    </row>
    <row r="810" spans="10:31" x14ac:dyDescent="0.4">
      <c r="J810" s="189" t="str">
        <f t="shared" si="216"/>
        <v/>
      </c>
      <c r="K810" s="189" t="str">
        <f t="shared" si="217"/>
        <v/>
      </c>
      <c r="L810" s="189" t="str">
        <f t="shared" si="218"/>
        <v/>
      </c>
      <c r="M810" s="189" t="str">
        <f t="shared" si="219"/>
        <v/>
      </c>
      <c r="N810" s="76" t="str">
        <f t="shared" si="220"/>
        <v/>
      </c>
      <c r="O810" s="20">
        <f t="shared" si="221"/>
        <v>0</v>
      </c>
      <c r="P810" s="76">
        <f t="shared" si="222"/>
        <v>0</v>
      </c>
      <c r="Q810" s="206">
        <f t="shared" si="228"/>
        <v>0</v>
      </c>
      <c r="R810" s="206">
        <f t="shared" si="229"/>
        <v>0</v>
      </c>
      <c r="S810" s="206">
        <f t="shared" si="230"/>
        <v>0</v>
      </c>
      <c r="T810" s="206">
        <f t="shared" si="231"/>
        <v>0</v>
      </c>
      <c r="AA810" s="71" t="str">
        <f t="shared" si="223"/>
        <v/>
      </c>
      <c r="AB810" s="189">
        <f t="shared" si="224"/>
        <v>0</v>
      </c>
      <c r="AC810" s="189">
        <f t="shared" si="225"/>
        <v>0</v>
      </c>
      <c r="AD810" s="189">
        <f t="shared" si="226"/>
        <v>0</v>
      </c>
      <c r="AE810" s="189">
        <f t="shared" si="227"/>
        <v>0</v>
      </c>
    </row>
    <row r="811" spans="10:31" x14ac:dyDescent="0.4">
      <c r="J811" s="189" t="str">
        <f t="shared" si="216"/>
        <v/>
      </c>
      <c r="K811" s="189" t="str">
        <f t="shared" si="217"/>
        <v/>
      </c>
      <c r="L811" s="189" t="str">
        <f t="shared" si="218"/>
        <v/>
      </c>
      <c r="M811" s="189" t="str">
        <f t="shared" si="219"/>
        <v/>
      </c>
      <c r="N811" s="76" t="str">
        <f t="shared" si="220"/>
        <v/>
      </c>
      <c r="O811" s="20">
        <f t="shared" si="221"/>
        <v>0</v>
      </c>
      <c r="P811" s="76">
        <f t="shared" si="222"/>
        <v>0</v>
      </c>
      <c r="Q811" s="206">
        <f t="shared" si="228"/>
        <v>0</v>
      </c>
      <c r="R811" s="206">
        <f t="shared" si="229"/>
        <v>0</v>
      </c>
      <c r="S811" s="206">
        <f t="shared" si="230"/>
        <v>0</v>
      </c>
      <c r="T811" s="206">
        <f t="shared" si="231"/>
        <v>0</v>
      </c>
      <c r="AA811" s="71" t="str">
        <f t="shared" si="223"/>
        <v/>
      </c>
      <c r="AB811" s="189">
        <f t="shared" si="224"/>
        <v>0</v>
      </c>
      <c r="AC811" s="189">
        <f t="shared" si="225"/>
        <v>0</v>
      </c>
      <c r="AD811" s="189">
        <f t="shared" si="226"/>
        <v>0</v>
      </c>
      <c r="AE811" s="189">
        <f t="shared" si="227"/>
        <v>0</v>
      </c>
    </row>
    <row r="812" spans="10:31" x14ac:dyDescent="0.4">
      <c r="J812" s="189" t="str">
        <f t="shared" si="216"/>
        <v/>
      </c>
      <c r="K812" s="189" t="str">
        <f t="shared" si="217"/>
        <v/>
      </c>
      <c r="L812" s="189" t="str">
        <f t="shared" si="218"/>
        <v/>
      </c>
      <c r="M812" s="189" t="str">
        <f t="shared" si="219"/>
        <v/>
      </c>
      <c r="N812" s="76" t="str">
        <f t="shared" si="220"/>
        <v/>
      </c>
      <c r="O812" s="20">
        <f t="shared" si="221"/>
        <v>0</v>
      </c>
      <c r="P812" s="76">
        <f t="shared" si="222"/>
        <v>0</v>
      </c>
      <c r="Q812" s="206">
        <f t="shared" si="228"/>
        <v>0</v>
      </c>
      <c r="R812" s="206">
        <f t="shared" si="229"/>
        <v>0</v>
      </c>
      <c r="S812" s="206">
        <f t="shared" si="230"/>
        <v>0</v>
      </c>
      <c r="T812" s="206">
        <f t="shared" si="231"/>
        <v>0</v>
      </c>
      <c r="AA812" s="71" t="str">
        <f t="shared" si="223"/>
        <v/>
      </c>
      <c r="AB812" s="189">
        <f t="shared" si="224"/>
        <v>0</v>
      </c>
      <c r="AC812" s="189">
        <f t="shared" si="225"/>
        <v>0</v>
      </c>
      <c r="AD812" s="189">
        <f t="shared" si="226"/>
        <v>0</v>
      </c>
      <c r="AE812" s="189">
        <f t="shared" si="227"/>
        <v>0</v>
      </c>
    </row>
    <row r="813" spans="10:31" x14ac:dyDescent="0.4">
      <c r="J813" s="189" t="str">
        <f t="shared" si="216"/>
        <v/>
      </c>
      <c r="K813" s="189" t="str">
        <f t="shared" si="217"/>
        <v/>
      </c>
      <c r="L813" s="189" t="str">
        <f t="shared" si="218"/>
        <v/>
      </c>
      <c r="M813" s="189" t="str">
        <f t="shared" si="219"/>
        <v/>
      </c>
      <c r="N813" s="76" t="str">
        <f t="shared" si="220"/>
        <v/>
      </c>
      <c r="O813" s="20">
        <f t="shared" si="221"/>
        <v>0</v>
      </c>
      <c r="P813" s="76">
        <f t="shared" si="222"/>
        <v>0</v>
      </c>
      <c r="Q813" s="206">
        <f t="shared" si="228"/>
        <v>0</v>
      </c>
      <c r="R813" s="206">
        <f t="shared" si="229"/>
        <v>0</v>
      </c>
      <c r="S813" s="206">
        <f t="shared" si="230"/>
        <v>0</v>
      </c>
      <c r="T813" s="206">
        <f t="shared" si="231"/>
        <v>0</v>
      </c>
      <c r="AA813" s="71" t="str">
        <f t="shared" si="223"/>
        <v/>
      </c>
      <c r="AB813" s="189">
        <f t="shared" si="224"/>
        <v>0</v>
      </c>
      <c r="AC813" s="189">
        <f t="shared" si="225"/>
        <v>0</v>
      </c>
      <c r="AD813" s="189">
        <f t="shared" si="226"/>
        <v>0</v>
      </c>
      <c r="AE813" s="189">
        <f t="shared" si="227"/>
        <v>0</v>
      </c>
    </row>
    <row r="814" spans="10:31" x14ac:dyDescent="0.4">
      <c r="J814" s="189" t="str">
        <f t="shared" si="216"/>
        <v/>
      </c>
      <c r="K814" s="189" t="str">
        <f t="shared" si="217"/>
        <v/>
      </c>
      <c r="L814" s="189" t="str">
        <f t="shared" si="218"/>
        <v/>
      </c>
      <c r="M814" s="189" t="str">
        <f t="shared" si="219"/>
        <v/>
      </c>
      <c r="N814" s="76" t="str">
        <f t="shared" si="220"/>
        <v/>
      </c>
      <c r="O814" s="20">
        <f t="shared" si="221"/>
        <v>0</v>
      </c>
      <c r="P814" s="76">
        <f t="shared" si="222"/>
        <v>0</v>
      </c>
      <c r="Q814" s="206">
        <f t="shared" si="228"/>
        <v>0</v>
      </c>
      <c r="R814" s="206">
        <f t="shared" si="229"/>
        <v>0</v>
      </c>
      <c r="S814" s="206">
        <f t="shared" si="230"/>
        <v>0</v>
      </c>
      <c r="T814" s="206">
        <f t="shared" si="231"/>
        <v>0</v>
      </c>
      <c r="AA814" s="71" t="str">
        <f t="shared" si="223"/>
        <v/>
      </c>
      <c r="AB814" s="189">
        <f t="shared" si="224"/>
        <v>0</v>
      </c>
      <c r="AC814" s="189">
        <f t="shared" si="225"/>
        <v>0</v>
      </c>
      <c r="AD814" s="189">
        <f t="shared" si="226"/>
        <v>0</v>
      </c>
      <c r="AE814" s="189">
        <f t="shared" si="227"/>
        <v>0</v>
      </c>
    </row>
    <row r="815" spans="10:31" x14ac:dyDescent="0.4">
      <c r="J815" s="189" t="str">
        <f t="shared" si="216"/>
        <v/>
      </c>
      <c r="K815" s="189" t="str">
        <f t="shared" si="217"/>
        <v/>
      </c>
      <c r="L815" s="189" t="str">
        <f t="shared" si="218"/>
        <v/>
      </c>
      <c r="M815" s="189" t="str">
        <f t="shared" si="219"/>
        <v/>
      </c>
      <c r="N815" s="76" t="str">
        <f t="shared" si="220"/>
        <v/>
      </c>
      <c r="O815" s="20">
        <f t="shared" si="221"/>
        <v>0</v>
      </c>
      <c r="P815" s="76">
        <f t="shared" si="222"/>
        <v>0</v>
      </c>
      <c r="Q815" s="206">
        <f t="shared" si="228"/>
        <v>0</v>
      </c>
      <c r="R815" s="206">
        <f t="shared" si="229"/>
        <v>0</v>
      </c>
      <c r="S815" s="206">
        <f t="shared" si="230"/>
        <v>0</v>
      </c>
      <c r="T815" s="206">
        <f t="shared" si="231"/>
        <v>0</v>
      </c>
      <c r="AA815" s="71" t="str">
        <f t="shared" si="223"/>
        <v/>
      </c>
      <c r="AB815" s="189">
        <f t="shared" si="224"/>
        <v>0</v>
      </c>
      <c r="AC815" s="189">
        <f t="shared" si="225"/>
        <v>0</v>
      </c>
      <c r="AD815" s="189">
        <f t="shared" si="226"/>
        <v>0</v>
      </c>
      <c r="AE815" s="189">
        <f t="shared" si="227"/>
        <v>0</v>
      </c>
    </row>
    <row r="816" spans="10:31" x14ac:dyDescent="0.4">
      <c r="J816" s="189" t="str">
        <f t="shared" si="216"/>
        <v/>
      </c>
      <c r="K816" s="189" t="str">
        <f t="shared" si="217"/>
        <v/>
      </c>
      <c r="L816" s="189" t="str">
        <f t="shared" si="218"/>
        <v/>
      </c>
      <c r="M816" s="189" t="str">
        <f t="shared" si="219"/>
        <v/>
      </c>
      <c r="N816" s="76" t="str">
        <f t="shared" si="220"/>
        <v/>
      </c>
      <c r="O816" s="20">
        <f t="shared" si="221"/>
        <v>0</v>
      </c>
      <c r="P816" s="76">
        <f t="shared" si="222"/>
        <v>0</v>
      </c>
      <c r="Q816" s="206">
        <f t="shared" si="228"/>
        <v>0</v>
      </c>
      <c r="R816" s="206">
        <f t="shared" si="229"/>
        <v>0</v>
      </c>
      <c r="S816" s="206">
        <f t="shared" si="230"/>
        <v>0</v>
      </c>
      <c r="T816" s="206">
        <f t="shared" si="231"/>
        <v>0</v>
      </c>
      <c r="AA816" s="71" t="str">
        <f t="shared" si="223"/>
        <v/>
      </c>
      <c r="AB816" s="189">
        <f t="shared" si="224"/>
        <v>0</v>
      </c>
      <c r="AC816" s="189">
        <f t="shared" si="225"/>
        <v>0</v>
      </c>
      <c r="AD816" s="189">
        <f t="shared" si="226"/>
        <v>0</v>
      </c>
      <c r="AE816" s="189">
        <f t="shared" si="227"/>
        <v>0</v>
      </c>
    </row>
    <row r="817" spans="10:31" x14ac:dyDescent="0.4">
      <c r="J817" s="189" t="str">
        <f t="shared" si="216"/>
        <v/>
      </c>
      <c r="K817" s="189" t="str">
        <f t="shared" si="217"/>
        <v/>
      </c>
      <c r="L817" s="189" t="str">
        <f t="shared" si="218"/>
        <v/>
      </c>
      <c r="M817" s="189" t="str">
        <f t="shared" si="219"/>
        <v/>
      </c>
      <c r="N817" s="76" t="str">
        <f t="shared" si="220"/>
        <v/>
      </c>
      <c r="O817" s="20">
        <f t="shared" si="221"/>
        <v>0</v>
      </c>
      <c r="P817" s="76">
        <f t="shared" si="222"/>
        <v>0</v>
      </c>
      <c r="Q817" s="206">
        <f t="shared" si="228"/>
        <v>0</v>
      </c>
      <c r="R817" s="206">
        <f t="shared" si="229"/>
        <v>0</v>
      </c>
      <c r="S817" s="206">
        <f t="shared" si="230"/>
        <v>0</v>
      </c>
      <c r="T817" s="206">
        <f t="shared" si="231"/>
        <v>0</v>
      </c>
      <c r="AA817" s="71" t="str">
        <f t="shared" si="223"/>
        <v/>
      </c>
      <c r="AB817" s="189">
        <f t="shared" si="224"/>
        <v>0</v>
      </c>
      <c r="AC817" s="189">
        <f t="shared" si="225"/>
        <v>0</v>
      </c>
      <c r="AD817" s="189">
        <f t="shared" si="226"/>
        <v>0</v>
      </c>
      <c r="AE817" s="189">
        <f t="shared" si="227"/>
        <v>0</v>
      </c>
    </row>
    <row r="818" spans="10:31" x14ac:dyDescent="0.4">
      <c r="J818" s="189" t="str">
        <f t="shared" si="216"/>
        <v/>
      </c>
      <c r="K818" s="189" t="str">
        <f t="shared" si="217"/>
        <v/>
      </c>
      <c r="L818" s="189" t="str">
        <f t="shared" si="218"/>
        <v/>
      </c>
      <c r="M818" s="189" t="str">
        <f t="shared" si="219"/>
        <v/>
      </c>
      <c r="N818" s="76" t="str">
        <f t="shared" si="220"/>
        <v/>
      </c>
      <c r="O818" s="20">
        <f t="shared" si="221"/>
        <v>0</v>
      </c>
      <c r="P818" s="76">
        <f t="shared" si="222"/>
        <v>0</v>
      </c>
      <c r="Q818" s="206">
        <f t="shared" si="228"/>
        <v>0</v>
      </c>
      <c r="R818" s="206">
        <f t="shared" si="229"/>
        <v>0</v>
      </c>
      <c r="S818" s="206">
        <f t="shared" si="230"/>
        <v>0</v>
      </c>
      <c r="T818" s="206">
        <f t="shared" si="231"/>
        <v>0</v>
      </c>
      <c r="AA818" s="71" t="str">
        <f t="shared" si="223"/>
        <v/>
      </c>
      <c r="AB818" s="189">
        <f t="shared" si="224"/>
        <v>0</v>
      </c>
      <c r="AC818" s="189">
        <f t="shared" si="225"/>
        <v>0</v>
      </c>
      <c r="AD818" s="189">
        <f t="shared" si="226"/>
        <v>0</v>
      </c>
      <c r="AE818" s="189">
        <f t="shared" si="227"/>
        <v>0</v>
      </c>
    </row>
    <row r="819" spans="10:31" x14ac:dyDescent="0.4">
      <c r="J819" s="189" t="str">
        <f t="shared" si="216"/>
        <v/>
      </c>
      <c r="K819" s="189" t="str">
        <f t="shared" si="217"/>
        <v/>
      </c>
      <c r="L819" s="189" t="str">
        <f t="shared" si="218"/>
        <v/>
      </c>
      <c r="M819" s="189" t="str">
        <f t="shared" si="219"/>
        <v/>
      </c>
      <c r="N819" s="76" t="str">
        <f t="shared" si="220"/>
        <v/>
      </c>
      <c r="O819" s="20">
        <f t="shared" si="221"/>
        <v>0</v>
      </c>
      <c r="P819" s="76">
        <f t="shared" si="222"/>
        <v>0</v>
      </c>
      <c r="Q819" s="206">
        <f t="shared" si="228"/>
        <v>0</v>
      </c>
      <c r="R819" s="206">
        <f t="shared" si="229"/>
        <v>0</v>
      </c>
      <c r="S819" s="206">
        <f t="shared" si="230"/>
        <v>0</v>
      </c>
      <c r="T819" s="206">
        <f t="shared" si="231"/>
        <v>0</v>
      </c>
      <c r="AA819" s="71" t="str">
        <f t="shared" si="223"/>
        <v/>
      </c>
      <c r="AB819" s="189">
        <f t="shared" si="224"/>
        <v>0</v>
      </c>
      <c r="AC819" s="189">
        <f t="shared" si="225"/>
        <v>0</v>
      </c>
      <c r="AD819" s="189">
        <f t="shared" si="226"/>
        <v>0</v>
      </c>
      <c r="AE819" s="189">
        <f t="shared" si="227"/>
        <v>0</v>
      </c>
    </row>
    <row r="820" spans="10:31" x14ac:dyDescent="0.4">
      <c r="J820" s="189" t="str">
        <f t="shared" ref="J820:J874" si="232">IF(G820="Détail des tarifs",LEN(A820),"")</f>
        <v/>
      </c>
      <c r="K820" s="189" t="str">
        <f t="shared" ref="K820:K874" si="233">IF(J820="","",LEFT(A820,3))</f>
        <v/>
      </c>
      <c r="L820" s="189" t="str">
        <f t="shared" ref="L820:L874" si="234">IF(K820&lt;&gt;"",MID(A820,7,3),"")</f>
        <v/>
      </c>
      <c r="M820" s="189" t="str">
        <f t="shared" ref="M820:M874" si="235">IF(K820&lt;&gt;"",RIGHT(A820,2),"")</f>
        <v/>
      </c>
      <c r="N820" s="76" t="str">
        <f t="shared" ref="N820:N874" si="236">IF(K820&lt;&gt;"",CONCATENATE(K820,"/",L820),"")</f>
        <v/>
      </c>
      <c r="O820" s="20">
        <f t="shared" ref="O820:O874" si="237">IF(J820&lt;&gt;"",LEFT(B820,LEN(B820)-3),0)</f>
        <v>0</v>
      </c>
      <c r="P820" s="76">
        <f t="shared" ref="P820:P874" si="238">IF(O820&lt;&gt;"",VALUE(O820),"")</f>
        <v>0</v>
      </c>
      <c r="Q820" s="206">
        <f t="shared" si="228"/>
        <v>0</v>
      </c>
      <c r="R820" s="206">
        <f t="shared" si="229"/>
        <v>0</v>
      </c>
      <c r="S820" s="206">
        <f t="shared" si="230"/>
        <v>0</v>
      </c>
      <c r="T820" s="206">
        <f t="shared" si="231"/>
        <v>0</v>
      </c>
      <c r="AA820" s="71" t="str">
        <f t="shared" si="223"/>
        <v/>
      </c>
      <c r="AB820" s="189">
        <f t="shared" si="224"/>
        <v>0</v>
      </c>
      <c r="AC820" s="189">
        <f t="shared" si="225"/>
        <v>0</v>
      </c>
      <c r="AD820" s="189">
        <f t="shared" si="226"/>
        <v>0</v>
      </c>
      <c r="AE820" s="189">
        <f t="shared" si="227"/>
        <v>0</v>
      </c>
    </row>
    <row r="821" spans="10:31" x14ac:dyDescent="0.4">
      <c r="J821" s="189" t="str">
        <f t="shared" si="232"/>
        <v/>
      </c>
      <c r="K821" s="189" t="str">
        <f t="shared" si="233"/>
        <v/>
      </c>
      <c r="L821" s="189" t="str">
        <f t="shared" si="234"/>
        <v/>
      </c>
      <c r="M821" s="189" t="str">
        <f t="shared" si="235"/>
        <v/>
      </c>
      <c r="N821" s="76" t="str">
        <f t="shared" si="236"/>
        <v/>
      </c>
      <c r="O821" s="20">
        <f t="shared" si="237"/>
        <v>0</v>
      </c>
      <c r="P821" s="76">
        <f t="shared" si="238"/>
        <v>0</v>
      </c>
      <c r="Q821" s="206">
        <f t="shared" si="228"/>
        <v>0</v>
      </c>
      <c r="R821" s="206">
        <f t="shared" si="229"/>
        <v>0</v>
      </c>
      <c r="S821" s="206">
        <f t="shared" si="230"/>
        <v>0</v>
      </c>
      <c r="T821" s="206">
        <f t="shared" si="231"/>
        <v>0</v>
      </c>
      <c r="AA821" s="71" t="str">
        <f t="shared" si="223"/>
        <v/>
      </c>
      <c r="AB821" s="189">
        <f t="shared" si="224"/>
        <v>0</v>
      </c>
      <c r="AC821" s="189">
        <f t="shared" si="225"/>
        <v>0</v>
      </c>
      <c r="AD821" s="189">
        <f t="shared" si="226"/>
        <v>0</v>
      </c>
      <c r="AE821" s="189">
        <f t="shared" si="227"/>
        <v>0</v>
      </c>
    </row>
    <row r="822" spans="10:31" x14ac:dyDescent="0.4">
      <c r="J822" s="189" t="str">
        <f t="shared" si="232"/>
        <v/>
      </c>
      <c r="K822" s="189" t="str">
        <f t="shared" si="233"/>
        <v/>
      </c>
      <c r="L822" s="189" t="str">
        <f t="shared" si="234"/>
        <v/>
      </c>
      <c r="M822" s="189" t="str">
        <f t="shared" si="235"/>
        <v/>
      </c>
      <c r="N822" s="76" t="str">
        <f t="shared" si="236"/>
        <v/>
      </c>
      <c r="O822" s="20">
        <f t="shared" si="237"/>
        <v>0</v>
      </c>
      <c r="P822" s="76">
        <f t="shared" si="238"/>
        <v>0</v>
      </c>
      <c r="Q822" s="206">
        <f t="shared" si="228"/>
        <v>0</v>
      </c>
      <c r="R822" s="206">
        <f t="shared" si="229"/>
        <v>0</v>
      </c>
      <c r="S822" s="206">
        <f t="shared" si="230"/>
        <v>0</v>
      </c>
      <c r="T822" s="206">
        <f t="shared" si="231"/>
        <v>0</v>
      </c>
      <c r="AA822" s="71" t="str">
        <f t="shared" si="223"/>
        <v/>
      </c>
      <c r="AB822" s="189">
        <f t="shared" si="224"/>
        <v>0</v>
      </c>
      <c r="AC822" s="189">
        <f t="shared" si="225"/>
        <v>0</v>
      </c>
      <c r="AD822" s="189">
        <f t="shared" si="226"/>
        <v>0</v>
      </c>
      <c r="AE822" s="189">
        <f t="shared" si="227"/>
        <v>0</v>
      </c>
    </row>
    <row r="823" spans="10:31" x14ac:dyDescent="0.4">
      <c r="J823" s="189" t="str">
        <f t="shared" si="232"/>
        <v/>
      </c>
      <c r="K823" s="189" t="str">
        <f t="shared" si="233"/>
        <v/>
      </c>
      <c r="L823" s="189" t="str">
        <f t="shared" si="234"/>
        <v/>
      </c>
      <c r="M823" s="189" t="str">
        <f t="shared" si="235"/>
        <v/>
      </c>
      <c r="N823" s="76" t="str">
        <f t="shared" si="236"/>
        <v/>
      </c>
      <c r="O823" s="20">
        <f t="shared" si="237"/>
        <v>0</v>
      </c>
      <c r="P823" s="76">
        <f t="shared" si="238"/>
        <v>0</v>
      </c>
      <c r="Q823" s="206">
        <f t="shared" si="228"/>
        <v>0</v>
      </c>
      <c r="R823" s="206">
        <f t="shared" si="229"/>
        <v>0</v>
      </c>
      <c r="S823" s="206">
        <f t="shared" si="230"/>
        <v>0</v>
      </c>
      <c r="T823" s="206">
        <f t="shared" si="231"/>
        <v>0</v>
      </c>
      <c r="AA823" s="71" t="str">
        <f t="shared" si="223"/>
        <v/>
      </c>
      <c r="AB823" s="189">
        <f t="shared" si="224"/>
        <v>0</v>
      </c>
      <c r="AC823" s="189">
        <f t="shared" si="225"/>
        <v>0</v>
      </c>
      <c r="AD823" s="189">
        <f t="shared" si="226"/>
        <v>0</v>
      </c>
      <c r="AE823" s="189">
        <f t="shared" si="227"/>
        <v>0</v>
      </c>
    </row>
    <row r="824" spans="10:31" x14ac:dyDescent="0.4">
      <c r="J824" s="189" t="str">
        <f t="shared" si="232"/>
        <v/>
      </c>
      <c r="K824" s="189" t="str">
        <f t="shared" si="233"/>
        <v/>
      </c>
      <c r="L824" s="189" t="str">
        <f t="shared" si="234"/>
        <v/>
      </c>
      <c r="M824" s="189" t="str">
        <f t="shared" si="235"/>
        <v/>
      </c>
      <c r="N824" s="76" t="str">
        <f t="shared" si="236"/>
        <v/>
      </c>
      <c r="O824" s="20">
        <f t="shared" si="237"/>
        <v>0</v>
      </c>
      <c r="P824" s="76">
        <f t="shared" si="238"/>
        <v>0</v>
      </c>
      <c r="Q824" s="206">
        <f t="shared" si="228"/>
        <v>0</v>
      </c>
      <c r="R824" s="206">
        <f t="shared" si="229"/>
        <v>0</v>
      </c>
      <c r="S824" s="206">
        <f t="shared" si="230"/>
        <v>0</v>
      </c>
      <c r="T824" s="206">
        <f t="shared" si="231"/>
        <v>0</v>
      </c>
      <c r="AA824" s="71" t="str">
        <f t="shared" si="223"/>
        <v/>
      </c>
      <c r="AB824" s="189">
        <f t="shared" si="224"/>
        <v>0</v>
      </c>
      <c r="AC824" s="189">
        <f t="shared" si="225"/>
        <v>0</v>
      </c>
      <c r="AD824" s="189">
        <f t="shared" si="226"/>
        <v>0</v>
      </c>
      <c r="AE824" s="189">
        <f t="shared" si="227"/>
        <v>0</v>
      </c>
    </row>
    <row r="825" spans="10:31" x14ac:dyDescent="0.4">
      <c r="J825" s="189" t="str">
        <f t="shared" si="232"/>
        <v/>
      </c>
      <c r="K825" s="189" t="str">
        <f t="shared" si="233"/>
        <v/>
      </c>
      <c r="L825" s="189" t="str">
        <f t="shared" si="234"/>
        <v/>
      </c>
      <c r="M825" s="189" t="str">
        <f t="shared" si="235"/>
        <v/>
      </c>
      <c r="N825" s="76" t="str">
        <f t="shared" si="236"/>
        <v/>
      </c>
      <c r="O825" s="20">
        <f t="shared" si="237"/>
        <v>0</v>
      </c>
      <c r="P825" s="76">
        <f t="shared" si="238"/>
        <v>0</v>
      </c>
      <c r="Q825" s="206">
        <f t="shared" si="228"/>
        <v>0</v>
      </c>
      <c r="R825" s="206">
        <f t="shared" si="229"/>
        <v>0</v>
      </c>
      <c r="S825" s="206">
        <f t="shared" si="230"/>
        <v>0</v>
      </c>
      <c r="T825" s="206">
        <f t="shared" si="231"/>
        <v>0</v>
      </c>
      <c r="AA825" s="71" t="str">
        <f t="shared" si="223"/>
        <v/>
      </c>
      <c r="AB825" s="189">
        <f t="shared" si="224"/>
        <v>0</v>
      </c>
      <c r="AC825" s="189">
        <f t="shared" si="225"/>
        <v>0</v>
      </c>
      <c r="AD825" s="189">
        <f t="shared" si="226"/>
        <v>0</v>
      </c>
      <c r="AE825" s="189">
        <f t="shared" si="227"/>
        <v>0</v>
      </c>
    </row>
    <row r="826" spans="10:31" x14ac:dyDescent="0.4">
      <c r="J826" s="189" t="str">
        <f t="shared" si="232"/>
        <v/>
      </c>
      <c r="K826" s="189" t="str">
        <f t="shared" si="233"/>
        <v/>
      </c>
      <c r="L826" s="189" t="str">
        <f t="shared" si="234"/>
        <v/>
      </c>
      <c r="M826" s="189" t="str">
        <f t="shared" si="235"/>
        <v/>
      </c>
      <c r="N826" s="76" t="str">
        <f t="shared" si="236"/>
        <v/>
      </c>
      <c r="O826" s="20">
        <f t="shared" si="237"/>
        <v>0</v>
      </c>
      <c r="P826" s="76">
        <f t="shared" si="238"/>
        <v>0</v>
      </c>
      <c r="Q826" s="206">
        <f t="shared" si="228"/>
        <v>0</v>
      </c>
      <c r="R826" s="206">
        <f t="shared" si="229"/>
        <v>0</v>
      </c>
      <c r="S826" s="206">
        <f t="shared" si="230"/>
        <v>0</v>
      </c>
      <c r="T826" s="206">
        <f t="shared" si="231"/>
        <v>0</v>
      </c>
      <c r="AA826" s="71" t="str">
        <f t="shared" si="223"/>
        <v/>
      </c>
      <c r="AB826" s="189">
        <f t="shared" si="224"/>
        <v>0</v>
      </c>
      <c r="AC826" s="189">
        <f t="shared" si="225"/>
        <v>0</v>
      </c>
      <c r="AD826" s="189">
        <f t="shared" si="226"/>
        <v>0</v>
      </c>
      <c r="AE826" s="189">
        <f t="shared" si="227"/>
        <v>0</v>
      </c>
    </row>
    <row r="827" spans="10:31" x14ac:dyDescent="0.4">
      <c r="J827" s="189" t="str">
        <f t="shared" si="232"/>
        <v/>
      </c>
      <c r="K827" s="189" t="str">
        <f t="shared" si="233"/>
        <v/>
      </c>
      <c r="L827" s="189" t="str">
        <f t="shared" si="234"/>
        <v/>
      </c>
      <c r="M827" s="189" t="str">
        <f t="shared" si="235"/>
        <v/>
      </c>
      <c r="N827" s="76" t="str">
        <f t="shared" si="236"/>
        <v/>
      </c>
      <c r="O827" s="20">
        <f t="shared" si="237"/>
        <v>0</v>
      </c>
      <c r="P827" s="76">
        <f t="shared" si="238"/>
        <v>0</v>
      </c>
      <c r="Q827" s="206">
        <f t="shared" si="228"/>
        <v>0</v>
      </c>
      <c r="R827" s="206">
        <f t="shared" si="229"/>
        <v>0</v>
      </c>
      <c r="S827" s="206">
        <f t="shared" si="230"/>
        <v>0</v>
      </c>
      <c r="T827" s="206">
        <f t="shared" si="231"/>
        <v>0</v>
      </c>
      <c r="AA827" s="71" t="str">
        <f t="shared" si="223"/>
        <v/>
      </c>
      <c r="AB827" s="189">
        <f t="shared" si="224"/>
        <v>0</v>
      </c>
      <c r="AC827" s="189">
        <f t="shared" si="225"/>
        <v>0</v>
      </c>
      <c r="AD827" s="189">
        <f t="shared" si="226"/>
        <v>0</v>
      </c>
      <c r="AE827" s="189">
        <f t="shared" si="227"/>
        <v>0</v>
      </c>
    </row>
    <row r="828" spans="10:31" x14ac:dyDescent="0.4">
      <c r="J828" s="189" t="str">
        <f t="shared" si="232"/>
        <v/>
      </c>
      <c r="K828" s="189" t="str">
        <f t="shared" si="233"/>
        <v/>
      </c>
      <c r="L828" s="189" t="str">
        <f t="shared" si="234"/>
        <v/>
      </c>
      <c r="M828" s="189" t="str">
        <f t="shared" si="235"/>
        <v/>
      </c>
      <c r="N828" s="76" t="str">
        <f t="shared" si="236"/>
        <v/>
      </c>
      <c r="O828" s="20">
        <f t="shared" si="237"/>
        <v>0</v>
      </c>
      <c r="P828" s="76">
        <f t="shared" si="238"/>
        <v>0</v>
      </c>
      <c r="Q828" s="206">
        <f t="shared" si="228"/>
        <v>0</v>
      </c>
      <c r="R828" s="206">
        <f t="shared" si="229"/>
        <v>0</v>
      </c>
      <c r="S828" s="206">
        <f t="shared" si="230"/>
        <v>0</v>
      </c>
      <c r="T828" s="206">
        <f t="shared" si="231"/>
        <v>0</v>
      </c>
      <c r="AA828" s="71" t="str">
        <f t="shared" si="223"/>
        <v/>
      </c>
      <c r="AB828" s="189">
        <f t="shared" si="224"/>
        <v>0</v>
      </c>
      <c r="AC828" s="189">
        <f t="shared" si="225"/>
        <v>0</v>
      </c>
      <c r="AD828" s="189">
        <f t="shared" si="226"/>
        <v>0</v>
      </c>
      <c r="AE828" s="189">
        <f t="shared" si="227"/>
        <v>0</v>
      </c>
    </row>
    <row r="829" spans="10:31" x14ac:dyDescent="0.4">
      <c r="J829" s="189" t="str">
        <f t="shared" si="232"/>
        <v/>
      </c>
      <c r="K829" s="189" t="str">
        <f t="shared" si="233"/>
        <v/>
      </c>
      <c r="L829" s="189" t="str">
        <f t="shared" si="234"/>
        <v/>
      </c>
      <c r="M829" s="189" t="str">
        <f t="shared" si="235"/>
        <v/>
      </c>
      <c r="N829" s="76" t="str">
        <f t="shared" si="236"/>
        <v/>
      </c>
      <c r="O829" s="20">
        <f t="shared" si="237"/>
        <v>0</v>
      </c>
      <c r="P829" s="76">
        <f t="shared" si="238"/>
        <v>0</v>
      </c>
      <c r="Q829" s="206">
        <f t="shared" si="228"/>
        <v>0</v>
      </c>
      <c r="R829" s="206">
        <f t="shared" si="229"/>
        <v>0</v>
      </c>
      <c r="S829" s="206">
        <f t="shared" si="230"/>
        <v>0</v>
      </c>
      <c r="T829" s="206">
        <f t="shared" si="231"/>
        <v>0</v>
      </c>
      <c r="AA829" s="71" t="str">
        <f t="shared" si="223"/>
        <v/>
      </c>
      <c r="AB829" s="189">
        <f t="shared" si="224"/>
        <v>0</v>
      </c>
      <c r="AC829" s="189">
        <f t="shared" si="225"/>
        <v>0</v>
      </c>
      <c r="AD829" s="189">
        <f t="shared" si="226"/>
        <v>0</v>
      </c>
      <c r="AE829" s="189">
        <f t="shared" si="227"/>
        <v>0</v>
      </c>
    </row>
    <row r="830" spans="10:31" x14ac:dyDescent="0.4">
      <c r="J830" s="189" t="str">
        <f t="shared" si="232"/>
        <v/>
      </c>
      <c r="K830" s="189" t="str">
        <f t="shared" si="233"/>
        <v/>
      </c>
      <c r="L830" s="189" t="str">
        <f t="shared" si="234"/>
        <v/>
      </c>
      <c r="M830" s="189" t="str">
        <f t="shared" si="235"/>
        <v/>
      </c>
      <c r="N830" s="76" t="str">
        <f t="shared" si="236"/>
        <v/>
      </c>
      <c r="O830" s="20">
        <f t="shared" si="237"/>
        <v>0</v>
      </c>
      <c r="P830" s="76">
        <f t="shared" si="238"/>
        <v>0</v>
      </c>
      <c r="Q830" s="206">
        <f t="shared" si="228"/>
        <v>0</v>
      </c>
      <c r="R830" s="206">
        <f t="shared" si="229"/>
        <v>0</v>
      </c>
      <c r="S830" s="206">
        <f t="shared" si="230"/>
        <v>0</v>
      </c>
      <c r="T830" s="206">
        <f t="shared" si="231"/>
        <v>0</v>
      </c>
      <c r="AA830" s="71" t="str">
        <f t="shared" si="223"/>
        <v/>
      </c>
      <c r="AB830" s="189">
        <f t="shared" si="224"/>
        <v>0</v>
      </c>
      <c r="AC830" s="189">
        <f t="shared" si="225"/>
        <v>0</v>
      </c>
      <c r="AD830" s="189">
        <f t="shared" si="226"/>
        <v>0</v>
      </c>
      <c r="AE830" s="189">
        <f t="shared" si="227"/>
        <v>0</v>
      </c>
    </row>
    <row r="831" spans="10:31" x14ac:dyDescent="0.4">
      <c r="J831" s="189" t="str">
        <f t="shared" si="232"/>
        <v/>
      </c>
      <c r="K831" s="189" t="str">
        <f t="shared" si="233"/>
        <v/>
      </c>
      <c r="L831" s="189" t="str">
        <f t="shared" si="234"/>
        <v/>
      </c>
      <c r="M831" s="189" t="str">
        <f t="shared" si="235"/>
        <v/>
      </c>
      <c r="N831" s="76" t="str">
        <f t="shared" si="236"/>
        <v/>
      </c>
      <c r="O831" s="20">
        <f t="shared" si="237"/>
        <v>0</v>
      </c>
      <c r="P831" s="76">
        <f t="shared" si="238"/>
        <v>0</v>
      </c>
      <c r="Q831" s="206">
        <f t="shared" si="228"/>
        <v>0</v>
      </c>
      <c r="R831" s="206">
        <f t="shared" si="229"/>
        <v>0</v>
      </c>
      <c r="S831" s="206">
        <f t="shared" si="230"/>
        <v>0</v>
      </c>
      <c r="T831" s="206">
        <f t="shared" si="231"/>
        <v>0</v>
      </c>
      <c r="AA831" s="71" t="str">
        <f t="shared" si="223"/>
        <v/>
      </c>
      <c r="AB831" s="189">
        <f t="shared" si="224"/>
        <v>0</v>
      </c>
      <c r="AC831" s="189">
        <f t="shared" si="225"/>
        <v>0</v>
      </c>
      <c r="AD831" s="189">
        <f t="shared" si="226"/>
        <v>0</v>
      </c>
      <c r="AE831" s="189">
        <f t="shared" si="227"/>
        <v>0</v>
      </c>
    </row>
    <row r="832" spans="10:31" x14ac:dyDescent="0.4">
      <c r="J832" s="189" t="str">
        <f t="shared" si="232"/>
        <v/>
      </c>
      <c r="K832" s="189" t="str">
        <f t="shared" si="233"/>
        <v/>
      </c>
      <c r="L832" s="189" t="str">
        <f t="shared" si="234"/>
        <v/>
      </c>
      <c r="M832" s="189" t="str">
        <f t="shared" si="235"/>
        <v/>
      </c>
      <c r="N832" s="76" t="str">
        <f t="shared" si="236"/>
        <v/>
      </c>
      <c r="O832" s="20">
        <f t="shared" si="237"/>
        <v>0</v>
      </c>
      <c r="P832" s="76">
        <f t="shared" si="238"/>
        <v>0</v>
      </c>
      <c r="Q832" s="206">
        <f t="shared" si="228"/>
        <v>0</v>
      </c>
      <c r="R832" s="206">
        <f t="shared" si="229"/>
        <v>0</v>
      </c>
      <c r="S832" s="206">
        <f t="shared" si="230"/>
        <v>0</v>
      </c>
      <c r="T832" s="206">
        <f t="shared" si="231"/>
        <v>0</v>
      </c>
      <c r="AA832" s="71" t="str">
        <f t="shared" si="223"/>
        <v/>
      </c>
      <c r="AB832" s="189">
        <f t="shared" si="224"/>
        <v>0</v>
      </c>
      <c r="AC832" s="189">
        <f t="shared" si="225"/>
        <v>0</v>
      </c>
      <c r="AD832" s="189">
        <f t="shared" si="226"/>
        <v>0</v>
      </c>
      <c r="AE832" s="189">
        <f t="shared" si="227"/>
        <v>0</v>
      </c>
    </row>
    <row r="833" spans="10:31" x14ac:dyDescent="0.4">
      <c r="J833" s="189" t="str">
        <f t="shared" si="232"/>
        <v/>
      </c>
      <c r="K833" s="189" t="str">
        <f t="shared" si="233"/>
        <v/>
      </c>
      <c r="L833" s="189" t="str">
        <f t="shared" si="234"/>
        <v/>
      </c>
      <c r="M833" s="189" t="str">
        <f t="shared" si="235"/>
        <v/>
      </c>
      <c r="N833" s="76" t="str">
        <f t="shared" si="236"/>
        <v/>
      </c>
      <c r="O833" s="20">
        <f t="shared" si="237"/>
        <v>0</v>
      </c>
      <c r="P833" s="76">
        <f t="shared" si="238"/>
        <v>0</v>
      </c>
      <c r="Q833" s="206">
        <f t="shared" si="228"/>
        <v>0</v>
      </c>
      <c r="R833" s="206">
        <f t="shared" si="229"/>
        <v>0</v>
      </c>
      <c r="S833" s="206">
        <f t="shared" si="230"/>
        <v>0</v>
      </c>
      <c r="T833" s="206">
        <f t="shared" si="231"/>
        <v>0</v>
      </c>
      <c r="AA833" s="71" t="str">
        <f t="shared" si="223"/>
        <v/>
      </c>
      <c r="AB833" s="189">
        <f t="shared" si="224"/>
        <v>0</v>
      </c>
      <c r="AC833" s="189">
        <f t="shared" si="225"/>
        <v>0</v>
      </c>
      <c r="AD833" s="189">
        <f t="shared" si="226"/>
        <v>0</v>
      </c>
      <c r="AE833" s="189">
        <f t="shared" si="227"/>
        <v>0</v>
      </c>
    </row>
    <row r="834" spans="10:31" x14ac:dyDescent="0.4">
      <c r="J834" s="189" t="str">
        <f t="shared" si="232"/>
        <v/>
      </c>
      <c r="K834" s="189" t="str">
        <f t="shared" si="233"/>
        <v/>
      </c>
      <c r="L834" s="189" t="str">
        <f t="shared" si="234"/>
        <v/>
      </c>
      <c r="M834" s="189" t="str">
        <f t="shared" si="235"/>
        <v/>
      </c>
      <c r="N834" s="76" t="str">
        <f t="shared" si="236"/>
        <v/>
      </c>
      <c r="O834" s="20">
        <f t="shared" si="237"/>
        <v>0</v>
      </c>
      <c r="P834" s="76">
        <f t="shared" si="238"/>
        <v>0</v>
      </c>
      <c r="Q834" s="206">
        <f t="shared" si="228"/>
        <v>0</v>
      </c>
      <c r="R834" s="206">
        <f t="shared" si="229"/>
        <v>0</v>
      </c>
      <c r="S834" s="206">
        <f t="shared" si="230"/>
        <v>0</v>
      </c>
      <c r="T834" s="206">
        <f t="shared" si="231"/>
        <v>0</v>
      </c>
      <c r="AA834" s="71" t="str">
        <f t="shared" si="223"/>
        <v/>
      </c>
      <c r="AB834" s="189">
        <f t="shared" si="224"/>
        <v>0</v>
      </c>
      <c r="AC834" s="189">
        <f t="shared" si="225"/>
        <v>0</v>
      </c>
      <c r="AD834" s="189">
        <f t="shared" si="226"/>
        <v>0</v>
      </c>
      <c r="AE834" s="189">
        <f t="shared" si="227"/>
        <v>0</v>
      </c>
    </row>
    <row r="835" spans="10:31" x14ac:dyDescent="0.4">
      <c r="J835" s="189" t="str">
        <f t="shared" si="232"/>
        <v/>
      </c>
      <c r="K835" s="189" t="str">
        <f t="shared" si="233"/>
        <v/>
      </c>
      <c r="L835" s="189" t="str">
        <f t="shared" si="234"/>
        <v/>
      </c>
      <c r="M835" s="189" t="str">
        <f t="shared" si="235"/>
        <v/>
      </c>
      <c r="N835" s="76" t="str">
        <f t="shared" si="236"/>
        <v/>
      </c>
      <c r="O835" s="20">
        <f t="shared" si="237"/>
        <v>0</v>
      </c>
      <c r="P835" s="76">
        <f t="shared" si="238"/>
        <v>0</v>
      </c>
      <c r="Q835" s="206">
        <f t="shared" si="228"/>
        <v>0</v>
      </c>
      <c r="R835" s="206">
        <f t="shared" si="229"/>
        <v>0</v>
      </c>
      <c r="S835" s="206">
        <f t="shared" si="230"/>
        <v>0</v>
      </c>
      <c r="T835" s="206">
        <f t="shared" si="231"/>
        <v>0</v>
      </c>
      <c r="AA835" s="71" t="str">
        <f t="shared" si="223"/>
        <v/>
      </c>
      <c r="AB835" s="189">
        <f t="shared" si="224"/>
        <v>0</v>
      </c>
      <c r="AC835" s="189">
        <f t="shared" si="225"/>
        <v>0</v>
      </c>
      <c r="AD835" s="189">
        <f t="shared" si="226"/>
        <v>0</v>
      </c>
      <c r="AE835" s="189">
        <f t="shared" si="227"/>
        <v>0</v>
      </c>
    </row>
    <row r="836" spans="10:31" x14ac:dyDescent="0.4">
      <c r="J836" s="189" t="str">
        <f t="shared" si="232"/>
        <v/>
      </c>
      <c r="K836" s="189" t="str">
        <f t="shared" si="233"/>
        <v/>
      </c>
      <c r="L836" s="189" t="str">
        <f t="shared" si="234"/>
        <v/>
      </c>
      <c r="M836" s="189" t="str">
        <f t="shared" si="235"/>
        <v/>
      </c>
      <c r="N836" s="76" t="str">
        <f t="shared" si="236"/>
        <v/>
      </c>
      <c r="O836" s="20">
        <f t="shared" si="237"/>
        <v>0</v>
      </c>
      <c r="P836" s="76">
        <f t="shared" si="238"/>
        <v>0</v>
      </c>
      <c r="Q836" s="206">
        <f t="shared" si="228"/>
        <v>0</v>
      </c>
      <c r="R836" s="206">
        <f t="shared" si="229"/>
        <v>0</v>
      </c>
      <c r="S836" s="206">
        <f t="shared" si="230"/>
        <v>0</v>
      </c>
      <c r="T836" s="206">
        <f t="shared" si="231"/>
        <v>0</v>
      </c>
      <c r="AA836" s="71" t="str">
        <f t="shared" si="223"/>
        <v/>
      </c>
      <c r="AB836" s="189">
        <f t="shared" si="224"/>
        <v>0</v>
      </c>
      <c r="AC836" s="189">
        <f t="shared" si="225"/>
        <v>0</v>
      </c>
      <c r="AD836" s="189">
        <f t="shared" si="226"/>
        <v>0</v>
      </c>
      <c r="AE836" s="189">
        <f t="shared" si="227"/>
        <v>0</v>
      </c>
    </row>
    <row r="837" spans="10:31" x14ac:dyDescent="0.4">
      <c r="J837" s="189" t="str">
        <f t="shared" si="232"/>
        <v/>
      </c>
      <c r="K837" s="189" t="str">
        <f t="shared" si="233"/>
        <v/>
      </c>
      <c r="L837" s="189" t="str">
        <f t="shared" si="234"/>
        <v/>
      </c>
      <c r="M837" s="189" t="str">
        <f t="shared" si="235"/>
        <v/>
      </c>
      <c r="N837" s="76" t="str">
        <f t="shared" si="236"/>
        <v/>
      </c>
      <c r="O837" s="20">
        <f t="shared" si="237"/>
        <v>0</v>
      </c>
      <c r="P837" s="76">
        <f t="shared" si="238"/>
        <v>0</v>
      </c>
      <c r="Q837" s="206">
        <f t="shared" si="228"/>
        <v>0</v>
      </c>
      <c r="R837" s="206">
        <f t="shared" si="229"/>
        <v>0</v>
      </c>
      <c r="S837" s="206">
        <f t="shared" si="230"/>
        <v>0</v>
      </c>
      <c r="T837" s="206">
        <f t="shared" si="231"/>
        <v>0</v>
      </c>
      <c r="AA837" s="71" t="str">
        <f t="shared" si="223"/>
        <v/>
      </c>
      <c r="AB837" s="189">
        <f t="shared" si="224"/>
        <v>0</v>
      </c>
      <c r="AC837" s="189">
        <f t="shared" si="225"/>
        <v>0</v>
      </c>
      <c r="AD837" s="189">
        <f t="shared" si="226"/>
        <v>0</v>
      </c>
      <c r="AE837" s="189">
        <f t="shared" si="227"/>
        <v>0</v>
      </c>
    </row>
    <row r="838" spans="10:31" x14ac:dyDescent="0.4">
      <c r="J838" s="189" t="str">
        <f t="shared" si="232"/>
        <v/>
      </c>
      <c r="K838" s="189" t="str">
        <f t="shared" si="233"/>
        <v/>
      </c>
      <c r="L838" s="189" t="str">
        <f t="shared" si="234"/>
        <v/>
      </c>
      <c r="M838" s="189" t="str">
        <f t="shared" si="235"/>
        <v/>
      </c>
      <c r="N838" s="76" t="str">
        <f t="shared" si="236"/>
        <v/>
      </c>
      <c r="O838" s="20">
        <f t="shared" si="237"/>
        <v>0</v>
      </c>
      <c r="P838" s="76">
        <f t="shared" si="238"/>
        <v>0</v>
      </c>
      <c r="Q838" s="206">
        <f t="shared" si="228"/>
        <v>0</v>
      </c>
      <c r="R838" s="206">
        <f t="shared" si="229"/>
        <v>0</v>
      </c>
      <c r="S838" s="206">
        <f t="shared" si="230"/>
        <v>0</v>
      </c>
      <c r="T838" s="206">
        <f t="shared" si="231"/>
        <v>0</v>
      </c>
      <c r="AA838" s="71" t="str">
        <f t="shared" si="223"/>
        <v/>
      </c>
      <c r="AB838" s="189">
        <f t="shared" si="224"/>
        <v>0</v>
      </c>
      <c r="AC838" s="189">
        <f t="shared" si="225"/>
        <v>0</v>
      </c>
      <c r="AD838" s="189">
        <f t="shared" si="226"/>
        <v>0</v>
      </c>
      <c r="AE838" s="189">
        <f t="shared" si="227"/>
        <v>0</v>
      </c>
    </row>
    <row r="839" spans="10:31" x14ac:dyDescent="0.4">
      <c r="J839" s="189" t="str">
        <f t="shared" si="232"/>
        <v/>
      </c>
      <c r="K839" s="189" t="str">
        <f t="shared" si="233"/>
        <v/>
      </c>
      <c r="L839" s="189" t="str">
        <f t="shared" si="234"/>
        <v/>
      </c>
      <c r="M839" s="189" t="str">
        <f t="shared" si="235"/>
        <v/>
      </c>
      <c r="N839" s="76" t="str">
        <f t="shared" si="236"/>
        <v/>
      </c>
      <c r="O839" s="20">
        <f t="shared" si="237"/>
        <v>0</v>
      </c>
      <c r="P839" s="76">
        <f t="shared" si="238"/>
        <v>0</v>
      </c>
      <c r="Q839" s="206">
        <f t="shared" si="228"/>
        <v>0</v>
      </c>
      <c r="R839" s="206">
        <f t="shared" si="229"/>
        <v>0</v>
      </c>
      <c r="S839" s="206">
        <f t="shared" si="230"/>
        <v>0</v>
      </c>
      <c r="T839" s="206">
        <f t="shared" si="231"/>
        <v>0</v>
      </c>
      <c r="AA839" s="71" t="str">
        <f t="shared" si="223"/>
        <v/>
      </c>
      <c r="AB839" s="189">
        <f t="shared" si="224"/>
        <v>0</v>
      </c>
      <c r="AC839" s="189">
        <f t="shared" si="225"/>
        <v>0</v>
      </c>
      <c r="AD839" s="189">
        <f t="shared" si="226"/>
        <v>0</v>
      </c>
      <c r="AE839" s="189">
        <f t="shared" si="227"/>
        <v>0</v>
      </c>
    </row>
    <row r="840" spans="10:31" x14ac:dyDescent="0.4">
      <c r="J840" s="189" t="str">
        <f t="shared" si="232"/>
        <v/>
      </c>
      <c r="K840" s="189" t="str">
        <f t="shared" si="233"/>
        <v/>
      </c>
      <c r="L840" s="189" t="str">
        <f t="shared" si="234"/>
        <v/>
      </c>
      <c r="M840" s="189" t="str">
        <f t="shared" si="235"/>
        <v/>
      </c>
      <c r="N840" s="76" t="str">
        <f t="shared" si="236"/>
        <v/>
      </c>
      <c r="O840" s="20">
        <f t="shared" si="237"/>
        <v>0</v>
      </c>
      <c r="P840" s="76">
        <f t="shared" si="238"/>
        <v>0</v>
      </c>
      <c r="Q840" s="206">
        <f t="shared" si="228"/>
        <v>0</v>
      </c>
      <c r="R840" s="206">
        <f t="shared" si="229"/>
        <v>0</v>
      </c>
      <c r="S840" s="206">
        <f t="shared" si="230"/>
        <v>0</v>
      </c>
      <c r="T840" s="206">
        <f t="shared" si="231"/>
        <v>0</v>
      </c>
      <c r="AA840" s="71" t="str">
        <f t="shared" si="223"/>
        <v/>
      </c>
      <c r="AB840" s="189">
        <f t="shared" si="224"/>
        <v>0</v>
      </c>
      <c r="AC840" s="189">
        <f t="shared" si="225"/>
        <v>0</v>
      </c>
      <c r="AD840" s="189">
        <f t="shared" si="226"/>
        <v>0</v>
      </c>
      <c r="AE840" s="189">
        <f t="shared" si="227"/>
        <v>0</v>
      </c>
    </row>
    <row r="841" spans="10:31" x14ac:dyDescent="0.4">
      <c r="J841" s="189" t="str">
        <f t="shared" si="232"/>
        <v/>
      </c>
      <c r="K841" s="189" t="str">
        <f t="shared" si="233"/>
        <v/>
      </c>
      <c r="L841" s="189" t="str">
        <f t="shared" si="234"/>
        <v/>
      </c>
      <c r="M841" s="189" t="str">
        <f t="shared" si="235"/>
        <v/>
      </c>
      <c r="N841" s="76" t="str">
        <f t="shared" si="236"/>
        <v/>
      </c>
      <c r="O841" s="20">
        <f t="shared" si="237"/>
        <v>0</v>
      </c>
      <c r="P841" s="76">
        <f t="shared" si="238"/>
        <v>0</v>
      </c>
      <c r="Q841" s="206">
        <f t="shared" si="228"/>
        <v>0</v>
      </c>
      <c r="R841" s="206">
        <f t="shared" si="229"/>
        <v>0</v>
      </c>
      <c r="S841" s="206">
        <f t="shared" si="230"/>
        <v>0</v>
      </c>
      <c r="T841" s="206">
        <f t="shared" si="231"/>
        <v>0</v>
      </c>
      <c r="AA841" s="71" t="str">
        <f t="shared" si="223"/>
        <v/>
      </c>
      <c r="AB841" s="189">
        <f t="shared" si="224"/>
        <v>0</v>
      </c>
      <c r="AC841" s="189">
        <f t="shared" si="225"/>
        <v>0</v>
      </c>
      <c r="AD841" s="189">
        <f t="shared" si="226"/>
        <v>0</v>
      </c>
      <c r="AE841" s="189">
        <f t="shared" si="227"/>
        <v>0</v>
      </c>
    </row>
    <row r="842" spans="10:31" x14ac:dyDescent="0.4">
      <c r="J842" s="189" t="str">
        <f t="shared" si="232"/>
        <v/>
      </c>
      <c r="K842" s="189" t="str">
        <f t="shared" si="233"/>
        <v/>
      </c>
      <c r="L842" s="189" t="str">
        <f t="shared" si="234"/>
        <v/>
      </c>
      <c r="M842" s="189" t="str">
        <f t="shared" si="235"/>
        <v/>
      </c>
      <c r="N842" s="76" t="str">
        <f t="shared" si="236"/>
        <v/>
      </c>
      <c r="O842" s="20">
        <f t="shared" si="237"/>
        <v>0</v>
      </c>
      <c r="P842" s="76">
        <f t="shared" si="238"/>
        <v>0</v>
      </c>
      <c r="Q842" s="206">
        <f t="shared" si="228"/>
        <v>0</v>
      </c>
      <c r="R842" s="206">
        <f t="shared" si="229"/>
        <v>0</v>
      </c>
      <c r="S842" s="206">
        <f t="shared" si="230"/>
        <v>0</v>
      </c>
      <c r="T842" s="206">
        <f t="shared" si="231"/>
        <v>0</v>
      </c>
      <c r="AA842" s="71" t="str">
        <f t="shared" si="223"/>
        <v/>
      </c>
      <c r="AB842" s="189">
        <f t="shared" si="224"/>
        <v>0</v>
      </c>
      <c r="AC842" s="189">
        <f t="shared" si="225"/>
        <v>0</v>
      </c>
      <c r="AD842" s="189">
        <f t="shared" si="226"/>
        <v>0</v>
      </c>
      <c r="AE842" s="189">
        <f t="shared" si="227"/>
        <v>0</v>
      </c>
    </row>
    <row r="843" spans="10:31" x14ac:dyDescent="0.4">
      <c r="J843" s="189" t="str">
        <f t="shared" si="232"/>
        <v/>
      </c>
      <c r="K843" s="189" t="str">
        <f t="shared" si="233"/>
        <v/>
      </c>
      <c r="L843" s="189" t="str">
        <f t="shared" si="234"/>
        <v/>
      </c>
      <c r="M843" s="189" t="str">
        <f t="shared" si="235"/>
        <v/>
      </c>
      <c r="N843" s="76" t="str">
        <f t="shared" si="236"/>
        <v/>
      </c>
      <c r="O843" s="20">
        <f t="shared" si="237"/>
        <v>0</v>
      </c>
      <c r="P843" s="76">
        <f t="shared" si="238"/>
        <v>0</v>
      </c>
      <c r="Q843" s="206">
        <f t="shared" si="228"/>
        <v>0</v>
      </c>
      <c r="R843" s="206">
        <f t="shared" si="229"/>
        <v>0</v>
      </c>
      <c r="S843" s="206">
        <f t="shared" si="230"/>
        <v>0</v>
      </c>
      <c r="T843" s="206">
        <f t="shared" si="231"/>
        <v>0</v>
      </c>
      <c r="AA843" s="71" t="str">
        <f t="shared" si="223"/>
        <v/>
      </c>
      <c r="AB843" s="189">
        <f t="shared" si="224"/>
        <v>0</v>
      </c>
      <c r="AC843" s="189">
        <f t="shared" si="225"/>
        <v>0</v>
      </c>
      <c r="AD843" s="189">
        <f t="shared" si="226"/>
        <v>0</v>
      </c>
      <c r="AE843" s="189">
        <f t="shared" si="227"/>
        <v>0</v>
      </c>
    </row>
    <row r="844" spans="10:31" x14ac:dyDescent="0.4">
      <c r="J844" s="189" t="str">
        <f t="shared" si="232"/>
        <v/>
      </c>
      <c r="K844" s="189" t="str">
        <f t="shared" si="233"/>
        <v/>
      </c>
      <c r="L844" s="189" t="str">
        <f t="shared" si="234"/>
        <v/>
      </c>
      <c r="M844" s="189" t="str">
        <f t="shared" si="235"/>
        <v/>
      </c>
      <c r="N844" s="76" t="str">
        <f t="shared" si="236"/>
        <v/>
      </c>
      <c r="O844" s="20">
        <f t="shared" si="237"/>
        <v>0</v>
      </c>
      <c r="P844" s="76">
        <f t="shared" si="238"/>
        <v>0</v>
      </c>
      <c r="Q844" s="206">
        <f t="shared" si="228"/>
        <v>0</v>
      </c>
      <c r="R844" s="206">
        <f t="shared" si="229"/>
        <v>0</v>
      </c>
      <c r="S844" s="206">
        <f t="shared" si="230"/>
        <v>0</v>
      </c>
      <c r="T844" s="206">
        <f t="shared" si="231"/>
        <v>0</v>
      </c>
      <c r="AA844" s="71" t="str">
        <f t="shared" si="223"/>
        <v/>
      </c>
      <c r="AB844" s="189">
        <f t="shared" si="224"/>
        <v>0</v>
      </c>
      <c r="AC844" s="189">
        <f t="shared" si="225"/>
        <v>0</v>
      </c>
      <c r="AD844" s="189">
        <f t="shared" si="226"/>
        <v>0</v>
      </c>
      <c r="AE844" s="189">
        <f t="shared" si="227"/>
        <v>0</v>
      </c>
    </row>
    <row r="845" spans="10:31" x14ac:dyDescent="0.4">
      <c r="J845" s="189" t="str">
        <f t="shared" si="232"/>
        <v/>
      </c>
      <c r="K845" s="189" t="str">
        <f t="shared" si="233"/>
        <v/>
      </c>
      <c r="L845" s="189" t="str">
        <f t="shared" si="234"/>
        <v/>
      </c>
      <c r="M845" s="189" t="str">
        <f t="shared" si="235"/>
        <v/>
      </c>
      <c r="N845" s="76" t="str">
        <f t="shared" si="236"/>
        <v/>
      </c>
      <c r="O845" s="20">
        <f t="shared" si="237"/>
        <v>0</v>
      </c>
      <c r="P845" s="76">
        <f t="shared" si="238"/>
        <v>0</v>
      </c>
      <c r="Q845" s="206">
        <f t="shared" si="228"/>
        <v>0</v>
      </c>
      <c r="R845" s="206">
        <f t="shared" si="229"/>
        <v>0</v>
      </c>
      <c r="S845" s="206">
        <f t="shared" si="230"/>
        <v>0</v>
      </c>
      <c r="T845" s="206">
        <f t="shared" si="231"/>
        <v>0</v>
      </c>
      <c r="AA845" s="71" t="str">
        <f t="shared" si="223"/>
        <v/>
      </c>
      <c r="AB845" s="189">
        <f t="shared" si="224"/>
        <v>0</v>
      </c>
      <c r="AC845" s="189">
        <f t="shared" si="225"/>
        <v>0</v>
      </c>
      <c r="AD845" s="189">
        <f t="shared" si="226"/>
        <v>0</v>
      </c>
      <c r="AE845" s="189">
        <f t="shared" si="227"/>
        <v>0</v>
      </c>
    </row>
    <row r="846" spans="10:31" x14ac:dyDescent="0.4">
      <c r="J846" s="189" t="str">
        <f t="shared" si="232"/>
        <v/>
      </c>
      <c r="K846" s="189" t="str">
        <f t="shared" si="233"/>
        <v/>
      </c>
      <c r="L846" s="189" t="str">
        <f t="shared" si="234"/>
        <v/>
      </c>
      <c r="M846" s="189" t="str">
        <f t="shared" si="235"/>
        <v/>
      </c>
      <c r="N846" s="76" t="str">
        <f t="shared" si="236"/>
        <v/>
      </c>
      <c r="O846" s="20">
        <f t="shared" si="237"/>
        <v>0</v>
      </c>
      <c r="P846" s="76">
        <f t="shared" si="238"/>
        <v>0</v>
      </c>
      <c r="Q846" s="206">
        <f t="shared" si="228"/>
        <v>0</v>
      </c>
      <c r="R846" s="206">
        <f t="shared" si="229"/>
        <v>0</v>
      </c>
      <c r="S846" s="206">
        <f t="shared" si="230"/>
        <v>0</v>
      </c>
      <c r="T846" s="206">
        <f t="shared" si="231"/>
        <v>0</v>
      </c>
      <c r="AA846" s="71" t="str">
        <f t="shared" si="223"/>
        <v/>
      </c>
      <c r="AB846" s="189">
        <f t="shared" si="224"/>
        <v>0</v>
      </c>
      <c r="AC846" s="189">
        <f t="shared" si="225"/>
        <v>0</v>
      </c>
      <c r="AD846" s="189">
        <f t="shared" si="226"/>
        <v>0</v>
      </c>
      <c r="AE846" s="189">
        <f t="shared" si="227"/>
        <v>0</v>
      </c>
    </row>
    <row r="847" spans="10:31" x14ac:dyDescent="0.4">
      <c r="J847" s="189" t="str">
        <f t="shared" si="232"/>
        <v/>
      </c>
      <c r="K847" s="189" t="str">
        <f t="shared" si="233"/>
        <v/>
      </c>
      <c r="L847" s="189" t="str">
        <f t="shared" si="234"/>
        <v/>
      </c>
      <c r="M847" s="189" t="str">
        <f t="shared" si="235"/>
        <v/>
      </c>
      <c r="N847" s="76" t="str">
        <f t="shared" si="236"/>
        <v/>
      </c>
      <c r="O847" s="20">
        <f t="shared" si="237"/>
        <v>0</v>
      </c>
      <c r="P847" s="76">
        <f t="shared" si="238"/>
        <v>0</v>
      </c>
      <c r="Q847" s="206">
        <f t="shared" si="228"/>
        <v>0</v>
      </c>
      <c r="R847" s="206">
        <f t="shared" si="229"/>
        <v>0</v>
      </c>
      <c r="S847" s="206">
        <f t="shared" si="230"/>
        <v>0</v>
      </c>
      <c r="T847" s="206">
        <f t="shared" si="231"/>
        <v>0</v>
      </c>
      <c r="AA847" s="71" t="str">
        <f t="shared" si="223"/>
        <v/>
      </c>
      <c r="AB847" s="189">
        <f t="shared" si="224"/>
        <v>0</v>
      </c>
      <c r="AC847" s="189">
        <f t="shared" si="225"/>
        <v>0</v>
      </c>
      <c r="AD847" s="189">
        <f t="shared" si="226"/>
        <v>0</v>
      </c>
      <c r="AE847" s="189">
        <f t="shared" si="227"/>
        <v>0</v>
      </c>
    </row>
    <row r="848" spans="10:31" x14ac:dyDescent="0.4">
      <c r="J848" s="189" t="str">
        <f t="shared" si="232"/>
        <v/>
      </c>
      <c r="K848" s="189" t="str">
        <f t="shared" si="233"/>
        <v/>
      </c>
      <c r="L848" s="189" t="str">
        <f t="shared" si="234"/>
        <v/>
      </c>
      <c r="M848" s="189" t="str">
        <f t="shared" si="235"/>
        <v/>
      </c>
      <c r="N848" s="76" t="str">
        <f t="shared" si="236"/>
        <v/>
      </c>
      <c r="O848" s="20">
        <f t="shared" si="237"/>
        <v>0</v>
      </c>
      <c r="P848" s="76">
        <f t="shared" si="238"/>
        <v>0</v>
      </c>
      <c r="Q848" s="206">
        <f t="shared" si="228"/>
        <v>0</v>
      </c>
      <c r="R848" s="206">
        <f t="shared" si="229"/>
        <v>0</v>
      </c>
      <c r="S848" s="206">
        <f t="shared" si="230"/>
        <v>0</v>
      </c>
      <c r="T848" s="206">
        <f t="shared" si="231"/>
        <v>0</v>
      </c>
      <c r="AA848" s="71" t="str">
        <f t="shared" si="223"/>
        <v/>
      </c>
      <c r="AB848" s="189">
        <f t="shared" si="224"/>
        <v>0</v>
      </c>
      <c r="AC848" s="189">
        <f t="shared" si="225"/>
        <v>0</v>
      </c>
      <c r="AD848" s="189">
        <f t="shared" si="226"/>
        <v>0</v>
      </c>
      <c r="AE848" s="189">
        <f t="shared" si="227"/>
        <v>0</v>
      </c>
    </row>
    <row r="849" spans="10:31" x14ac:dyDescent="0.4">
      <c r="J849" s="189" t="str">
        <f t="shared" si="232"/>
        <v/>
      </c>
      <c r="K849" s="189" t="str">
        <f t="shared" si="233"/>
        <v/>
      </c>
      <c r="L849" s="189" t="str">
        <f t="shared" si="234"/>
        <v/>
      </c>
      <c r="M849" s="189" t="str">
        <f t="shared" si="235"/>
        <v/>
      </c>
      <c r="N849" s="76" t="str">
        <f t="shared" si="236"/>
        <v/>
      </c>
      <c r="O849" s="20">
        <f t="shared" si="237"/>
        <v>0</v>
      </c>
      <c r="P849" s="76">
        <f t="shared" si="238"/>
        <v>0</v>
      </c>
      <c r="Q849" s="206">
        <f t="shared" si="228"/>
        <v>0</v>
      </c>
      <c r="R849" s="206">
        <f t="shared" si="229"/>
        <v>0</v>
      </c>
      <c r="S849" s="206">
        <f t="shared" si="230"/>
        <v>0</v>
      </c>
      <c r="T849" s="206">
        <f t="shared" si="231"/>
        <v>0</v>
      </c>
      <c r="AA849" s="71" t="str">
        <f t="shared" si="223"/>
        <v/>
      </c>
      <c r="AB849" s="189">
        <f t="shared" si="224"/>
        <v>0</v>
      </c>
      <c r="AC849" s="189">
        <f t="shared" si="225"/>
        <v>0</v>
      </c>
      <c r="AD849" s="189">
        <f t="shared" si="226"/>
        <v>0</v>
      </c>
      <c r="AE849" s="189">
        <f t="shared" si="227"/>
        <v>0</v>
      </c>
    </row>
    <row r="850" spans="10:31" x14ac:dyDescent="0.4">
      <c r="J850" s="189" t="str">
        <f t="shared" si="232"/>
        <v/>
      </c>
      <c r="K850" s="189" t="str">
        <f t="shared" si="233"/>
        <v/>
      </c>
      <c r="L850" s="189" t="str">
        <f t="shared" si="234"/>
        <v/>
      </c>
      <c r="M850" s="189" t="str">
        <f t="shared" si="235"/>
        <v/>
      </c>
      <c r="N850" s="76" t="str">
        <f t="shared" si="236"/>
        <v/>
      </c>
      <c r="O850" s="20">
        <f t="shared" si="237"/>
        <v>0</v>
      </c>
      <c r="P850" s="76">
        <f t="shared" si="238"/>
        <v>0</v>
      </c>
      <c r="Q850" s="206">
        <f t="shared" si="228"/>
        <v>0</v>
      </c>
      <c r="R850" s="206">
        <f t="shared" si="229"/>
        <v>0</v>
      </c>
      <c r="S850" s="206">
        <f t="shared" si="230"/>
        <v>0</v>
      </c>
      <c r="T850" s="206">
        <f t="shared" si="231"/>
        <v>0</v>
      </c>
      <c r="AA850" s="71" t="str">
        <f t="shared" si="223"/>
        <v/>
      </c>
      <c r="AB850" s="189">
        <f t="shared" si="224"/>
        <v>0</v>
      </c>
      <c r="AC850" s="189">
        <f t="shared" si="225"/>
        <v>0</v>
      </c>
      <c r="AD850" s="189">
        <f t="shared" si="226"/>
        <v>0</v>
      </c>
      <c r="AE850" s="189">
        <f t="shared" si="227"/>
        <v>0</v>
      </c>
    </row>
    <row r="851" spans="10:31" x14ac:dyDescent="0.4">
      <c r="J851" s="189" t="str">
        <f t="shared" si="232"/>
        <v/>
      </c>
      <c r="K851" s="189" t="str">
        <f t="shared" si="233"/>
        <v/>
      </c>
      <c r="L851" s="189" t="str">
        <f t="shared" si="234"/>
        <v/>
      </c>
      <c r="M851" s="189" t="str">
        <f t="shared" si="235"/>
        <v/>
      </c>
      <c r="N851" s="76" t="str">
        <f t="shared" si="236"/>
        <v/>
      </c>
      <c r="O851" s="20">
        <f t="shared" si="237"/>
        <v>0</v>
      </c>
      <c r="P851" s="76">
        <f t="shared" si="238"/>
        <v>0</v>
      </c>
      <c r="Q851" s="206">
        <f t="shared" si="228"/>
        <v>0</v>
      </c>
      <c r="R851" s="206">
        <f t="shared" si="229"/>
        <v>0</v>
      </c>
      <c r="S851" s="206">
        <f t="shared" si="230"/>
        <v>0</v>
      </c>
      <c r="T851" s="206">
        <f t="shared" si="231"/>
        <v>0</v>
      </c>
      <c r="AA851" s="71" t="str">
        <f t="shared" si="223"/>
        <v/>
      </c>
      <c r="AB851" s="189">
        <f t="shared" si="224"/>
        <v>0</v>
      </c>
      <c r="AC851" s="189">
        <f t="shared" si="225"/>
        <v>0</v>
      </c>
      <c r="AD851" s="189">
        <f t="shared" si="226"/>
        <v>0</v>
      </c>
      <c r="AE851" s="189">
        <f t="shared" si="227"/>
        <v>0</v>
      </c>
    </row>
    <row r="852" spans="10:31" x14ac:dyDescent="0.4">
      <c r="J852" s="189" t="str">
        <f t="shared" si="232"/>
        <v/>
      </c>
      <c r="K852" s="189" t="str">
        <f t="shared" si="233"/>
        <v/>
      </c>
      <c r="L852" s="189" t="str">
        <f t="shared" si="234"/>
        <v/>
      </c>
      <c r="M852" s="189" t="str">
        <f t="shared" si="235"/>
        <v/>
      </c>
      <c r="N852" s="76" t="str">
        <f t="shared" si="236"/>
        <v/>
      </c>
      <c r="O852" s="20">
        <f t="shared" si="237"/>
        <v>0</v>
      </c>
      <c r="P852" s="76">
        <f t="shared" si="238"/>
        <v>0</v>
      </c>
      <c r="Q852" s="206">
        <f t="shared" si="228"/>
        <v>0</v>
      </c>
      <c r="R852" s="206">
        <f t="shared" si="229"/>
        <v>0</v>
      </c>
      <c r="S852" s="206">
        <f t="shared" si="230"/>
        <v>0</v>
      </c>
      <c r="T852" s="206">
        <f t="shared" si="231"/>
        <v>0</v>
      </c>
      <c r="AA852" s="71" t="str">
        <f t="shared" si="223"/>
        <v/>
      </c>
      <c r="AB852" s="189">
        <f t="shared" si="224"/>
        <v>0</v>
      </c>
      <c r="AC852" s="189">
        <f t="shared" si="225"/>
        <v>0</v>
      </c>
      <c r="AD852" s="189">
        <f t="shared" si="226"/>
        <v>0</v>
      </c>
      <c r="AE852" s="189">
        <f t="shared" si="227"/>
        <v>0</v>
      </c>
    </row>
    <row r="853" spans="10:31" x14ac:dyDescent="0.4">
      <c r="J853" s="189" t="str">
        <f t="shared" si="232"/>
        <v/>
      </c>
      <c r="K853" s="189" t="str">
        <f t="shared" si="233"/>
        <v/>
      </c>
      <c r="L853" s="189" t="str">
        <f t="shared" si="234"/>
        <v/>
      </c>
      <c r="M853" s="189" t="str">
        <f t="shared" si="235"/>
        <v/>
      </c>
      <c r="N853" s="76" t="str">
        <f t="shared" si="236"/>
        <v/>
      </c>
      <c r="O853" s="20">
        <f t="shared" si="237"/>
        <v>0</v>
      </c>
      <c r="P853" s="76">
        <f t="shared" si="238"/>
        <v>0</v>
      </c>
      <c r="Q853" s="206">
        <f t="shared" si="228"/>
        <v>0</v>
      </c>
      <c r="R853" s="206">
        <f t="shared" si="229"/>
        <v>0</v>
      </c>
      <c r="S853" s="206">
        <f t="shared" si="230"/>
        <v>0</v>
      </c>
      <c r="T853" s="206">
        <f t="shared" si="231"/>
        <v>0</v>
      </c>
      <c r="AA853" s="71" t="str">
        <f t="shared" si="223"/>
        <v/>
      </c>
      <c r="AB853" s="189">
        <f t="shared" si="224"/>
        <v>0</v>
      </c>
      <c r="AC853" s="189">
        <f t="shared" si="225"/>
        <v>0</v>
      </c>
      <c r="AD853" s="189">
        <f t="shared" si="226"/>
        <v>0</v>
      </c>
      <c r="AE853" s="189">
        <f t="shared" si="227"/>
        <v>0</v>
      </c>
    </row>
    <row r="854" spans="10:31" x14ac:dyDescent="0.4">
      <c r="J854" s="189" t="str">
        <f t="shared" si="232"/>
        <v/>
      </c>
      <c r="K854" s="189" t="str">
        <f t="shared" si="233"/>
        <v/>
      </c>
      <c r="L854" s="189" t="str">
        <f t="shared" si="234"/>
        <v/>
      </c>
      <c r="M854" s="189" t="str">
        <f t="shared" si="235"/>
        <v/>
      </c>
      <c r="N854" s="76" t="str">
        <f t="shared" si="236"/>
        <v/>
      </c>
      <c r="O854" s="20">
        <f t="shared" si="237"/>
        <v>0</v>
      </c>
      <c r="P854" s="76">
        <f t="shared" si="238"/>
        <v>0</v>
      </c>
      <c r="Q854" s="206">
        <f t="shared" si="228"/>
        <v>0</v>
      </c>
      <c r="R854" s="206">
        <f t="shared" si="229"/>
        <v>0</v>
      </c>
      <c r="S854" s="206">
        <f t="shared" si="230"/>
        <v>0</v>
      </c>
      <c r="T854" s="206">
        <f t="shared" si="231"/>
        <v>0</v>
      </c>
      <c r="AA854" s="71" t="str">
        <f t="shared" si="223"/>
        <v/>
      </c>
      <c r="AB854" s="189">
        <f t="shared" si="224"/>
        <v>0</v>
      </c>
      <c r="AC854" s="189">
        <f t="shared" si="225"/>
        <v>0</v>
      </c>
      <c r="AD854" s="189">
        <f t="shared" si="226"/>
        <v>0</v>
      </c>
      <c r="AE854" s="189">
        <f t="shared" si="227"/>
        <v>0</v>
      </c>
    </row>
    <row r="855" spans="10:31" x14ac:dyDescent="0.4">
      <c r="J855" s="189" t="str">
        <f t="shared" si="232"/>
        <v/>
      </c>
      <c r="K855" s="189" t="str">
        <f t="shared" si="233"/>
        <v/>
      </c>
      <c r="L855" s="189" t="str">
        <f t="shared" si="234"/>
        <v/>
      </c>
      <c r="M855" s="189" t="str">
        <f t="shared" si="235"/>
        <v/>
      </c>
      <c r="N855" s="76" t="str">
        <f t="shared" si="236"/>
        <v/>
      </c>
      <c r="O855" s="20">
        <f t="shared" si="237"/>
        <v>0</v>
      </c>
      <c r="P855" s="76">
        <f t="shared" si="238"/>
        <v>0</v>
      </c>
      <c r="Q855" s="206">
        <f t="shared" si="228"/>
        <v>0</v>
      </c>
      <c r="R855" s="206">
        <f t="shared" si="229"/>
        <v>0</v>
      </c>
      <c r="S855" s="206">
        <f t="shared" si="230"/>
        <v>0</v>
      </c>
      <c r="T855" s="206">
        <f t="shared" si="231"/>
        <v>0</v>
      </c>
      <c r="AA855" s="71" t="str">
        <f t="shared" si="223"/>
        <v/>
      </c>
      <c r="AB855" s="189">
        <f t="shared" si="224"/>
        <v>0</v>
      </c>
      <c r="AC855" s="189">
        <f t="shared" si="225"/>
        <v>0</v>
      </c>
      <c r="AD855" s="189">
        <f t="shared" si="226"/>
        <v>0</v>
      </c>
      <c r="AE855" s="189">
        <f t="shared" si="227"/>
        <v>0</v>
      </c>
    </row>
    <row r="856" spans="10:31" x14ac:dyDescent="0.4">
      <c r="J856" s="189" t="str">
        <f t="shared" si="232"/>
        <v/>
      </c>
      <c r="K856" s="189" t="str">
        <f t="shared" si="233"/>
        <v/>
      </c>
      <c r="L856" s="189" t="str">
        <f t="shared" si="234"/>
        <v/>
      </c>
      <c r="M856" s="189" t="str">
        <f t="shared" si="235"/>
        <v/>
      </c>
      <c r="N856" s="76" t="str">
        <f t="shared" si="236"/>
        <v/>
      </c>
      <c r="O856" s="20">
        <f t="shared" si="237"/>
        <v>0</v>
      </c>
      <c r="P856" s="76">
        <f t="shared" si="238"/>
        <v>0</v>
      </c>
      <c r="Q856" s="206">
        <f t="shared" si="228"/>
        <v>0</v>
      </c>
      <c r="R856" s="206">
        <f t="shared" si="229"/>
        <v>0</v>
      </c>
      <c r="S856" s="206">
        <f t="shared" si="230"/>
        <v>0</v>
      </c>
      <c r="T856" s="206">
        <f t="shared" si="231"/>
        <v>0</v>
      </c>
      <c r="AA856" s="71" t="str">
        <f t="shared" si="223"/>
        <v/>
      </c>
      <c r="AB856" s="189">
        <f t="shared" si="224"/>
        <v>0</v>
      </c>
      <c r="AC856" s="189">
        <f t="shared" si="225"/>
        <v>0</v>
      </c>
      <c r="AD856" s="189">
        <f t="shared" si="226"/>
        <v>0</v>
      </c>
      <c r="AE856" s="189">
        <f t="shared" si="227"/>
        <v>0</v>
      </c>
    </row>
    <row r="857" spans="10:31" x14ac:dyDescent="0.4">
      <c r="J857" s="189" t="str">
        <f t="shared" si="232"/>
        <v/>
      </c>
      <c r="K857" s="189" t="str">
        <f t="shared" si="233"/>
        <v/>
      </c>
      <c r="L857" s="189" t="str">
        <f t="shared" si="234"/>
        <v/>
      </c>
      <c r="M857" s="189" t="str">
        <f t="shared" si="235"/>
        <v/>
      </c>
      <c r="N857" s="76" t="str">
        <f t="shared" si="236"/>
        <v/>
      </c>
      <c r="O857" s="20">
        <f t="shared" si="237"/>
        <v>0</v>
      </c>
      <c r="P857" s="76">
        <f t="shared" si="238"/>
        <v>0</v>
      </c>
      <c r="Q857" s="206">
        <f t="shared" si="228"/>
        <v>0</v>
      </c>
      <c r="R857" s="206">
        <f t="shared" si="229"/>
        <v>0</v>
      </c>
      <c r="S857" s="206">
        <f t="shared" si="230"/>
        <v>0</v>
      </c>
      <c r="T857" s="206">
        <f t="shared" si="231"/>
        <v>0</v>
      </c>
      <c r="AA857" s="71" t="str">
        <f t="shared" si="223"/>
        <v/>
      </c>
      <c r="AB857" s="189">
        <f t="shared" si="224"/>
        <v>0</v>
      </c>
      <c r="AC857" s="189">
        <f t="shared" si="225"/>
        <v>0</v>
      </c>
      <c r="AD857" s="189">
        <f t="shared" si="226"/>
        <v>0</v>
      </c>
      <c r="AE857" s="189">
        <f t="shared" si="227"/>
        <v>0</v>
      </c>
    </row>
    <row r="858" spans="10:31" x14ac:dyDescent="0.4">
      <c r="J858" s="189" t="str">
        <f t="shared" si="232"/>
        <v/>
      </c>
      <c r="K858" s="189" t="str">
        <f t="shared" si="233"/>
        <v/>
      </c>
      <c r="L858" s="189" t="str">
        <f t="shared" si="234"/>
        <v/>
      </c>
      <c r="M858" s="189" t="str">
        <f t="shared" si="235"/>
        <v/>
      </c>
      <c r="N858" s="76" t="str">
        <f t="shared" si="236"/>
        <v/>
      </c>
      <c r="O858" s="20">
        <f t="shared" si="237"/>
        <v>0</v>
      </c>
      <c r="P858" s="76">
        <f t="shared" si="238"/>
        <v>0</v>
      </c>
      <c r="Q858" s="206">
        <f t="shared" si="228"/>
        <v>0</v>
      </c>
      <c r="R858" s="206">
        <f t="shared" si="229"/>
        <v>0</v>
      </c>
      <c r="S858" s="206">
        <f t="shared" si="230"/>
        <v>0</v>
      </c>
      <c r="T858" s="206">
        <f t="shared" si="231"/>
        <v>0</v>
      </c>
      <c r="AA858" s="71" t="str">
        <f t="shared" si="223"/>
        <v/>
      </c>
      <c r="AB858" s="189">
        <f t="shared" si="224"/>
        <v>0</v>
      </c>
      <c r="AC858" s="189">
        <f t="shared" si="225"/>
        <v>0</v>
      </c>
      <c r="AD858" s="189">
        <f t="shared" si="226"/>
        <v>0</v>
      </c>
      <c r="AE858" s="189">
        <f t="shared" si="227"/>
        <v>0</v>
      </c>
    </row>
    <row r="859" spans="10:31" x14ac:dyDescent="0.4">
      <c r="J859" s="189" t="str">
        <f t="shared" si="232"/>
        <v/>
      </c>
      <c r="K859" s="189" t="str">
        <f t="shared" si="233"/>
        <v/>
      </c>
      <c r="L859" s="189" t="str">
        <f t="shared" si="234"/>
        <v/>
      </c>
      <c r="M859" s="189" t="str">
        <f t="shared" si="235"/>
        <v/>
      </c>
      <c r="N859" s="76" t="str">
        <f t="shared" si="236"/>
        <v/>
      </c>
      <c r="O859" s="20">
        <f t="shared" si="237"/>
        <v>0</v>
      </c>
      <c r="P859" s="76">
        <f t="shared" si="238"/>
        <v>0</v>
      </c>
      <c r="Q859" s="206">
        <f t="shared" si="228"/>
        <v>0</v>
      </c>
      <c r="R859" s="206">
        <f t="shared" si="229"/>
        <v>0</v>
      </c>
      <c r="S859" s="206">
        <f t="shared" si="230"/>
        <v>0</v>
      </c>
      <c r="T859" s="206">
        <f t="shared" si="231"/>
        <v>0</v>
      </c>
      <c r="AA859" s="71" t="str">
        <f t="shared" si="223"/>
        <v/>
      </c>
      <c r="AB859" s="189">
        <f t="shared" si="224"/>
        <v>0</v>
      </c>
      <c r="AC859" s="189">
        <f t="shared" si="225"/>
        <v>0</v>
      </c>
      <c r="AD859" s="189">
        <f t="shared" si="226"/>
        <v>0</v>
      </c>
      <c r="AE859" s="189">
        <f t="shared" si="227"/>
        <v>0</v>
      </c>
    </row>
    <row r="860" spans="10:31" x14ac:dyDescent="0.4">
      <c r="J860" s="189" t="str">
        <f t="shared" si="232"/>
        <v/>
      </c>
      <c r="K860" s="189" t="str">
        <f t="shared" si="233"/>
        <v/>
      </c>
      <c r="L860" s="189" t="str">
        <f t="shared" si="234"/>
        <v/>
      </c>
      <c r="M860" s="189" t="str">
        <f t="shared" si="235"/>
        <v/>
      </c>
      <c r="N860" s="76" t="str">
        <f t="shared" si="236"/>
        <v/>
      </c>
      <c r="O860" s="20">
        <f t="shared" si="237"/>
        <v>0</v>
      </c>
      <c r="P860" s="76">
        <f t="shared" si="238"/>
        <v>0</v>
      </c>
      <c r="Q860" s="206">
        <f t="shared" si="228"/>
        <v>0</v>
      </c>
      <c r="R860" s="206">
        <f t="shared" si="229"/>
        <v>0</v>
      </c>
      <c r="S860" s="206">
        <f t="shared" si="230"/>
        <v>0</v>
      </c>
      <c r="T860" s="206">
        <f t="shared" si="231"/>
        <v>0</v>
      </c>
      <c r="AA860" s="71" t="str">
        <f t="shared" ref="AA860:AA871" si="239">N860</f>
        <v/>
      </c>
      <c r="AB860" s="189">
        <f t="shared" ref="AB860:AB871" si="240">IFERROR(IF(FIND("Km",$B860),IF($B861="",IF(FIND("Pax",C861),VALUE((LEFT(C861,LEN(C861)-4))),))),0)</f>
        <v>0</v>
      </c>
      <c r="AC860" s="189">
        <f t="shared" ref="AC860:AC871" si="241">IFERROR(IF(FIND("Km",$B860),IF($B861="",IF(FIND("Pax",D861),VALUE((LEFT(D861,LEN(D861)-4))),))),0)</f>
        <v>0</v>
      </c>
      <c r="AD860" s="189">
        <f t="shared" ref="AD860:AD871" si="242">IFERROR(IF(FIND("Km",$B860),IF($B861="",IF(FIND("Pax",E861),VALUE((LEFT(E861,LEN(E861)-4))),))),0)</f>
        <v>0</v>
      </c>
      <c r="AE860" s="189">
        <f t="shared" ref="AE860:AE871" si="243">IFERROR(IF($J860&lt;&gt;"",VALUE(LEFT(F861,LEN(F861)-7)),0),1)</f>
        <v>0</v>
      </c>
    </row>
    <row r="861" spans="10:31" x14ac:dyDescent="0.4">
      <c r="J861" s="189" t="str">
        <f t="shared" si="232"/>
        <v/>
      </c>
      <c r="K861" s="189" t="str">
        <f t="shared" si="233"/>
        <v/>
      </c>
      <c r="L861" s="189" t="str">
        <f t="shared" si="234"/>
        <v/>
      </c>
      <c r="M861" s="189" t="str">
        <f t="shared" si="235"/>
        <v/>
      </c>
      <c r="N861" s="76" t="str">
        <f t="shared" si="236"/>
        <v/>
      </c>
      <c r="O861" s="20">
        <f t="shared" si="237"/>
        <v>0</v>
      </c>
      <c r="P861" s="76">
        <f t="shared" si="238"/>
        <v>0</v>
      </c>
      <c r="Q861" s="206">
        <f t="shared" si="228"/>
        <v>0</v>
      </c>
      <c r="R861" s="206">
        <f t="shared" si="229"/>
        <v>0</v>
      </c>
      <c r="S861" s="206">
        <f t="shared" si="230"/>
        <v>0</v>
      </c>
      <c r="T861" s="206">
        <f t="shared" si="231"/>
        <v>0</v>
      </c>
      <c r="AA861" s="71" t="str">
        <f t="shared" si="239"/>
        <v/>
      </c>
      <c r="AB861" s="189">
        <f t="shared" si="240"/>
        <v>0</v>
      </c>
      <c r="AC861" s="189">
        <f t="shared" si="241"/>
        <v>0</v>
      </c>
      <c r="AD861" s="189">
        <f t="shared" si="242"/>
        <v>0</v>
      </c>
      <c r="AE861" s="189">
        <f t="shared" si="243"/>
        <v>0</v>
      </c>
    </row>
    <row r="862" spans="10:31" x14ac:dyDescent="0.4">
      <c r="J862" s="189" t="str">
        <f t="shared" si="232"/>
        <v/>
      </c>
      <c r="K862" s="189" t="str">
        <f t="shared" si="233"/>
        <v/>
      </c>
      <c r="L862" s="189" t="str">
        <f t="shared" si="234"/>
        <v/>
      </c>
      <c r="M862" s="189" t="str">
        <f t="shared" si="235"/>
        <v/>
      </c>
      <c r="N862" s="76" t="str">
        <f t="shared" si="236"/>
        <v/>
      </c>
      <c r="O862" s="20">
        <f t="shared" si="237"/>
        <v>0</v>
      </c>
      <c r="P862" s="76">
        <f t="shared" si="238"/>
        <v>0</v>
      </c>
      <c r="Q862" s="206">
        <f t="shared" si="228"/>
        <v>0</v>
      </c>
      <c r="R862" s="206">
        <f t="shared" si="229"/>
        <v>0</v>
      </c>
      <c r="S862" s="206">
        <f t="shared" si="230"/>
        <v>0</v>
      </c>
      <c r="T862" s="206">
        <f t="shared" si="231"/>
        <v>0</v>
      </c>
      <c r="AA862" s="71" t="str">
        <f t="shared" si="239"/>
        <v/>
      </c>
      <c r="AB862" s="189">
        <f t="shared" si="240"/>
        <v>0</v>
      </c>
      <c r="AC862" s="189">
        <f t="shared" si="241"/>
        <v>0</v>
      </c>
      <c r="AD862" s="189">
        <f t="shared" si="242"/>
        <v>0</v>
      </c>
      <c r="AE862" s="189">
        <f t="shared" si="243"/>
        <v>0</v>
      </c>
    </row>
    <row r="863" spans="10:31" x14ac:dyDescent="0.4">
      <c r="J863" s="189" t="str">
        <f t="shared" si="232"/>
        <v/>
      </c>
      <c r="K863" s="189" t="str">
        <f t="shared" si="233"/>
        <v/>
      </c>
      <c r="L863" s="189" t="str">
        <f t="shared" si="234"/>
        <v/>
      </c>
      <c r="M863" s="189" t="str">
        <f t="shared" si="235"/>
        <v/>
      </c>
      <c r="N863" s="76" t="str">
        <f t="shared" si="236"/>
        <v/>
      </c>
      <c r="O863" s="20">
        <f t="shared" si="237"/>
        <v>0</v>
      </c>
      <c r="P863" s="76">
        <f t="shared" si="238"/>
        <v>0</v>
      </c>
      <c r="Q863" s="206">
        <f t="shared" si="228"/>
        <v>0</v>
      </c>
      <c r="R863" s="206">
        <f t="shared" si="229"/>
        <v>0</v>
      </c>
      <c r="S863" s="206">
        <f t="shared" si="230"/>
        <v>0</v>
      </c>
      <c r="T863" s="206">
        <f t="shared" si="231"/>
        <v>0</v>
      </c>
      <c r="AA863" s="71" t="str">
        <f t="shared" si="239"/>
        <v/>
      </c>
      <c r="AB863" s="189">
        <f t="shared" si="240"/>
        <v>0</v>
      </c>
      <c r="AC863" s="189">
        <f t="shared" si="241"/>
        <v>0</v>
      </c>
      <c r="AD863" s="189">
        <f t="shared" si="242"/>
        <v>0</v>
      </c>
      <c r="AE863" s="189">
        <f t="shared" si="243"/>
        <v>0</v>
      </c>
    </row>
    <row r="864" spans="10:31" x14ac:dyDescent="0.4">
      <c r="J864" s="189" t="str">
        <f t="shared" si="232"/>
        <v/>
      </c>
      <c r="K864" s="189" t="str">
        <f t="shared" si="233"/>
        <v/>
      </c>
      <c r="L864" s="189" t="str">
        <f t="shared" si="234"/>
        <v/>
      </c>
      <c r="M864" s="189" t="str">
        <f t="shared" si="235"/>
        <v/>
      </c>
      <c r="N864" s="76" t="str">
        <f t="shared" si="236"/>
        <v/>
      </c>
      <c r="O864" s="20">
        <f t="shared" si="237"/>
        <v>0</v>
      </c>
      <c r="P864" s="76">
        <f t="shared" si="238"/>
        <v>0</v>
      </c>
      <c r="Q864" s="206">
        <f t="shared" si="228"/>
        <v>0</v>
      </c>
      <c r="R864" s="206">
        <f t="shared" si="229"/>
        <v>0</v>
      </c>
      <c r="S864" s="206">
        <f t="shared" si="230"/>
        <v>0</v>
      </c>
      <c r="T864" s="206">
        <f t="shared" si="231"/>
        <v>0</v>
      </c>
      <c r="AA864" s="71" t="str">
        <f t="shared" si="239"/>
        <v/>
      </c>
      <c r="AB864" s="189">
        <f t="shared" si="240"/>
        <v>0</v>
      </c>
      <c r="AC864" s="189">
        <f t="shared" si="241"/>
        <v>0</v>
      </c>
      <c r="AD864" s="189">
        <f t="shared" si="242"/>
        <v>0</v>
      </c>
      <c r="AE864" s="189">
        <f t="shared" si="243"/>
        <v>0</v>
      </c>
    </row>
    <row r="865" spans="10:31" x14ac:dyDescent="0.4">
      <c r="J865" s="189" t="str">
        <f t="shared" si="232"/>
        <v/>
      </c>
      <c r="K865" s="189" t="str">
        <f t="shared" si="233"/>
        <v/>
      </c>
      <c r="L865" s="189" t="str">
        <f t="shared" si="234"/>
        <v/>
      </c>
      <c r="M865" s="189" t="str">
        <f t="shared" si="235"/>
        <v/>
      </c>
      <c r="N865" s="76" t="str">
        <f t="shared" si="236"/>
        <v/>
      </c>
      <c r="O865" s="20">
        <f t="shared" si="237"/>
        <v>0</v>
      </c>
      <c r="P865" s="76">
        <f t="shared" si="238"/>
        <v>0</v>
      </c>
      <c r="Q865" s="206">
        <f t="shared" si="228"/>
        <v>0</v>
      </c>
      <c r="R865" s="206">
        <f t="shared" si="229"/>
        <v>0</v>
      </c>
      <c r="S865" s="206">
        <f t="shared" si="230"/>
        <v>0</v>
      </c>
      <c r="T865" s="206">
        <f t="shared" si="231"/>
        <v>0</v>
      </c>
      <c r="AA865" s="71" t="str">
        <f t="shared" si="239"/>
        <v/>
      </c>
      <c r="AB865" s="189">
        <f t="shared" si="240"/>
        <v>0</v>
      </c>
      <c r="AC865" s="189">
        <f t="shared" si="241"/>
        <v>0</v>
      </c>
      <c r="AD865" s="189">
        <f t="shared" si="242"/>
        <v>0</v>
      </c>
      <c r="AE865" s="189">
        <f t="shared" si="243"/>
        <v>0</v>
      </c>
    </row>
    <row r="866" spans="10:31" x14ac:dyDescent="0.4">
      <c r="J866" s="189" t="str">
        <f t="shared" si="232"/>
        <v/>
      </c>
      <c r="K866" s="189" t="str">
        <f t="shared" si="233"/>
        <v/>
      </c>
      <c r="L866" s="189" t="str">
        <f t="shared" si="234"/>
        <v/>
      </c>
      <c r="M866" s="189" t="str">
        <f t="shared" si="235"/>
        <v/>
      </c>
      <c r="N866" s="76" t="str">
        <f t="shared" si="236"/>
        <v/>
      </c>
      <c r="O866" s="20">
        <f t="shared" si="237"/>
        <v>0</v>
      </c>
      <c r="P866" s="76">
        <f t="shared" si="238"/>
        <v>0</v>
      </c>
      <c r="Q866" s="206">
        <f t="shared" si="228"/>
        <v>0</v>
      </c>
      <c r="R866" s="206">
        <f t="shared" si="229"/>
        <v>0</v>
      </c>
      <c r="S866" s="206">
        <f t="shared" si="230"/>
        <v>0</v>
      </c>
      <c r="T866" s="206">
        <f t="shared" si="231"/>
        <v>0</v>
      </c>
      <c r="AA866" s="71" t="str">
        <f t="shared" si="239"/>
        <v/>
      </c>
      <c r="AB866" s="189">
        <f t="shared" si="240"/>
        <v>0</v>
      </c>
      <c r="AC866" s="189">
        <f t="shared" si="241"/>
        <v>0</v>
      </c>
      <c r="AD866" s="189">
        <f t="shared" si="242"/>
        <v>0</v>
      </c>
      <c r="AE866" s="189">
        <f t="shared" si="243"/>
        <v>0</v>
      </c>
    </row>
    <row r="867" spans="10:31" x14ac:dyDescent="0.4">
      <c r="J867" s="189" t="str">
        <f t="shared" si="232"/>
        <v/>
      </c>
      <c r="K867" s="189" t="str">
        <f t="shared" si="233"/>
        <v/>
      </c>
      <c r="L867" s="189" t="str">
        <f t="shared" si="234"/>
        <v/>
      </c>
      <c r="M867" s="189" t="str">
        <f t="shared" si="235"/>
        <v/>
      </c>
      <c r="N867" s="76" t="str">
        <f t="shared" si="236"/>
        <v/>
      </c>
      <c r="O867" s="20">
        <f t="shared" si="237"/>
        <v>0</v>
      </c>
      <c r="P867" s="76">
        <f t="shared" si="238"/>
        <v>0</v>
      </c>
      <c r="Q867" s="206">
        <f t="shared" si="228"/>
        <v>0</v>
      </c>
      <c r="R867" s="206">
        <f t="shared" si="229"/>
        <v>0</v>
      </c>
      <c r="S867" s="206">
        <f t="shared" si="230"/>
        <v>0</v>
      </c>
      <c r="T867" s="206">
        <f t="shared" si="231"/>
        <v>0</v>
      </c>
      <c r="AA867" s="71" t="str">
        <f t="shared" si="239"/>
        <v/>
      </c>
      <c r="AB867" s="189">
        <f t="shared" si="240"/>
        <v>0</v>
      </c>
      <c r="AC867" s="189">
        <f t="shared" si="241"/>
        <v>0</v>
      </c>
      <c r="AD867" s="189">
        <f t="shared" si="242"/>
        <v>0</v>
      </c>
      <c r="AE867" s="189">
        <f t="shared" si="243"/>
        <v>0</v>
      </c>
    </row>
    <row r="868" spans="10:31" x14ac:dyDescent="0.4">
      <c r="J868" s="189" t="str">
        <f t="shared" si="232"/>
        <v/>
      </c>
      <c r="K868" s="189" t="str">
        <f t="shared" si="233"/>
        <v/>
      </c>
      <c r="L868" s="189" t="str">
        <f t="shared" si="234"/>
        <v/>
      </c>
      <c r="M868" s="189" t="str">
        <f t="shared" si="235"/>
        <v/>
      </c>
      <c r="N868" s="76" t="str">
        <f t="shared" si="236"/>
        <v/>
      </c>
      <c r="O868" s="20">
        <f t="shared" si="237"/>
        <v>0</v>
      </c>
      <c r="P868" s="76">
        <f t="shared" si="238"/>
        <v>0</v>
      </c>
      <c r="Q868" s="206">
        <f t="shared" si="228"/>
        <v>0</v>
      </c>
      <c r="R868" s="206">
        <f t="shared" si="229"/>
        <v>0</v>
      </c>
      <c r="S868" s="206">
        <f t="shared" si="230"/>
        <v>0</v>
      </c>
      <c r="T868" s="206">
        <f t="shared" si="231"/>
        <v>0</v>
      </c>
      <c r="AA868" s="71" t="str">
        <f t="shared" si="239"/>
        <v/>
      </c>
      <c r="AB868" s="189">
        <f t="shared" si="240"/>
        <v>0</v>
      </c>
      <c r="AC868" s="189">
        <f t="shared" si="241"/>
        <v>0</v>
      </c>
      <c r="AD868" s="189">
        <f t="shared" si="242"/>
        <v>0</v>
      </c>
      <c r="AE868" s="189">
        <f t="shared" si="243"/>
        <v>0</v>
      </c>
    </row>
    <row r="869" spans="10:31" x14ac:dyDescent="0.4">
      <c r="J869" s="189" t="str">
        <f t="shared" si="232"/>
        <v/>
      </c>
      <c r="K869" s="189" t="str">
        <f t="shared" si="233"/>
        <v/>
      </c>
      <c r="L869" s="189" t="str">
        <f t="shared" si="234"/>
        <v/>
      </c>
      <c r="M869" s="189" t="str">
        <f t="shared" si="235"/>
        <v/>
      </c>
      <c r="N869" s="76" t="str">
        <f t="shared" si="236"/>
        <v/>
      </c>
      <c r="O869" s="20">
        <f t="shared" si="237"/>
        <v>0</v>
      </c>
      <c r="P869" s="76">
        <f t="shared" si="238"/>
        <v>0</v>
      </c>
      <c r="Q869" s="206">
        <f t="shared" si="228"/>
        <v>0</v>
      </c>
      <c r="R869" s="206">
        <f t="shared" si="229"/>
        <v>0</v>
      </c>
      <c r="S869" s="206">
        <f t="shared" si="230"/>
        <v>0</v>
      </c>
      <c r="T869" s="206">
        <f t="shared" si="231"/>
        <v>0</v>
      </c>
      <c r="AA869" s="71" t="str">
        <f t="shared" si="239"/>
        <v/>
      </c>
      <c r="AB869" s="189">
        <f t="shared" si="240"/>
        <v>0</v>
      </c>
      <c r="AC869" s="189">
        <f t="shared" si="241"/>
        <v>0</v>
      </c>
      <c r="AD869" s="189">
        <f t="shared" si="242"/>
        <v>0</v>
      </c>
      <c r="AE869" s="189">
        <f t="shared" si="243"/>
        <v>0</v>
      </c>
    </row>
    <row r="870" spans="10:31" x14ac:dyDescent="0.4">
      <c r="J870" s="189" t="str">
        <f t="shared" si="232"/>
        <v/>
      </c>
      <c r="K870" s="189" t="str">
        <f t="shared" si="233"/>
        <v/>
      </c>
      <c r="L870" s="189" t="str">
        <f t="shared" si="234"/>
        <v/>
      </c>
      <c r="M870" s="189" t="str">
        <f t="shared" si="235"/>
        <v/>
      </c>
      <c r="N870" s="76" t="str">
        <f t="shared" si="236"/>
        <v/>
      </c>
      <c r="O870" s="20">
        <f t="shared" si="237"/>
        <v>0</v>
      </c>
      <c r="P870" s="76">
        <f t="shared" si="238"/>
        <v>0</v>
      </c>
      <c r="Q870" s="206">
        <f t="shared" ref="Q870:Q874" si="244">IF(P870=0,0,VALUE(LEFT(C870,LEN(C870)-4)))</f>
        <v>0</v>
      </c>
      <c r="R870" s="206">
        <f t="shared" ref="R870:R874" si="245">IF(Q870=0,0,VALUE(LEFT(D870,LEN(D870)-4)))</f>
        <v>0</v>
      </c>
      <c r="S870" s="206">
        <f t="shared" ref="S870:S874" si="246">IF(R870=0,0,VALUE(LEFT(E870,LEN(E870)-4)))</f>
        <v>0</v>
      </c>
      <c r="T870" s="206">
        <f t="shared" ref="T870:T874" si="247">IF(S870=0,0,VALUE(LEFT(F870,LEN(F870)-7)))</f>
        <v>0</v>
      </c>
      <c r="AA870" s="71" t="str">
        <f t="shared" si="239"/>
        <v/>
      </c>
      <c r="AB870" s="189">
        <f t="shared" si="240"/>
        <v>0</v>
      </c>
      <c r="AC870" s="189">
        <f t="shared" si="241"/>
        <v>0</v>
      </c>
      <c r="AD870" s="189">
        <f t="shared" si="242"/>
        <v>0</v>
      </c>
      <c r="AE870" s="189">
        <f t="shared" si="243"/>
        <v>0</v>
      </c>
    </row>
    <row r="871" spans="10:31" x14ac:dyDescent="0.4">
      <c r="J871" s="189" t="str">
        <f t="shared" si="232"/>
        <v/>
      </c>
      <c r="K871" s="189" t="str">
        <f t="shared" si="233"/>
        <v/>
      </c>
      <c r="L871" s="189" t="str">
        <f t="shared" si="234"/>
        <v/>
      </c>
      <c r="M871" s="189" t="str">
        <f t="shared" si="235"/>
        <v/>
      </c>
      <c r="N871" s="76" t="str">
        <f t="shared" si="236"/>
        <v/>
      </c>
      <c r="O871" s="20">
        <f t="shared" si="237"/>
        <v>0</v>
      </c>
      <c r="P871" s="76">
        <f t="shared" si="238"/>
        <v>0</v>
      </c>
      <c r="Q871" s="206">
        <f t="shared" si="244"/>
        <v>0</v>
      </c>
      <c r="R871" s="206">
        <f t="shared" si="245"/>
        <v>0</v>
      </c>
      <c r="S871" s="206">
        <f t="shared" si="246"/>
        <v>0</v>
      </c>
      <c r="T871" s="206">
        <f t="shared" si="247"/>
        <v>0</v>
      </c>
      <c r="AA871" s="71" t="str">
        <f t="shared" si="239"/>
        <v/>
      </c>
      <c r="AB871" s="189">
        <f t="shared" si="240"/>
        <v>0</v>
      </c>
      <c r="AC871" s="189">
        <f t="shared" si="241"/>
        <v>0</v>
      </c>
      <c r="AD871" s="189">
        <f t="shared" si="242"/>
        <v>0</v>
      </c>
      <c r="AE871" s="189">
        <f t="shared" si="243"/>
        <v>0</v>
      </c>
    </row>
    <row r="872" spans="10:31" x14ac:dyDescent="0.4">
      <c r="J872" s="189" t="str">
        <f t="shared" si="232"/>
        <v/>
      </c>
      <c r="K872" s="189" t="str">
        <f t="shared" si="233"/>
        <v/>
      </c>
      <c r="L872" s="189" t="str">
        <f t="shared" si="234"/>
        <v/>
      </c>
      <c r="M872" s="189" t="str">
        <f t="shared" si="235"/>
        <v/>
      </c>
      <c r="N872" s="76" t="str">
        <f t="shared" si="236"/>
        <v/>
      </c>
      <c r="O872" s="20">
        <f t="shared" si="237"/>
        <v>0</v>
      </c>
      <c r="P872" s="76">
        <f t="shared" si="238"/>
        <v>0</v>
      </c>
      <c r="Q872" s="206">
        <f t="shared" si="244"/>
        <v>0</v>
      </c>
      <c r="R872" s="206">
        <f t="shared" si="245"/>
        <v>0</v>
      </c>
      <c r="S872" s="206">
        <f t="shared" si="246"/>
        <v>0</v>
      </c>
      <c r="T872" s="206">
        <f t="shared" si="247"/>
        <v>0</v>
      </c>
    </row>
    <row r="873" spans="10:31" x14ac:dyDescent="0.4">
      <c r="J873" s="189" t="str">
        <f t="shared" si="232"/>
        <v/>
      </c>
      <c r="K873" s="189" t="str">
        <f t="shared" si="233"/>
        <v/>
      </c>
      <c r="L873" s="189" t="str">
        <f t="shared" si="234"/>
        <v/>
      </c>
      <c r="M873" s="189" t="str">
        <f t="shared" si="235"/>
        <v/>
      </c>
      <c r="N873" s="76" t="str">
        <f t="shared" si="236"/>
        <v/>
      </c>
      <c r="O873" s="20">
        <f t="shared" si="237"/>
        <v>0</v>
      </c>
      <c r="P873" s="76">
        <f t="shared" si="238"/>
        <v>0</v>
      </c>
      <c r="Q873" s="206">
        <f t="shared" si="244"/>
        <v>0</v>
      </c>
      <c r="R873" s="206">
        <f t="shared" si="245"/>
        <v>0</v>
      </c>
      <c r="S873" s="206">
        <f t="shared" si="246"/>
        <v>0</v>
      </c>
      <c r="T873" s="206">
        <f t="shared" si="247"/>
        <v>0</v>
      </c>
    </row>
    <row r="874" spans="10:31" x14ac:dyDescent="0.4">
      <c r="J874" s="189" t="str">
        <f t="shared" si="232"/>
        <v/>
      </c>
      <c r="K874" s="189" t="str">
        <f t="shared" si="233"/>
        <v/>
      </c>
      <c r="L874" s="189" t="str">
        <f t="shared" si="234"/>
        <v/>
      </c>
      <c r="M874" s="189" t="str">
        <f t="shared" si="235"/>
        <v/>
      </c>
      <c r="N874" s="76" t="str">
        <f t="shared" si="236"/>
        <v/>
      </c>
      <c r="O874" s="20">
        <f t="shared" si="237"/>
        <v>0</v>
      </c>
      <c r="P874" s="76">
        <f t="shared" si="238"/>
        <v>0</v>
      </c>
      <c r="Q874" s="206">
        <f t="shared" si="244"/>
        <v>0</v>
      </c>
      <c r="R874" s="206">
        <f t="shared" si="245"/>
        <v>0</v>
      </c>
      <c r="S874" s="206">
        <f t="shared" si="246"/>
        <v>0</v>
      </c>
      <c r="T874" s="206">
        <f t="shared" si="247"/>
        <v>0</v>
      </c>
    </row>
  </sheetData>
  <autoFilter ref="AA36:AE874" xr:uid="{00000000-0009-0000-0000-000014000000}"/>
  <conditionalFormatting sqref="J37:J42 J44:J874">
    <cfRule type="cellIs" dxfId="142" priority="6" operator="equal">
      <formula>14</formula>
    </cfRule>
  </conditionalFormatting>
  <conditionalFormatting sqref="J43">
    <cfRule type="cellIs" dxfId="141" priority="5" operator="equal">
      <formula>14</formula>
    </cfRule>
  </conditionalFormatting>
  <conditionalFormatting sqref="AB34:AE36">
    <cfRule type="cellIs" dxfId="140" priority="4" operator="greaterThan">
      <formula>0</formula>
    </cfRule>
  </conditionalFormatting>
  <conditionalFormatting sqref="AB1:AE1048576">
    <cfRule type="cellIs" dxfId="139" priority="3" operator="greaterThan">
      <formula>0</formula>
    </cfRule>
  </conditionalFormatting>
  <conditionalFormatting sqref="AB63:AE255">
    <cfRule type="cellIs" dxfId="138" priority="2" operator="lessThan">
      <formula>0</formula>
    </cfRule>
  </conditionalFormatting>
  <conditionalFormatting sqref="AH37:AK61">
    <cfRule type="cellIs" dxfId="137" priority="1" operator="lessThan">
      <formula>0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4"/>
  <dimension ref="A1:D173"/>
  <sheetViews>
    <sheetView workbookViewId="0">
      <selection activeCell="G9" sqref="G9"/>
    </sheetView>
  </sheetViews>
  <sheetFormatPr baseColWidth="10" defaultRowHeight="14.4" x14ac:dyDescent="0.3"/>
  <cols>
    <col min="1" max="1" width="11.44140625" style="205"/>
    <col min="3" max="4" width="11.44140625" style="120"/>
  </cols>
  <sheetData>
    <row r="1" spans="1:4" x14ac:dyDescent="0.3">
      <c r="A1" s="205" t="s">
        <v>1151</v>
      </c>
      <c r="B1" t="s">
        <v>1152</v>
      </c>
      <c r="C1" s="120" t="s">
        <v>1135</v>
      </c>
      <c r="D1" s="120" t="s">
        <v>1153</v>
      </c>
    </row>
    <row r="2" spans="1:4" x14ac:dyDescent="0.3">
      <c r="A2" s="205">
        <v>0.15</v>
      </c>
      <c r="B2" t="e">
        <f>IF(FIND("6",A2,3),A2+0.4,0)</f>
        <v>#VALUE!</v>
      </c>
      <c r="C2" s="120">
        <v>0.25</v>
      </c>
      <c r="D2" s="120">
        <f>A2</f>
        <v>0.15</v>
      </c>
    </row>
    <row r="3" spans="1:4" x14ac:dyDescent="0.3">
      <c r="A3" s="205">
        <f>A2+0.15</f>
        <v>0.3</v>
      </c>
      <c r="B3" s="204" t="e">
        <f t="shared" ref="B3:B66" si="0">IF(FIND("6",A3,3),A3+0.4,0)</f>
        <v>#VALUE!</v>
      </c>
      <c r="C3" s="120">
        <f>C2+0.25</f>
        <v>0.5</v>
      </c>
      <c r="D3" s="120">
        <f t="shared" ref="D3:D66" si="1">A3</f>
        <v>0.3</v>
      </c>
    </row>
    <row r="4" spans="1:4" x14ac:dyDescent="0.3">
      <c r="A4" s="205">
        <f t="shared" ref="A4:A5" si="2">A3+0.15</f>
        <v>0.44999999999999996</v>
      </c>
      <c r="B4" s="204" t="e">
        <f t="shared" si="0"/>
        <v>#VALUE!</v>
      </c>
      <c r="C4" s="120">
        <f t="shared" ref="C4:C67" si="3">C3+0.25</f>
        <v>0.75</v>
      </c>
      <c r="D4" s="120">
        <f t="shared" si="1"/>
        <v>0.44999999999999996</v>
      </c>
    </row>
    <row r="5" spans="1:4" x14ac:dyDescent="0.3">
      <c r="A5" s="205">
        <f t="shared" si="2"/>
        <v>0.6</v>
      </c>
      <c r="B5" s="204">
        <f t="shared" si="0"/>
        <v>1</v>
      </c>
      <c r="C5" s="120">
        <f t="shared" si="3"/>
        <v>1</v>
      </c>
      <c r="D5" s="120">
        <f>IF(FIND("6",A5,3),A5+0.4,0)</f>
        <v>1</v>
      </c>
    </row>
    <row r="6" spans="1:4" x14ac:dyDescent="0.3">
      <c r="A6" s="205">
        <f>A2+1</f>
        <v>1.1499999999999999</v>
      </c>
      <c r="B6" s="204" t="e">
        <f t="shared" si="0"/>
        <v>#VALUE!</v>
      </c>
      <c r="C6" s="120">
        <f t="shared" si="3"/>
        <v>1.25</v>
      </c>
      <c r="D6" s="120">
        <f t="shared" si="1"/>
        <v>1.1499999999999999</v>
      </c>
    </row>
    <row r="7" spans="1:4" x14ac:dyDescent="0.3">
      <c r="A7" s="205">
        <f t="shared" ref="A7:A70" si="4">A3+1</f>
        <v>1.3</v>
      </c>
      <c r="B7" s="204" t="e">
        <f t="shared" si="0"/>
        <v>#VALUE!</v>
      </c>
      <c r="C7" s="120">
        <f t="shared" si="3"/>
        <v>1.5</v>
      </c>
      <c r="D7" s="120">
        <f t="shared" si="1"/>
        <v>1.3</v>
      </c>
    </row>
    <row r="8" spans="1:4" x14ac:dyDescent="0.3">
      <c r="A8" s="205">
        <f t="shared" si="4"/>
        <v>1.45</v>
      </c>
      <c r="B8" s="204" t="e">
        <f t="shared" si="0"/>
        <v>#VALUE!</v>
      </c>
      <c r="C8" s="120">
        <f t="shared" si="3"/>
        <v>1.75</v>
      </c>
      <c r="D8" s="120">
        <f t="shared" si="1"/>
        <v>1.45</v>
      </c>
    </row>
    <row r="9" spans="1:4" x14ac:dyDescent="0.3">
      <c r="A9" s="205">
        <f t="shared" si="4"/>
        <v>1.6</v>
      </c>
      <c r="B9" s="204">
        <f t="shared" si="0"/>
        <v>2</v>
      </c>
      <c r="C9" s="120">
        <f t="shared" si="3"/>
        <v>2</v>
      </c>
      <c r="D9" s="120">
        <f>IF(FIND("6",A9,3),A9+0.4,0)</f>
        <v>2</v>
      </c>
    </row>
    <row r="10" spans="1:4" x14ac:dyDescent="0.3">
      <c r="A10" s="205">
        <f t="shared" si="4"/>
        <v>2.15</v>
      </c>
      <c r="B10" s="204" t="e">
        <f t="shared" si="0"/>
        <v>#VALUE!</v>
      </c>
      <c r="C10" s="120">
        <f t="shared" si="3"/>
        <v>2.25</v>
      </c>
      <c r="D10" s="120">
        <f t="shared" si="1"/>
        <v>2.15</v>
      </c>
    </row>
    <row r="11" spans="1:4" x14ac:dyDescent="0.3">
      <c r="A11" s="205">
        <f t="shared" si="4"/>
        <v>2.2999999999999998</v>
      </c>
      <c r="B11" s="204" t="e">
        <f t="shared" si="0"/>
        <v>#VALUE!</v>
      </c>
      <c r="C11" s="120">
        <f t="shared" si="3"/>
        <v>2.5</v>
      </c>
      <c r="D11" s="120">
        <f t="shared" si="1"/>
        <v>2.2999999999999998</v>
      </c>
    </row>
    <row r="12" spans="1:4" x14ac:dyDescent="0.3">
      <c r="A12" s="205">
        <f t="shared" si="4"/>
        <v>2.4500000000000002</v>
      </c>
      <c r="B12" s="204" t="e">
        <f t="shared" si="0"/>
        <v>#VALUE!</v>
      </c>
      <c r="C12" s="120">
        <f t="shared" si="3"/>
        <v>2.75</v>
      </c>
      <c r="D12" s="120">
        <f t="shared" si="1"/>
        <v>2.4500000000000002</v>
      </c>
    </row>
    <row r="13" spans="1:4" x14ac:dyDescent="0.3">
      <c r="A13" s="205">
        <f t="shared" si="4"/>
        <v>2.6</v>
      </c>
      <c r="B13" s="204">
        <f t="shared" si="0"/>
        <v>3</v>
      </c>
      <c r="C13" s="120">
        <f t="shared" si="3"/>
        <v>3</v>
      </c>
      <c r="D13" s="120">
        <f>IF(FIND("6",A13,3),A13+0.4,0)</f>
        <v>3</v>
      </c>
    </row>
    <row r="14" spans="1:4" x14ac:dyDescent="0.3">
      <c r="A14" s="205">
        <f t="shared" si="4"/>
        <v>3.15</v>
      </c>
      <c r="B14" s="204" t="e">
        <f t="shared" si="0"/>
        <v>#VALUE!</v>
      </c>
      <c r="C14" s="120">
        <f t="shared" si="3"/>
        <v>3.25</v>
      </c>
      <c r="D14" s="120">
        <f t="shared" si="1"/>
        <v>3.15</v>
      </c>
    </row>
    <row r="15" spans="1:4" x14ac:dyDescent="0.3">
      <c r="A15" s="205">
        <f t="shared" si="4"/>
        <v>3.3</v>
      </c>
      <c r="B15" s="204" t="e">
        <f t="shared" si="0"/>
        <v>#VALUE!</v>
      </c>
      <c r="C15" s="120">
        <f t="shared" si="3"/>
        <v>3.5</v>
      </c>
      <c r="D15" s="120">
        <f t="shared" si="1"/>
        <v>3.3</v>
      </c>
    </row>
    <row r="16" spans="1:4" x14ac:dyDescent="0.3">
      <c r="A16" s="205">
        <f t="shared" si="4"/>
        <v>3.45</v>
      </c>
      <c r="B16" s="204" t="e">
        <f t="shared" si="0"/>
        <v>#VALUE!</v>
      </c>
      <c r="C16" s="120">
        <f t="shared" si="3"/>
        <v>3.75</v>
      </c>
      <c r="D16" s="120">
        <f t="shared" si="1"/>
        <v>3.45</v>
      </c>
    </row>
    <row r="17" spans="1:4" x14ac:dyDescent="0.3">
      <c r="A17" s="205">
        <f t="shared" si="4"/>
        <v>3.6</v>
      </c>
      <c r="B17" s="204">
        <f t="shared" si="0"/>
        <v>4</v>
      </c>
      <c r="C17" s="120">
        <f t="shared" si="3"/>
        <v>4</v>
      </c>
      <c r="D17" s="120">
        <f>IF(FIND("6",A17,3),A17+0.4,0)</f>
        <v>4</v>
      </c>
    </row>
    <row r="18" spans="1:4" x14ac:dyDescent="0.3">
      <c r="A18" s="205">
        <f t="shared" si="4"/>
        <v>4.1500000000000004</v>
      </c>
      <c r="B18" s="204" t="e">
        <f t="shared" si="0"/>
        <v>#VALUE!</v>
      </c>
      <c r="C18" s="120">
        <f t="shared" si="3"/>
        <v>4.25</v>
      </c>
      <c r="D18" s="120">
        <f t="shared" si="1"/>
        <v>4.1500000000000004</v>
      </c>
    </row>
    <row r="19" spans="1:4" x14ac:dyDescent="0.3">
      <c r="A19" s="205">
        <f t="shared" si="4"/>
        <v>4.3</v>
      </c>
      <c r="B19" s="204" t="e">
        <f t="shared" si="0"/>
        <v>#VALUE!</v>
      </c>
      <c r="C19" s="120">
        <f t="shared" si="3"/>
        <v>4.5</v>
      </c>
      <c r="D19" s="120">
        <f t="shared" si="1"/>
        <v>4.3</v>
      </c>
    </row>
    <row r="20" spans="1:4" x14ac:dyDescent="0.3">
      <c r="A20" s="205">
        <f t="shared" si="4"/>
        <v>4.45</v>
      </c>
      <c r="B20" s="204" t="e">
        <f t="shared" si="0"/>
        <v>#VALUE!</v>
      </c>
      <c r="C20" s="120">
        <f t="shared" si="3"/>
        <v>4.75</v>
      </c>
      <c r="D20" s="120">
        <f t="shared" si="1"/>
        <v>4.45</v>
      </c>
    </row>
    <row r="21" spans="1:4" x14ac:dyDescent="0.3">
      <c r="A21" s="205">
        <f t="shared" si="4"/>
        <v>4.5999999999999996</v>
      </c>
      <c r="B21" s="204">
        <f t="shared" si="0"/>
        <v>5</v>
      </c>
      <c r="C21" s="120">
        <f t="shared" si="3"/>
        <v>5</v>
      </c>
      <c r="D21" s="120">
        <f>IF(FIND("6",A21,3),A21+0.4,0)</f>
        <v>5</v>
      </c>
    </row>
    <row r="22" spans="1:4" x14ac:dyDescent="0.3">
      <c r="A22" s="205">
        <f t="shared" si="4"/>
        <v>5.15</v>
      </c>
      <c r="B22" s="204" t="e">
        <f t="shared" si="0"/>
        <v>#VALUE!</v>
      </c>
      <c r="C22" s="120">
        <f t="shared" si="3"/>
        <v>5.25</v>
      </c>
      <c r="D22" s="120">
        <f t="shared" si="1"/>
        <v>5.15</v>
      </c>
    </row>
    <row r="23" spans="1:4" x14ac:dyDescent="0.3">
      <c r="A23" s="205">
        <f t="shared" si="4"/>
        <v>5.3</v>
      </c>
      <c r="B23" s="204" t="e">
        <f t="shared" si="0"/>
        <v>#VALUE!</v>
      </c>
      <c r="C23" s="120">
        <f t="shared" si="3"/>
        <v>5.5</v>
      </c>
      <c r="D23" s="120">
        <f t="shared" si="1"/>
        <v>5.3</v>
      </c>
    </row>
    <row r="24" spans="1:4" x14ac:dyDescent="0.3">
      <c r="A24" s="205">
        <f t="shared" si="4"/>
        <v>5.45</v>
      </c>
      <c r="B24" s="204" t="e">
        <f t="shared" si="0"/>
        <v>#VALUE!</v>
      </c>
      <c r="C24" s="120">
        <f t="shared" si="3"/>
        <v>5.75</v>
      </c>
      <c r="D24" s="120">
        <f t="shared" si="1"/>
        <v>5.45</v>
      </c>
    </row>
    <row r="25" spans="1:4" x14ac:dyDescent="0.3">
      <c r="A25" s="205">
        <f t="shared" si="4"/>
        <v>5.6</v>
      </c>
      <c r="B25" s="204">
        <f t="shared" si="0"/>
        <v>6</v>
      </c>
      <c r="C25" s="120">
        <f t="shared" si="3"/>
        <v>6</v>
      </c>
      <c r="D25" s="120">
        <f>IF(FIND("6",A25,3),A25+0.4,0)</f>
        <v>6</v>
      </c>
    </row>
    <row r="26" spans="1:4" x14ac:dyDescent="0.3">
      <c r="A26" s="205">
        <f t="shared" si="4"/>
        <v>6.15</v>
      </c>
      <c r="B26" s="204" t="e">
        <f t="shared" si="0"/>
        <v>#VALUE!</v>
      </c>
      <c r="C26" s="120">
        <f t="shared" si="3"/>
        <v>6.25</v>
      </c>
      <c r="D26" s="120">
        <f t="shared" si="1"/>
        <v>6.15</v>
      </c>
    </row>
    <row r="27" spans="1:4" x14ac:dyDescent="0.3">
      <c r="A27" s="205">
        <f t="shared" si="4"/>
        <v>6.3</v>
      </c>
      <c r="B27" s="204" t="e">
        <f t="shared" si="0"/>
        <v>#VALUE!</v>
      </c>
      <c r="C27" s="120">
        <f t="shared" si="3"/>
        <v>6.5</v>
      </c>
      <c r="D27" s="120">
        <f t="shared" si="1"/>
        <v>6.3</v>
      </c>
    </row>
    <row r="28" spans="1:4" x14ac:dyDescent="0.3">
      <c r="A28" s="205">
        <f t="shared" si="4"/>
        <v>6.45</v>
      </c>
      <c r="B28" s="204" t="e">
        <f t="shared" si="0"/>
        <v>#VALUE!</v>
      </c>
      <c r="C28" s="120">
        <f t="shared" si="3"/>
        <v>6.75</v>
      </c>
      <c r="D28" s="120">
        <f t="shared" si="1"/>
        <v>6.45</v>
      </c>
    </row>
    <row r="29" spans="1:4" x14ac:dyDescent="0.3">
      <c r="A29" s="205">
        <f t="shared" si="4"/>
        <v>6.6</v>
      </c>
      <c r="B29" s="204">
        <f t="shared" si="0"/>
        <v>7</v>
      </c>
      <c r="C29" s="120">
        <f t="shared" si="3"/>
        <v>7</v>
      </c>
      <c r="D29" s="120">
        <f>IF(FIND("6",A29,3),A29+0.4,0)</f>
        <v>7</v>
      </c>
    </row>
    <row r="30" spans="1:4" x14ac:dyDescent="0.3">
      <c r="A30" s="205">
        <f t="shared" si="4"/>
        <v>7.15</v>
      </c>
      <c r="B30" s="204" t="e">
        <f t="shared" si="0"/>
        <v>#VALUE!</v>
      </c>
      <c r="C30" s="120">
        <f t="shared" si="3"/>
        <v>7.25</v>
      </c>
      <c r="D30" s="120">
        <f t="shared" si="1"/>
        <v>7.15</v>
      </c>
    </row>
    <row r="31" spans="1:4" x14ac:dyDescent="0.3">
      <c r="A31" s="205">
        <f t="shared" si="4"/>
        <v>7.3</v>
      </c>
      <c r="B31" s="204" t="e">
        <f t="shared" si="0"/>
        <v>#VALUE!</v>
      </c>
      <c r="C31" s="120">
        <f t="shared" si="3"/>
        <v>7.5</v>
      </c>
      <c r="D31" s="120">
        <f t="shared" si="1"/>
        <v>7.3</v>
      </c>
    </row>
    <row r="32" spans="1:4" x14ac:dyDescent="0.3">
      <c r="A32" s="205">
        <f t="shared" si="4"/>
        <v>7.45</v>
      </c>
      <c r="B32" s="204" t="e">
        <f t="shared" si="0"/>
        <v>#VALUE!</v>
      </c>
      <c r="C32" s="120">
        <f t="shared" si="3"/>
        <v>7.75</v>
      </c>
      <c r="D32" s="120">
        <f t="shared" si="1"/>
        <v>7.45</v>
      </c>
    </row>
    <row r="33" spans="1:4" x14ac:dyDescent="0.3">
      <c r="A33" s="205">
        <f t="shared" si="4"/>
        <v>7.6</v>
      </c>
      <c r="B33" s="204">
        <f t="shared" si="0"/>
        <v>8</v>
      </c>
      <c r="C33" s="120">
        <f t="shared" si="3"/>
        <v>8</v>
      </c>
      <c r="D33" s="120">
        <f>IF(FIND("6",A33,3),A33+0.4,0)</f>
        <v>8</v>
      </c>
    </row>
    <row r="34" spans="1:4" x14ac:dyDescent="0.3">
      <c r="A34" s="205">
        <f t="shared" si="4"/>
        <v>8.15</v>
      </c>
      <c r="B34" s="204" t="e">
        <f t="shared" si="0"/>
        <v>#VALUE!</v>
      </c>
      <c r="C34" s="120">
        <f t="shared" si="3"/>
        <v>8.25</v>
      </c>
      <c r="D34" s="120">
        <f t="shared" si="1"/>
        <v>8.15</v>
      </c>
    </row>
    <row r="35" spans="1:4" x14ac:dyDescent="0.3">
      <c r="A35" s="205">
        <f t="shared" si="4"/>
        <v>8.3000000000000007</v>
      </c>
      <c r="B35" s="204" t="e">
        <f t="shared" si="0"/>
        <v>#VALUE!</v>
      </c>
      <c r="C35" s="120">
        <f t="shared" si="3"/>
        <v>8.5</v>
      </c>
      <c r="D35" s="120">
        <f t="shared" si="1"/>
        <v>8.3000000000000007</v>
      </c>
    </row>
    <row r="36" spans="1:4" x14ac:dyDescent="0.3">
      <c r="A36" s="205">
        <f t="shared" si="4"/>
        <v>8.4499999999999993</v>
      </c>
      <c r="B36" s="204" t="e">
        <f t="shared" si="0"/>
        <v>#VALUE!</v>
      </c>
      <c r="C36" s="120">
        <f t="shared" si="3"/>
        <v>8.75</v>
      </c>
      <c r="D36" s="120">
        <f t="shared" si="1"/>
        <v>8.4499999999999993</v>
      </c>
    </row>
    <row r="37" spans="1:4" x14ac:dyDescent="0.3">
      <c r="A37" s="205">
        <f t="shared" si="4"/>
        <v>8.6</v>
      </c>
      <c r="B37" s="204">
        <f t="shared" si="0"/>
        <v>9</v>
      </c>
      <c r="C37" s="120">
        <f t="shared" si="3"/>
        <v>9</v>
      </c>
      <c r="D37" s="120">
        <f>IF(FIND("6",A37,3),A37+0.4,0)</f>
        <v>9</v>
      </c>
    </row>
    <row r="38" spans="1:4" x14ac:dyDescent="0.3">
      <c r="A38" s="205">
        <f t="shared" si="4"/>
        <v>9.15</v>
      </c>
      <c r="B38" s="204" t="e">
        <f t="shared" si="0"/>
        <v>#VALUE!</v>
      </c>
      <c r="C38" s="120">
        <f t="shared" si="3"/>
        <v>9.25</v>
      </c>
      <c r="D38" s="120">
        <f t="shared" si="1"/>
        <v>9.15</v>
      </c>
    </row>
    <row r="39" spans="1:4" x14ac:dyDescent="0.3">
      <c r="A39" s="205">
        <f t="shared" si="4"/>
        <v>9.3000000000000007</v>
      </c>
      <c r="B39" s="204" t="e">
        <f t="shared" si="0"/>
        <v>#VALUE!</v>
      </c>
      <c r="C39" s="120">
        <f t="shared" si="3"/>
        <v>9.5</v>
      </c>
      <c r="D39" s="120">
        <f t="shared" si="1"/>
        <v>9.3000000000000007</v>
      </c>
    </row>
    <row r="40" spans="1:4" x14ac:dyDescent="0.3">
      <c r="A40" s="205">
        <f t="shared" si="4"/>
        <v>9.4499999999999993</v>
      </c>
      <c r="B40" s="204" t="e">
        <f t="shared" si="0"/>
        <v>#VALUE!</v>
      </c>
      <c r="C40" s="120">
        <f t="shared" si="3"/>
        <v>9.75</v>
      </c>
      <c r="D40" s="120">
        <f t="shared" si="1"/>
        <v>9.4499999999999993</v>
      </c>
    </row>
    <row r="41" spans="1:4" x14ac:dyDescent="0.3">
      <c r="A41" s="205">
        <f t="shared" si="4"/>
        <v>9.6</v>
      </c>
      <c r="B41" s="204">
        <f t="shared" si="0"/>
        <v>10</v>
      </c>
      <c r="C41" s="120">
        <f t="shared" si="3"/>
        <v>10</v>
      </c>
      <c r="D41" s="120">
        <f>IF(FIND("6",A41,3),A41+0.4,0)</f>
        <v>10</v>
      </c>
    </row>
    <row r="42" spans="1:4" x14ac:dyDescent="0.3">
      <c r="A42" s="205">
        <f t="shared" si="4"/>
        <v>10.15</v>
      </c>
      <c r="B42" s="204" t="e">
        <f t="shared" si="0"/>
        <v>#VALUE!</v>
      </c>
      <c r="C42" s="120">
        <f t="shared" si="3"/>
        <v>10.25</v>
      </c>
      <c r="D42" s="120">
        <f t="shared" si="1"/>
        <v>10.15</v>
      </c>
    </row>
    <row r="43" spans="1:4" x14ac:dyDescent="0.3">
      <c r="A43" s="205">
        <f t="shared" si="4"/>
        <v>10.3</v>
      </c>
      <c r="B43" s="204" t="e">
        <f t="shared" si="0"/>
        <v>#VALUE!</v>
      </c>
      <c r="C43" s="120">
        <f t="shared" si="3"/>
        <v>10.5</v>
      </c>
      <c r="D43" s="120">
        <f t="shared" si="1"/>
        <v>10.3</v>
      </c>
    </row>
    <row r="44" spans="1:4" x14ac:dyDescent="0.3">
      <c r="A44" s="205">
        <f t="shared" si="4"/>
        <v>10.45</v>
      </c>
      <c r="B44" s="204" t="e">
        <f t="shared" si="0"/>
        <v>#VALUE!</v>
      </c>
      <c r="C44" s="120">
        <f t="shared" si="3"/>
        <v>10.75</v>
      </c>
      <c r="D44" s="120">
        <f t="shared" si="1"/>
        <v>10.45</v>
      </c>
    </row>
    <row r="45" spans="1:4" x14ac:dyDescent="0.3">
      <c r="A45" s="205">
        <f t="shared" si="4"/>
        <v>10.6</v>
      </c>
      <c r="B45" s="204">
        <f t="shared" si="0"/>
        <v>11</v>
      </c>
      <c r="C45" s="120">
        <f t="shared" si="3"/>
        <v>11</v>
      </c>
      <c r="D45" s="120">
        <f>IF(FIND("6",A45,3),A45+0.4,0)</f>
        <v>11</v>
      </c>
    </row>
    <row r="46" spans="1:4" x14ac:dyDescent="0.3">
      <c r="A46" s="205">
        <f t="shared" si="4"/>
        <v>11.15</v>
      </c>
      <c r="B46" s="204" t="e">
        <f t="shared" si="0"/>
        <v>#VALUE!</v>
      </c>
      <c r="C46" s="120">
        <f t="shared" si="3"/>
        <v>11.25</v>
      </c>
      <c r="D46" s="120">
        <f t="shared" si="1"/>
        <v>11.15</v>
      </c>
    </row>
    <row r="47" spans="1:4" x14ac:dyDescent="0.3">
      <c r="A47" s="205">
        <f t="shared" si="4"/>
        <v>11.3</v>
      </c>
      <c r="B47" s="204" t="e">
        <f t="shared" si="0"/>
        <v>#VALUE!</v>
      </c>
      <c r="C47" s="120">
        <f t="shared" si="3"/>
        <v>11.5</v>
      </c>
      <c r="D47" s="120">
        <f t="shared" si="1"/>
        <v>11.3</v>
      </c>
    </row>
    <row r="48" spans="1:4" x14ac:dyDescent="0.3">
      <c r="A48" s="205">
        <f t="shared" si="4"/>
        <v>11.45</v>
      </c>
      <c r="B48" s="204" t="e">
        <f t="shared" si="0"/>
        <v>#VALUE!</v>
      </c>
      <c r="C48" s="120">
        <f t="shared" si="3"/>
        <v>11.75</v>
      </c>
      <c r="D48" s="120">
        <f t="shared" si="1"/>
        <v>11.45</v>
      </c>
    </row>
    <row r="49" spans="1:4" x14ac:dyDescent="0.3">
      <c r="A49" s="205">
        <f t="shared" si="4"/>
        <v>11.6</v>
      </c>
      <c r="B49" s="204">
        <f t="shared" si="0"/>
        <v>12</v>
      </c>
      <c r="C49" s="120">
        <f t="shared" si="3"/>
        <v>12</v>
      </c>
      <c r="D49" s="120">
        <f>IF(FIND("6",A49,3),A49+0.4,0)</f>
        <v>12</v>
      </c>
    </row>
    <row r="50" spans="1:4" x14ac:dyDescent="0.3">
      <c r="A50" s="205">
        <f t="shared" si="4"/>
        <v>12.15</v>
      </c>
      <c r="B50" s="204" t="e">
        <f t="shared" si="0"/>
        <v>#VALUE!</v>
      </c>
      <c r="C50" s="120">
        <f t="shared" si="3"/>
        <v>12.25</v>
      </c>
      <c r="D50" s="120">
        <f t="shared" si="1"/>
        <v>12.15</v>
      </c>
    </row>
    <row r="51" spans="1:4" x14ac:dyDescent="0.3">
      <c r="A51" s="205">
        <f t="shared" si="4"/>
        <v>12.3</v>
      </c>
      <c r="B51" s="204" t="e">
        <f t="shared" si="0"/>
        <v>#VALUE!</v>
      </c>
      <c r="C51" s="120">
        <f t="shared" si="3"/>
        <v>12.5</v>
      </c>
      <c r="D51" s="120">
        <f t="shared" si="1"/>
        <v>12.3</v>
      </c>
    </row>
    <row r="52" spans="1:4" x14ac:dyDescent="0.3">
      <c r="A52" s="205">
        <f t="shared" si="4"/>
        <v>12.45</v>
      </c>
      <c r="B52" s="204" t="e">
        <f t="shared" si="0"/>
        <v>#VALUE!</v>
      </c>
      <c r="C52" s="120">
        <f t="shared" si="3"/>
        <v>12.75</v>
      </c>
      <c r="D52" s="120">
        <f t="shared" si="1"/>
        <v>12.45</v>
      </c>
    </row>
    <row r="53" spans="1:4" x14ac:dyDescent="0.3">
      <c r="A53" s="205">
        <f t="shared" si="4"/>
        <v>12.6</v>
      </c>
      <c r="B53" s="204">
        <f t="shared" si="0"/>
        <v>13</v>
      </c>
      <c r="C53" s="120">
        <f t="shared" si="3"/>
        <v>13</v>
      </c>
      <c r="D53" s="120">
        <f>IF(FIND("6",A53,3),A53+0.4,0)</f>
        <v>13</v>
      </c>
    </row>
    <row r="54" spans="1:4" x14ac:dyDescent="0.3">
      <c r="A54" s="205">
        <f t="shared" si="4"/>
        <v>13.15</v>
      </c>
      <c r="B54" s="204" t="e">
        <f t="shared" si="0"/>
        <v>#VALUE!</v>
      </c>
      <c r="C54" s="120">
        <f t="shared" si="3"/>
        <v>13.25</v>
      </c>
      <c r="D54" s="120">
        <f t="shared" si="1"/>
        <v>13.15</v>
      </c>
    </row>
    <row r="55" spans="1:4" x14ac:dyDescent="0.3">
      <c r="A55" s="205">
        <f t="shared" si="4"/>
        <v>13.3</v>
      </c>
      <c r="B55" s="204" t="e">
        <f t="shared" si="0"/>
        <v>#VALUE!</v>
      </c>
      <c r="C55" s="120">
        <f t="shared" si="3"/>
        <v>13.5</v>
      </c>
      <c r="D55" s="120">
        <f t="shared" si="1"/>
        <v>13.3</v>
      </c>
    </row>
    <row r="56" spans="1:4" x14ac:dyDescent="0.3">
      <c r="A56" s="205">
        <f t="shared" si="4"/>
        <v>13.45</v>
      </c>
      <c r="B56" s="204" t="e">
        <f t="shared" si="0"/>
        <v>#VALUE!</v>
      </c>
      <c r="C56" s="120">
        <f t="shared" si="3"/>
        <v>13.75</v>
      </c>
      <c r="D56" s="120">
        <f t="shared" si="1"/>
        <v>13.45</v>
      </c>
    </row>
    <row r="57" spans="1:4" x14ac:dyDescent="0.3">
      <c r="A57" s="205">
        <f t="shared" si="4"/>
        <v>13.6</v>
      </c>
      <c r="B57" s="204">
        <f t="shared" si="0"/>
        <v>14</v>
      </c>
      <c r="C57" s="120">
        <f t="shared" si="3"/>
        <v>14</v>
      </c>
      <c r="D57" s="120">
        <f>IF(FIND("6",A57,3),A57+0.4,0)</f>
        <v>14</v>
      </c>
    </row>
    <row r="58" spans="1:4" x14ac:dyDescent="0.3">
      <c r="A58" s="205">
        <f t="shared" si="4"/>
        <v>14.15</v>
      </c>
      <c r="B58" s="204" t="e">
        <f t="shared" si="0"/>
        <v>#VALUE!</v>
      </c>
      <c r="C58" s="120">
        <f t="shared" si="3"/>
        <v>14.25</v>
      </c>
      <c r="D58" s="120">
        <f t="shared" si="1"/>
        <v>14.15</v>
      </c>
    </row>
    <row r="59" spans="1:4" x14ac:dyDescent="0.3">
      <c r="A59" s="205">
        <f t="shared" si="4"/>
        <v>14.3</v>
      </c>
      <c r="B59" s="204" t="e">
        <f t="shared" si="0"/>
        <v>#VALUE!</v>
      </c>
      <c r="C59" s="120">
        <f t="shared" si="3"/>
        <v>14.5</v>
      </c>
      <c r="D59" s="120">
        <f t="shared" si="1"/>
        <v>14.3</v>
      </c>
    </row>
    <row r="60" spans="1:4" x14ac:dyDescent="0.3">
      <c r="A60" s="205">
        <f t="shared" si="4"/>
        <v>14.45</v>
      </c>
      <c r="B60" s="204" t="e">
        <f t="shared" si="0"/>
        <v>#VALUE!</v>
      </c>
      <c r="C60" s="120">
        <f t="shared" si="3"/>
        <v>14.75</v>
      </c>
      <c r="D60" s="120">
        <f t="shared" si="1"/>
        <v>14.45</v>
      </c>
    </row>
    <row r="61" spans="1:4" x14ac:dyDescent="0.3">
      <c r="A61" s="205">
        <f t="shared" si="4"/>
        <v>14.6</v>
      </c>
      <c r="B61" s="204">
        <f t="shared" si="0"/>
        <v>15</v>
      </c>
      <c r="C61" s="120">
        <f t="shared" si="3"/>
        <v>15</v>
      </c>
      <c r="D61" s="120">
        <f>IF(FIND("6",A61,3),A61+0.4,0)</f>
        <v>15</v>
      </c>
    </row>
    <row r="62" spans="1:4" x14ac:dyDescent="0.3">
      <c r="A62" s="205">
        <f t="shared" si="4"/>
        <v>15.15</v>
      </c>
      <c r="B62" s="204" t="e">
        <f t="shared" si="0"/>
        <v>#VALUE!</v>
      </c>
      <c r="C62" s="120">
        <f t="shared" si="3"/>
        <v>15.25</v>
      </c>
      <c r="D62" s="120">
        <f t="shared" si="1"/>
        <v>15.15</v>
      </c>
    </row>
    <row r="63" spans="1:4" x14ac:dyDescent="0.3">
      <c r="A63" s="205">
        <f t="shared" si="4"/>
        <v>15.3</v>
      </c>
      <c r="B63" s="204" t="e">
        <f t="shared" si="0"/>
        <v>#VALUE!</v>
      </c>
      <c r="C63" s="120">
        <f t="shared" si="3"/>
        <v>15.5</v>
      </c>
      <c r="D63" s="120">
        <f t="shared" si="1"/>
        <v>15.3</v>
      </c>
    </row>
    <row r="64" spans="1:4" x14ac:dyDescent="0.3">
      <c r="A64" s="205">
        <f t="shared" si="4"/>
        <v>15.45</v>
      </c>
      <c r="B64" s="204" t="e">
        <f t="shared" si="0"/>
        <v>#VALUE!</v>
      </c>
      <c r="C64" s="120">
        <f t="shared" si="3"/>
        <v>15.75</v>
      </c>
      <c r="D64" s="120">
        <f t="shared" si="1"/>
        <v>15.45</v>
      </c>
    </row>
    <row r="65" spans="1:4" x14ac:dyDescent="0.3">
      <c r="A65" s="205">
        <f t="shared" si="4"/>
        <v>15.6</v>
      </c>
      <c r="B65" s="204">
        <f t="shared" si="0"/>
        <v>16</v>
      </c>
      <c r="C65" s="120">
        <f t="shared" si="3"/>
        <v>16</v>
      </c>
      <c r="D65" s="120">
        <f>IF(FIND("6",A65,3),A65+0.4,0)</f>
        <v>16</v>
      </c>
    </row>
    <row r="66" spans="1:4" x14ac:dyDescent="0.3">
      <c r="A66" s="205">
        <f t="shared" si="4"/>
        <v>16.149999999999999</v>
      </c>
      <c r="B66" s="204" t="e">
        <f t="shared" si="0"/>
        <v>#VALUE!</v>
      </c>
      <c r="C66" s="120">
        <f t="shared" si="3"/>
        <v>16.25</v>
      </c>
      <c r="D66" s="120">
        <f t="shared" si="1"/>
        <v>16.149999999999999</v>
      </c>
    </row>
    <row r="67" spans="1:4" x14ac:dyDescent="0.3">
      <c r="A67" s="205">
        <f t="shared" si="4"/>
        <v>16.3</v>
      </c>
      <c r="B67" s="204" t="e">
        <f t="shared" ref="B67:B130" si="5">IF(FIND("6",A67,3),A67+0.4,0)</f>
        <v>#VALUE!</v>
      </c>
      <c r="C67" s="120">
        <f t="shared" si="3"/>
        <v>16.5</v>
      </c>
      <c r="D67" s="120">
        <f t="shared" ref="D67:D130" si="6">A67</f>
        <v>16.3</v>
      </c>
    </row>
    <row r="68" spans="1:4" x14ac:dyDescent="0.3">
      <c r="A68" s="205">
        <f t="shared" si="4"/>
        <v>16.45</v>
      </c>
      <c r="B68" s="204" t="e">
        <f t="shared" si="5"/>
        <v>#VALUE!</v>
      </c>
      <c r="C68" s="120">
        <f t="shared" ref="C68:C131" si="7">C67+0.25</f>
        <v>16.75</v>
      </c>
      <c r="D68" s="120">
        <f t="shared" si="6"/>
        <v>16.45</v>
      </c>
    </row>
    <row r="69" spans="1:4" x14ac:dyDescent="0.3">
      <c r="A69" s="205">
        <f t="shared" si="4"/>
        <v>16.600000000000001</v>
      </c>
      <c r="B69" s="204">
        <f t="shared" si="5"/>
        <v>17</v>
      </c>
      <c r="C69" s="120">
        <f t="shared" si="7"/>
        <v>17</v>
      </c>
      <c r="D69" s="120">
        <f>IF(FIND("6",A69,3),A69+0.4,0)</f>
        <v>17</v>
      </c>
    </row>
    <row r="70" spans="1:4" x14ac:dyDescent="0.3">
      <c r="A70" s="205">
        <f t="shared" si="4"/>
        <v>17.149999999999999</v>
      </c>
      <c r="B70" s="204" t="e">
        <f t="shared" si="5"/>
        <v>#VALUE!</v>
      </c>
      <c r="C70" s="120">
        <f t="shared" si="7"/>
        <v>17.25</v>
      </c>
      <c r="D70" s="120">
        <f t="shared" si="6"/>
        <v>17.149999999999999</v>
      </c>
    </row>
    <row r="71" spans="1:4" x14ac:dyDescent="0.3">
      <c r="A71" s="205">
        <f t="shared" ref="A71:A134" si="8">A67+1</f>
        <v>17.3</v>
      </c>
      <c r="B71" s="204" t="e">
        <f t="shared" si="5"/>
        <v>#VALUE!</v>
      </c>
      <c r="C71" s="120">
        <f t="shared" si="7"/>
        <v>17.5</v>
      </c>
      <c r="D71" s="120">
        <f t="shared" si="6"/>
        <v>17.3</v>
      </c>
    </row>
    <row r="72" spans="1:4" x14ac:dyDescent="0.3">
      <c r="A72" s="205">
        <f t="shared" si="8"/>
        <v>17.45</v>
      </c>
      <c r="B72" s="204" t="e">
        <f t="shared" si="5"/>
        <v>#VALUE!</v>
      </c>
      <c r="C72" s="120">
        <f t="shared" si="7"/>
        <v>17.75</v>
      </c>
      <c r="D72" s="120">
        <f t="shared" si="6"/>
        <v>17.45</v>
      </c>
    </row>
    <row r="73" spans="1:4" x14ac:dyDescent="0.3">
      <c r="A73" s="205">
        <f t="shared" si="8"/>
        <v>17.600000000000001</v>
      </c>
      <c r="B73" s="204">
        <f t="shared" si="5"/>
        <v>18</v>
      </c>
      <c r="C73" s="120">
        <f t="shared" si="7"/>
        <v>18</v>
      </c>
      <c r="D73" s="120">
        <f>IF(FIND("6",A73,3),A73+0.4,0)</f>
        <v>18</v>
      </c>
    </row>
    <row r="74" spans="1:4" x14ac:dyDescent="0.3">
      <c r="A74" s="205">
        <f t="shared" si="8"/>
        <v>18.149999999999999</v>
      </c>
      <c r="B74" s="204" t="e">
        <f t="shared" si="5"/>
        <v>#VALUE!</v>
      </c>
      <c r="C74" s="120">
        <f t="shared" si="7"/>
        <v>18.25</v>
      </c>
      <c r="D74" s="120">
        <f t="shared" si="6"/>
        <v>18.149999999999999</v>
      </c>
    </row>
    <row r="75" spans="1:4" x14ac:dyDescent="0.3">
      <c r="A75" s="205">
        <f t="shared" si="8"/>
        <v>18.3</v>
      </c>
      <c r="B75" s="204" t="e">
        <f t="shared" si="5"/>
        <v>#VALUE!</v>
      </c>
      <c r="C75" s="120">
        <f t="shared" si="7"/>
        <v>18.5</v>
      </c>
      <c r="D75" s="120">
        <f t="shared" si="6"/>
        <v>18.3</v>
      </c>
    </row>
    <row r="76" spans="1:4" x14ac:dyDescent="0.3">
      <c r="A76" s="205">
        <f t="shared" si="8"/>
        <v>18.45</v>
      </c>
      <c r="B76" s="204" t="e">
        <f t="shared" si="5"/>
        <v>#VALUE!</v>
      </c>
      <c r="C76" s="120">
        <f t="shared" si="7"/>
        <v>18.75</v>
      </c>
      <c r="D76" s="120">
        <f t="shared" si="6"/>
        <v>18.45</v>
      </c>
    </row>
    <row r="77" spans="1:4" x14ac:dyDescent="0.3">
      <c r="A77" s="205">
        <f t="shared" si="8"/>
        <v>18.600000000000001</v>
      </c>
      <c r="B77" s="204">
        <f t="shared" si="5"/>
        <v>19</v>
      </c>
      <c r="C77" s="120">
        <f t="shared" si="7"/>
        <v>19</v>
      </c>
      <c r="D77" s="120">
        <f>IF(FIND("6",A77,3),A77+0.4,0)</f>
        <v>19</v>
      </c>
    </row>
    <row r="78" spans="1:4" x14ac:dyDescent="0.3">
      <c r="A78" s="205">
        <f t="shared" si="8"/>
        <v>19.149999999999999</v>
      </c>
      <c r="B78" s="204" t="e">
        <f t="shared" si="5"/>
        <v>#VALUE!</v>
      </c>
      <c r="C78" s="120">
        <f t="shared" si="7"/>
        <v>19.25</v>
      </c>
      <c r="D78" s="120">
        <f t="shared" si="6"/>
        <v>19.149999999999999</v>
      </c>
    </row>
    <row r="79" spans="1:4" x14ac:dyDescent="0.3">
      <c r="A79" s="205">
        <f t="shared" si="8"/>
        <v>19.3</v>
      </c>
      <c r="B79" s="204" t="e">
        <f t="shared" si="5"/>
        <v>#VALUE!</v>
      </c>
      <c r="C79" s="120">
        <f t="shared" si="7"/>
        <v>19.5</v>
      </c>
      <c r="D79" s="120">
        <f t="shared" si="6"/>
        <v>19.3</v>
      </c>
    </row>
    <row r="80" spans="1:4" x14ac:dyDescent="0.3">
      <c r="A80" s="205">
        <f t="shared" si="8"/>
        <v>19.45</v>
      </c>
      <c r="B80" s="204" t="e">
        <f t="shared" si="5"/>
        <v>#VALUE!</v>
      </c>
      <c r="C80" s="120">
        <f t="shared" si="7"/>
        <v>19.75</v>
      </c>
      <c r="D80" s="120">
        <f t="shared" si="6"/>
        <v>19.45</v>
      </c>
    </row>
    <row r="81" spans="1:4" x14ac:dyDescent="0.3">
      <c r="A81" s="205">
        <f t="shared" si="8"/>
        <v>19.600000000000001</v>
      </c>
      <c r="B81" s="204">
        <f t="shared" si="5"/>
        <v>20</v>
      </c>
      <c r="C81" s="120">
        <f t="shared" si="7"/>
        <v>20</v>
      </c>
      <c r="D81" s="120">
        <f>IF(FIND("6",A81,3),A81+0.4,0)</f>
        <v>20</v>
      </c>
    </row>
    <row r="82" spans="1:4" x14ac:dyDescent="0.3">
      <c r="A82" s="205">
        <f t="shared" si="8"/>
        <v>20.149999999999999</v>
      </c>
      <c r="B82" s="204" t="e">
        <f t="shared" si="5"/>
        <v>#VALUE!</v>
      </c>
      <c r="C82" s="120">
        <f t="shared" si="7"/>
        <v>20.25</v>
      </c>
      <c r="D82" s="120">
        <f t="shared" si="6"/>
        <v>20.149999999999999</v>
      </c>
    </row>
    <row r="83" spans="1:4" x14ac:dyDescent="0.3">
      <c r="A83" s="205">
        <f t="shared" si="8"/>
        <v>20.3</v>
      </c>
      <c r="B83" s="204" t="e">
        <f t="shared" si="5"/>
        <v>#VALUE!</v>
      </c>
      <c r="C83" s="120">
        <f t="shared" si="7"/>
        <v>20.5</v>
      </c>
      <c r="D83" s="120">
        <f t="shared" si="6"/>
        <v>20.3</v>
      </c>
    </row>
    <row r="84" spans="1:4" x14ac:dyDescent="0.3">
      <c r="A84" s="205">
        <f t="shared" si="8"/>
        <v>20.45</v>
      </c>
      <c r="B84" s="204" t="e">
        <f t="shared" si="5"/>
        <v>#VALUE!</v>
      </c>
      <c r="C84" s="120">
        <f t="shared" si="7"/>
        <v>20.75</v>
      </c>
      <c r="D84" s="120">
        <f t="shared" si="6"/>
        <v>20.45</v>
      </c>
    </row>
    <row r="85" spans="1:4" x14ac:dyDescent="0.3">
      <c r="A85" s="205">
        <f t="shared" si="8"/>
        <v>20.6</v>
      </c>
      <c r="B85" s="204">
        <f t="shared" si="5"/>
        <v>21</v>
      </c>
      <c r="C85" s="120">
        <f t="shared" si="7"/>
        <v>21</v>
      </c>
      <c r="D85" s="120">
        <f>IF(FIND("6",A85,3),A85+0.4,0)</f>
        <v>21</v>
      </c>
    </row>
    <row r="86" spans="1:4" x14ac:dyDescent="0.3">
      <c r="A86" s="205">
        <f t="shared" si="8"/>
        <v>21.15</v>
      </c>
      <c r="B86" s="204" t="e">
        <f t="shared" si="5"/>
        <v>#VALUE!</v>
      </c>
      <c r="C86" s="120">
        <f t="shared" si="7"/>
        <v>21.25</v>
      </c>
      <c r="D86" s="120">
        <f t="shared" si="6"/>
        <v>21.15</v>
      </c>
    </row>
    <row r="87" spans="1:4" x14ac:dyDescent="0.3">
      <c r="A87" s="205">
        <f t="shared" si="8"/>
        <v>21.3</v>
      </c>
      <c r="B87" s="204" t="e">
        <f t="shared" si="5"/>
        <v>#VALUE!</v>
      </c>
      <c r="C87" s="120">
        <f t="shared" si="7"/>
        <v>21.5</v>
      </c>
      <c r="D87" s="120">
        <f t="shared" si="6"/>
        <v>21.3</v>
      </c>
    </row>
    <row r="88" spans="1:4" x14ac:dyDescent="0.3">
      <c r="A88" s="205">
        <f t="shared" si="8"/>
        <v>21.45</v>
      </c>
      <c r="B88" s="204" t="e">
        <f t="shared" si="5"/>
        <v>#VALUE!</v>
      </c>
      <c r="C88" s="120">
        <f t="shared" si="7"/>
        <v>21.75</v>
      </c>
      <c r="D88" s="120">
        <f t="shared" si="6"/>
        <v>21.45</v>
      </c>
    </row>
    <row r="89" spans="1:4" x14ac:dyDescent="0.3">
      <c r="A89" s="205">
        <f t="shared" si="8"/>
        <v>21.6</v>
      </c>
      <c r="B89" s="204">
        <f t="shared" si="5"/>
        <v>22</v>
      </c>
      <c r="C89" s="120">
        <f t="shared" si="7"/>
        <v>22</v>
      </c>
      <c r="D89" s="120">
        <f>IF(FIND("6",A89,3),A89+0.4,0)</f>
        <v>22</v>
      </c>
    </row>
    <row r="90" spans="1:4" x14ac:dyDescent="0.3">
      <c r="A90" s="205">
        <f t="shared" si="8"/>
        <v>22.15</v>
      </c>
      <c r="B90" s="204" t="e">
        <f t="shared" si="5"/>
        <v>#VALUE!</v>
      </c>
      <c r="C90" s="120">
        <f t="shared" si="7"/>
        <v>22.25</v>
      </c>
      <c r="D90" s="120">
        <f t="shared" si="6"/>
        <v>22.15</v>
      </c>
    </row>
    <row r="91" spans="1:4" x14ac:dyDescent="0.3">
      <c r="A91" s="205">
        <f t="shared" si="8"/>
        <v>22.3</v>
      </c>
      <c r="B91" s="204" t="e">
        <f t="shared" si="5"/>
        <v>#VALUE!</v>
      </c>
      <c r="C91" s="120">
        <f t="shared" si="7"/>
        <v>22.5</v>
      </c>
      <c r="D91" s="120">
        <f t="shared" si="6"/>
        <v>22.3</v>
      </c>
    </row>
    <row r="92" spans="1:4" x14ac:dyDescent="0.3">
      <c r="A92" s="205">
        <f t="shared" si="8"/>
        <v>22.45</v>
      </c>
      <c r="B92" s="204" t="e">
        <f t="shared" si="5"/>
        <v>#VALUE!</v>
      </c>
      <c r="C92" s="120">
        <f t="shared" si="7"/>
        <v>22.75</v>
      </c>
      <c r="D92" s="120">
        <f t="shared" si="6"/>
        <v>22.45</v>
      </c>
    </row>
    <row r="93" spans="1:4" x14ac:dyDescent="0.3">
      <c r="A93" s="205">
        <f t="shared" si="8"/>
        <v>22.6</v>
      </c>
      <c r="B93" s="204">
        <f t="shared" si="5"/>
        <v>23</v>
      </c>
      <c r="C93" s="120">
        <f t="shared" si="7"/>
        <v>23</v>
      </c>
      <c r="D93" s="120">
        <f>IF(FIND("6",A93,3),A93+0.4,0)</f>
        <v>23</v>
      </c>
    </row>
    <row r="94" spans="1:4" x14ac:dyDescent="0.3">
      <c r="A94" s="205">
        <f t="shared" si="8"/>
        <v>23.15</v>
      </c>
      <c r="B94" s="204" t="e">
        <f t="shared" si="5"/>
        <v>#VALUE!</v>
      </c>
      <c r="C94" s="120">
        <f t="shared" si="7"/>
        <v>23.25</v>
      </c>
      <c r="D94" s="120">
        <f t="shared" si="6"/>
        <v>23.15</v>
      </c>
    </row>
    <row r="95" spans="1:4" x14ac:dyDescent="0.3">
      <c r="A95" s="205">
        <f t="shared" si="8"/>
        <v>23.3</v>
      </c>
      <c r="B95" s="204" t="e">
        <f t="shared" si="5"/>
        <v>#VALUE!</v>
      </c>
      <c r="C95" s="120">
        <f t="shared" si="7"/>
        <v>23.5</v>
      </c>
      <c r="D95" s="120">
        <f t="shared" si="6"/>
        <v>23.3</v>
      </c>
    </row>
    <row r="96" spans="1:4" x14ac:dyDescent="0.3">
      <c r="A96" s="205">
        <f t="shared" si="8"/>
        <v>23.45</v>
      </c>
      <c r="B96" s="204" t="e">
        <f t="shared" si="5"/>
        <v>#VALUE!</v>
      </c>
      <c r="C96" s="120">
        <f t="shared" si="7"/>
        <v>23.75</v>
      </c>
      <c r="D96" s="120">
        <f t="shared" si="6"/>
        <v>23.45</v>
      </c>
    </row>
    <row r="97" spans="1:4" x14ac:dyDescent="0.3">
      <c r="A97" s="205">
        <f t="shared" si="8"/>
        <v>23.6</v>
      </c>
      <c r="B97" s="204">
        <f t="shared" si="5"/>
        <v>24</v>
      </c>
      <c r="C97" s="120">
        <f t="shared" si="7"/>
        <v>24</v>
      </c>
      <c r="D97" s="120">
        <f>IF(FIND("6",A97,3),A97+0.4,0)</f>
        <v>24</v>
      </c>
    </row>
    <row r="98" spans="1:4" x14ac:dyDescent="0.3">
      <c r="A98" s="205">
        <f t="shared" si="8"/>
        <v>24.15</v>
      </c>
      <c r="B98" s="204" t="e">
        <f t="shared" si="5"/>
        <v>#VALUE!</v>
      </c>
      <c r="C98" s="120">
        <f t="shared" si="7"/>
        <v>24.25</v>
      </c>
      <c r="D98" s="120">
        <f t="shared" si="6"/>
        <v>24.15</v>
      </c>
    </row>
    <row r="99" spans="1:4" x14ac:dyDescent="0.3">
      <c r="A99" s="205">
        <f t="shared" si="8"/>
        <v>24.3</v>
      </c>
      <c r="B99" s="204" t="e">
        <f t="shared" si="5"/>
        <v>#VALUE!</v>
      </c>
      <c r="C99" s="120">
        <f t="shared" si="7"/>
        <v>24.5</v>
      </c>
      <c r="D99" s="120">
        <f t="shared" si="6"/>
        <v>24.3</v>
      </c>
    </row>
    <row r="100" spans="1:4" x14ac:dyDescent="0.3">
      <c r="A100" s="205">
        <f t="shared" si="8"/>
        <v>24.45</v>
      </c>
      <c r="B100" s="204" t="e">
        <f t="shared" si="5"/>
        <v>#VALUE!</v>
      </c>
      <c r="C100" s="120">
        <f t="shared" si="7"/>
        <v>24.75</v>
      </c>
      <c r="D100" s="120">
        <f t="shared" si="6"/>
        <v>24.45</v>
      </c>
    </row>
    <row r="101" spans="1:4" x14ac:dyDescent="0.3">
      <c r="A101" s="205">
        <f t="shared" si="8"/>
        <v>24.6</v>
      </c>
      <c r="B101" s="204">
        <f t="shared" si="5"/>
        <v>25</v>
      </c>
      <c r="C101" s="120">
        <f t="shared" si="7"/>
        <v>25</v>
      </c>
      <c r="D101" s="120">
        <f>IF(FIND("6",A101,3),A101+0.4,0)</f>
        <v>25</v>
      </c>
    </row>
    <row r="102" spans="1:4" x14ac:dyDescent="0.3">
      <c r="A102" s="205">
        <f t="shared" si="8"/>
        <v>25.15</v>
      </c>
      <c r="B102" s="204" t="e">
        <f t="shared" si="5"/>
        <v>#VALUE!</v>
      </c>
      <c r="C102" s="120">
        <f t="shared" si="7"/>
        <v>25.25</v>
      </c>
      <c r="D102" s="120">
        <f t="shared" si="6"/>
        <v>25.15</v>
      </c>
    </row>
    <row r="103" spans="1:4" x14ac:dyDescent="0.3">
      <c r="A103" s="205">
        <f t="shared" si="8"/>
        <v>25.3</v>
      </c>
      <c r="B103" s="204" t="e">
        <f t="shared" si="5"/>
        <v>#VALUE!</v>
      </c>
      <c r="C103" s="120">
        <f t="shared" si="7"/>
        <v>25.5</v>
      </c>
      <c r="D103" s="120">
        <f t="shared" si="6"/>
        <v>25.3</v>
      </c>
    </row>
    <row r="104" spans="1:4" x14ac:dyDescent="0.3">
      <c r="A104" s="205">
        <f t="shared" si="8"/>
        <v>25.45</v>
      </c>
      <c r="B104" s="204" t="e">
        <f t="shared" si="5"/>
        <v>#VALUE!</v>
      </c>
      <c r="C104" s="120">
        <f t="shared" si="7"/>
        <v>25.75</v>
      </c>
      <c r="D104" s="120">
        <f t="shared" si="6"/>
        <v>25.45</v>
      </c>
    </row>
    <row r="105" spans="1:4" x14ac:dyDescent="0.3">
      <c r="A105" s="205">
        <f t="shared" si="8"/>
        <v>25.6</v>
      </c>
      <c r="B105" s="204">
        <f t="shared" si="5"/>
        <v>26</v>
      </c>
      <c r="C105" s="120">
        <f t="shared" si="7"/>
        <v>26</v>
      </c>
      <c r="D105" s="120">
        <f>IF(FIND("6",A105,3),A105+0.4,0)</f>
        <v>26</v>
      </c>
    </row>
    <row r="106" spans="1:4" x14ac:dyDescent="0.3">
      <c r="A106" s="205">
        <f t="shared" si="8"/>
        <v>26.15</v>
      </c>
      <c r="B106" s="204" t="e">
        <f t="shared" si="5"/>
        <v>#VALUE!</v>
      </c>
      <c r="C106" s="120">
        <f t="shared" si="7"/>
        <v>26.25</v>
      </c>
      <c r="D106" s="120">
        <f t="shared" si="6"/>
        <v>26.15</v>
      </c>
    </row>
    <row r="107" spans="1:4" x14ac:dyDescent="0.3">
      <c r="A107" s="205">
        <f t="shared" si="8"/>
        <v>26.3</v>
      </c>
      <c r="B107" s="204" t="e">
        <f t="shared" si="5"/>
        <v>#VALUE!</v>
      </c>
      <c r="C107" s="120">
        <f t="shared" si="7"/>
        <v>26.5</v>
      </c>
      <c r="D107" s="120">
        <f t="shared" si="6"/>
        <v>26.3</v>
      </c>
    </row>
    <row r="108" spans="1:4" x14ac:dyDescent="0.3">
      <c r="A108" s="205">
        <f t="shared" si="8"/>
        <v>26.45</v>
      </c>
      <c r="B108" s="204" t="e">
        <f t="shared" si="5"/>
        <v>#VALUE!</v>
      </c>
      <c r="C108" s="120">
        <f t="shared" si="7"/>
        <v>26.75</v>
      </c>
      <c r="D108" s="120">
        <f t="shared" si="6"/>
        <v>26.45</v>
      </c>
    </row>
    <row r="109" spans="1:4" x14ac:dyDescent="0.3">
      <c r="A109" s="205">
        <f t="shared" si="8"/>
        <v>26.6</v>
      </c>
      <c r="B109" s="204">
        <f t="shared" si="5"/>
        <v>27</v>
      </c>
      <c r="C109" s="120">
        <f t="shared" si="7"/>
        <v>27</v>
      </c>
      <c r="D109" s="120">
        <f>IF(FIND("6",A109,3),A109+0.4,0)</f>
        <v>27</v>
      </c>
    </row>
    <row r="110" spans="1:4" x14ac:dyDescent="0.3">
      <c r="A110" s="205">
        <f t="shared" si="8"/>
        <v>27.15</v>
      </c>
      <c r="B110" s="204" t="e">
        <f t="shared" si="5"/>
        <v>#VALUE!</v>
      </c>
      <c r="C110" s="120">
        <f t="shared" si="7"/>
        <v>27.25</v>
      </c>
      <c r="D110" s="120">
        <f t="shared" si="6"/>
        <v>27.15</v>
      </c>
    </row>
    <row r="111" spans="1:4" x14ac:dyDescent="0.3">
      <c r="A111" s="205">
        <f t="shared" si="8"/>
        <v>27.3</v>
      </c>
      <c r="B111" s="204" t="e">
        <f t="shared" si="5"/>
        <v>#VALUE!</v>
      </c>
      <c r="C111" s="120">
        <f t="shared" si="7"/>
        <v>27.5</v>
      </c>
      <c r="D111" s="120">
        <f t="shared" si="6"/>
        <v>27.3</v>
      </c>
    </row>
    <row r="112" spans="1:4" x14ac:dyDescent="0.3">
      <c r="A112" s="205">
        <f t="shared" si="8"/>
        <v>27.45</v>
      </c>
      <c r="B112" s="204" t="e">
        <f t="shared" si="5"/>
        <v>#VALUE!</v>
      </c>
      <c r="C112" s="120">
        <f t="shared" si="7"/>
        <v>27.75</v>
      </c>
      <c r="D112" s="120">
        <f t="shared" si="6"/>
        <v>27.45</v>
      </c>
    </row>
    <row r="113" spans="1:4" x14ac:dyDescent="0.3">
      <c r="A113" s="205">
        <f t="shared" si="8"/>
        <v>27.6</v>
      </c>
      <c r="B113" s="204">
        <f t="shared" si="5"/>
        <v>28</v>
      </c>
      <c r="C113" s="120">
        <f t="shared" si="7"/>
        <v>28</v>
      </c>
      <c r="D113" s="120">
        <f>IF(FIND("6",A113,3),A113+0.4,0)</f>
        <v>28</v>
      </c>
    </row>
    <row r="114" spans="1:4" x14ac:dyDescent="0.3">
      <c r="A114" s="205">
        <f t="shared" si="8"/>
        <v>28.15</v>
      </c>
      <c r="B114" s="204" t="e">
        <f t="shared" si="5"/>
        <v>#VALUE!</v>
      </c>
      <c r="C114" s="120">
        <f t="shared" si="7"/>
        <v>28.25</v>
      </c>
      <c r="D114" s="120">
        <f t="shared" si="6"/>
        <v>28.15</v>
      </c>
    </row>
    <row r="115" spans="1:4" x14ac:dyDescent="0.3">
      <c r="A115" s="205">
        <f t="shared" si="8"/>
        <v>28.3</v>
      </c>
      <c r="B115" s="204" t="e">
        <f t="shared" si="5"/>
        <v>#VALUE!</v>
      </c>
      <c r="C115" s="120">
        <f t="shared" si="7"/>
        <v>28.5</v>
      </c>
      <c r="D115" s="120">
        <f t="shared" si="6"/>
        <v>28.3</v>
      </c>
    </row>
    <row r="116" spans="1:4" x14ac:dyDescent="0.3">
      <c r="A116" s="205">
        <f t="shared" si="8"/>
        <v>28.45</v>
      </c>
      <c r="B116" s="204" t="e">
        <f t="shared" si="5"/>
        <v>#VALUE!</v>
      </c>
      <c r="C116" s="120">
        <f t="shared" si="7"/>
        <v>28.75</v>
      </c>
      <c r="D116" s="120">
        <f t="shared" si="6"/>
        <v>28.45</v>
      </c>
    </row>
    <row r="117" spans="1:4" x14ac:dyDescent="0.3">
      <c r="A117" s="205">
        <f t="shared" si="8"/>
        <v>28.6</v>
      </c>
      <c r="B117" s="204">
        <f t="shared" si="5"/>
        <v>29</v>
      </c>
      <c r="C117" s="120">
        <f t="shared" si="7"/>
        <v>29</v>
      </c>
      <c r="D117" s="120">
        <f>IF(FIND("6",A117,3),A117+0.4,0)</f>
        <v>29</v>
      </c>
    </row>
    <row r="118" spans="1:4" x14ac:dyDescent="0.3">
      <c r="A118" s="205">
        <f t="shared" si="8"/>
        <v>29.15</v>
      </c>
      <c r="B118" s="204" t="e">
        <f t="shared" si="5"/>
        <v>#VALUE!</v>
      </c>
      <c r="C118" s="120">
        <f t="shared" si="7"/>
        <v>29.25</v>
      </c>
      <c r="D118" s="120">
        <f t="shared" si="6"/>
        <v>29.15</v>
      </c>
    </row>
    <row r="119" spans="1:4" x14ac:dyDescent="0.3">
      <c r="A119" s="205">
        <f t="shared" si="8"/>
        <v>29.3</v>
      </c>
      <c r="B119" s="204" t="e">
        <f t="shared" si="5"/>
        <v>#VALUE!</v>
      </c>
      <c r="C119" s="120">
        <f t="shared" si="7"/>
        <v>29.5</v>
      </c>
      <c r="D119" s="120">
        <f t="shared" si="6"/>
        <v>29.3</v>
      </c>
    </row>
    <row r="120" spans="1:4" x14ac:dyDescent="0.3">
      <c r="A120" s="205">
        <f t="shared" si="8"/>
        <v>29.45</v>
      </c>
      <c r="B120" s="204" t="e">
        <f t="shared" si="5"/>
        <v>#VALUE!</v>
      </c>
      <c r="C120" s="120">
        <f t="shared" si="7"/>
        <v>29.75</v>
      </c>
      <c r="D120" s="120">
        <f t="shared" si="6"/>
        <v>29.45</v>
      </c>
    </row>
    <row r="121" spans="1:4" x14ac:dyDescent="0.3">
      <c r="A121" s="205">
        <f t="shared" si="8"/>
        <v>29.6</v>
      </c>
      <c r="B121" s="204">
        <f t="shared" si="5"/>
        <v>30</v>
      </c>
      <c r="C121" s="120">
        <f t="shared" si="7"/>
        <v>30</v>
      </c>
      <c r="D121" s="120">
        <f>IF(FIND("6",A121,3),A121+0.4,0)</f>
        <v>30</v>
      </c>
    </row>
    <row r="122" spans="1:4" x14ac:dyDescent="0.3">
      <c r="A122" s="205">
        <f t="shared" si="8"/>
        <v>30.15</v>
      </c>
      <c r="B122" s="204" t="e">
        <f t="shared" si="5"/>
        <v>#VALUE!</v>
      </c>
      <c r="C122" s="120">
        <f t="shared" si="7"/>
        <v>30.25</v>
      </c>
      <c r="D122" s="120">
        <f t="shared" si="6"/>
        <v>30.15</v>
      </c>
    </row>
    <row r="123" spans="1:4" x14ac:dyDescent="0.3">
      <c r="A123" s="205">
        <f t="shared" si="8"/>
        <v>30.3</v>
      </c>
      <c r="B123" s="204" t="e">
        <f t="shared" si="5"/>
        <v>#VALUE!</v>
      </c>
      <c r="C123" s="120">
        <f t="shared" si="7"/>
        <v>30.5</v>
      </c>
      <c r="D123" s="120">
        <f t="shared" si="6"/>
        <v>30.3</v>
      </c>
    </row>
    <row r="124" spans="1:4" x14ac:dyDescent="0.3">
      <c r="A124" s="205">
        <f t="shared" si="8"/>
        <v>30.45</v>
      </c>
      <c r="B124" s="204" t="e">
        <f t="shared" si="5"/>
        <v>#VALUE!</v>
      </c>
      <c r="C124" s="120">
        <f t="shared" si="7"/>
        <v>30.75</v>
      </c>
      <c r="D124" s="120">
        <f t="shared" si="6"/>
        <v>30.45</v>
      </c>
    </row>
    <row r="125" spans="1:4" x14ac:dyDescent="0.3">
      <c r="A125" s="205">
        <f t="shared" si="8"/>
        <v>30.6</v>
      </c>
      <c r="B125" s="204">
        <f t="shared" si="5"/>
        <v>31</v>
      </c>
      <c r="C125" s="120">
        <f t="shared" si="7"/>
        <v>31</v>
      </c>
      <c r="D125" s="120">
        <f>IF(FIND("6",A125,3),A125+0.4,0)</f>
        <v>31</v>
      </c>
    </row>
    <row r="126" spans="1:4" x14ac:dyDescent="0.3">
      <c r="A126" s="205">
        <f t="shared" si="8"/>
        <v>31.15</v>
      </c>
      <c r="B126" s="204" t="e">
        <f t="shared" si="5"/>
        <v>#VALUE!</v>
      </c>
      <c r="C126" s="120">
        <f t="shared" si="7"/>
        <v>31.25</v>
      </c>
      <c r="D126" s="120">
        <f t="shared" si="6"/>
        <v>31.15</v>
      </c>
    </row>
    <row r="127" spans="1:4" x14ac:dyDescent="0.3">
      <c r="A127" s="205">
        <f t="shared" si="8"/>
        <v>31.3</v>
      </c>
      <c r="B127" s="204" t="e">
        <f t="shared" si="5"/>
        <v>#VALUE!</v>
      </c>
      <c r="C127" s="120">
        <f t="shared" si="7"/>
        <v>31.5</v>
      </c>
      <c r="D127" s="120">
        <f t="shared" si="6"/>
        <v>31.3</v>
      </c>
    </row>
    <row r="128" spans="1:4" x14ac:dyDescent="0.3">
      <c r="A128" s="205">
        <f t="shared" si="8"/>
        <v>31.45</v>
      </c>
      <c r="B128" s="204" t="e">
        <f t="shared" si="5"/>
        <v>#VALUE!</v>
      </c>
      <c r="C128" s="120">
        <f t="shared" si="7"/>
        <v>31.75</v>
      </c>
      <c r="D128" s="120">
        <f t="shared" si="6"/>
        <v>31.45</v>
      </c>
    </row>
    <row r="129" spans="1:4" x14ac:dyDescent="0.3">
      <c r="A129" s="205">
        <f t="shared" si="8"/>
        <v>31.6</v>
      </c>
      <c r="B129" s="204">
        <f t="shared" si="5"/>
        <v>32</v>
      </c>
      <c r="C129" s="120">
        <f t="shared" si="7"/>
        <v>32</v>
      </c>
      <c r="D129" s="120">
        <f>IF(FIND("6",A129,3),A129+0.4,0)</f>
        <v>32</v>
      </c>
    </row>
    <row r="130" spans="1:4" x14ac:dyDescent="0.3">
      <c r="A130" s="205">
        <f t="shared" si="8"/>
        <v>32.15</v>
      </c>
      <c r="B130" s="204" t="e">
        <f t="shared" si="5"/>
        <v>#VALUE!</v>
      </c>
      <c r="C130" s="120">
        <f t="shared" si="7"/>
        <v>32.25</v>
      </c>
      <c r="D130" s="120">
        <f t="shared" si="6"/>
        <v>32.15</v>
      </c>
    </row>
    <row r="131" spans="1:4" x14ac:dyDescent="0.3">
      <c r="A131" s="205">
        <f t="shared" si="8"/>
        <v>32.299999999999997</v>
      </c>
      <c r="B131" s="204" t="e">
        <f t="shared" ref="B131:B173" si="9">IF(FIND("6",A131,3),A131+0.4,0)</f>
        <v>#VALUE!</v>
      </c>
      <c r="C131" s="120">
        <f t="shared" si="7"/>
        <v>32.5</v>
      </c>
      <c r="D131" s="120">
        <f t="shared" ref="D131:D172" si="10">A131</f>
        <v>32.299999999999997</v>
      </c>
    </row>
    <row r="132" spans="1:4" x14ac:dyDescent="0.3">
      <c r="A132" s="205">
        <f t="shared" si="8"/>
        <v>32.450000000000003</v>
      </c>
      <c r="B132" s="204" t="e">
        <f t="shared" si="9"/>
        <v>#VALUE!</v>
      </c>
      <c r="C132" s="120">
        <f t="shared" ref="C132:C173" si="11">C131+0.25</f>
        <v>32.75</v>
      </c>
      <c r="D132" s="120">
        <f t="shared" si="10"/>
        <v>32.450000000000003</v>
      </c>
    </row>
    <row r="133" spans="1:4" x14ac:dyDescent="0.3">
      <c r="A133" s="205">
        <f t="shared" si="8"/>
        <v>32.6</v>
      </c>
      <c r="B133" s="204">
        <f t="shared" si="9"/>
        <v>33</v>
      </c>
      <c r="C133" s="120">
        <f t="shared" si="11"/>
        <v>33</v>
      </c>
      <c r="D133" s="120">
        <f>IF(FIND("6",A133,3),A133+0.4,0)</f>
        <v>33</v>
      </c>
    </row>
    <row r="134" spans="1:4" x14ac:dyDescent="0.3">
      <c r="A134" s="205">
        <f t="shared" si="8"/>
        <v>33.15</v>
      </c>
      <c r="B134" s="204" t="e">
        <f t="shared" si="9"/>
        <v>#VALUE!</v>
      </c>
      <c r="C134" s="120">
        <f t="shared" si="11"/>
        <v>33.25</v>
      </c>
      <c r="D134" s="120">
        <f t="shared" si="10"/>
        <v>33.15</v>
      </c>
    </row>
    <row r="135" spans="1:4" x14ac:dyDescent="0.3">
      <c r="A135" s="205">
        <f t="shared" ref="A135:A173" si="12">A131+1</f>
        <v>33.299999999999997</v>
      </c>
      <c r="B135" s="204" t="e">
        <f t="shared" si="9"/>
        <v>#VALUE!</v>
      </c>
      <c r="C135" s="120">
        <f t="shared" si="11"/>
        <v>33.5</v>
      </c>
      <c r="D135" s="120">
        <f t="shared" si="10"/>
        <v>33.299999999999997</v>
      </c>
    </row>
    <row r="136" spans="1:4" x14ac:dyDescent="0.3">
      <c r="A136" s="205">
        <f t="shared" si="12"/>
        <v>33.450000000000003</v>
      </c>
      <c r="B136" s="204" t="e">
        <f t="shared" si="9"/>
        <v>#VALUE!</v>
      </c>
      <c r="C136" s="120">
        <f t="shared" si="11"/>
        <v>33.75</v>
      </c>
      <c r="D136" s="120">
        <f t="shared" si="10"/>
        <v>33.450000000000003</v>
      </c>
    </row>
    <row r="137" spans="1:4" x14ac:dyDescent="0.3">
      <c r="A137" s="205">
        <f t="shared" si="12"/>
        <v>33.6</v>
      </c>
      <c r="B137" s="204">
        <f t="shared" si="9"/>
        <v>34</v>
      </c>
      <c r="C137" s="120">
        <f t="shared" si="11"/>
        <v>34</v>
      </c>
      <c r="D137" s="120">
        <f>IF(FIND("6",A137,3),A137+0.4,0)</f>
        <v>34</v>
      </c>
    </row>
    <row r="138" spans="1:4" x14ac:dyDescent="0.3">
      <c r="A138" s="205">
        <f t="shared" si="12"/>
        <v>34.15</v>
      </c>
      <c r="B138" s="204" t="e">
        <f t="shared" si="9"/>
        <v>#VALUE!</v>
      </c>
      <c r="C138" s="120">
        <f t="shared" si="11"/>
        <v>34.25</v>
      </c>
      <c r="D138" s="120">
        <f t="shared" si="10"/>
        <v>34.15</v>
      </c>
    </row>
    <row r="139" spans="1:4" x14ac:dyDescent="0.3">
      <c r="A139" s="205">
        <f t="shared" si="12"/>
        <v>34.299999999999997</v>
      </c>
      <c r="B139" s="204" t="e">
        <f t="shared" si="9"/>
        <v>#VALUE!</v>
      </c>
      <c r="C139" s="120">
        <f t="shared" si="11"/>
        <v>34.5</v>
      </c>
      <c r="D139" s="120">
        <f t="shared" si="10"/>
        <v>34.299999999999997</v>
      </c>
    </row>
    <row r="140" spans="1:4" x14ac:dyDescent="0.3">
      <c r="A140" s="205">
        <f t="shared" si="12"/>
        <v>34.450000000000003</v>
      </c>
      <c r="B140" s="204" t="e">
        <f t="shared" si="9"/>
        <v>#VALUE!</v>
      </c>
      <c r="C140" s="120">
        <f t="shared" si="11"/>
        <v>34.75</v>
      </c>
      <c r="D140" s="120">
        <f t="shared" si="10"/>
        <v>34.450000000000003</v>
      </c>
    </row>
    <row r="141" spans="1:4" x14ac:dyDescent="0.3">
      <c r="A141" s="205">
        <f t="shared" si="12"/>
        <v>34.6</v>
      </c>
      <c r="B141" s="204">
        <f t="shared" si="9"/>
        <v>35</v>
      </c>
      <c r="C141" s="120">
        <f t="shared" si="11"/>
        <v>35</v>
      </c>
      <c r="D141" s="120">
        <f>IF(FIND("6",A141,3),A141+0.4,0)</f>
        <v>35</v>
      </c>
    </row>
    <row r="142" spans="1:4" x14ac:dyDescent="0.3">
      <c r="A142" s="205">
        <f t="shared" si="12"/>
        <v>35.15</v>
      </c>
      <c r="B142" s="204" t="e">
        <f t="shared" si="9"/>
        <v>#VALUE!</v>
      </c>
      <c r="C142" s="120">
        <f t="shared" si="11"/>
        <v>35.25</v>
      </c>
      <c r="D142" s="120">
        <f t="shared" si="10"/>
        <v>35.15</v>
      </c>
    </row>
    <row r="143" spans="1:4" x14ac:dyDescent="0.3">
      <c r="A143" s="205">
        <f t="shared" si="12"/>
        <v>35.299999999999997</v>
      </c>
      <c r="B143" s="204" t="e">
        <f t="shared" si="9"/>
        <v>#VALUE!</v>
      </c>
      <c r="C143" s="120">
        <f t="shared" si="11"/>
        <v>35.5</v>
      </c>
      <c r="D143" s="120">
        <f t="shared" si="10"/>
        <v>35.299999999999997</v>
      </c>
    </row>
    <row r="144" spans="1:4" x14ac:dyDescent="0.3">
      <c r="A144" s="205">
        <f t="shared" si="12"/>
        <v>35.450000000000003</v>
      </c>
      <c r="B144" s="204" t="e">
        <f t="shared" si="9"/>
        <v>#VALUE!</v>
      </c>
      <c r="C144" s="120">
        <f t="shared" si="11"/>
        <v>35.75</v>
      </c>
      <c r="D144" s="120">
        <f t="shared" si="10"/>
        <v>35.450000000000003</v>
      </c>
    </row>
    <row r="145" spans="1:4" x14ac:dyDescent="0.3">
      <c r="A145" s="205">
        <f t="shared" si="12"/>
        <v>35.6</v>
      </c>
      <c r="B145" s="204">
        <f t="shared" si="9"/>
        <v>36</v>
      </c>
      <c r="C145" s="120">
        <f t="shared" si="11"/>
        <v>36</v>
      </c>
      <c r="D145" s="120">
        <f>IF(FIND("6",A145,3),A145+0.4,0)</f>
        <v>36</v>
      </c>
    </row>
    <row r="146" spans="1:4" x14ac:dyDescent="0.3">
      <c r="A146" s="205">
        <f t="shared" si="12"/>
        <v>36.15</v>
      </c>
      <c r="B146" s="204" t="e">
        <f t="shared" si="9"/>
        <v>#VALUE!</v>
      </c>
      <c r="C146" s="120">
        <f t="shared" si="11"/>
        <v>36.25</v>
      </c>
      <c r="D146" s="120">
        <f t="shared" si="10"/>
        <v>36.15</v>
      </c>
    </row>
    <row r="147" spans="1:4" x14ac:dyDescent="0.3">
      <c r="A147" s="205">
        <f t="shared" si="12"/>
        <v>36.299999999999997</v>
      </c>
      <c r="B147" s="204" t="e">
        <f t="shared" si="9"/>
        <v>#VALUE!</v>
      </c>
      <c r="C147" s="120">
        <f t="shared" si="11"/>
        <v>36.5</v>
      </c>
      <c r="D147" s="120">
        <f t="shared" si="10"/>
        <v>36.299999999999997</v>
      </c>
    </row>
    <row r="148" spans="1:4" x14ac:dyDescent="0.3">
      <c r="A148" s="205">
        <f t="shared" si="12"/>
        <v>36.450000000000003</v>
      </c>
      <c r="B148" s="204" t="e">
        <f t="shared" si="9"/>
        <v>#VALUE!</v>
      </c>
      <c r="C148" s="120">
        <f t="shared" si="11"/>
        <v>36.75</v>
      </c>
      <c r="D148" s="120">
        <f t="shared" si="10"/>
        <v>36.450000000000003</v>
      </c>
    </row>
    <row r="149" spans="1:4" x14ac:dyDescent="0.3">
      <c r="A149" s="205">
        <f t="shared" si="12"/>
        <v>36.6</v>
      </c>
      <c r="B149" s="204">
        <f t="shared" si="9"/>
        <v>37</v>
      </c>
      <c r="C149" s="120">
        <f t="shared" si="11"/>
        <v>37</v>
      </c>
      <c r="D149" s="120">
        <f>IF(FIND("6",A149,3),A149+0.4,0)</f>
        <v>37</v>
      </c>
    </row>
    <row r="150" spans="1:4" x14ac:dyDescent="0.3">
      <c r="A150" s="205">
        <f t="shared" si="12"/>
        <v>37.15</v>
      </c>
      <c r="B150" s="204" t="e">
        <f t="shared" si="9"/>
        <v>#VALUE!</v>
      </c>
      <c r="C150" s="120">
        <f t="shared" si="11"/>
        <v>37.25</v>
      </c>
      <c r="D150" s="120">
        <f t="shared" si="10"/>
        <v>37.15</v>
      </c>
    </row>
    <row r="151" spans="1:4" x14ac:dyDescent="0.3">
      <c r="A151" s="205">
        <f t="shared" si="12"/>
        <v>37.299999999999997</v>
      </c>
      <c r="B151" s="204" t="e">
        <f t="shared" si="9"/>
        <v>#VALUE!</v>
      </c>
      <c r="C151" s="120">
        <f t="shared" si="11"/>
        <v>37.5</v>
      </c>
      <c r="D151" s="120">
        <f t="shared" si="10"/>
        <v>37.299999999999997</v>
      </c>
    </row>
    <row r="152" spans="1:4" x14ac:dyDescent="0.3">
      <c r="A152" s="205">
        <f t="shared" si="12"/>
        <v>37.450000000000003</v>
      </c>
      <c r="B152" s="204" t="e">
        <f t="shared" si="9"/>
        <v>#VALUE!</v>
      </c>
      <c r="C152" s="120">
        <f t="shared" si="11"/>
        <v>37.75</v>
      </c>
      <c r="D152" s="120">
        <f t="shared" si="10"/>
        <v>37.450000000000003</v>
      </c>
    </row>
    <row r="153" spans="1:4" x14ac:dyDescent="0.3">
      <c r="A153" s="205">
        <f t="shared" si="12"/>
        <v>37.6</v>
      </c>
      <c r="B153" s="204">
        <f t="shared" si="9"/>
        <v>38</v>
      </c>
      <c r="C153" s="120">
        <f t="shared" si="11"/>
        <v>38</v>
      </c>
      <c r="D153" s="120">
        <f>IF(FIND("6",A153,3),A153+0.4,0)</f>
        <v>38</v>
      </c>
    </row>
    <row r="154" spans="1:4" x14ac:dyDescent="0.3">
      <c r="A154" s="205">
        <f t="shared" si="12"/>
        <v>38.15</v>
      </c>
      <c r="B154" s="204" t="e">
        <f t="shared" si="9"/>
        <v>#VALUE!</v>
      </c>
      <c r="C154" s="120">
        <f t="shared" si="11"/>
        <v>38.25</v>
      </c>
      <c r="D154" s="120">
        <f t="shared" si="10"/>
        <v>38.15</v>
      </c>
    </row>
    <row r="155" spans="1:4" x14ac:dyDescent="0.3">
      <c r="A155" s="205">
        <f t="shared" si="12"/>
        <v>38.299999999999997</v>
      </c>
      <c r="B155" s="204" t="e">
        <f t="shared" si="9"/>
        <v>#VALUE!</v>
      </c>
      <c r="C155" s="120">
        <f t="shared" si="11"/>
        <v>38.5</v>
      </c>
      <c r="D155" s="120">
        <f t="shared" si="10"/>
        <v>38.299999999999997</v>
      </c>
    </row>
    <row r="156" spans="1:4" x14ac:dyDescent="0.3">
      <c r="A156" s="205">
        <f t="shared" si="12"/>
        <v>38.450000000000003</v>
      </c>
      <c r="B156" s="204" t="e">
        <f t="shared" si="9"/>
        <v>#VALUE!</v>
      </c>
      <c r="C156" s="120">
        <f t="shared" si="11"/>
        <v>38.75</v>
      </c>
      <c r="D156" s="120">
        <f t="shared" si="10"/>
        <v>38.450000000000003</v>
      </c>
    </row>
    <row r="157" spans="1:4" x14ac:dyDescent="0.3">
      <c r="A157" s="205">
        <f t="shared" si="12"/>
        <v>38.6</v>
      </c>
      <c r="B157" s="204">
        <f t="shared" si="9"/>
        <v>39</v>
      </c>
      <c r="C157" s="120">
        <f t="shared" si="11"/>
        <v>39</v>
      </c>
      <c r="D157" s="120">
        <f>IF(FIND("6",A157,3),A157+0.4,0)</f>
        <v>39</v>
      </c>
    </row>
    <row r="158" spans="1:4" x14ac:dyDescent="0.3">
      <c r="A158" s="205">
        <f t="shared" si="12"/>
        <v>39.15</v>
      </c>
      <c r="B158" s="204" t="e">
        <f t="shared" si="9"/>
        <v>#VALUE!</v>
      </c>
      <c r="C158" s="120">
        <f t="shared" si="11"/>
        <v>39.25</v>
      </c>
      <c r="D158" s="120">
        <f t="shared" si="10"/>
        <v>39.15</v>
      </c>
    </row>
    <row r="159" spans="1:4" x14ac:dyDescent="0.3">
      <c r="A159" s="205">
        <f t="shared" si="12"/>
        <v>39.299999999999997</v>
      </c>
      <c r="B159" s="204" t="e">
        <f t="shared" si="9"/>
        <v>#VALUE!</v>
      </c>
      <c r="C159" s="120">
        <f t="shared" si="11"/>
        <v>39.5</v>
      </c>
      <c r="D159" s="120">
        <f t="shared" si="10"/>
        <v>39.299999999999997</v>
      </c>
    </row>
    <row r="160" spans="1:4" x14ac:dyDescent="0.3">
      <c r="A160" s="205">
        <f t="shared" si="12"/>
        <v>39.450000000000003</v>
      </c>
      <c r="B160" s="204" t="e">
        <f t="shared" si="9"/>
        <v>#VALUE!</v>
      </c>
      <c r="C160" s="120">
        <f t="shared" si="11"/>
        <v>39.75</v>
      </c>
      <c r="D160" s="120">
        <f t="shared" si="10"/>
        <v>39.450000000000003</v>
      </c>
    </row>
    <row r="161" spans="1:4" x14ac:dyDescent="0.3">
      <c r="A161" s="205">
        <f t="shared" si="12"/>
        <v>39.6</v>
      </c>
      <c r="B161" s="204">
        <f t="shared" si="9"/>
        <v>40</v>
      </c>
      <c r="C161" s="120">
        <f t="shared" si="11"/>
        <v>40</v>
      </c>
      <c r="D161" s="120">
        <f>IF(FIND("6",A161,3),A161+0.4,0)</f>
        <v>40</v>
      </c>
    </row>
    <row r="162" spans="1:4" x14ac:dyDescent="0.3">
      <c r="A162" s="205">
        <f t="shared" si="12"/>
        <v>40.15</v>
      </c>
      <c r="B162" s="204" t="e">
        <f t="shared" si="9"/>
        <v>#VALUE!</v>
      </c>
      <c r="C162" s="120">
        <f t="shared" si="11"/>
        <v>40.25</v>
      </c>
      <c r="D162" s="120">
        <f t="shared" si="10"/>
        <v>40.15</v>
      </c>
    </row>
    <row r="163" spans="1:4" x14ac:dyDescent="0.3">
      <c r="A163" s="205">
        <f t="shared" si="12"/>
        <v>40.299999999999997</v>
      </c>
      <c r="B163" s="204" t="e">
        <f t="shared" si="9"/>
        <v>#VALUE!</v>
      </c>
      <c r="C163" s="120">
        <f t="shared" si="11"/>
        <v>40.5</v>
      </c>
      <c r="D163" s="120">
        <f t="shared" si="10"/>
        <v>40.299999999999997</v>
      </c>
    </row>
    <row r="164" spans="1:4" x14ac:dyDescent="0.3">
      <c r="A164" s="205">
        <f t="shared" si="12"/>
        <v>40.450000000000003</v>
      </c>
      <c r="B164" s="204" t="e">
        <f t="shared" si="9"/>
        <v>#VALUE!</v>
      </c>
      <c r="C164" s="120">
        <f t="shared" si="11"/>
        <v>40.75</v>
      </c>
      <c r="D164" s="120">
        <f t="shared" si="10"/>
        <v>40.450000000000003</v>
      </c>
    </row>
    <row r="165" spans="1:4" x14ac:dyDescent="0.3">
      <c r="A165" s="205">
        <f t="shared" si="12"/>
        <v>40.6</v>
      </c>
      <c r="B165" s="204">
        <f t="shared" si="9"/>
        <v>41</v>
      </c>
      <c r="C165" s="120">
        <f t="shared" si="11"/>
        <v>41</v>
      </c>
      <c r="D165" s="120">
        <f>IF(FIND("6",A165,3),A165+0.4,0)</f>
        <v>41</v>
      </c>
    </row>
    <row r="166" spans="1:4" x14ac:dyDescent="0.3">
      <c r="A166" s="205">
        <f t="shared" si="12"/>
        <v>41.15</v>
      </c>
      <c r="B166" s="204" t="e">
        <f t="shared" si="9"/>
        <v>#VALUE!</v>
      </c>
      <c r="C166" s="120">
        <f t="shared" si="11"/>
        <v>41.25</v>
      </c>
      <c r="D166" s="120">
        <f t="shared" si="10"/>
        <v>41.15</v>
      </c>
    </row>
    <row r="167" spans="1:4" x14ac:dyDescent="0.3">
      <c r="A167" s="205">
        <f t="shared" si="12"/>
        <v>41.3</v>
      </c>
      <c r="B167" s="204" t="e">
        <f t="shared" si="9"/>
        <v>#VALUE!</v>
      </c>
      <c r="C167" s="120">
        <f t="shared" si="11"/>
        <v>41.5</v>
      </c>
      <c r="D167" s="120">
        <f t="shared" si="10"/>
        <v>41.3</v>
      </c>
    </row>
    <row r="168" spans="1:4" x14ac:dyDescent="0.3">
      <c r="A168" s="205">
        <f t="shared" si="12"/>
        <v>41.45</v>
      </c>
      <c r="B168" s="204" t="e">
        <f t="shared" si="9"/>
        <v>#VALUE!</v>
      </c>
      <c r="C168" s="120">
        <f t="shared" si="11"/>
        <v>41.75</v>
      </c>
      <c r="D168" s="120">
        <f t="shared" si="10"/>
        <v>41.45</v>
      </c>
    </row>
    <row r="169" spans="1:4" x14ac:dyDescent="0.3">
      <c r="A169" s="205">
        <f t="shared" si="12"/>
        <v>41.6</v>
      </c>
      <c r="B169" s="204">
        <f t="shared" si="9"/>
        <v>42</v>
      </c>
      <c r="C169" s="120">
        <f t="shared" si="11"/>
        <v>42</v>
      </c>
      <c r="D169" s="120">
        <f>IF(FIND("6",A169,3),A169+0.4,0)</f>
        <v>42</v>
      </c>
    </row>
    <row r="170" spans="1:4" x14ac:dyDescent="0.3">
      <c r="A170" s="205">
        <f t="shared" si="12"/>
        <v>42.15</v>
      </c>
      <c r="B170" s="204" t="e">
        <f t="shared" si="9"/>
        <v>#VALUE!</v>
      </c>
      <c r="C170" s="120">
        <f t="shared" si="11"/>
        <v>42.25</v>
      </c>
      <c r="D170" s="120">
        <f t="shared" si="10"/>
        <v>42.15</v>
      </c>
    </row>
    <row r="171" spans="1:4" x14ac:dyDescent="0.3">
      <c r="A171" s="205">
        <f t="shared" si="12"/>
        <v>42.3</v>
      </c>
      <c r="B171" s="204" t="e">
        <f t="shared" si="9"/>
        <v>#VALUE!</v>
      </c>
      <c r="C171" s="120">
        <f t="shared" si="11"/>
        <v>42.5</v>
      </c>
      <c r="D171" s="120">
        <f t="shared" si="10"/>
        <v>42.3</v>
      </c>
    </row>
    <row r="172" spans="1:4" x14ac:dyDescent="0.3">
      <c r="A172" s="205">
        <f t="shared" si="12"/>
        <v>42.45</v>
      </c>
      <c r="B172" s="204" t="e">
        <f t="shared" si="9"/>
        <v>#VALUE!</v>
      </c>
      <c r="C172" s="120">
        <f t="shared" si="11"/>
        <v>42.75</v>
      </c>
      <c r="D172" s="120">
        <f t="shared" si="10"/>
        <v>42.45</v>
      </c>
    </row>
    <row r="173" spans="1:4" x14ac:dyDescent="0.3">
      <c r="A173" s="205">
        <f t="shared" si="12"/>
        <v>42.6</v>
      </c>
      <c r="B173" s="204">
        <f t="shared" si="9"/>
        <v>43</v>
      </c>
      <c r="C173" s="120">
        <f t="shared" si="11"/>
        <v>43</v>
      </c>
      <c r="D173" s="120">
        <f>IF(FIND("6",A173,3),A173+0.4,0)</f>
        <v>43</v>
      </c>
    </row>
  </sheetData>
  <autoFilter ref="A1:D173" xr:uid="{00000000-0009-0000-0000-000016000000}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6"/>
  <dimension ref="A1:BC391"/>
  <sheetViews>
    <sheetView zoomScaleNormal="100" workbookViewId="0">
      <pane xSplit="6" ySplit="4" topLeftCell="AT5" activePane="bottomRight" state="frozen"/>
      <selection pane="topRight" activeCell="F1" sqref="F1"/>
      <selection pane="bottomLeft" activeCell="A5" sqref="A5"/>
      <selection pane="bottomRight" activeCell="AV12" sqref="AV12"/>
    </sheetView>
  </sheetViews>
  <sheetFormatPr baseColWidth="10" defaultRowHeight="14.4" x14ac:dyDescent="0.3"/>
  <cols>
    <col min="1" max="1" width="15.6640625" bestFit="1" customWidth="1"/>
    <col min="2" max="2" width="17.33203125" bestFit="1" customWidth="1"/>
    <col min="3" max="3" width="16.33203125" bestFit="1" customWidth="1"/>
    <col min="4" max="4" width="10.33203125" style="204" bestFit="1" customWidth="1"/>
    <col min="5" max="5" width="16.33203125" bestFit="1" customWidth="1"/>
    <col min="6" max="6" width="19" bestFit="1" customWidth="1"/>
    <col min="7" max="7" width="16.33203125" bestFit="1" customWidth="1"/>
    <col min="8" max="8" width="1.6640625" style="116" customWidth="1"/>
    <col min="9" max="9" width="17.5546875" bestFit="1" customWidth="1"/>
    <col min="10" max="10" width="18" bestFit="1" customWidth="1"/>
    <col min="11" max="11" width="16.5546875" bestFit="1" customWidth="1"/>
    <col min="12" max="13" width="16.5546875" customWidth="1"/>
    <col min="14" max="14" width="1.6640625" style="116" customWidth="1"/>
    <col min="15" max="15" width="7.44140625" style="20" bestFit="1" customWidth="1"/>
    <col min="16" max="16" width="11" bestFit="1" customWidth="1"/>
    <col min="17" max="17" width="10.88671875" bestFit="1" customWidth="1"/>
    <col min="18" max="18" width="9.5546875" bestFit="1" customWidth="1"/>
    <col min="19" max="19" width="9.44140625" bestFit="1" customWidth="1"/>
    <col min="20" max="20" width="1.6640625" style="116" customWidth="1"/>
    <col min="21" max="21" width="16.5546875" style="8" bestFit="1" customWidth="1"/>
    <col min="22" max="22" width="11.5546875" style="8" bestFit="1" customWidth="1"/>
    <col min="23" max="23" width="14.6640625" style="8" bestFit="1" customWidth="1"/>
    <col min="24" max="24" width="15.109375" style="8" bestFit="1" customWidth="1"/>
    <col min="25" max="25" width="12" style="8" bestFit="1" customWidth="1"/>
    <col min="26" max="26" width="1.6640625" style="116" customWidth="1"/>
    <col min="27" max="28" width="11" bestFit="1" customWidth="1"/>
    <col min="29" max="29" width="9.5546875" bestFit="1" customWidth="1"/>
    <col min="30" max="30" width="9.44140625" bestFit="1" customWidth="1"/>
    <col min="31" max="31" width="1.6640625" style="116" customWidth="1"/>
    <col min="32" max="34" width="13" style="20" customWidth="1"/>
    <col min="35" max="35" width="12.33203125" style="20" bestFit="1" customWidth="1"/>
    <col min="36" max="36" width="1.6640625" style="116" customWidth="1"/>
    <col min="37" max="37" width="21.88671875" bestFit="1" customWidth="1"/>
    <col min="38" max="38" width="26.88671875" bestFit="1" customWidth="1"/>
    <col min="39" max="39" width="23" bestFit="1" customWidth="1"/>
    <col min="40" max="40" width="20.33203125" bestFit="1" customWidth="1"/>
    <col min="41" max="41" width="21.33203125" bestFit="1" customWidth="1"/>
    <col min="42" max="42" width="21.88671875" bestFit="1" customWidth="1"/>
    <col min="43" max="43" width="20.88671875" style="8" bestFit="1" customWidth="1"/>
    <col min="44" max="44" width="13.88671875" style="73" bestFit="1" customWidth="1"/>
    <col min="45" max="45" width="17.6640625" bestFit="1" customWidth="1"/>
    <col min="46" max="46" width="23.44140625" bestFit="1" customWidth="1"/>
    <col min="47" max="48" width="16.44140625" bestFit="1" customWidth="1"/>
    <col min="49" max="49" width="17.88671875" bestFit="1" customWidth="1"/>
    <col min="50" max="50" width="16.44140625" bestFit="1" customWidth="1"/>
    <col min="53" max="53" width="21.88671875" bestFit="1" customWidth="1"/>
    <col min="54" max="54" width="25.44140625" bestFit="1" customWidth="1"/>
  </cols>
  <sheetData>
    <row r="1" spans="1:55" x14ac:dyDescent="0.3">
      <c r="A1" t="s">
        <v>793</v>
      </c>
      <c r="B1" s="6">
        <v>0</v>
      </c>
      <c r="C1" s="6"/>
      <c r="D1" s="6"/>
      <c r="E1" s="6">
        <v>0</v>
      </c>
      <c r="F1" s="6"/>
      <c r="G1" s="6">
        <v>0</v>
      </c>
      <c r="H1" s="115"/>
      <c r="I1" s="6">
        <v>0</v>
      </c>
      <c r="J1" s="6">
        <v>0</v>
      </c>
      <c r="K1" s="6"/>
      <c r="L1" s="6"/>
      <c r="M1" s="6"/>
      <c r="P1" s="21"/>
      <c r="Q1" s="21"/>
      <c r="R1" s="21"/>
      <c r="S1" s="21"/>
      <c r="AL1" s="203"/>
      <c r="AN1" s="1">
        <f ca="1">ROUNDDOWN(NOW()-1,0)</f>
        <v>43463</v>
      </c>
      <c r="AS1" t="s">
        <v>804</v>
      </c>
      <c r="AT1">
        <f>(365/12)/7</f>
        <v>4.3452380952380958</v>
      </c>
    </row>
    <row r="2" spans="1:55" x14ac:dyDescent="0.3">
      <c r="I2" s="242" t="s">
        <v>237</v>
      </c>
      <c r="J2" s="242"/>
      <c r="K2" s="114"/>
      <c r="L2" s="114"/>
      <c r="M2" s="114"/>
      <c r="P2" s="242" t="s">
        <v>754</v>
      </c>
      <c r="Q2" s="242"/>
      <c r="R2" s="242"/>
      <c r="S2" s="242"/>
      <c r="T2" s="117"/>
      <c r="U2" s="245" t="s">
        <v>745</v>
      </c>
      <c r="V2" s="245"/>
      <c r="W2" s="245"/>
      <c r="X2" s="245"/>
      <c r="Y2" s="245"/>
      <c r="Z2" s="117"/>
      <c r="AA2" s="242" t="s">
        <v>794</v>
      </c>
      <c r="AB2" s="242"/>
      <c r="AC2" s="242"/>
      <c r="AD2" s="242"/>
      <c r="AE2" s="117"/>
      <c r="AF2" s="242" t="s">
        <v>795</v>
      </c>
      <c r="AG2" s="242"/>
      <c r="AH2" s="242"/>
      <c r="AI2" s="242"/>
      <c r="AJ2" s="117"/>
      <c r="AM2" s="126" t="e">
        <f ca="1">VLOOKUP(AN1,#REF!,18,FALSE)</f>
        <v>#REF!</v>
      </c>
      <c r="AN2" s="45" t="e">
        <f ca="1">VLOOKUP(AN1,#REF!,17,FALSE)</f>
        <v>#REF!</v>
      </c>
      <c r="AO2" s="45">
        <v>0.69</v>
      </c>
    </row>
    <row r="3" spans="1:55" x14ac:dyDescent="0.3">
      <c r="A3" s="34" t="s">
        <v>751</v>
      </c>
      <c r="B3" s="34" t="s">
        <v>749</v>
      </c>
      <c r="C3" s="34" t="s">
        <v>752</v>
      </c>
      <c r="D3" s="131" t="s">
        <v>1133</v>
      </c>
      <c r="E3" s="34" t="s">
        <v>750</v>
      </c>
      <c r="F3" s="34" t="s">
        <v>744</v>
      </c>
      <c r="G3" s="34" t="s">
        <v>746</v>
      </c>
      <c r="H3" s="118"/>
      <c r="I3" s="34" t="s">
        <v>792</v>
      </c>
      <c r="J3" s="34" t="s">
        <v>709</v>
      </c>
      <c r="K3" s="34" t="s">
        <v>796</v>
      </c>
      <c r="L3" s="34" t="s">
        <v>1</v>
      </c>
      <c r="M3" s="34" t="s">
        <v>263</v>
      </c>
      <c r="N3" s="118"/>
      <c r="O3" s="119" t="s">
        <v>800</v>
      </c>
      <c r="P3" s="34" t="s">
        <v>32</v>
      </c>
      <c r="Q3" s="34" t="s">
        <v>710</v>
      </c>
      <c r="R3" s="34" t="s">
        <v>711</v>
      </c>
      <c r="S3" s="34" t="s">
        <v>35</v>
      </c>
      <c r="T3" s="118"/>
      <c r="U3" s="132" t="s">
        <v>753</v>
      </c>
      <c r="V3" s="132" t="s">
        <v>32</v>
      </c>
      <c r="W3" s="132" t="s">
        <v>710</v>
      </c>
      <c r="X3" s="132" t="s">
        <v>711</v>
      </c>
      <c r="Y3" s="132" t="s">
        <v>35</v>
      </c>
      <c r="Z3" s="118"/>
      <c r="AA3" t="str">
        <f>P3</f>
        <v>Eco</v>
      </c>
      <c r="AB3" t="str">
        <f>Q3</f>
        <v>Business</v>
      </c>
      <c r="AC3" t="str">
        <f>R3</f>
        <v>First</v>
      </c>
      <c r="AD3" t="str">
        <f>S3</f>
        <v>Cargo</v>
      </c>
      <c r="AE3" s="118"/>
      <c r="AF3" s="119" t="str">
        <f>AA3</f>
        <v>Eco</v>
      </c>
      <c r="AG3" s="119" t="str">
        <f t="shared" ref="AG3:AI3" si="0">AB3</f>
        <v>Business</v>
      </c>
      <c r="AH3" s="119" t="str">
        <f t="shared" si="0"/>
        <v>First</v>
      </c>
      <c r="AI3" s="119" t="str">
        <f t="shared" si="0"/>
        <v>Cargo</v>
      </c>
      <c r="AJ3" s="118"/>
      <c r="AK3" s="34" t="s">
        <v>27</v>
      </c>
      <c r="AL3" s="34" t="s">
        <v>747</v>
      </c>
      <c r="AM3" s="34" t="s">
        <v>416</v>
      </c>
      <c r="AN3" s="34" t="s">
        <v>748</v>
      </c>
      <c r="AO3" s="34" t="s">
        <v>5</v>
      </c>
      <c r="AP3" s="34" t="s">
        <v>721</v>
      </c>
      <c r="AQ3" s="132" t="s">
        <v>810</v>
      </c>
      <c r="AR3" s="135" t="s">
        <v>719</v>
      </c>
      <c r="AS3" s="34" t="s">
        <v>799</v>
      </c>
      <c r="AT3" s="34" t="s">
        <v>798</v>
      </c>
    </row>
    <row r="4" spans="1:55" s="116" customFormat="1" ht="1.5" customHeight="1" x14ac:dyDescent="0.3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91"/>
      <c r="V4" s="191"/>
      <c r="W4" s="191"/>
      <c r="X4" s="191"/>
      <c r="Y4" s="191"/>
      <c r="Z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91"/>
      <c r="AR4" s="136"/>
      <c r="AS4" s="118"/>
    </row>
    <row r="5" spans="1:55" x14ac:dyDescent="0.3">
      <c r="A5" s="145" t="s">
        <v>315</v>
      </c>
      <c r="B5" s="148">
        <v>0</v>
      </c>
      <c r="C5" s="145" t="s">
        <v>332</v>
      </c>
      <c r="D5" s="145" t="str">
        <f>A5&amp;"/"&amp;C5</f>
        <v>SFO/CDG</v>
      </c>
      <c r="E5" s="146">
        <v>16556576</v>
      </c>
      <c r="F5" s="147" t="s">
        <v>801</v>
      </c>
      <c r="G5" s="148">
        <v>344565000</v>
      </c>
      <c r="I5" s="8">
        <v>0</v>
      </c>
      <c r="J5" s="8">
        <v>0</v>
      </c>
      <c r="K5" s="8">
        <v>0</v>
      </c>
      <c r="L5" s="53"/>
      <c r="M5" s="53"/>
      <c r="O5" s="139"/>
      <c r="P5" s="133">
        <f>SUMIFS(GestionLignesDemande!D$4:D$1000,GestionLignesDemande!$B$4:$B$1000,ROI_Avions!$A5,GestionLignesDemande!$C$4:$C$1000,ROI_Avions!$C5)</f>
        <v>0</v>
      </c>
      <c r="Q5" s="133">
        <f>SUMIFS(GestionLignesDemande!E$4:E$1000,GestionLignesDemande!$B$4:$B$1000,ROI_Avions!$A5,GestionLignesDemande!$C$4:$C$1000,ROI_Avions!$C5)</f>
        <v>0</v>
      </c>
      <c r="R5" s="133">
        <f>SUMIFS(GestionLignesDemande!F$4:F$1000,GestionLignesDemande!$B$4:$B$1000,ROI_Avions!$A5,GestionLignesDemande!$C$4:$C$1000,ROI_Avions!$C5)</f>
        <v>0</v>
      </c>
      <c r="S5" s="133">
        <f>SUMIFS(GestionLignesDemande!G$4:G$1000,GestionLignesDemande!$B$4:$B$1000,ROI_Avions!$A5,GestionLignesDemande!$C$4:$C$1000,ROI_Avions!$C5)</f>
        <v>0</v>
      </c>
      <c r="T5" s="121"/>
      <c r="U5" s="8">
        <f t="shared" ref="U5:U287" si="1">SUM(V5:Y5)</f>
        <v>542</v>
      </c>
      <c r="V5" s="8">
        <v>288</v>
      </c>
      <c r="W5" s="8">
        <v>157</v>
      </c>
      <c r="X5" s="8">
        <v>67</v>
      </c>
      <c r="Y5" s="8">
        <v>30</v>
      </c>
      <c r="Z5" s="121"/>
      <c r="AA5" s="127">
        <f t="shared" ref="AA5:AA329" si="2">P5-(V5*2)</f>
        <v>-576</v>
      </c>
      <c r="AB5" s="127">
        <f t="shared" ref="AB5:AB329" si="3">Q5-(W5*2)</f>
        <v>-314</v>
      </c>
      <c r="AC5" s="127">
        <f t="shared" ref="AC5:AC329" si="4">R5-(X5*2)</f>
        <v>-134</v>
      </c>
      <c r="AD5" s="127">
        <f t="shared" ref="AD5:AD329" si="5">S5-(Y5*2)</f>
        <v>-60</v>
      </c>
      <c r="AE5" s="121"/>
      <c r="AF5" s="26">
        <f>SUMIFS(DataPrixBillets!N$1:N$1000,DataPrixBillets!$J$1:$J$1000,ROI_Avions!$A5,DataPrixBillets!$K$1:$K$1000,ROI_Avions!$C5)</f>
        <v>0</v>
      </c>
      <c r="AG5" s="26">
        <f>SUMIFS(DataPrixBillets!O$1:O$1000,DataPrixBillets!$J$1:$J$1000,ROI_Avions!$A5,DataPrixBillets!$K$1:$K$1000,ROI_Avions!$C5)</f>
        <v>0</v>
      </c>
      <c r="AH5" s="26">
        <f>SUMIFS(DataPrixBillets!P$1:P$1000,DataPrixBillets!$J$1:$J$1000,ROI_Avions!$A5,DataPrixBillets!$K$1:$K$1000,ROI_Avions!$C5)</f>
        <v>0</v>
      </c>
      <c r="AI5" s="26">
        <f>SUMIFS(DataPrixBillets!Q$1:Q$1000,DataPrixBillets!$J$1:$J$1000,ROI_Avions!$A5,DataPrixBillets!$K$1:$K$1000,ROI_Avions!$C5)</f>
        <v>0</v>
      </c>
      <c r="AJ5" s="121"/>
      <c r="AK5" s="8">
        <f t="shared" ref="AK5" si="6">(((AF5*V5)*2+(AG5*W5)*2+(AH5*X5)*2+(AI5*Y5)*2)*7)</f>
        <v>0</v>
      </c>
      <c r="AL5" s="8" t="e">
        <f t="shared" ref="AL5" ca="1" si="7">AK5-AM5</f>
        <v>#REF!</v>
      </c>
      <c r="AM5" s="8" t="e">
        <f t="shared" ref="AM5" ca="1" si="8">AK5*$AM$2</f>
        <v>#REF!</v>
      </c>
      <c r="AN5" s="8" t="e">
        <f t="shared" ref="AN5" ca="1" si="9">AL5*$AN$2</f>
        <v>#REF!</v>
      </c>
      <c r="AO5" s="8" t="e">
        <f t="shared" ref="AO5" ca="1" si="10">(AL5-AN5-I5)*$AO$2</f>
        <v>#REF!</v>
      </c>
      <c r="AP5" s="8" t="e">
        <f t="shared" ref="AP5" ca="1" si="11">AL5-AN5-(I5/7)-(AO5/7)</f>
        <v>#REF!</v>
      </c>
      <c r="AQ5" s="8" t="e">
        <f t="shared" ref="AQ5" ca="1" si="12">AP5/7</f>
        <v>#REF!</v>
      </c>
      <c r="AR5" s="7">
        <f t="shared" ref="AR5:AR36" ca="1" si="13">IFERROR((AP5/7)/((B5/COUNTIFS(A:A,A5))+(E5/COUNTIFS(A:A,A5,C:C,C5))+I5*K5+J5+G5),0)</f>
        <v>0</v>
      </c>
      <c r="AS5" s="120">
        <f ca="1">IFERROR(((B5/COUNTIFS(A:A,A5))+(E5/COUNTIFS(A:A,A5,C:C,C5))+I5*K5+J5+G5)/(AP5/7),0)</f>
        <v>0</v>
      </c>
      <c r="AT5" s="8" t="e">
        <f t="shared" ref="AT5" ca="1" si="14">IF(K5&gt;=1,AP5*K5,AP5*$AT$1)</f>
        <v>#REF!</v>
      </c>
      <c r="AV5" s="243" t="s">
        <v>1004</v>
      </c>
      <c r="AW5" s="244"/>
      <c r="AX5" s="38"/>
      <c r="AY5" s="243" t="s">
        <v>938</v>
      </c>
      <c r="AZ5" s="244"/>
      <c r="BB5" s="243" t="s">
        <v>951</v>
      </c>
      <c r="BC5" s="244"/>
    </row>
    <row r="6" spans="1:55" x14ac:dyDescent="0.3">
      <c r="A6" s="145" t="s">
        <v>315</v>
      </c>
      <c r="B6" s="148">
        <v>0</v>
      </c>
      <c r="C6" s="145" t="s">
        <v>332</v>
      </c>
      <c r="D6" s="145" t="str">
        <f t="shared" ref="D6:D69" si="15">A6&amp;"/"&amp;C6</f>
        <v>SFO/CDG</v>
      </c>
      <c r="E6" s="146">
        <v>16556576</v>
      </c>
      <c r="F6" s="147" t="s">
        <v>802</v>
      </c>
      <c r="G6" s="148">
        <v>344565000</v>
      </c>
      <c r="I6" s="8">
        <v>0</v>
      </c>
      <c r="J6" s="8">
        <v>0</v>
      </c>
      <c r="K6" s="8">
        <v>0</v>
      </c>
      <c r="L6" s="53"/>
      <c r="M6" s="53"/>
      <c r="O6" s="139"/>
      <c r="P6" s="133">
        <f>SUMIFS(GestionLignesDemande!D$4:D$1000,GestionLignesDemande!$B$4:$B$1000,ROI_Avions!$A6,GestionLignesDemande!$C$4:$C$1000,ROI_Avions!$C6)</f>
        <v>0</v>
      </c>
      <c r="Q6" s="133">
        <f>SUMIFS(GestionLignesDemande!E$4:E$1000,GestionLignesDemande!$B$4:$B$1000,ROI_Avions!$A6,GestionLignesDemande!$C$4:$C$1000,ROI_Avions!$C6)</f>
        <v>0</v>
      </c>
      <c r="R6" s="133">
        <f>SUMIFS(GestionLignesDemande!F$4:F$1000,GestionLignesDemande!$B$4:$B$1000,ROI_Avions!$A6,GestionLignesDemande!$C$4:$C$1000,ROI_Avions!$C6)</f>
        <v>0</v>
      </c>
      <c r="S6" s="133">
        <f>SUMIFS(GestionLignesDemande!G$4:G$1000,GestionLignesDemande!$B$4:$B$1000,ROI_Avions!$A6,GestionLignesDemande!$C$4:$C$1000,ROI_Avions!$C6)</f>
        <v>0</v>
      </c>
      <c r="T6" s="121"/>
      <c r="U6" s="8">
        <f t="shared" si="1"/>
        <v>529</v>
      </c>
      <c r="V6" s="8">
        <v>288</v>
      </c>
      <c r="W6" s="8">
        <v>157</v>
      </c>
      <c r="X6" s="8">
        <v>67</v>
      </c>
      <c r="Y6" s="8">
        <v>17</v>
      </c>
      <c r="Z6" s="121"/>
      <c r="AA6" s="8">
        <f t="shared" ref="AA6" si="16">AA5-V6*2</f>
        <v>-1152</v>
      </c>
      <c r="AB6" s="8">
        <f t="shared" ref="AB6" si="17">AB5-W6*2</f>
        <v>-628</v>
      </c>
      <c r="AC6" s="8">
        <f t="shared" ref="AC6" si="18">AC5-X6*2</f>
        <v>-268</v>
      </c>
      <c r="AD6" s="8">
        <f t="shared" ref="AD6" si="19">AD5-Y6*2</f>
        <v>-94</v>
      </c>
      <c r="AE6" s="121"/>
      <c r="AF6" s="26">
        <f>SUMIFS(DataPrixBillets!N$1:N$1000,DataPrixBillets!$J$1:$J$1000,ROI_Avions!$A6,DataPrixBillets!$K$1:$K$1000,ROI_Avions!$C6)</f>
        <v>0</v>
      </c>
      <c r="AG6" s="26">
        <f>SUMIFS(DataPrixBillets!O$1:O$1000,DataPrixBillets!$J$1:$J$1000,ROI_Avions!$A6,DataPrixBillets!$K$1:$K$1000,ROI_Avions!$C6)</f>
        <v>0</v>
      </c>
      <c r="AH6" s="26">
        <f>SUMIFS(DataPrixBillets!P$1:P$1000,DataPrixBillets!$J$1:$J$1000,ROI_Avions!$A6,DataPrixBillets!$K$1:$K$1000,ROI_Avions!$C6)</f>
        <v>0</v>
      </c>
      <c r="AI6" s="26">
        <f>SUMIFS(DataPrixBillets!Q$1:Q$1000,DataPrixBillets!$J$1:$J$1000,ROI_Avions!$A6,DataPrixBillets!$K$1:$K$1000,ROI_Avions!$C6)</f>
        <v>0</v>
      </c>
      <c r="AJ6" s="121"/>
      <c r="AK6" s="8">
        <f t="shared" ref="AK6:AK237" si="20">(((AF6*V6)*2+(AG6*W6)*2+(AH6*X6)*2+(AI6*Y6)*2)*7)</f>
        <v>0</v>
      </c>
      <c r="AL6" s="8" t="e">
        <f t="shared" ref="AL6:AL299" ca="1" si="21">AK6-AM6</f>
        <v>#REF!</v>
      </c>
      <c r="AM6" s="8" t="e">
        <f t="shared" ref="AM6:AM299" ca="1" si="22">AK6*$AM$2</f>
        <v>#REF!</v>
      </c>
      <c r="AN6" s="8" t="e">
        <f t="shared" ref="AN6:AN299" ca="1" si="23">AL6*$AN$2</f>
        <v>#REF!</v>
      </c>
      <c r="AO6" s="8" t="e">
        <f t="shared" ref="AO6:AO299" ca="1" si="24">(AL6-AN6-I6)*$AO$2</f>
        <v>#REF!</v>
      </c>
      <c r="AP6" s="8" t="e">
        <f t="shared" ref="AP6:AP299" ca="1" si="25">AL6-AN6-(I6/7)-(AO6/7)</f>
        <v>#REF!</v>
      </c>
      <c r="AQ6" s="8" t="e">
        <f t="shared" ref="AQ6:AQ299" ca="1" si="26">AP6/7</f>
        <v>#REF!</v>
      </c>
      <c r="AR6" s="7">
        <f t="shared" ca="1" si="13"/>
        <v>0</v>
      </c>
      <c r="AS6" s="120">
        <f t="shared" ref="AS6:AS36" ca="1" si="27">IFERROR(((B6/COUNTIFS(A:A,A6))+(E6/COUNTIFS(A:A,A6,C:C,C6))+I6*K6+J6+G6)/(AP6/7),0)</f>
        <v>0</v>
      </c>
      <c r="AT6" s="8" t="e">
        <f t="shared" ref="AT6:AT299" ca="1" si="28">IF(K6&gt;=1,AP6*K6,AP6*$AT$1)</f>
        <v>#REF!</v>
      </c>
      <c r="AV6" t="s">
        <v>936</v>
      </c>
      <c r="AW6" t="s">
        <v>937</v>
      </c>
      <c r="AX6" t="s">
        <v>1156</v>
      </c>
      <c r="AY6" s="185" t="s">
        <v>936</v>
      </c>
      <c r="AZ6" s="185" t="s">
        <v>937</v>
      </c>
      <c r="BA6" t="s">
        <v>1012</v>
      </c>
      <c r="BB6" s="185" t="s">
        <v>936</v>
      </c>
      <c r="BC6" s="185" t="s">
        <v>937</v>
      </c>
    </row>
    <row r="7" spans="1:55" x14ac:dyDescent="0.3">
      <c r="A7" s="145" t="s">
        <v>315</v>
      </c>
      <c r="B7" s="148">
        <v>0</v>
      </c>
      <c r="C7" s="145" t="s">
        <v>332</v>
      </c>
      <c r="D7" s="145" t="str">
        <f t="shared" si="15"/>
        <v>SFO/CDG</v>
      </c>
      <c r="E7" s="146">
        <v>16556576</v>
      </c>
      <c r="F7" s="147" t="s">
        <v>803</v>
      </c>
      <c r="G7" s="148">
        <v>344565000</v>
      </c>
      <c r="I7" s="8">
        <v>0</v>
      </c>
      <c r="J7" s="8">
        <v>0</v>
      </c>
      <c r="K7" s="8">
        <v>0</v>
      </c>
      <c r="L7" s="53"/>
      <c r="M7" s="53"/>
      <c r="O7" s="139"/>
      <c r="P7" s="133">
        <f>SUMIFS(GestionLignesDemande!D$4:D$1000,GestionLignesDemande!$B$4:$B$1000,ROI_Avions!$A7,GestionLignesDemande!$C$4:$C$1000,ROI_Avions!$C7)</f>
        <v>0</v>
      </c>
      <c r="Q7" s="133">
        <f>SUMIFS(GestionLignesDemande!E$4:E$1000,GestionLignesDemande!$B$4:$B$1000,ROI_Avions!$A7,GestionLignesDemande!$C$4:$C$1000,ROI_Avions!$C7)</f>
        <v>0</v>
      </c>
      <c r="R7" s="133">
        <f>SUMIFS(GestionLignesDemande!F$4:F$1000,GestionLignesDemande!$B$4:$B$1000,ROI_Avions!$A7,GestionLignesDemande!$C$4:$C$1000,ROI_Avions!$C7)</f>
        <v>0</v>
      </c>
      <c r="S7" s="133">
        <f>SUMIFS(GestionLignesDemande!G$4:G$1000,GestionLignesDemande!$B$4:$B$1000,ROI_Avions!$A7,GestionLignesDemande!$C$4:$C$1000,ROI_Avions!$C7)</f>
        <v>0</v>
      </c>
      <c r="T7" s="121"/>
      <c r="U7" s="8">
        <f t="shared" si="1"/>
        <v>538</v>
      </c>
      <c r="V7" s="8">
        <v>322</v>
      </c>
      <c r="W7" s="8">
        <v>157</v>
      </c>
      <c r="X7" s="8">
        <v>59</v>
      </c>
      <c r="Y7" s="8">
        <v>0</v>
      </c>
      <c r="Z7" s="121"/>
      <c r="AA7" s="8">
        <f t="shared" ref="AA7" si="29">AA6-V7*2</f>
        <v>-1796</v>
      </c>
      <c r="AB7" s="8">
        <f t="shared" ref="AB7" si="30">AB6-W7*2</f>
        <v>-942</v>
      </c>
      <c r="AC7" s="8">
        <f t="shared" ref="AC7" si="31">AC6-X7*2</f>
        <v>-386</v>
      </c>
      <c r="AD7" s="8">
        <f t="shared" ref="AD7" si="32">AD6-Y7*2</f>
        <v>-94</v>
      </c>
      <c r="AE7" s="121"/>
      <c r="AF7" s="26">
        <f>SUMIFS(DataPrixBillets!N$1:N$1000,DataPrixBillets!$J$1:$J$1000,ROI_Avions!$A7,DataPrixBillets!$K$1:$K$1000,ROI_Avions!$C7)</f>
        <v>0</v>
      </c>
      <c r="AG7" s="26">
        <f>SUMIFS(DataPrixBillets!O$1:O$1000,DataPrixBillets!$J$1:$J$1000,ROI_Avions!$A7,DataPrixBillets!$K$1:$K$1000,ROI_Avions!$C7)</f>
        <v>0</v>
      </c>
      <c r="AH7" s="26">
        <f>SUMIFS(DataPrixBillets!P$1:P$1000,DataPrixBillets!$J$1:$J$1000,ROI_Avions!$A7,DataPrixBillets!$K$1:$K$1000,ROI_Avions!$C7)</f>
        <v>0</v>
      </c>
      <c r="AI7" s="26">
        <f>SUMIFS(DataPrixBillets!Q$1:Q$1000,DataPrixBillets!$J$1:$J$1000,ROI_Avions!$A7,DataPrixBillets!$K$1:$K$1000,ROI_Avions!$C7)</f>
        <v>0</v>
      </c>
      <c r="AJ7" s="121"/>
      <c r="AK7" s="8">
        <f t="shared" si="20"/>
        <v>0</v>
      </c>
      <c r="AL7" s="8" t="e">
        <f t="shared" ca="1" si="21"/>
        <v>#REF!</v>
      </c>
      <c r="AM7" s="8" t="e">
        <f t="shared" ca="1" si="22"/>
        <v>#REF!</v>
      </c>
      <c r="AN7" s="8" t="e">
        <f t="shared" ca="1" si="23"/>
        <v>#REF!</v>
      </c>
      <c r="AO7" s="8" t="e">
        <f t="shared" ca="1" si="24"/>
        <v>#REF!</v>
      </c>
      <c r="AP7" s="8" t="e">
        <f t="shared" ca="1" si="25"/>
        <v>#REF!</v>
      </c>
      <c r="AQ7" s="8" t="e">
        <f t="shared" ca="1" si="26"/>
        <v>#REF!</v>
      </c>
      <c r="AR7" s="7">
        <f t="shared" ca="1" si="13"/>
        <v>0</v>
      </c>
      <c r="AS7" s="120">
        <f t="shared" ca="1" si="27"/>
        <v>0</v>
      </c>
      <c r="AT7" s="8" t="e">
        <f t="shared" ca="1" si="28"/>
        <v>#REF!</v>
      </c>
      <c r="AV7" s="67" t="s">
        <v>848</v>
      </c>
      <c r="AW7">
        <v>0</v>
      </c>
      <c r="AY7" s="67" t="s">
        <v>848</v>
      </c>
      <c r="AZ7" s="185">
        <v>0</v>
      </c>
      <c r="BB7" s="67" t="s">
        <v>848</v>
      </c>
      <c r="BC7" s="185">
        <v>0</v>
      </c>
    </row>
    <row r="8" spans="1:55" x14ac:dyDescent="0.3">
      <c r="A8" s="145" t="s">
        <v>315</v>
      </c>
      <c r="B8" s="146">
        <v>0</v>
      </c>
      <c r="C8" s="145" t="s">
        <v>773</v>
      </c>
      <c r="D8" s="145" t="str">
        <f t="shared" si="15"/>
        <v>SFO/FRA</v>
      </c>
      <c r="E8" s="146">
        <v>19337311</v>
      </c>
      <c r="F8" s="147" t="s">
        <v>816</v>
      </c>
      <c r="G8" s="148">
        <v>344565000</v>
      </c>
      <c r="I8" s="8">
        <v>0</v>
      </c>
      <c r="J8" s="8">
        <v>0</v>
      </c>
      <c r="K8" s="8">
        <v>0</v>
      </c>
      <c r="L8" s="53"/>
      <c r="M8" s="53"/>
      <c r="O8" s="138"/>
      <c r="P8" s="133">
        <f>SUMIFS(GestionLignesDemande!D$4:D$1000,GestionLignesDemande!$B$4:$B$1000,ROI_Avions!$A8,GestionLignesDemande!$C$4:$C$1000,ROI_Avions!$C8)</f>
        <v>0</v>
      </c>
      <c r="Q8" s="133">
        <f>SUMIFS(GestionLignesDemande!E$4:E$1000,GestionLignesDemande!$B$4:$B$1000,ROI_Avions!$A8,GestionLignesDemande!$C$4:$C$1000,ROI_Avions!$C8)</f>
        <v>0</v>
      </c>
      <c r="R8" s="133">
        <f>SUMIFS(GestionLignesDemande!F$4:F$1000,GestionLignesDemande!$B$4:$B$1000,ROI_Avions!$A8,GestionLignesDemande!$C$4:$C$1000,ROI_Avions!$C8)</f>
        <v>0</v>
      </c>
      <c r="S8" s="133">
        <f>SUMIFS(GestionLignesDemande!G$4:G$1000,GestionLignesDemande!$B$4:$B$1000,ROI_Avions!$A8,GestionLignesDemande!$C$4:$C$1000,ROI_Avions!$C8)</f>
        <v>0</v>
      </c>
      <c r="T8" s="121"/>
      <c r="U8" s="8">
        <f t="shared" si="1"/>
        <v>542</v>
      </c>
      <c r="V8" s="8">
        <v>288</v>
      </c>
      <c r="W8" s="8">
        <v>157</v>
      </c>
      <c r="X8" s="8">
        <v>67</v>
      </c>
      <c r="Y8" s="8">
        <v>30</v>
      </c>
      <c r="Z8" s="121"/>
      <c r="AA8" s="132">
        <f t="shared" si="2"/>
        <v>-576</v>
      </c>
      <c r="AB8" s="132">
        <f t="shared" si="3"/>
        <v>-314</v>
      </c>
      <c r="AC8" s="132">
        <f t="shared" si="4"/>
        <v>-134</v>
      </c>
      <c r="AD8" s="132">
        <f t="shared" si="5"/>
        <v>-60</v>
      </c>
      <c r="AE8" s="121"/>
      <c r="AF8" s="26">
        <f>SUMIFS(DataPrixBillets!N$1:N$1000,DataPrixBillets!$J$1:$J$1000,ROI_Avions!$A8,DataPrixBillets!$K$1:$K$1000,ROI_Avions!$C8)</f>
        <v>0</v>
      </c>
      <c r="AG8" s="26">
        <f>SUMIFS(DataPrixBillets!O$1:O$1000,DataPrixBillets!$J$1:$J$1000,ROI_Avions!$A8,DataPrixBillets!$K$1:$K$1000,ROI_Avions!$C8)</f>
        <v>0</v>
      </c>
      <c r="AH8" s="26">
        <f>SUMIFS(DataPrixBillets!P$1:P$1000,DataPrixBillets!$J$1:$J$1000,ROI_Avions!$A8,DataPrixBillets!$K$1:$K$1000,ROI_Avions!$C8)</f>
        <v>0</v>
      </c>
      <c r="AI8" s="26">
        <f>SUMIFS(DataPrixBillets!Q$1:Q$1000,DataPrixBillets!$J$1:$J$1000,ROI_Avions!$A8,DataPrixBillets!$K$1:$K$1000,ROI_Avions!$C8)</f>
        <v>0</v>
      </c>
      <c r="AJ8" s="121"/>
      <c r="AK8" s="8">
        <f t="shared" si="20"/>
        <v>0</v>
      </c>
      <c r="AL8" s="8" t="e">
        <f t="shared" ca="1" si="21"/>
        <v>#REF!</v>
      </c>
      <c r="AM8" s="8" t="e">
        <f t="shared" ca="1" si="22"/>
        <v>#REF!</v>
      </c>
      <c r="AN8" s="8" t="e">
        <f t="shared" ca="1" si="23"/>
        <v>#REF!</v>
      </c>
      <c r="AO8" s="8" t="e">
        <f t="shared" ca="1" si="24"/>
        <v>#REF!</v>
      </c>
      <c r="AP8" s="8" t="e">
        <f t="shared" ca="1" si="25"/>
        <v>#REF!</v>
      </c>
      <c r="AQ8" s="8" t="e">
        <f t="shared" ca="1" si="26"/>
        <v>#REF!</v>
      </c>
      <c r="AR8" s="7">
        <f t="shared" ca="1" si="13"/>
        <v>0</v>
      </c>
      <c r="AS8" s="120">
        <f t="shared" ca="1" si="27"/>
        <v>0</v>
      </c>
      <c r="AT8" s="8" t="e">
        <f t="shared" ca="1" si="28"/>
        <v>#REF!</v>
      </c>
      <c r="AU8" s="38"/>
      <c r="AV8" s="67" t="s">
        <v>220</v>
      </c>
      <c r="AW8">
        <v>25</v>
      </c>
      <c r="AY8" s="67" t="s">
        <v>220</v>
      </c>
      <c r="AZ8" s="185">
        <v>0</v>
      </c>
      <c r="BB8" s="67" t="s">
        <v>220</v>
      </c>
      <c r="BC8" s="185">
        <v>0</v>
      </c>
    </row>
    <row r="9" spans="1:55" x14ac:dyDescent="0.3">
      <c r="A9" s="145" t="s">
        <v>315</v>
      </c>
      <c r="B9" s="146">
        <v>0</v>
      </c>
      <c r="C9" s="145" t="s">
        <v>773</v>
      </c>
      <c r="D9" s="145" t="str">
        <f t="shared" si="15"/>
        <v>SFO/FRA</v>
      </c>
      <c r="E9" s="146">
        <v>19337311</v>
      </c>
      <c r="F9" s="147" t="s">
        <v>817</v>
      </c>
      <c r="G9" s="148">
        <v>344565000</v>
      </c>
      <c r="I9" s="8">
        <v>0</v>
      </c>
      <c r="J9" s="8">
        <v>0</v>
      </c>
      <c r="K9" s="8">
        <v>0</v>
      </c>
      <c r="L9" s="53"/>
      <c r="M9" s="53"/>
      <c r="O9" s="138"/>
      <c r="P9" s="133">
        <f>SUMIFS(GestionLignesDemande!D$4:D$1000,GestionLignesDemande!$B$4:$B$1000,ROI_Avions!$A9,GestionLignesDemande!$C$4:$C$1000,ROI_Avions!$C9)</f>
        <v>0</v>
      </c>
      <c r="Q9" s="133">
        <f>SUMIFS(GestionLignesDemande!E$4:E$1000,GestionLignesDemande!$B$4:$B$1000,ROI_Avions!$A9,GestionLignesDemande!$C$4:$C$1000,ROI_Avions!$C9)</f>
        <v>0</v>
      </c>
      <c r="R9" s="133">
        <f>SUMIFS(GestionLignesDemande!F$4:F$1000,GestionLignesDemande!$B$4:$B$1000,ROI_Avions!$A9,GestionLignesDemande!$C$4:$C$1000,ROI_Avions!$C9)</f>
        <v>0</v>
      </c>
      <c r="S9" s="133">
        <f>SUMIFS(GestionLignesDemande!G$4:G$1000,GestionLignesDemande!$B$4:$B$1000,ROI_Avions!$A9,GestionLignesDemande!$C$4:$C$1000,ROI_Avions!$C9)</f>
        <v>0</v>
      </c>
      <c r="T9" s="121"/>
      <c r="U9" s="8">
        <f t="shared" si="1"/>
        <v>529</v>
      </c>
      <c r="V9" s="8">
        <v>289</v>
      </c>
      <c r="W9" s="8">
        <v>157</v>
      </c>
      <c r="X9" s="8">
        <v>67</v>
      </c>
      <c r="Y9" s="8">
        <v>16</v>
      </c>
      <c r="Z9" s="121"/>
      <c r="AA9" s="8">
        <f t="shared" ref="AA9:AA10" si="33">AA8-V9*2</f>
        <v>-1154</v>
      </c>
      <c r="AB9" s="8">
        <f t="shared" ref="AB9:AB10" si="34">AB8-W9*2</f>
        <v>-628</v>
      </c>
      <c r="AC9" s="8">
        <f t="shared" ref="AC9:AC10" si="35">AC8-X9*2</f>
        <v>-268</v>
      </c>
      <c r="AD9" s="8">
        <f t="shared" ref="AD9:AD10" si="36">AD8-Y9*2</f>
        <v>-92</v>
      </c>
      <c r="AE9" s="121"/>
      <c r="AF9" s="26">
        <f>SUMIFS(DataPrixBillets!N$1:N$1000,DataPrixBillets!$J$1:$J$1000,ROI_Avions!$A9,DataPrixBillets!$K$1:$K$1000,ROI_Avions!$C9)</f>
        <v>0</v>
      </c>
      <c r="AG9" s="26">
        <f>SUMIFS(DataPrixBillets!O$1:O$1000,DataPrixBillets!$J$1:$J$1000,ROI_Avions!$A9,DataPrixBillets!$K$1:$K$1000,ROI_Avions!$C9)</f>
        <v>0</v>
      </c>
      <c r="AH9" s="26">
        <f>SUMIFS(DataPrixBillets!P$1:P$1000,DataPrixBillets!$J$1:$J$1000,ROI_Avions!$A9,DataPrixBillets!$K$1:$K$1000,ROI_Avions!$C9)</f>
        <v>0</v>
      </c>
      <c r="AI9" s="26">
        <f>SUMIFS(DataPrixBillets!Q$1:Q$1000,DataPrixBillets!$J$1:$J$1000,ROI_Avions!$A9,DataPrixBillets!$K$1:$K$1000,ROI_Avions!$C9)</f>
        <v>0</v>
      </c>
      <c r="AJ9" s="121"/>
      <c r="AK9" s="8">
        <f t="shared" si="20"/>
        <v>0</v>
      </c>
      <c r="AL9" s="8" t="e">
        <f t="shared" ca="1" si="21"/>
        <v>#REF!</v>
      </c>
      <c r="AM9" s="8" t="e">
        <f t="shared" ca="1" si="22"/>
        <v>#REF!</v>
      </c>
      <c r="AN9" s="8" t="e">
        <f t="shared" ca="1" si="23"/>
        <v>#REF!</v>
      </c>
      <c r="AO9" s="8" t="e">
        <f t="shared" ca="1" si="24"/>
        <v>#REF!</v>
      </c>
      <c r="AP9" s="8" t="e">
        <f t="shared" ca="1" si="25"/>
        <v>#REF!</v>
      </c>
      <c r="AQ9" s="8" t="e">
        <f t="shared" ca="1" si="26"/>
        <v>#REF!</v>
      </c>
      <c r="AR9" s="7">
        <f t="shared" ca="1" si="13"/>
        <v>0</v>
      </c>
      <c r="AS9" s="120">
        <f t="shared" ca="1" si="27"/>
        <v>0</v>
      </c>
      <c r="AT9" s="8" t="e">
        <f t="shared" ca="1" si="28"/>
        <v>#REF!</v>
      </c>
      <c r="AV9" s="67" t="s">
        <v>756</v>
      </c>
      <c r="AW9">
        <v>533</v>
      </c>
      <c r="AX9" s="206">
        <f>Tableau6[[#This Row],[Nombres]]*(1500000)</f>
        <v>799500000</v>
      </c>
      <c r="AY9" s="67" t="s">
        <v>756</v>
      </c>
      <c r="AZ9" s="185">
        <v>0</v>
      </c>
      <c r="BB9" s="67" t="s">
        <v>756</v>
      </c>
      <c r="BC9" s="185">
        <v>0</v>
      </c>
    </row>
    <row r="10" spans="1:55" x14ac:dyDescent="0.3">
      <c r="A10" s="145" t="s">
        <v>315</v>
      </c>
      <c r="B10" s="146">
        <v>0</v>
      </c>
      <c r="C10" s="145" t="s">
        <v>773</v>
      </c>
      <c r="D10" s="145" t="str">
        <f t="shared" si="15"/>
        <v>SFO/FRA</v>
      </c>
      <c r="E10" s="146">
        <v>19337311</v>
      </c>
      <c r="F10" s="147" t="s">
        <v>818</v>
      </c>
      <c r="G10" s="148">
        <v>362700000</v>
      </c>
      <c r="I10" s="8">
        <v>0</v>
      </c>
      <c r="J10" s="8">
        <v>0</v>
      </c>
      <c r="K10" s="8">
        <v>0</v>
      </c>
      <c r="L10" s="53"/>
      <c r="M10" s="53"/>
      <c r="O10" s="138"/>
      <c r="P10" s="133">
        <f>SUMIFS(GestionLignesDemande!D$4:D$1000,GestionLignesDemande!$B$4:$B$1000,ROI_Avions!$A10,GestionLignesDemande!$C$4:$C$1000,ROI_Avions!$C10)</f>
        <v>0</v>
      </c>
      <c r="Q10" s="133">
        <f>SUMIFS(GestionLignesDemande!E$4:E$1000,GestionLignesDemande!$B$4:$B$1000,ROI_Avions!$A10,GestionLignesDemande!$C$4:$C$1000,ROI_Avions!$C10)</f>
        <v>0</v>
      </c>
      <c r="R10" s="133">
        <f>SUMIFS(GestionLignesDemande!F$4:F$1000,GestionLignesDemande!$B$4:$B$1000,ROI_Avions!$A10,GestionLignesDemande!$C$4:$C$1000,ROI_Avions!$C10)</f>
        <v>0</v>
      </c>
      <c r="S10" s="133">
        <f>SUMIFS(GestionLignesDemande!G$4:G$1000,GestionLignesDemande!$B$4:$B$1000,ROI_Avions!$A10,GestionLignesDemande!$C$4:$C$1000,ROI_Avions!$C10)</f>
        <v>0</v>
      </c>
      <c r="T10" s="121"/>
      <c r="U10" s="8">
        <f t="shared" si="1"/>
        <v>677</v>
      </c>
      <c r="V10" s="8">
        <v>538</v>
      </c>
      <c r="W10" s="8">
        <v>112</v>
      </c>
      <c r="X10" s="8">
        <v>27</v>
      </c>
      <c r="Y10" s="8">
        <v>0</v>
      </c>
      <c r="Z10" s="121"/>
      <c r="AA10" s="8">
        <f t="shared" si="33"/>
        <v>-2230</v>
      </c>
      <c r="AB10" s="8">
        <f t="shared" si="34"/>
        <v>-852</v>
      </c>
      <c r="AC10" s="8">
        <f t="shared" si="35"/>
        <v>-322</v>
      </c>
      <c r="AD10" s="8">
        <f t="shared" si="36"/>
        <v>-92</v>
      </c>
      <c r="AE10" s="121"/>
      <c r="AF10" s="26">
        <f>SUMIFS(DataPrixBillets!N$1:N$1000,DataPrixBillets!$J$1:$J$1000,ROI_Avions!$A10,DataPrixBillets!$K$1:$K$1000,ROI_Avions!$C10)</f>
        <v>0</v>
      </c>
      <c r="AG10" s="26">
        <f>SUMIFS(DataPrixBillets!O$1:O$1000,DataPrixBillets!$J$1:$J$1000,ROI_Avions!$A10,DataPrixBillets!$K$1:$K$1000,ROI_Avions!$C10)</f>
        <v>0</v>
      </c>
      <c r="AH10" s="26">
        <f>SUMIFS(DataPrixBillets!P$1:P$1000,DataPrixBillets!$J$1:$J$1000,ROI_Avions!$A10,DataPrixBillets!$K$1:$K$1000,ROI_Avions!$C10)</f>
        <v>0</v>
      </c>
      <c r="AI10" s="26">
        <f>SUMIFS(DataPrixBillets!Q$1:Q$1000,DataPrixBillets!$J$1:$J$1000,ROI_Avions!$A10,DataPrixBillets!$K$1:$K$1000,ROI_Avions!$C10)</f>
        <v>0</v>
      </c>
      <c r="AJ10" s="121"/>
      <c r="AK10" s="8">
        <f t="shared" si="20"/>
        <v>0</v>
      </c>
      <c r="AL10" s="8" t="e">
        <f t="shared" ca="1" si="21"/>
        <v>#REF!</v>
      </c>
      <c r="AM10" s="8" t="e">
        <f t="shared" ca="1" si="22"/>
        <v>#REF!</v>
      </c>
      <c r="AN10" s="8" t="e">
        <f t="shared" ca="1" si="23"/>
        <v>#REF!</v>
      </c>
      <c r="AO10" s="8" t="e">
        <f t="shared" ca="1" si="24"/>
        <v>#REF!</v>
      </c>
      <c r="AP10" s="8" t="e">
        <f t="shared" ca="1" si="25"/>
        <v>#REF!</v>
      </c>
      <c r="AQ10" s="8" t="e">
        <f t="shared" ca="1" si="26"/>
        <v>#REF!</v>
      </c>
      <c r="AR10" s="7">
        <f t="shared" ca="1" si="13"/>
        <v>0</v>
      </c>
      <c r="AS10" s="120">
        <f t="shared" ca="1" si="27"/>
        <v>0</v>
      </c>
      <c r="AT10" s="8" t="e">
        <f t="shared" ca="1" si="28"/>
        <v>#REF!</v>
      </c>
      <c r="AV10" s="67" t="s">
        <v>741</v>
      </c>
      <c r="AW10">
        <v>16</v>
      </c>
      <c r="AY10" s="67" t="s">
        <v>741</v>
      </c>
      <c r="AZ10" s="185">
        <v>0</v>
      </c>
      <c r="BB10" s="67" t="s">
        <v>741</v>
      </c>
      <c r="BC10" s="185">
        <v>0</v>
      </c>
    </row>
    <row r="11" spans="1:55" x14ac:dyDescent="0.3">
      <c r="A11" s="145" t="s">
        <v>315</v>
      </c>
      <c r="B11" s="146">
        <v>0</v>
      </c>
      <c r="C11" s="145" t="s">
        <v>326</v>
      </c>
      <c r="D11" s="145" t="str">
        <f t="shared" si="15"/>
        <v>SFO/ORY</v>
      </c>
      <c r="E11" s="146">
        <v>22872766</v>
      </c>
      <c r="F11" s="147" t="s">
        <v>819</v>
      </c>
      <c r="G11" s="148">
        <v>344565000</v>
      </c>
      <c r="I11" s="8">
        <v>0</v>
      </c>
      <c r="J11" s="8">
        <v>0</v>
      </c>
      <c r="K11" s="8">
        <v>0</v>
      </c>
      <c r="L11" s="53"/>
      <c r="M11" s="53"/>
      <c r="O11" s="138"/>
      <c r="P11" s="133">
        <f>SUMIFS(GestionLignesDemande!D$4:D$1000,GestionLignesDemande!$B$4:$B$1000,ROI_Avions!$A11,GestionLignesDemande!$C$4:$C$1000,ROI_Avions!$C11)</f>
        <v>0</v>
      </c>
      <c r="Q11" s="133">
        <f>SUMIFS(GestionLignesDemande!E$4:E$1000,GestionLignesDemande!$B$4:$B$1000,ROI_Avions!$A11,GestionLignesDemande!$C$4:$C$1000,ROI_Avions!$C11)</f>
        <v>0</v>
      </c>
      <c r="R11" s="133">
        <f>SUMIFS(GestionLignesDemande!F$4:F$1000,GestionLignesDemande!$B$4:$B$1000,ROI_Avions!$A11,GestionLignesDemande!$C$4:$C$1000,ROI_Avions!$C11)</f>
        <v>0</v>
      </c>
      <c r="S11" s="133">
        <f>SUMIFS(GestionLignesDemande!G$4:G$1000,GestionLignesDemande!$B$4:$B$1000,ROI_Avions!$A11,GestionLignesDemande!$C$4:$C$1000,ROI_Avions!$C11)</f>
        <v>0</v>
      </c>
      <c r="T11" s="121"/>
      <c r="U11" s="8">
        <f t="shared" si="1"/>
        <v>542</v>
      </c>
      <c r="V11" s="8">
        <v>288</v>
      </c>
      <c r="W11" s="8">
        <v>157</v>
      </c>
      <c r="X11" s="8">
        <v>67</v>
      </c>
      <c r="Y11" s="8">
        <v>30</v>
      </c>
      <c r="Z11" s="121"/>
      <c r="AA11" s="132">
        <f t="shared" si="2"/>
        <v>-576</v>
      </c>
      <c r="AB11" s="132">
        <f t="shared" si="3"/>
        <v>-314</v>
      </c>
      <c r="AC11" s="132">
        <f t="shared" si="4"/>
        <v>-134</v>
      </c>
      <c r="AD11" s="132">
        <f t="shared" si="5"/>
        <v>-60</v>
      </c>
      <c r="AE11" s="121"/>
      <c r="AF11" s="26">
        <f>SUMIFS(DataPrixBillets!N$1:N$1000,DataPrixBillets!$J$1:$J$1000,ROI_Avions!$A11,DataPrixBillets!$K$1:$K$1000,ROI_Avions!$C11)</f>
        <v>0</v>
      </c>
      <c r="AG11" s="26">
        <f>SUMIFS(DataPrixBillets!O$1:O$1000,DataPrixBillets!$J$1:$J$1000,ROI_Avions!$A11,DataPrixBillets!$K$1:$K$1000,ROI_Avions!$C11)</f>
        <v>0</v>
      </c>
      <c r="AH11" s="26">
        <f>SUMIFS(DataPrixBillets!P$1:P$1000,DataPrixBillets!$J$1:$J$1000,ROI_Avions!$A11,DataPrixBillets!$K$1:$K$1000,ROI_Avions!$C11)</f>
        <v>0</v>
      </c>
      <c r="AI11" s="26">
        <f>SUMIFS(DataPrixBillets!Q$1:Q$1000,DataPrixBillets!$J$1:$J$1000,ROI_Avions!$A11,DataPrixBillets!$K$1:$K$1000,ROI_Avions!$C11)</f>
        <v>0</v>
      </c>
      <c r="AJ11" s="121"/>
      <c r="AK11" s="8">
        <f t="shared" si="20"/>
        <v>0</v>
      </c>
      <c r="AL11" s="8" t="e">
        <f t="shared" ca="1" si="21"/>
        <v>#REF!</v>
      </c>
      <c r="AM11" s="8" t="e">
        <f t="shared" ca="1" si="22"/>
        <v>#REF!</v>
      </c>
      <c r="AN11" s="8" t="e">
        <f t="shared" ca="1" si="23"/>
        <v>#REF!</v>
      </c>
      <c r="AO11" s="8" t="e">
        <f t="shared" ca="1" si="24"/>
        <v>#REF!</v>
      </c>
      <c r="AP11" s="8" t="e">
        <f t="shared" ca="1" si="25"/>
        <v>#REF!</v>
      </c>
      <c r="AQ11" s="8" t="e">
        <f t="shared" ca="1" si="26"/>
        <v>#REF!</v>
      </c>
      <c r="AR11" s="7">
        <f t="shared" ca="1" si="13"/>
        <v>0</v>
      </c>
      <c r="AS11" s="120">
        <f t="shared" ca="1" si="27"/>
        <v>0</v>
      </c>
      <c r="AT11" s="8" t="e">
        <f t="shared" ca="1" si="28"/>
        <v>#REF!</v>
      </c>
      <c r="AU11" s="38"/>
      <c r="AV11" s="67" t="s">
        <v>232</v>
      </c>
      <c r="AW11">
        <v>108</v>
      </c>
      <c r="AY11" s="67" t="s">
        <v>232</v>
      </c>
      <c r="AZ11" s="185">
        <v>0</v>
      </c>
      <c r="BB11" s="67" t="s">
        <v>232</v>
      </c>
      <c r="BC11" s="185">
        <v>0</v>
      </c>
    </row>
    <row r="12" spans="1:55" x14ac:dyDescent="0.3">
      <c r="A12" s="145" t="s">
        <v>315</v>
      </c>
      <c r="B12" s="146">
        <v>0</v>
      </c>
      <c r="C12" s="145" t="s">
        <v>326</v>
      </c>
      <c r="D12" s="145" t="str">
        <f t="shared" si="15"/>
        <v>SFO/ORY</v>
      </c>
      <c r="E12" s="146">
        <v>22872766</v>
      </c>
      <c r="F12" s="147" t="s">
        <v>820</v>
      </c>
      <c r="G12" s="148">
        <v>344565000</v>
      </c>
      <c r="I12" s="8">
        <v>0</v>
      </c>
      <c r="J12" s="8">
        <v>0</v>
      </c>
      <c r="K12" s="8">
        <v>0</v>
      </c>
      <c r="L12" s="53"/>
      <c r="M12" s="53"/>
      <c r="O12" s="138"/>
      <c r="P12" s="133">
        <f>SUMIFS(GestionLignesDemande!D$4:D$1000,GestionLignesDemande!$B$4:$B$1000,ROI_Avions!$A12,GestionLignesDemande!$C$4:$C$1000,ROI_Avions!$C12)</f>
        <v>0</v>
      </c>
      <c r="Q12" s="133">
        <f>SUMIFS(GestionLignesDemande!E$4:E$1000,GestionLignesDemande!$B$4:$B$1000,ROI_Avions!$A12,GestionLignesDemande!$C$4:$C$1000,ROI_Avions!$C12)</f>
        <v>0</v>
      </c>
      <c r="R12" s="133">
        <f>SUMIFS(GestionLignesDemande!F$4:F$1000,GestionLignesDemande!$B$4:$B$1000,ROI_Avions!$A12,GestionLignesDemande!$C$4:$C$1000,ROI_Avions!$C12)</f>
        <v>0</v>
      </c>
      <c r="S12" s="133">
        <f>SUMIFS(GestionLignesDemande!G$4:G$1000,GestionLignesDemande!$B$4:$B$1000,ROI_Avions!$A12,GestionLignesDemande!$C$4:$C$1000,ROI_Avions!$C12)</f>
        <v>0</v>
      </c>
      <c r="T12" s="121"/>
      <c r="U12" s="8">
        <f t="shared" si="1"/>
        <v>526</v>
      </c>
      <c r="V12" s="8">
        <v>288</v>
      </c>
      <c r="W12" s="8">
        <v>157</v>
      </c>
      <c r="X12" s="8">
        <v>67</v>
      </c>
      <c r="Y12" s="8">
        <v>14</v>
      </c>
      <c r="Z12" s="121"/>
      <c r="AA12" s="8">
        <f t="shared" ref="AA12:AA13" si="37">AA11-V12*2</f>
        <v>-1152</v>
      </c>
      <c r="AB12" s="8">
        <f t="shared" ref="AB12:AB13" si="38">AB11-W12*2</f>
        <v>-628</v>
      </c>
      <c r="AC12" s="8">
        <f t="shared" ref="AC12:AC13" si="39">AC11-X12*2</f>
        <v>-268</v>
      </c>
      <c r="AD12" s="8">
        <f t="shared" ref="AD12:AD13" si="40">AD11-Y12*2</f>
        <v>-88</v>
      </c>
      <c r="AE12" s="121"/>
      <c r="AF12" s="26">
        <f>SUMIFS(DataPrixBillets!N$1:N$1000,DataPrixBillets!$J$1:$J$1000,ROI_Avions!$A12,DataPrixBillets!$K$1:$K$1000,ROI_Avions!$C12)</f>
        <v>0</v>
      </c>
      <c r="AG12" s="26">
        <f>SUMIFS(DataPrixBillets!O$1:O$1000,DataPrixBillets!$J$1:$J$1000,ROI_Avions!$A12,DataPrixBillets!$K$1:$K$1000,ROI_Avions!$C12)</f>
        <v>0</v>
      </c>
      <c r="AH12" s="26">
        <f>SUMIFS(DataPrixBillets!P$1:P$1000,DataPrixBillets!$J$1:$J$1000,ROI_Avions!$A12,DataPrixBillets!$K$1:$K$1000,ROI_Avions!$C12)</f>
        <v>0</v>
      </c>
      <c r="AI12" s="26">
        <f>SUMIFS(DataPrixBillets!Q$1:Q$1000,DataPrixBillets!$J$1:$J$1000,ROI_Avions!$A12,DataPrixBillets!$K$1:$K$1000,ROI_Avions!$C12)</f>
        <v>0</v>
      </c>
      <c r="AJ12" s="121"/>
      <c r="AK12" s="8">
        <f t="shared" si="20"/>
        <v>0</v>
      </c>
      <c r="AL12" s="8" t="e">
        <f t="shared" ca="1" si="21"/>
        <v>#REF!</v>
      </c>
      <c r="AM12" s="8" t="e">
        <f t="shared" ca="1" si="22"/>
        <v>#REF!</v>
      </c>
      <c r="AN12" s="8" t="e">
        <f t="shared" ca="1" si="23"/>
        <v>#REF!</v>
      </c>
      <c r="AO12" s="8" t="e">
        <f t="shared" ca="1" si="24"/>
        <v>#REF!</v>
      </c>
      <c r="AP12" s="8" t="e">
        <f t="shared" ca="1" si="25"/>
        <v>#REF!</v>
      </c>
      <c r="AQ12" s="8" t="e">
        <f t="shared" ca="1" si="26"/>
        <v>#REF!</v>
      </c>
      <c r="AR12" s="7">
        <f t="shared" ca="1" si="13"/>
        <v>0</v>
      </c>
      <c r="AS12" s="120">
        <f t="shared" ca="1" si="27"/>
        <v>0</v>
      </c>
      <c r="AT12" s="8" t="e">
        <f t="shared" ca="1" si="28"/>
        <v>#REF!</v>
      </c>
      <c r="AV12" s="67" t="s">
        <v>849</v>
      </c>
      <c r="AW12">
        <v>34</v>
      </c>
      <c r="AY12" s="67" t="s">
        <v>849</v>
      </c>
      <c r="AZ12" s="185">
        <v>0</v>
      </c>
      <c r="BA12">
        <v>7</v>
      </c>
      <c r="BB12" s="67" t="s">
        <v>849</v>
      </c>
      <c r="BC12" s="185">
        <v>0</v>
      </c>
    </row>
    <row r="13" spans="1:55" x14ac:dyDescent="0.3">
      <c r="A13" s="145" t="s">
        <v>315</v>
      </c>
      <c r="B13" s="146">
        <v>0</v>
      </c>
      <c r="C13" s="145" t="s">
        <v>326</v>
      </c>
      <c r="D13" s="145" t="str">
        <f t="shared" si="15"/>
        <v>SFO/ORY</v>
      </c>
      <c r="E13" s="146">
        <v>22872766</v>
      </c>
      <c r="F13" s="147" t="s">
        <v>821</v>
      </c>
      <c r="G13" s="148">
        <v>344565000</v>
      </c>
      <c r="I13" s="8">
        <v>0</v>
      </c>
      <c r="J13" s="8">
        <v>0</v>
      </c>
      <c r="K13" s="8">
        <v>0</v>
      </c>
      <c r="L13" s="53"/>
      <c r="M13" s="53"/>
      <c r="O13" s="138"/>
      <c r="P13" s="133">
        <f>SUMIFS(GestionLignesDemande!D$4:D$1000,GestionLignesDemande!$B$4:$B$1000,ROI_Avions!$A13,GestionLignesDemande!$C$4:$C$1000,ROI_Avions!$C13)</f>
        <v>0</v>
      </c>
      <c r="Q13" s="133">
        <f>SUMIFS(GestionLignesDemande!E$4:E$1000,GestionLignesDemande!$B$4:$B$1000,ROI_Avions!$A13,GestionLignesDemande!$C$4:$C$1000,ROI_Avions!$C13)</f>
        <v>0</v>
      </c>
      <c r="R13" s="133">
        <f>SUMIFS(GestionLignesDemande!F$4:F$1000,GestionLignesDemande!$B$4:$B$1000,ROI_Avions!$A13,GestionLignesDemande!$C$4:$C$1000,ROI_Avions!$C13)</f>
        <v>0</v>
      </c>
      <c r="S13" s="133">
        <f>SUMIFS(GestionLignesDemande!G$4:G$1000,GestionLignesDemande!$B$4:$B$1000,ROI_Avions!$A13,GestionLignesDemande!$C$4:$C$1000,ROI_Avions!$C13)</f>
        <v>0</v>
      </c>
      <c r="T13" s="121"/>
      <c r="U13" s="8">
        <f t="shared" si="1"/>
        <v>528</v>
      </c>
      <c r="V13" s="8">
        <v>339</v>
      </c>
      <c r="W13" s="8">
        <v>122</v>
      </c>
      <c r="X13" s="8">
        <v>67</v>
      </c>
      <c r="Y13" s="8">
        <v>0</v>
      </c>
      <c r="Z13" s="121"/>
      <c r="AA13" s="8">
        <f t="shared" si="37"/>
        <v>-1830</v>
      </c>
      <c r="AB13" s="8">
        <f t="shared" si="38"/>
        <v>-872</v>
      </c>
      <c r="AC13" s="8">
        <f t="shared" si="39"/>
        <v>-402</v>
      </c>
      <c r="AD13" s="8">
        <f t="shared" si="40"/>
        <v>-88</v>
      </c>
      <c r="AE13" s="121"/>
      <c r="AF13" s="26">
        <f>SUMIFS(DataPrixBillets!N$1:N$1000,DataPrixBillets!$J$1:$J$1000,ROI_Avions!$A13,DataPrixBillets!$K$1:$K$1000,ROI_Avions!$C13)</f>
        <v>0</v>
      </c>
      <c r="AG13" s="26">
        <f>SUMIFS(DataPrixBillets!O$1:O$1000,DataPrixBillets!$J$1:$J$1000,ROI_Avions!$A13,DataPrixBillets!$K$1:$K$1000,ROI_Avions!$C13)</f>
        <v>0</v>
      </c>
      <c r="AH13" s="26">
        <f>SUMIFS(DataPrixBillets!P$1:P$1000,DataPrixBillets!$J$1:$J$1000,ROI_Avions!$A13,DataPrixBillets!$K$1:$K$1000,ROI_Avions!$C13)</f>
        <v>0</v>
      </c>
      <c r="AI13" s="26">
        <f>SUMIFS(DataPrixBillets!Q$1:Q$1000,DataPrixBillets!$J$1:$J$1000,ROI_Avions!$A13,DataPrixBillets!$K$1:$K$1000,ROI_Avions!$C13)</f>
        <v>0</v>
      </c>
      <c r="AJ13" s="121"/>
      <c r="AK13" s="8">
        <f t="shared" si="20"/>
        <v>0</v>
      </c>
      <c r="AL13" s="8" t="e">
        <f t="shared" ca="1" si="21"/>
        <v>#REF!</v>
      </c>
      <c r="AM13" s="8" t="e">
        <f t="shared" ca="1" si="22"/>
        <v>#REF!</v>
      </c>
      <c r="AN13" s="8" t="e">
        <f t="shared" ca="1" si="23"/>
        <v>#REF!</v>
      </c>
      <c r="AO13" s="8" t="e">
        <f t="shared" ca="1" si="24"/>
        <v>#REF!</v>
      </c>
      <c r="AP13" s="8" t="e">
        <f t="shared" ca="1" si="25"/>
        <v>#REF!</v>
      </c>
      <c r="AQ13" s="8" t="e">
        <f t="shared" ca="1" si="26"/>
        <v>#REF!</v>
      </c>
      <c r="AR13" s="7">
        <f t="shared" ca="1" si="13"/>
        <v>0</v>
      </c>
      <c r="AS13" s="120">
        <f t="shared" ca="1" si="27"/>
        <v>0</v>
      </c>
      <c r="AT13" s="8" t="e">
        <f t="shared" ca="1" si="28"/>
        <v>#REF!</v>
      </c>
      <c r="AV13" s="67" t="s">
        <v>1087</v>
      </c>
      <c r="AW13">
        <v>75</v>
      </c>
      <c r="AY13" s="67" t="s">
        <v>1087</v>
      </c>
      <c r="AZ13" s="185">
        <v>0</v>
      </c>
      <c r="BB13" s="67" t="s">
        <v>1087</v>
      </c>
      <c r="BC13" s="185">
        <v>0</v>
      </c>
    </row>
    <row r="14" spans="1:55" x14ac:dyDescent="0.3">
      <c r="A14" s="145" t="s">
        <v>315</v>
      </c>
      <c r="B14" s="146">
        <v>0</v>
      </c>
      <c r="C14" s="145" t="s">
        <v>335</v>
      </c>
      <c r="D14" s="145" t="str">
        <f t="shared" si="15"/>
        <v>SFO/LHR</v>
      </c>
      <c r="E14" s="146">
        <v>25869904</v>
      </c>
      <c r="F14" s="147" t="s">
        <v>850</v>
      </c>
      <c r="G14" s="148">
        <v>344565000</v>
      </c>
      <c r="I14" s="8">
        <v>0</v>
      </c>
      <c r="J14" s="8">
        <v>0</v>
      </c>
      <c r="K14" s="8">
        <v>0</v>
      </c>
      <c r="L14" s="53"/>
      <c r="M14" s="53"/>
      <c r="O14" s="138"/>
      <c r="P14" s="133">
        <f>SUMIFS(GestionLignesDemande!D$4:D$1000,GestionLignesDemande!$B$4:$B$1000,ROI_Avions!$A14,GestionLignesDemande!$C$4:$C$1000,ROI_Avions!$C14)</f>
        <v>0</v>
      </c>
      <c r="Q14" s="133">
        <f>SUMIFS(GestionLignesDemande!E$4:E$1000,GestionLignesDemande!$B$4:$B$1000,ROI_Avions!$A14,GestionLignesDemande!$C$4:$C$1000,ROI_Avions!$C14)</f>
        <v>0</v>
      </c>
      <c r="R14" s="133">
        <f>SUMIFS(GestionLignesDemande!F$4:F$1000,GestionLignesDemande!$B$4:$B$1000,ROI_Avions!$A14,GestionLignesDemande!$C$4:$C$1000,ROI_Avions!$C14)</f>
        <v>0</v>
      </c>
      <c r="S14" s="133">
        <f>SUMIFS(GestionLignesDemande!G$4:G$1000,GestionLignesDemande!$B$4:$B$1000,ROI_Avions!$A14,GestionLignesDemande!$C$4:$C$1000,ROI_Avions!$C14)</f>
        <v>0</v>
      </c>
      <c r="T14" s="121"/>
      <c r="U14" s="8">
        <f t="shared" si="1"/>
        <v>580</v>
      </c>
      <c r="V14" s="8">
        <v>412</v>
      </c>
      <c r="W14" s="8">
        <v>111</v>
      </c>
      <c r="X14" s="8">
        <v>27</v>
      </c>
      <c r="Y14" s="8">
        <v>30</v>
      </c>
      <c r="Z14" s="121"/>
      <c r="AA14" s="132">
        <f>P14-(V14*2)</f>
        <v>-824</v>
      </c>
      <c r="AB14" s="132">
        <f t="shared" ref="AB14" si="41">Q14-(W14*2)</f>
        <v>-222</v>
      </c>
      <c r="AC14" s="132">
        <f t="shared" ref="AC14" si="42">R14-(X14*2)</f>
        <v>-54</v>
      </c>
      <c r="AD14" s="132">
        <f t="shared" ref="AD14" si="43">S14-(Y14*2)</f>
        <v>-60</v>
      </c>
      <c r="AE14" s="121"/>
      <c r="AF14" s="26">
        <f>SUMIFS(DataPrixBillets!N$1:N$1000,DataPrixBillets!$J$1:$J$1000,ROI_Avions!$A14,DataPrixBillets!$K$1:$K$1000,ROI_Avions!$C14)</f>
        <v>0</v>
      </c>
      <c r="AG14" s="26">
        <f>SUMIFS(DataPrixBillets!O$1:O$1000,DataPrixBillets!$J$1:$J$1000,ROI_Avions!$A14,DataPrixBillets!$K$1:$K$1000,ROI_Avions!$C14)</f>
        <v>0</v>
      </c>
      <c r="AH14" s="26">
        <f>SUMIFS(DataPrixBillets!P$1:P$1000,DataPrixBillets!$J$1:$J$1000,ROI_Avions!$A14,DataPrixBillets!$K$1:$K$1000,ROI_Avions!$C14)</f>
        <v>0</v>
      </c>
      <c r="AI14" s="26">
        <f>SUMIFS(DataPrixBillets!Q$1:Q$1000,DataPrixBillets!$J$1:$J$1000,ROI_Avions!$A14,DataPrixBillets!$K$1:$K$1000,ROI_Avions!$C14)</f>
        <v>0</v>
      </c>
      <c r="AJ14" s="121"/>
      <c r="AK14" s="8">
        <f t="shared" si="20"/>
        <v>0</v>
      </c>
      <c r="AL14" s="8" t="e">
        <f t="shared" ca="1" si="21"/>
        <v>#REF!</v>
      </c>
      <c r="AM14" s="8" t="e">
        <f t="shared" ca="1" si="22"/>
        <v>#REF!</v>
      </c>
      <c r="AN14" s="8" t="e">
        <f t="shared" ca="1" si="23"/>
        <v>#REF!</v>
      </c>
      <c r="AO14" s="8" t="e">
        <f t="shared" ca="1" si="24"/>
        <v>#REF!</v>
      </c>
      <c r="AP14" s="8" t="e">
        <f t="shared" ca="1" si="25"/>
        <v>#REF!</v>
      </c>
      <c r="AQ14" s="8" t="e">
        <f t="shared" ca="1" si="26"/>
        <v>#REF!</v>
      </c>
      <c r="AR14" s="7">
        <f t="shared" ca="1" si="13"/>
        <v>0</v>
      </c>
      <c r="AS14" s="120">
        <f t="shared" ca="1" si="27"/>
        <v>0</v>
      </c>
      <c r="AT14" s="8" t="e">
        <f t="shared" ca="1" si="28"/>
        <v>#REF!</v>
      </c>
      <c r="AU14" s="38"/>
      <c r="AV14" s="67"/>
      <c r="AY14" s="38"/>
      <c r="AZ14" s="185"/>
      <c r="BB14" s="38"/>
      <c r="BC14" s="185"/>
    </row>
    <row r="15" spans="1:55" x14ac:dyDescent="0.3">
      <c r="A15" s="145" t="s">
        <v>315</v>
      </c>
      <c r="B15" s="146">
        <v>0</v>
      </c>
      <c r="C15" s="145" t="s">
        <v>335</v>
      </c>
      <c r="D15" s="145" t="str">
        <f t="shared" si="15"/>
        <v>SFO/LHR</v>
      </c>
      <c r="E15" s="146">
        <v>25869904</v>
      </c>
      <c r="F15" s="147" t="s">
        <v>830</v>
      </c>
      <c r="G15" s="146">
        <v>0</v>
      </c>
      <c r="I15" s="8">
        <v>9470500</v>
      </c>
      <c r="J15" s="8">
        <v>125010000</v>
      </c>
      <c r="K15" s="8">
        <v>8</v>
      </c>
      <c r="L15" s="53">
        <f ca="1">TODAY()</f>
        <v>43464</v>
      </c>
      <c r="M15" s="53">
        <f ca="1">L15+(K15*7)</f>
        <v>43520</v>
      </c>
      <c r="O15" s="138"/>
      <c r="P15" s="133">
        <f>SUMIFS(GestionLignesDemande!D$4:D$1000,GestionLignesDemande!$B$4:$B$1000,ROI_Avions!$A15,GestionLignesDemande!$C$4:$C$1000,ROI_Avions!$C15)</f>
        <v>0</v>
      </c>
      <c r="Q15" s="133">
        <f>SUMIFS(GestionLignesDemande!E$4:E$1000,GestionLignesDemande!$B$4:$B$1000,ROI_Avions!$A15,GestionLignesDemande!$C$4:$C$1000,ROI_Avions!$C15)</f>
        <v>0</v>
      </c>
      <c r="R15" s="133">
        <f>SUMIFS(GestionLignesDemande!F$4:F$1000,GestionLignesDemande!$B$4:$B$1000,ROI_Avions!$A15,GestionLignesDemande!$C$4:$C$1000,ROI_Avions!$C15)</f>
        <v>0</v>
      </c>
      <c r="S15" s="133">
        <f>SUMIFS(GestionLignesDemande!G$4:G$1000,GestionLignesDemande!$B$4:$B$1000,ROI_Avions!$A15,GestionLignesDemande!$C$4:$C$1000,ROI_Avions!$C15)</f>
        <v>0</v>
      </c>
      <c r="T15" s="121"/>
      <c r="U15" s="8">
        <f t="shared" si="1"/>
        <v>512</v>
      </c>
      <c r="V15" s="8">
        <v>288</v>
      </c>
      <c r="W15" s="8">
        <v>157</v>
      </c>
      <c r="X15" s="8">
        <v>67</v>
      </c>
      <c r="Y15" s="8">
        <v>0</v>
      </c>
      <c r="Z15" s="121"/>
      <c r="AA15" s="132">
        <f t="shared" ref="AA15" si="44">AA14-V15*2</f>
        <v>-1400</v>
      </c>
      <c r="AB15" s="132">
        <f t="shared" ref="AB15" si="45">AB14-W15*2</f>
        <v>-536</v>
      </c>
      <c r="AC15" s="132">
        <f t="shared" ref="AC15" si="46">AC14-X15*2</f>
        <v>-188</v>
      </c>
      <c r="AD15" s="132">
        <f t="shared" ref="AD15" si="47">AD14-Y15*2</f>
        <v>-60</v>
      </c>
      <c r="AE15" s="121"/>
      <c r="AF15" s="26">
        <f>SUMIFS(DataPrixBillets!N$1:N$1000,DataPrixBillets!$J$1:$J$1000,ROI_Avions!$A15,DataPrixBillets!$K$1:$K$1000,ROI_Avions!$C15)</f>
        <v>0</v>
      </c>
      <c r="AG15" s="26">
        <f>SUMIFS(DataPrixBillets!O$1:O$1000,DataPrixBillets!$J$1:$J$1000,ROI_Avions!$A15,DataPrixBillets!$K$1:$K$1000,ROI_Avions!$C15)</f>
        <v>0</v>
      </c>
      <c r="AH15" s="26">
        <f>SUMIFS(DataPrixBillets!P$1:P$1000,DataPrixBillets!$J$1:$J$1000,ROI_Avions!$A15,DataPrixBillets!$K$1:$K$1000,ROI_Avions!$C15)</f>
        <v>0</v>
      </c>
      <c r="AI15" s="26">
        <f>SUMIFS(DataPrixBillets!Q$1:Q$1000,DataPrixBillets!$J$1:$J$1000,ROI_Avions!$A15,DataPrixBillets!$K$1:$K$1000,ROI_Avions!$C15)</f>
        <v>0</v>
      </c>
      <c r="AJ15" s="121"/>
      <c r="AK15" s="8">
        <f t="shared" ref="AK15" si="48">(((AF15*V15)*2+(AG15*W15)*2+(AH15*X15)*2+(AI15*Y15)*2)*7)</f>
        <v>0</v>
      </c>
      <c r="AL15" s="8" t="e">
        <f t="shared" ref="AL15" ca="1" si="49">AK15-AM15</f>
        <v>#REF!</v>
      </c>
      <c r="AM15" s="8" t="e">
        <f t="shared" ref="AM15" ca="1" si="50">AK15*$AM$2</f>
        <v>#REF!</v>
      </c>
      <c r="AN15" s="8" t="e">
        <f t="shared" ref="AN15" ca="1" si="51">AL15*$AN$2</f>
        <v>#REF!</v>
      </c>
      <c r="AO15" s="8" t="e">
        <f t="shared" ref="AO15" ca="1" si="52">(AL15-AN15-I15)*$AO$2</f>
        <v>#REF!</v>
      </c>
      <c r="AP15" s="8" t="e">
        <f t="shared" ref="AP15" ca="1" si="53">AL15-AN15-(I15/7)-(AO15/7)</f>
        <v>#REF!</v>
      </c>
      <c r="AQ15" s="8" t="e">
        <f t="shared" ref="AQ15" ca="1" si="54">AP15/7</f>
        <v>#REF!</v>
      </c>
      <c r="AR15" s="7">
        <f t="shared" ca="1" si="13"/>
        <v>0</v>
      </c>
      <c r="AS15" s="120">
        <f t="shared" ca="1" si="27"/>
        <v>0</v>
      </c>
      <c r="AT15" s="8" t="e">
        <f t="shared" ref="AT15" ca="1" si="55">IF(K15&gt;=1,AP15*K15,AP15*$AT$1)</f>
        <v>#REF!</v>
      </c>
      <c r="AU15" s="38"/>
      <c r="AV15" s="67"/>
    </row>
    <row r="16" spans="1:55" x14ac:dyDescent="0.3">
      <c r="A16" s="145" t="s">
        <v>315</v>
      </c>
      <c r="B16" s="146">
        <v>0</v>
      </c>
      <c r="C16" s="145" t="s">
        <v>335</v>
      </c>
      <c r="D16" s="145" t="str">
        <f t="shared" si="15"/>
        <v>SFO/LHR</v>
      </c>
      <c r="E16" s="146">
        <v>25869904</v>
      </c>
      <c r="F16" s="147" t="s">
        <v>831</v>
      </c>
      <c r="G16" s="146">
        <v>0</v>
      </c>
      <c r="I16" s="8">
        <v>10075000</v>
      </c>
      <c r="J16" s="8">
        <v>125010000</v>
      </c>
      <c r="K16" s="8">
        <v>8</v>
      </c>
      <c r="L16" s="53">
        <f ca="1">TODAY()</f>
        <v>43464</v>
      </c>
      <c r="M16" s="53">
        <f ca="1">L16+(K16*7)</f>
        <v>43520</v>
      </c>
      <c r="O16" s="138"/>
      <c r="P16" s="133">
        <f>SUMIFS(GestionLignesDemande!D$4:D$1000,GestionLignesDemande!$B$4:$B$1000,ROI_Avions!$A16,GestionLignesDemande!$C$4:$C$1000,ROI_Avions!$C16)</f>
        <v>0</v>
      </c>
      <c r="Q16" s="133">
        <f>SUMIFS(GestionLignesDemande!E$4:E$1000,GestionLignesDemande!$B$4:$B$1000,ROI_Avions!$A16,GestionLignesDemande!$C$4:$C$1000,ROI_Avions!$C16)</f>
        <v>0</v>
      </c>
      <c r="R16" s="133">
        <f>SUMIFS(GestionLignesDemande!F$4:F$1000,GestionLignesDemande!$B$4:$B$1000,ROI_Avions!$A16,GestionLignesDemande!$C$4:$C$1000,ROI_Avions!$C16)</f>
        <v>0</v>
      </c>
      <c r="S16" s="133">
        <f>SUMIFS(GestionLignesDemande!G$4:G$1000,GestionLignesDemande!$B$4:$B$1000,ROI_Avions!$A16,GestionLignesDemande!$C$4:$C$1000,ROI_Avions!$C16)</f>
        <v>0</v>
      </c>
      <c r="T16" s="121"/>
      <c r="U16" s="8">
        <f t="shared" si="1"/>
        <v>512</v>
      </c>
      <c r="V16" s="8">
        <v>288</v>
      </c>
      <c r="W16" s="8">
        <v>157</v>
      </c>
      <c r="X16" s="8">
        <v>67</v>
      </c>
      <c r="Y16" s="8">
        <v>0</v>
      </c>
      <c r="Z16" s="121"/>
      <c r="AA16" s="132">
        <f>AA15-V16*2</f>
        <v>-1976</v>
      </c>
      <c r="AB16" s="132">
        <f>AB15-W16*2</f>
        <v>-850</v>
      </c>
      <c r="AC16" s="132">
        <f>AC15-X16*2</f>
        <v>-322</v>
      </c>
      <c r="AD16" s="132">
        <f>AD15-Y16*2</f>
        <v>-60</v>
      </c>
      <c r="AE16" s="121"/>
      <c r="AF16" s="26">
        <f>SUMIFS(DataPrixBillets!N$1:N$1000,DataPrixBillets!$J$1:$J$1000,ROI_Avions!$A16,DataPrixBillets!$K$1:$K$1000,ROI_Avions!$C16)</f>
        <v>0</v>
      </c>
      <c r="AG16" s="26">
        <f>SUMIFS(DataPrixBillets!O$1:O$1000,DataPrixBillets!$J$1:$J$1000,ROI_Avions!$A16,DataPrixBillets!$K$1:$K$1000,ROI_Avions!$C16)</f>
        <v>0</v>
      </c>
      <c r="AH16" s="26">
        <f>SUMIFS(DataPrixBillets!P$1:P$1000,DataPrixBillets!$J$1:$J$1000,ROI_Avions!$A16,DataPrixBillets!$K$1:$K$1000,ROI_Avions!$C16)</f>
        <v>0</v>
      </c>
      <c r="AI16" s="26">
        <f>SUMIFS(DataPrixBillets!Q$1:Q$1000,DataPrixBillets!$J$1:$J$1000,ROI_Avions!$A16,DataPrixBillets!$K$1:$K$1000,ROI_Avions!$C16)</f>
        <v>0</v>
      </c>
      <c r="AJ16" s="121"/>
      <c r="AK16" s="8">
        <f t="shared" ref="AK16" si="56">(((AF16*V16)*2+(AG16*W16)*2+(AH16*X16)*2+(AI16*Y16)*2)*7)</f>
        <v>0</v>
      </c>
      <c r="AL16" s="8" t="e">
        <f t="shared" ref="AL16" ca="1" si="57">AK16-AM16</f>
        <v>#REF!</v>
      </c>
      <c r="AM16" s="8" t="e">
        <f t="shared" ref="AM16" ca="1" si="58">AK16*$AM$2</f>
        <v>#REF!</v>
      </c>
      <c r="AN16" s="8" t="e">
        <f t="shared" ref="AN16" ca="1" si="59">AL16*$AN$2</f>
        <v>#REF!</v>
      </c>
      <c r="AO16" s="8" t="e">
        <f t="shared" ref="AO16" ca="1" si="60">(AL16-AN16-I16)*$AO$2</f>
        <v>#REF!</v>
      </c>
      <c r="AP16" s="8" t="e">
        <f t="shared" ref="AP16" ca="1" si="61">AL16-AN16-(I16/7)-(AO16/7)</f>
        <v>#REF!</v>
      </c>
      <c r="AQ16" s="8" t="e">
        <f t="shared" ref="AQ16" ca="1" si="62">AP16/7</f>
        <v>#REF!</v>
      </c>
      <c r="AR16" s="7">
        <f t="shared" ca="1" si="13"/>
        <v>0</v>
      </c>
      <c r="AS16" s="120">
        <f t="shared" ca="1" si="27"/>
        <v>0</v>
      </c>
      <c r="AT16" s="8" t="e">
        <f t="shared" ref="AT16" ca="1" si="63">IF(K16&gt;=1,AP16*K16,AP16*$AT$1)</f>
        <v>#REF!</v>
      </c>
      <c r="AU16" s="38"/>
      <c r="AV16" s="200" t="s">
        <v>907</v>
      </c>
      <c r="AW16" s="131" t="s">
        <v>807</v>
      </c>
      <c r="AX16" s="131" t="s">
        <v>808</v>
      </c>
      <c r="AY16" s="131" t="s">
        <v>903</v>
      </c>
      <c r="AZ16" s="131"/>
      <c r="BA16" s="131" t="s">
        <v>27</v>
      </c>
      <c r="BB16" s="131" t="s">
        <v>397</v>
      </c>
      <c r="BC16" s="131" t="s">
        <v>903</v>
      </c>
    </row>
    <row r="17" spans="1:55" x14ac:dyDescent="0.3">
      <c r="A17" s="145" t="s">
        <v>315</v>
      </c>
      <c r="B17" s="146">
        <v>0</v>
      </c>
      <c r="C17" s="145" t="s">
        <v>980</v>
      </c>
      <c r="D17" s="145" t="str">
        <f t="shared" si="15"/>
        <v>SFO/BSB</v>
      </c>
      <c r="E17" s="146">
        <v>32115860</v>
      </c>
      <c r="F17" s="147" t="s">
        <v>981</v>
      </c>
      <c r="G17" s="146">
        <v>0</v>
      </c>
      <c r="I17" s="8">
        <v>10075000</v>
      </c>
      <c r="J17" s="8">
        <v>132990000</v>
      </c>
      <c r="K17" s="8">
        <v>8</v>
      </c>
      <c r="L17" s="53">
        <f ca="1">TODAY()</f>
        <v>43464</v>
      </c>
      <c r="M17" s="53">
        <f ca="1">L17+(K17*7)</f>
        <v>43520</v>
      </c>
      <c r="O17" s="138"/>
      <c r="P17" s="133">
        <f>SUMIFS(GestionLignesDemande!D$4:D$1000,GestionLignesDemande!$B$4:$B$1000,ROI_Avions!$A17,GestionLignesDemande!$C$4:$C$1000,ROI_Avions!$C17)</f>
        <v>0</v>
      </c>
      <c r="Q17" s="133">
        <f>SUMIFS(GestionLignesDemande!E$4:E$1000,GestionLignesDemande!$B$4:$B$1000,ROI_Avions!$A17,GestionLignesDemande!$C$4:$C$1000,ROI_Avions!$C17)</f>
        <v>0</v>
      </c>
      <c r="R17" s="133">
        <f>SUMIFS(GestionLignesDemande!F$4:F$1000,GestionLignesDemande!$B$4:$B$1000,ROI_Avions!$A17,GestionLignesDemande!$C$4:$C$1000,ROI_Avions!$C17)</f>
        <v>0</v>
      </c>
      <c r="S17" s="133">
        <f>SUMIFS(GestionLignesDemande!G$4:G$1000,GestionLignesDemande!$B$4:$B$1000,ROI_Avions!$A17,GestionLignesDemande!$C$4:$C$1000,ROI_Avions!$C17)</f>
        <v>0</v>
      </c>
      <c r="T17" s="121"/>
      <c r="U17" s="8">
        <f t="shared" ref="U17:U22" si="64">SUM(V17:Y17)</f>
        <v>512</v>
      </c>
      <c r="V17" s="8">
        <v>288</v>
      </c>
      <c r="W17" s="8">
        <v>157</v>
      </c>
      <c r="X17" s="8">
        <v>67</v>
      </c>
      <c r="Y17" s="8">
        <v>0</v>
      </c>
      <c r="Z17" s="121"/>
      <c r="AA17" s="132">
        <f>P17-(V17*2)</f>
        <v>-576</v>
      </c>
      <c r="AB17" s="132">
        <f t="shared" ref="AB17" si="65">Q17-(W17*2)</f>
        <v>-314</v>
      </c>
      <c r="AC17" s="132">
        <f t="shared" ref="AC17" si="66">R17-(X17*2)</f>
        <v>-134</v>
      </c>
      <c r="AD17" s="132">
        <f t="shared" ref="AD17" si="67">S17-(Y17*2)</f>
        <v>0</v>
      </c>
      <c r="AE17" s="121"/>
      <c r="AF17" s="26">
        <f>SUMIFS(DataPrixBillets!N$1:N$1000,DataPrixBillets!$J$1:$J$1000,ROI_Avions!$A17,DataPrixBillets!$K$1:$K$1000,ROI_Avions!$C17)</f>
        <v>0</v>
      </c>
      <c r="AG17" s="26">
        <f>SUMIFS(DataPrixBillets!O$1:O$1000,DataPrixBillets!$J$1:$J$1000,ROI_Avions!$A17,DataPrixBillets!$K$1:$K$1000,ROI_Avions!$C17)</f>
        <v>0</v>
      </c>
      <c r="AH17" s="26">
        <f>SUMIFS(DataPrixBillets!P$1:P$1000,DataPrixBillets!$J$1:$J$1000,ROI_Avions!$A17,DataPrixBillets!$K$1:$K$1000,ROI_Avions!$C17)</f>
        <v>0</v>
      </c>
      <c r="AI17" s="26">
        <f>SUMIFS(DataPrixBillets!Q$1:Q$1000,DataPrixBillets!$J$1:$J$1000,ROI_Avions!$A17,DataPrixBillets!$K$1:$K$1000,ROI_Avions!$C17)</f>
        <v>0</v>
      </c>
      <c r="AJ17" s="121"/>
      <c r="AK17" s="8">
        <f t="shared" ref="AK17:AK19" si="68">(((AF17*V17)*2+(AG17*W17)*2+(AH17*X17)*2+(AI17*Y17)*2)*7)</f>
        <v>0</v>
      </c>
      <c r="AL17" s="8" t="e">
        <f t="shared" ref="AL17:AL19" ca="1" si="69">AK17-AM17</f>
        <v>#REF!</v>
      </c>
      <c r="AM17" s="8" t="e">
        <f t="shared" ref="AM17:AM19" ca="1" si="70">AK17*$AM$2</f>
        <v>#REF!</v>
      </c>
      <c r="AN17" s="8" t="e">
        <f t="shared" ref="AN17:AN19" ca="1" si="71">AL17*$AN$2</f>
        <v>#REF!</v>
      </c>
      <c r="AO17" s="8" t="e">
        <f t="shared" ref="AO17:AO19" ca="1" si="72">(AL17-AN17-I17)*$AO$2</f>
        <v>#REF!</v>
      </c>
      <c r="AP17" s="8" t="e">
        <f t="shared" ref="AP17:AP19" ca="1" si="73">AL17-AN17-(I17/7)-(AO17/7)</f>
        <v>#REF!</v>
      </c>
      <c r="AQ17" s="8" t="e">
        <f t="shared" ref="AQ17:AQ19" ca="1" si="74">AP17/7</f>
        <v>#REF!</v>
      </c>
      <c r="AR17" s="7">
        <f t="shared" ca="1" si="13"/>
        <v>0</v>
      </c>
      <c r="AS17" s="120">
        <f t="shared" ca="1" si="27"/>
        <v>0</v>
      </c>
      <c r="AT17" s="8" t="e">
        <f t="shared" ref="AT17:AT19" ca="1" si="75">IF(K17&gt;=1,AP17*K17,AP17*$AT$1)</f>
        <v>#REF!</v>
      </c>
      <c r="AV17" s="128" t="s">
        <v>315</v>
      </c>
      <c r="AW17" s="8">
        <f>COUNTIF(Lignes_!B:B,AV17)</f>
        <v>0</v>
      </c>
      <c r="AX17" s="8">
        <f>SUMIF(Lignes_!$B$4:$B$1000,AV17,Lignes_!$D$4:$D$1000)</f>
        <v>0</v>
      </c>
      <c r="AY17" s="186">
        <f>IFERROR(AX17/AW17,0)</f>
        <v>0</v>
      </c>
      <c r="BA17" s="8">
        <f>SUMIF(DataHubs!$J:$J,ROI_Avions!$AV17,DataHubs!K:K)</f>
        <v>0</v>
      </c>
      <c r="BB17" s="8">
        <f>SUMIF(DataHubs!$J:$J,ROI_Avions!$AV17,DataHubs!L:L)</f>
        <v>0</v>
      </c>
      <c r="BC17" s="186">
        <f t="shared" ref="BC17:BC29" si="76">IFERROR(BB17/BA17,0)</f>
        <v>0</v>
      </c>
    </row>
    <row r="18" spans="1:55" x14ac:dyDescent="0.3">
      <c r="A18" s="145" t="s">
        <v>315</v>
      </c>
      <c r="B18" s="146">
        <v>0</v>
      </c>
      <c r="C18" s="145" t="s">
        <v>980</v>
      </c>
      <c r="D18" s="145" t="str">
        <f t="shared" si="15"/>
        <v>SFO/BSB</v>
      </c>
      <c r="E18" s="146">
        <v>32115860</v>
      </c>
      <c r="F18" s="147" t="s">
        <v>982</v>
      </c>
      <c r="G18" s="146">
        <v>362700000</v>
      </c>
      <c r="I18" s="8">
        <v>0</v>
      </c>
      <c r="J18" s="8">
        <v>0</v>
      </c>
      <c r="K18" s="8">
        <v>0</v>
      </c>
      <c r="L18" s="53"/>
      <c r="M18" s="53"/>
      <c r="O18" s="138"/>
      <c r="P18" s="133">
        <f>SUMIFS(GestionLignesDemande!D$4:D$1000,GestionLignesDemande!$B$4:$B$1000,ROI_Avions!$A18,GestionLignesDemande!$C$4:$C$1000,ROI_Avions!$C18)</f>
        <v>0</v>
      </c>
      <c r="Q18" s="133">
        <f>SUMIFS(GestionLignesDemande!E$4:E$1000,GestionLignesDemande!$B$4:$B$1000,ROI_Avions!$A18,GestionLignesDemande!$C$4:$C$1000,ROI_Avions!$C18)</f>
        <v>0</v>
      </c>
      <c r="R18" s="133">
        <f>SUMIFS(GestionLignesDemande!F$4:F$1000,GestionLignesDemande!$B$4:$B$1000,ROI_Avions!$A18,GestionLignesDemande!$C$4:$C$1000,ROI_Avions!$C18)</f>
        <v>0</v>
      </c>
      <c r="S18" s="133">
        <f>SUMIFS(GestionLignesDemande!G$4:G$1000,GestionLignesDemande!$B$4:$B$1000,ROI_Avions!$A18,GestionLignesDemande!$C$4:$C$1000,ROI_Avions!$C18)</f>
        <v>0</v>
      </c>
      <c r="T18" s="121"/>
      <c r="U18" s="8">
        <f t="shared" si="64"/>
        <v>432</v>
      </c>
      <c r="V18" s="8">
        <v>205</v>
      </c>
      <c r="W18" s="8">
        <v>146</v>
      </c>
      <c r="X18" s="8">
        <v>36</v>
      </c>
      <c r="Y18" s="8">
        <v>45</v>
      </c>
      <c r="Z18" s="121"/>
      <c r="AA18" s="132">
        <f t="shared" ref="AA18:AA19" si="77">AA17-V18*2</f>
        <v>-986</v>
      </c>
      <c r="AB18" s="132">
        <f t="shared" ref="AB18:AB19" si="78">AB17-W18*2</f>
        <v>-606</v>
      </c>
      <c r="AC18" s="132">
        <f t="shared" ref="AC18:AC19" si="79">AC17-X18*2</f>
        <v>-206</v>
      </c>
      <c r="AD18" s="132">
        <f t="shared" ref="AD18:AD19" si="80">AD17-Y18*2</f>
        <v>-90</v>
      </c>
      <c r="AE18" s="121"/>
      <c r="AF18" s="26">
        <f>SUMIFS(DataPrixBillets!N$1:N$1000,DataPrixBillets!$J$1:$J$1000,ROI_Avions!$A18,DataPrixBillets!$K$1:$K$1000,ROI_Avions!$C18)</f>
        <v>0</v>
      </c>
      <c r="AG18" s="26">
        <f>SUMIFS(DataPrixBillets!O$1:O$1000,DataPrixBillets!$J$1:$J$1000,ROI_Avions!$A18,DataPrixBillets!$K$1:$K$1000,ROI_Avions!$C18)</f>
        <v>0</v>
      </c>
      <c r="AH18" s="26">
        <f>SUMIFS(DataPrixBillets!P$1:P$1000,DataPrixBillets!$J$1:$J$1000,ROI_Avions!$A18,DataPrixBillets!$K$1:$K$1000,ROI_Avions!$C18)</f>
        <v>0</v>
      </c>
      <c r="AI18" s="26">
        <f>SUMIFS(DataPrixBillets!Q$1:Q$1000,DataPrixBillets!$J$1:$J$1000,ROI_Avions!$A18,DataPrixBillets!$K$1:$K$1000,ROI_Avions!$C18)</f>
        <v>0</v>
      </c>
      <c r="AJ18" s="121"/>
      <c r="AK18" s="8">
        <f t="shared" si="68"/>
        <v>0</v>
      </c>
      <c r="AL18" s="8" t="e">
        <f t="shared" ca="1" si="69"/>
        <v>#REF!</v>
      </c>
      <c r="AM18" s="8" t="e">
        <f t="shared" ca="1" si="70"/>
        <v>#REF!</v>
      </c>
      <c r="AN18" s="8" t="e">
        <f t="shared" ca="1" si="71"/>
        <v>#REF!</v>
      </c>
      <c r="AO18" s="8" t="e">
        <f t="shared" ca="1" si="72"/>
        <v>#REF!</v>
      </c>
      <c r="AP18" s="8" t="e">
        <f t="shared" ca="1" si="73"/>
        <v>#REF!</v>
      </c>
      <c r="AQ18" s="8" t="e">
        <f t="shared" ca="1" si="74"/>
        <v>#REF!</v>
      </c>
      <c r="AR18" s="7">
        <f t="shared" ca="1" si="13"/>
        <v>0</v>
      </c>
      <c r="AS18" s="120">
        <f t="shared" ca="1" si="27"/>
        <v>0</v>
      </c>
      <c r="AT18" s="8" t="e">
        <f t="shared" ca="1" si="75"/>
        <v>#REF!</v>
      </c>
      <c r="AV18" s="128" t="s">
        <v>724</v>
      </c>
      <c r="AW18" s="8">
        <f>COUNTIF(Lignes_!B:B,AV18)</f>
        <v>0</v>
      </c>
      <c r="AX18" s="8">
        <f>SUMIF(Lignes_!$B$4:$B$1000,AV18,Lignes_!$D$4:$D$1000)</f>
        <v>0</v>
      </c>
      <c r="AY18" s="186">
        <f t="shared" ref="AY18:AY29" si="81">IFERROR(AX18/AW18,0)</f>
        <v>0</v>
      </c>
      <c r="BA18" s="8">
        <f>SUMIF(DataHubs!$J:$J,ROI_Avions!$AV18,DataHubs!K:K)</f>
        <v>0</v>
      </c>
      <c r="BB18" s="8">
        <f>SUMIF(DataHubs!$J:$J,ROI_Avions!$AV18,DataHubs!L:L)</f>
        <v>0</v>
      </c>
      <c r="BC18" s="186">
        <f t="shared" si="76"/>
        <v>0</v>
      </c>
    </row>
    <row r="19" spans="1:55" x14ac:dyDescent="0.3">
      <c r="A19" s="145" t="s">
        <v>315</v>
      </c>
      <c r="B19" s="146">
        <v>0</v>
      </c>
      <c r="C19" s="145" t="s">
        <v>980</v>
      </c>
      <c r="D19" s="145" t="str">
        <f t="shared" si="15"/>
        <v>SFO/BSB</v>
      </c>
      <c r="E19" s="146">
        <v>32115860</v>
      </c>
      <c r="F19" s="147" t="s">
        <v>983</v>
      </c>
      <c r="G19" s="146">
        <v>362700000</v>
      </c>
      <c r="I19" s="8">
        <v>0</v>
      </c>
      <c r="J19" s="8">
        <v>0</v>
      </c>
      <c r="K19" s="8">
        <v>0</v>
      </c>
      <c r="L19" s="53"/>
      <c r="M19" s="53"/>
      <c r="O19" s="138"/>
      <c r="P19" s="133">
        <f>SUMIFS(GestionLignesDemande!D$4:D$1000,GestionLignesDemande!$B$4:$B$1000,ROI_Avions!$A19,GestionLignesDemande!$C$4:$C$1000,ROI_Avions!$C19)</f>
        <v>0</v>
      </c>
      <c r="Q19" s="133">
        <f>SUMIFS(GestionLignesDemande!E$4:E$1000,GestionLignesDemande!$B$4:$B$1000,ROI_Avions!$A19,GestionLignesDemande!$C$4:$C$1000,ROI_Avions!$C19)</f>
        <v>0</v>
      </c>
      <c r="R19" s="133">
        <f>SUMIFS(GestionLignesDemande!F$4:F$1000,GestionLignesDemande!$B$4:$B$1000,ROI_Avions!$A19,GestionLignesDemande!$C$4:$C$1000,ROI_Avions!$C19)</f>
        <v>0</v>
      </c>
      <c r="S19" s="133">
        <f>SUMIFS(GestionLignesDemande!G$4:G$1000,GestionLignesDemande!$B$4:$B$1000,ROI_Avions!$A19,GestionLignesDemande!$C$4:$C$1000,ROI_Avions!$C19)</f>
        <v>0</v>
      </c>
      <c r="T19" s="121"/>
      <c r="U19" s="8">
        <f t="shared" si="64"/>
        <v>853</v>
      </c>
      <c r="V19" s="8">
        <v>853</v>
      </c>
      <c r="W19" s="8">
        <v>0</v>
      </c>
      <c r="X19" s="8">
        <v>0</v>
      </c>
      <c r="Y19" s="8">
        <v>0</v>
      </c>
      <c r="Z19" s="121"/>
      <c r="AA19" s="132">
        <f t="shared" si="77"/>
        <v>-2692</v>
      </c>
      <c r="AB19" s="132">
        <f t="shared" si="78"/>
        <v>-606</v>
      </c>
      <c r="AC19" s="132">
        <f t="shared" si="79"/>
        <v>-206</v>
      </c>
      <c r="AD19" s="132">
        <f t="shared" si="80"/>
        <v>-90</v>
      </c>
      <c r="AE19" s="121"/>
      <c r="AF19" s="26">
        <f>SUMIFS(DataPrixBillets!N$1:N$1000,DataPrixBillets!$J$1:$J$1000,ROI_Avions!$A19,DataPrixBillets!$K$1:$K$1000,ROI_Avions!$C19)</f>
        <v>0</v>
      </c>
      <c r="AG19" s="26">
        <f>SUMIFS(DataPrixBillets!O$1:O$1000,DataPrixBillets!$J$1:$J$1000,ROI_Avions!$A19,DataPrixBillets!$K$1:$K$1000,ROI_Avions!$C19)</f>
        <v>0</v>
      </c>
      <c r="AH19" s="26">
        <f>SUMIFS(DataPrixBillets!P$1:P$1000,DataPrixBillets!$J$1:$J$1000,ROI_Avions!$A19,DataPrixBillets!$K$1:$K$1000,ROI_Avions!$C19)</f>
        <v>0</v>
      </c>
      <c r="AI19" s="26">
        <f>SUMIFS(DataPrixBillets!Q$1:Q$1000,DataPrixBillets!$J$1:$J$1000,ROI_Avions!$A19,DataPrixBillets!$K$1:$K$1000,ROI_Avions!$C19)</f>
        <v>0</v>
      </c>
      <c r="AJ19" s="121"/>
      <c r="AK19" s="8">
        <f t="shared" si="68"/>
        <v>0</v>
      </c>
      <c r="AL19" s="8" t="e">
        <f t="shared" ca="1" si="69"/>
        <v>#REF!</v>
      </c>
      <c r="AM19" s="8" t="e">
        <f t="shared" ca="1" si="70"/>
        <v>#REF!</v>
      </c>
      <c r="AN19" s="8" t="e">
        <f t="shared" ca="1" si="71"/>
        <v>#REF!</v>
      </c>
      <c r="AO19" s="8" t="e">
        <f t="shared" ca="1" si="72"/>
        <v>#REF!</v>
      </c>
      <c r="AP19" s="8" t="e">
        <f t="shared" ca="1" si="73"/>
        <v>#REF!</v>
      </c>
      <c r="AQ19" s="8" t="e">
        <f t="shared" ca="1" si="74"/>
        <v>#REF!</v>
      </c>
      <c r="AR19" s="7">
        <f t="shared" ca="1" si="13"/>
        <v>0</v>
      </c>
      <c r="AS19" s="120">
        <f t="shared" ca="1" si="27"/>
        <v>0</v>
      </c>
      <c r="AT19" s="8" t="e">
        <f t="shared" ca="1" si="75"/>
        <v>#REF!</v>
      </c>
      <c r="AV19" s="128" t="s">
        <v>729</v>
      </c>
      <c r="AW19" s="8">
        <f>COUNTIF(Lignes_!B:B,AV19)</f>
        <v>0</v>
      </c>
      <c r="AX19" s="8">
        <f>SUMIF(Lignes_!$B$4:$B$1000,AV19,Lignes_!$D$4:$D$1000)</f>
        <v>0</v>
      </c>
      <c r="AY19" s="186">
        <f t="shared" si="81"/>
        <v>0</v>
      </c>
      <c r="BA19" s="8">
        <f>SUMIF(DataHubs!$J:$J,ROI_Avions!$AV19,DataHubs!K:K)</f>
        <v>0</v>
      </c>
      <c r="BB19" s="8">
        <f>SUMIF(DataHubs!$J:$J,ROI_Avions!$AV19,DataHubs!L:L)</f>
        <v>0</v>
      </c>
      <c r="BC19" s="186">
        <f t="shared" si="76"/>
        <v>0</v>
      </c>
    </row>
    <row r="20" spans="1:55" x14ac:dyDescent="0.3">
      <c r="A20" s="145" t="s">
        <v>315</v>
      </c>
      <c r="B20" s="146">
        <v>0</v>
      </c>
      <c r="C20" s="145" t="s">
        <v>984</v>
      </c>
      <c r="D20" s="145" t="str">
        <f t="shared" si="15"/>
        <v>SFO/SHA</v>
      </c>
      <c r="E20" s="146">
        <v>37504215</v>
      </c>
      <c r="F20" s="147" t="s">
        <v>985</v>
      </c>
      <c r="G20" s="146">
        <v>0</v>
      </c>
      <c r="I20" s="8">
        <v>10075000</v>
      </c>
      <c r="J20" s="8">
        <v>132990000</v>
      </c>
      <c r="K20" s="8">
        <v>8</v>
      </c>
      <c r="L20" s="53">
        <f ca="1">TODAY()</f>
        <v>43464</v>
      </c>
      <c r="M20" s="53">
        <f ca="1">L20+(K20*7)</f>
        <v>43520</v>
      </c>
      <c r="O20" s="138"/>
      <c r="P20" s="133">
        <f>SUMIFS(GestionLignesDemande!D$4:D$1000,GestionLignesDemande!$B$4:$B$1000,ROI_Avions!$A20,GestionLignesDemande!$C$4:$C$1000,ROI_Avions!$C20)</f>
        <v>0</v>
      </c>
      <c r="Q20" s="133">
        <f>SUMIFS(GestionLignesDemande!E$4:E$1000,GestionLignesDemande!$B$4:$B$1000,ROI_Avions!$A20,GestionLignesDemande!$C$4:$C$1000,ROI_Avions!$C20)</f>
        <v>0</v>
      </c>
      <c r="R20" s="133">
        <f>SUMIFS(GestionLignesDemande!F$4:F$1000,GestionLignesDemande!$B$4:$B$1000,ROI_Avions!$A20,GestionLignesDemande!$C$4:$C$1000,ROI_Avions!$C20)</f>
        <v>0</v>
      </c>
      <c r="S20" s="133">
        <f>SUMIFS(GestionLignesDemande!G$4:G$1000,GestionLignesDemande!$B$4:$B$1000,ROI_Avions!$A20,GestionLignesDemande!$C$4:$C$1000,ROI_Avions!$C20)</f>
        <v>0</v>
      </c>
      <c r="T20" s="121"/>
      <c r="U20" s="8">
        <f t="shared" si="64"/>
        <v>512</v>
      </c>
      <c r="V20" s="8">
        <v>288</v>
      </c>
      <c r="W20" s="8">
        <v>157</v>
      </c>
      <c r="X20" s="8">
        <v>67</v>
      </c>
      <c r="Y20" s="8">
        <v>0</v>
      </c>
      <c r="Z20" s="121"/>
      <c r="AA20" s="132">
        <f>P20-(V20*2)</f>
        <v>-576</v>
      </c>
      <c r="AB20" s="132">
        <f t="shared" ref="AB20" si="82">Q20-(W20*2)</f>
        <v>-314</v>
      </c>
      <c r="AC20" s="132">
        <f t="shared" ref="AC20" si="83">R20-(X20*2)</f>
        <v>-134</v>
      </c>
      <c r="AD20" s="132">
        <f t="shared" ref="AD20" si="84">S20-(Y20*2)</f>
        <v>0</v>
      </c>
      <c r="AE20" s="121"/>
      <c r="AF20" s="26">
        <f>SUMIFS(DataPrixBillets!N$1:N$1000,DataPrixBillets!$J$1:$J$1000,ROI_Avions!$A20,DataPrixBillets!$K$1:$K$1000,ROI_Avions!$C20)</f>
        <v>0</v>
      </c>
      <c r="AG20" s="26">
        <f>SUMIFS(DataPrixBillets!O$1:O$1000,DataPrixBillets!$J$1:$J$1000,ROI_Avions!$A20,DataPrixBillets!$K$1:$K$1000,ROI_Avions!$C20)</f>
        <v>0</v>
      </c>
      <c r="AH20" s="26">
        <f>SUMIFS(DataPrixBillets!P$1:P$1000,DataPrixBillets!$J$1:$J$1000,ROI_Avions!$A20,DataPrixBillets!$K$1:$K$1000,ROI_Avions!$C20)</f>
        <v>0</v>
      </c>
      <c r="AI20" s="26">
        <f>SUMIFS(DataPrixBillets!Q$1:Q$1000,DataPrixBillets!$J$1:$J$1000,ROI_Avions!$A20,DataPrixBillets!$K$1:$K$1000,ROI_Avions!$C20)</f>
        <v>0</v>
      </c>
      <c r="AJ20" s="121"/>
      <c r="AK20" s="8">
        <f t="shared" ref="AK20:AK22" si="85">(((AF20*V20)*2+(AG20*W20)*2+(AH20*X20)*2+(AI20*Y20)*2)*7)</f>
        <v>0</v>
      </c>
      <c r="AL20" s="8" t="e">
        <f t="shared" ref="AL20:AL22" ca="1" si="86">AK20-AM20</f>
        <v>#REF!</v>
      </c>
      <c r="AM20" s="8" t="e">
        <f t="shared" ref="AM20:AM22" ca="1" si="87">AK20*$AM$2</f>
        <v>#REF!</v>
      </c>
      <c r="AN20" s="8" t="e">
        <f t="shared" ref="AN20:AN22" ca="1" si="88">AL20*$AN$2</f>
        <v>#REF!</v>
      </c>
      <c r="AO20" s="8" t="e">
        <f t="shared" ref="AO20:AO22" ca="1" si="89">(AL20-AN20-I20)*$AO$2</f>
        <v>#REF!</v>
      </c>
      <c r="AP20" s="8" t="e">
        <f t="shared" ref="AP20:AP22" ca="1" si="90">AL20-AN20-(I20/7)-(AO20/7)</f>
        <v>#REF!</v>
      </c>
      <c r="AQ20" s="8" t="e">
        <f t="shared" ref="AQ20:AQ22" ca="1" si="91">AP20/7</f>
        <v>#REF!</v>
      </c>
      <c r="AR20" s="7">
        <f t="shared" ca="1" si="13"/>
        <v>0</v>
      </c>
      <c r="AS20" s="120">
        <f t="shared" ca="1" si="27"/>
        <v>0</v>
      </c>
      <c r="AT20" s="8" t="e">
        <f t="shared" ref="AT20:AT22" ca="1" si="92">IF(K20&gt;=1,AP20*K20,AP20*$AT$1)</f>
        <v>#REF!</v>
      </c>
      <c r="AV20" s="128" t="s">
        <v>726</v>
      </c>
      <c r="AW20" s="8">
        <f>COUNTIF(Lignes_!B:B,AV20)</f>
        <v>0</v>
      </c>
      <c r="AX20" s="8">
        <f>SUMIF(Lignes_!$B$4:$B$1000,AV20,Lignes_!$D$4:$D$1000)</f>
        <v>0</v>
      </c>
      <c r="AY20" s="186">
        <f t="shared" si="81"/>
        <v>0</v>
      </c>
      <c r="BA20" s="8">
        <f>SUMIF(DataHubs!$J:$J,ROI_Avions!$AV20,DataHubs!K:K)</f>
        <v>0</v>
      </c>
      <c r="BB20" s="8">
        <f>SUMIF(DataHubs!$J:$J,ROI_Avions!$AV20,DataHubs!L:L)</f>
        <v>0</v>
      </c>
      <c r="BC20" s="186">
        <f t="shared" si="76"/>
        <v>0</v>
      </c>
    </row>
    <row r="21" spans="1:55" x14ac:dyDescent="0.3">
      <c r="A21" s="145" t="s">
        <v>315</v>
      </c>
      <c r="B21" s="146">
        <v>0</v>
      </c>
      <c r="C21" s="145" t="s">
        <v>984</v>
      </c>
      <c r="D21" s="145" t="str">
        <f t="shared" si="15"/>
        <v>SFO/SHA</v>
      </c>
      <c r="E21" s="146">
        <v>37504215</v>
      </c>
      <c r="F21" s="147" t="s">
        <v>986</v>
      </c>
      <c r="G21" s="146">
        <v>362700000</v>
      </c>
      <c r="I21" s="8">
        <v>0</v>
      </c>
      <c r="J21" s="8">
        <v>0</v>
      </c>
      <c r="K21" s="8">
        <v>0</v>
      </c>
      <c r="L21" s="53"/>
      <c r="M21" s="53"/>
      <c r="O21" s="138"/>
      <c r="P21" s="133">
        <f>SUMIFS(GestionLignesDemande!D$4:D$1000,GestionLignesDemande!$B$4:$B$1000,ROI_Avions!$A21,GestionLignesDemande!$C$4:$C$1000,ROI_Avions!$C21)</f>
        <v>0</v>
      </c>
      <c r="Q21" s="133">
        <f>SUMIFS(GestionLignesDemande!E$4:E$1000,GestionLignesDemande!$B$4:$B$1000,ROI_Avions!$A21,GestionLignesDemande!$C$4:$C$1000,ROI_Avions!$C21)</f>
        <v>0</v>
      </c>
      <c r="R21" s="133">
        <f>SUMIFS(GestionLignesDemande!F$4:F$1000,GestionLignesDemande!$B$4:$B$1000,ROI_Avions!$A21,GestionLignesDemande!$C$4:$C$1000,ROI_Avions!$C21)</f>
        <v>0</v>
      </c>
      <c r="S21" s="133">
        <f>SUMIFS(GestionLignesDemande!G$4:G$1000,GestionLignesDemande!$B$4:$B$1000,ROI_Avions!$A21,GestionLignesDemande!$C$4:$C$1000,ROI_Avions!$C21)</f>
        <v>0</v>
      </c>
      <c r="T21" s="121"/>
      <c r="U21" s="8">
        <f t="shared" si="64"/>
        <v>482</v>
      </c>
      <c r="V21" s="8">
        <v>259</v>
      </c>
      <c r="W21" s="8">
        <v>149</v>
      </c>
      <c r="X21" s="8">
        <v>36</v>
      </c>
      <c r="Y21" s="8">
        <v>38</v>
      </c>
      <c r="Z21" s="121"/>
      <c r="AA21" s="132">
        <f t="shared" ref="AA21:AA22" si="93">AA20-V21*2</f>
        <v>-1094</v>
      </c>
      <c r="AB21" s="132">
        <f t="shared" ref="AB21:AB22" si="94">AB20-W21*2</f>
        <v>-612</v>
      </c>
      <c r="AC21" s="132">
        <f t="shared" ref="AC21:AC22" si="95">AC20-X21*2</f>
        <v>-206</v>
      </c>
      <c r="AD21" s="132">
        <f t="shared" ref="AD21:AD22" si="96">AD20-Y21*2</f>
        <v>-76</v>
      </c>
      <c r="AE21" s="121"/>
      <c r="AF21" s="26">
        <f>SUMIFS(DataPrixBillets!N$1:N$1000,DataPrixBillets!$J$1:$J$1000,ROI_Avions!$A21,DataPrixBillets!$K$1:$K$1000,ROI_Avions!$C21)</f>
        <v>0</v>
      </c>
      <c r="AG21" s="26">
        <f>SUMIFS(DataPrixBillets!O$1:O$1000,DataPrixBillets!$J$1:$J$1000,ROI_Avions!$A21,DataPrixBillets!$K$1:$K$1000,ROI_Avions!$C21)</f>
        <v>0</v>
      </c>
      <c r="AH21" s="26">
        <f>SUMIFS(DataPrixBillets!P$1:P$1000,DataPrixBillets!$J$1:$J$1000,ROI_Avions!$A21,DataPrixBillets!$K$1:$K$1000,ROI_Avions!$C21)</f>
        <v>0</v>
      </c>
      <c r="AI21" s="26">
        <f>SUMIFS(DataPrixBillets!Q$1:Q$1000,DataPrixBillets!$J$1:$J$1000,ROI_Avions!$A21,DataPrixBillets!$K$1:$K$1000,ROI_Avions!$C21)</f>
        <v>0</v>
      </c>
      <c r="AJ21" s="121"/>
      <c r="AK21" s="8">
        <f t="shared" si="85"/>
        <v>0</v>
      </c>
      <c r="AL21" s="8" t="e">
        <f t="shared" ca="1" si="86"/>
        <v>#REF!</v>
      </c>
      <c r="AM21" s="8" t="e">
        <f t="shared" ca="1" si="87"/>
        <v>#REF!</v>
      </c>
      <c r="AN21" s="8" t="e">
        <f t="shared" ca="1" si="88"/>
        <v>#REF!</v>
      </c>
      <c r="AO21" s="8" t="e">
        <f t="shared" ca="1" si="89"/>
        <v>#REF!</v>
      </c>
      <c r="AP21" s="8" t="e">
        <f t="shared" ca="1" si="90"/>
        <v>#REF!</v>
      </c>
      <c r="AQ21" s="8" t="e">
        <f t="shared" ca="1" si="91"/>
        <v>#REF!</v>
      </c>
      <c r="AR21" s="7">
        <f t="shared" ca="1" si="13"/>
        <v>0</v>
      </c>
      <c r="AS21" s="120">
        <f t="shared" ca="1" si="27"/>
        <v>0</v>
      </c>
      <c r="AT21" s="8" t="e">
        <f t="shared" ca="1" si="92"/>
        <v>#REF!</v>
      </c>
      <c r="AV21" s="128" t="s">
        <v>727</v>
      </c>
      <c r="AW21" s="8">
        <f>COUNTIF(Lignes_!B:B,AV21)</f>
        <v>0</v>
      </c>
      <c r="AX21" s="8">
        <f>SUMIF(Lignes_!$B$4:$B$1000,AV21,Lignes_!$D$4:$D$1000)</f>
        <v>0</v>
      </c>
      <c r="AY21" s="186">
        <f t="shared" si="81"/>
        <v>0</v>
      </c>
      <c r="BA21" s="8">
        <f>SUMIF(DataHubs!$J:$J,ROI_Avions!$AV21,DataHubs!K:K)</f>
        <v>0</v>
      </c>
      <c r="BB21" s="8">
        <f>SUMIF(DataHubs!$J:$J,ROI_Avions!$AV21,DataHubs!L:L)</f>
        <v>0</v>
      </c>
      <c r="BC21" s="186">
        <f t="shared" si="76"/>
        <v>0</v>
      </c>
    </row>
    <row r="22" spans="1:55" x14ac:dyDescent="0.3">
      <c r="A22" s="145" t="s">
        <v>315</v>
      </c>
      <c r="B22" s="146">
        <v>0</v>
      </c>
      <c r="C22" s="145" t="s">
        <v>984</v>
      </c>
      <c r="D22" s="145" t="str">
        <f t="shared" si="15"/>
        <v>SFO/SHA</v>
      </c>
      <c r="E22" s="146">
        <v>37504215</v>
      </c>
      <c r="F22" s="147" t="s">
        <v>987</v>
      </c>
      <c r="G22" s="146">
        <v>362700000</v>
      </c>
      <c r="I22" s="8">
        <v>0</v>
      </c>
      <c r="J22" s="8">
        <v>0</v>
      </c>
      <c r="K22" s="8">
        <v>0</v>
      </c>
      <c r="L22" s="53"/>
      <c r="M22" s="53"/>
      <c r="O22" s="138"/>
      <c r="P22" s="133">
        <f>SUMIFS(GestionLignesDemande!D$4:D$1000,GestionLignesDemande!$B$4:$B$1000,ROI_Avions!$A22,GestionLignesDemande!$C$4:$C$1000,ROI_Avions!$C22)</f>
        <v>0</v>
      </c>
      <c r="Q22" s="133">
        <f>SUMIFS(GestionLignesDemande!E$4:E$1000,GestionLignesDemande!$B$4:$B$1000,ROI_Avions!$A22,GestionLignesDemande!$C$4:$C$1000,ROI_Avions!$C22)</f>
        <v>0</v>
      </c>
      <c r="R22" s="133">
        <f>SUMIFS(GestionLignesDemande!F$4:F$1000,GestionLignesDemande!$B$4:$B$1000,ROI_Avions!$A22,GestionLignesDemande!$C$4:$C$1000,ROI_Avions!$C22)</f>
        <v>0</v>
      </c>
      <c r="S22" s="133">
        <f>SUMIFS(GestionLignesDemande!G$4:G$1000,GestionLignesDemande!$B$4:$B$1000,ROI_Avions!$A22,GestionLignesDemande!$C$4:$C$1000,ROI_Avions!$C22)</f>
        <v>0</v>
      </c>
      <c r="T22" s="121"/>
      <c r="U22" s="8">
        <f t="shared" si="64"/>
        <v>856</v>
      </c>
      <c r="V22" s="8">
        <v>853</v>
      </c>
      <c r="W22" s="8">
        <v>0</v>
      </c>
      <c r="X22" s="8">
        <v>0</v>
      </c>
      <c r="Y22" s="8">
        <v>3</v>
      </c>
      <c r="Z22" s="121"/>
      <c r="AA22" s="132">
        <f t="shared" si="93"/>
        <v>-2800</v>
      </c>
      <c r="AB22" s="132">
        <f t="shared" si="94"/>
        <v>-612</v>
      </c>
      <c r="AC22" s="132">
        <f t="shared" si="95"/>
        <v>-206</v>
      </c>
      <c r="AD22" s="132">
        <f t="shared" si="96"/>
        <v>-82</v>
      </c>
      <c r="AE22" s="121"/>
      <c r="AF22" s="26">
        <f>SUMIFS(DataPrixBillets!N$1:N$1000,DataPrixBillets!$J$1:$J$1000,ROI_Avions!$A22,DataPrixBillets!$K$1:$K$1000,ROI_Avions!$C22)</f>
        <v>0</v>
      </c>
      <c r="AG22" s="26">
        <f>SUMIFS(DataPrixBillets!O$1:O$1000,DataPrixBillets!$J$1:$J$1000,ROI_Avions!$A22,DataPrixBillets!$K$1:$K$1000,ROI_Avions!$C22)</f>
        <v>0</v>
      </c>
      <c r="AH22" s="26">
        <f>SUMIFS(DataPrixBillets!P$1:P$1000,DataPrixBillets!$J$1:$J$1000,ROI_Avions!$A22,DataPrixBillets!$K$1:$K$1000,ROI_Avions!$C22)</f>
        <v>0</v>
      </c>
      <c r="AI22" s="26">
        <f>SUMIFS(DataPrixBillets!Q$1:Q$1000,DataPrixBillets!$J$1:$J$1000,ROI_Avions!$A22,DataPrixBillets!$K$1:$K$1000,ROI_Avions!$C22)</f>
        <v>0</v>
      </c>
      <c r="AJ22" s="121"/>
      <c r="AK22" s="8">
        <f t="shared" si="85"/>
        <v>0</v>
      </c>
      <c r="AL22" s="8" t="e">
        <f t="shared" ca="1" si="86"/>
        <v>#REF!</v>
      </c>
      <c r="AM22" s="8" t="e">
        <f t="shared" ca="1" si="87"/>
        <v>#REF!</v>
      </c>
      <c r="AN22" s="8" t="e">
        <f t="shared" ca="1" si="88"/>
        <v>#REF!</v>
      </c>
      <c r="AO22" s="8" t="e">
        <f t="shared" ca="1" si="89"/>
        <v>#REF!</v>
      </c>
      <c r="AP22" s="8" t="e">
        <f t="shared" ca="1" si="90"/>
        <v>#REF!</v>
      </c>
      <c r="AQ22" s="8" t="e">
        <f t="shared" ca="1" si="91"/>
        <v>#REF!</v>
      </c>
      <c r="AR22" s="7">
        <f t="shared" ca="1" si="13"/>
        <v>0</v>
      </c>
      <c r="AS22" s="120">
        <f t="shared" ca="1" si="27"/>
        <v>0</v>
      </c>
      <c r="AT22" s="8" t="e">
        <f t="shared" ca="1" si="92"/>
        <v>#REF!</v>
      </c>
      <c r="AV22" s="128" t="s">
        <v>728</v>
      </c>
      <c r="AW22" s="8">
        <f>COUNTIF(Lignes_!B:B,AV22)</f>
        <v>0</v>
      </c>
      <c r="AX22" s="8">
        <f>SUMIF(Lignes_!$B$4:$B$1000,AV22,Lignes_!$D$4:$D$1000)</f>
        <v>0</v>
      </c>
      <c r="AY22" s="186">
        <f t="shared" si="81"/>
        <v>0</v>
      </c>
      <c r="BA22" s="8">
        <f>SUMIF(DataHubs!$J:$J,ROI_Avions!$AV22,DataHubs!K:K)</f>
        <v>0</v>
      </c>
      <c r="BB22" s="8">
        <f>SUMIF(DataHubs!$J:$J,ROI_Avions!$AV22,DataHubs!L:L)</f>
        <v>0</v>
      </c>
      <c r="BC22" s="186">
        <f t="shared" si="76"/>
        <v>0</v>
      </c>
    </row>
    <row r="23" spans="1:55" x14ac:dyDescent="0.3">
      <c r="A23" s="145" t="s">
        <v>315</v>
      </c>
      <c r="B23" s="146">
        <v>0</v>
      </c>
      <c r="C23" s="145" t="s">
        <v>988</v>
      </c>
      <c r="D23" s="145" t="str">
        <f t="shared" si="15"/>
        <v>SFO/PVG</v>
      </c>
      <c r="E23" s="146">
        <v>43568470</v>
      </c>
      <c r="F23" s="147" t="s">
        <v>989</v>
      </c>
      <c r="G23" s="146">
        <v>0</v>
      </c>
      <c r="I23" s="8">
        <v>10075000</v>
      </c>
      <c r="J23" s="8">
        <v>132990000</v>
      </c>
      <c r="K23" s="8">
        <v>8</v>
      </c>
      <c r="L23" s="53">
        <f ca="1">TODAY()</f>
        <v>43464</v>
      </c>
      <c r="M23" s="53">
        <f ca="1">L23+(K23*7)</f>
        <v>43520</v>
      </c>
      <c r="O23" s="138"/>
      <c r="P23" s="133">
        <f>SUMIFS(GestionLignesDemande!D$4:D$1000,GestionLignesDemande!$B$4:$B$1000,ROI_Avions!$A23,GestionLignesDemande!$C$4:$C$1000,ROI_Avions!$C23)</f>
        <v>0</v>
      </c>
      <c r="Q23" s="133">
        <f>SUMIFS(GestionLignesDemande!E$4:E$1000,GestionLignesDemande!$B$4:$B$1000,ROI_Avions!$A23,GestionLignesDemande!$C$4:$C$1000,ROI_Avions!$C23)</f>
        <v>0</v>
      </c>
      <c r="R23" s="133">
        <f>SUMIFS(GestionLignesDemande!F$4:F$1000,GestionLignesDemande!$B$4:$B$1000,ROI_Avions!$A23,GestionLignesDemande!$C$4:$C$1000,ROI_Avions!$C23)</f>
        <v>0</v>
      </c>
      <c r="S23" s="133">
        <f>SUMIFS(GestionLignesDemande!G$4:G$1000,GestionLignesDemande!$B$4:$B$1000,ROI_Avions!$A23,GestionLignesDemande!$C$4:$C$1000,ROI_Avions!$C23)</f>
        <v>0</v>
      </c>
      <c r="T23" s="121"/>
      <c r="U23" s="8">
        <f t="shared" ref="U23:U64" si="97">SUM(V23:Y23)</f>
        <v>512</v>
      </c>
      <c r="V23" s="8">
        <v>288</v>
      </c>
      <c r="W23" s="8">
        <v>157</v>
      </c>
      <c r="X23" s="8">
        <v>67</v>
      </c>
      <c r="Y23" s="8">
        <v>0</v>
      </c>
      <c r="Z23" s="121"/>
      <c r="AA23" s="132">
        <f>P23-(V23*2)</f>
        <v>-576</v>
      </c>
      <c r="AB23" s="132">
        <f t="shared" ref="AB23" si="98">Q23-(W23*2)</f>
        <v>-314</v>
      </c>
      <c r="AC23" s="132">
        <f t="shared" ref="AC23" si="99">R23-(X23*2)</f>
        <v>-134</v>
      </c>
      <c r="AD23" s="132">
        <f t="shared" ref="AD23" si="100">S23-(Y23*2)</f>
        <v>0</v>
      </c>
      <c r="AE23" s="121"/>
      <c r="AF23" s="26">
        <f>SUMIFS(DataPrixBillets!N$1:N$1000,DataPrixBillets!$J$1:$J$1000,ROI_Avions!$A23,DataPrixBillets!$K$1:$K$1000,ROI_Avions!$C23)</f>
        <v>0</v>
      </c>
      <c r="AG23" s="26">
        <f>SUMIFS(DataPrixBillets!O$1:O$1000,DataPrixBillets!$J$1:$J$1000,ROI_Avions!$A23,DataPrixBillets!$K$1:$K$1000,ROI_Avions!$C23)</f>
        <v>0</v>
      </c>
      <c r="AH23" s="26">
        <f>SUMIFS(DataPrixBillets!P$1:P$1000,DataPrixBillets!$J$1:$J$1000,ROI_Avions!$A23,DataPrixBillets!$K$1:$K$1000,ROI_Avions!$C23)</f>
        <v>0</v>
      </c>
      <c r="AI23" s="26">
        <f>SUMIFS(DataPrixBillets!Q$1:Q$1000,DataPrixBillets!$J$1:$J$1000,ROI_Avions!$A23,DataPrixBillets!$K$1:$K$1000,ROI_Avions!$C23)</f>
        <v>0</v>
      </c>
      <c r="AJ23" s="121"/>
      <c r="AK23" s="8">
        <f t="shared" ref="AK23:AK25" si="101">(((AF23*V23)*2+(AG23*W23)*2+(AH23*X23)*2+(AI23*Y23)*2)*7)</f>
        <v>0</v>
      </c>
      <c r="AL23" s="8" t="e">
        <f t="shared" ref="AL23:AL25" ca="1" si="102">AK23-AM23</f>
        <v>#REF!</v>
      </c>
      <c r="AM23" s="8" t="e">
        <f t="shared" ref="AM23:AM25" ca="1" si="103">AK23*$AM$2</f>
        <v>#REF!</v>
      </c>
      <c r="AN23" s="8" t="e">
        <f t="shared" ref="AN23:AN25" ca="1" si="104">AL23*$AN$2</f>
        <v>#REF!</v>
      </c>
      <c r="AO23" s="8" t="e">
        <f t="shared" ref="AO23:AO25" ca="1" si="105">(AL23-AN23-I23)*$AO$2</f>
        <v>#REF!</v>
      </c>
      <c r="AP23" s="8" t="e">
        <f t="shared" ref="AP23:AP25" ca="1" si="106">AL23-AN23-(I23/7)-(AO23/7)</f>
        <v>#REF!</v>
      </c>
      <c r="AQ23" s="8" t="e">
        <f t="shared" ref="AQ23:AQ25" ca="1" si="107">AP23/7</f>
        <v>#REF!</v>
      </c>
      <c r="AR23" s="7">
        <f t="shared" ca="1" si="13"/>
        <v>0</v>
      </c>
      <c r="AS23" s="120">
        <f t="shared" ca="1" si="27"/>
        <v>0</v>
      </c>
      <c r="AT23" s="8" t="e">
        <f t="shared" ref="AT23:AT25" ca="1" si="108">IF(K23&gt;=1,AP23*K23,AP23*$AT$1)</f>
        <v>#REF!</v>
      </c>
      <c r="AV23" s="128" t="s">
        <v>725</v>
      </c>
      <c r="AW23" s="8">
        <f>COUNTIF(Lignes_!B:B,AV23)</f>
        <v>0</v>
      </c>
      <c r="AX23" s="8">
        <f>SUMIF(Lignes_!$B$4:$B$1000,AV23,Lignes_!$D$4:$D$1000)</f>
        <v>0</v>
      </c>
      <c r="AY23" s="186">
        <f t="shared" si="81"/>
        <v>0</v>
      </c>
      <c r="BA23" s="8">
        <f>SUMIF(DataHubs!$J:$J,ROI_Avions!$AV23,DataHubs!K:K)</f>
        <v>0</v>
      </c>
      <c r="BB23" s="8">
        <f>SUMIF(DataHubs!$J:$J,ROI_Avions!$AV23,DataHubs!L:L)</f>
        <v>0</v>
      </c>
      <c r="BC23" s="186">
        <f t="shared" si="76"/>
        <v>0</v>
      </c>
    </row>
    <row r="24" spans="1:55" x14ac:dyDescent="0.3">
      <c r="A24" s="145" t="s">
        <v>315</v>
      </c>
      <c r="B24" s="146">
        <v>0</v>
      </c>
      <c r="C24" s="145" t="s">
        <v>988</v>
      </c>
      <c r="D24" s="145" t="str">
        <f t="shared" si="15"/>
        <v>SFO/PVG</v>
      </c>
      <c r="E24" s="146">
        <v>43568470</v>
      </c>
      <c r="F24" s="147" t="s">
        <v>990</v>
      </c>
      <c r="G24" s="146">
        <v>362700000</v>
      </c>
      <c r="I24" s="8"/>
      <c r="J24" s="8"/>
      <c r="K24" s="8"/>
      <c r="L24" s="53"/>
      <c r="M24" s="53"/>
      <c r="O24" s="138"/>
      <c r="P24" s="133">
        <f>SUMIFS(GestionLignesDemande!D$4:D$1000,GestionLignesDemande!$B$4:$B$1000,ROI_Avions!$A24,GestionLignesDemande!$C$4:$C$1000,ROI_Avions!$C24)</f>
        <v>0</v>
      </c>
      <c r="Q24" s="133">
        <f>SUMIFS(GestionLignesDemande!E$4:E$1000,GestionLignesDemande!$B$4:$B$1000,ROI_Avions!$A24,GestionLignesDemande!$C$4:$C$1000,ROI_Avions!$C24)</f>
        <v>0</v>
      </c>
      <c r="R24" s="133">
        <f>SUMIFS(GestionLignesDemande!F$4:F$1000,GestionLignesDemande!$B$4:$B$1000,ROI_Avions!$A24,GestionLignesDemande!$C$4:$C$1000,ROI_Avions!$C24)</f>
        <v>0</v>
      </c>
      <c r="S24" s="133">
        <f>SUMIFS(GestionLignesDemande!G$4:G$1000,GestionLignesDemande!$B$4:$B$1000,ROI_Avions!$A24,GestionLignesDemande!$C$4:$C$1000,ROI_Avions!$C24)</f>
        <v>0</v>
      </c>
      <c r="T24" s="121"/>
      <c r="U24" s="8">
        <f t="shared" si="97"/>
        <v>599</v>
      </c>
      <c r="V24" s="8">
        <v>353</v>
      </c>
      <c r="W24" s="8">
        <v>179</v>
      </c>
      <c r="X24" s="8">
        <v>42</v>
      </c>
      <c r="Y24" s="8">
        <v>25</v>
      </c>
      <c r="Z24" s="121"/>
      <c r="AA24" s="132">
        <f t="shared" ref="AA24:AA25" si="109">AA23-V24*2</f>
        <v>-1282</v>
      </c>
      <c r="AB24" s="132">
        <f t="shared" ref="AB24:AB25" si="110">AB23-W24*2</f>
        <v>-672</v>
      </c>
      <c r="AC24" s="132">
        <f t="shared" ref="AC24:AC25" si="111">AC23-X24*2</f>
        <v>-218</v>
      </c>
      <c r="AD24" s="132">
        <f t="shared" ref="AD24:AD25" si="112">AD23-Y24*2</f>
        <v>-50</v>
      </c>
      <c r="AE24" s="121"/>
      <c r="AF24" s="26">
        <f>SUMIFS(DataPrixBillets!N$1:N$1000,DataPrixBillets!$J$1:$J$1000,ROI_Avions!$A24,DataPrixBillets!$K$1:$K$1000,ROI_Avions!$C24)</f>
        <v>0</v>
      </c>
      <c r="AG24" s="26">
        <f>SUMIFS(DataPrixBillets!O$1:O$1000,DataPrixBillets!$J$1:$J$1000,ROI_Avions!$A24,DataPrixBillets!$K$1:$K$1000,ROI_Avions!$C24)</f>
        <v>0</v>
      </c>
      <c r="AH24" s="26">
        <f>SUMIFS(DataPrixBillets!P$1:P$1000,DataPrixBillets!$J$1:$J$1000,ROI_Avions!$A24,DataPrixBillets!$K$1:$K$1000,ROI_Avions!$C24)</f>
        <v>0</v>
      </c>
      <c r="AI24" s="26">
        <f>SUMIFS(DataPrixBillets!Q$1:Q$1000,DataPrixBillets!$J$1:$J$1000,ROI_Avions!$A24,DataPrixBillets!$K$1:$K$1000,ROI_Avions!$C24)</f>
        <v>0</v>
      </c>
      <c r="AJ24" s="121"/>
      <c r="AK24" s="8">
        <f t="shared" si="101"/>
        <v>0</v>
      </c>
      <c r="AL24" s="8" t="e">
        <f t="shared" ca="1" si="102"/>
        <v>#REF!</v>
      </c>
      <c r="AM24" s="8" t="e">
        <f t="shared" ca="1" si="103"/>
        <v>#REF!</v>
      </c>
      <c r="AN24" s="8" t="e">
        <f t="shared" ca="1" si="104"/>
        <v>#REF!</v>
      </c>
      <c r="AO24" s="8" t="e">
        <f t="shared" ca="1" si="105"/>
        <v>#REF!</v>
      </c>
      <c r="AP24" s="8" t="e">
        <f t="shared" ca="1" si="106"/>
        <v>#REF!</v>
      </c>
      <c r="AQ24" s="8" t="e">
        <f t="shared" ca="1" si="107"/>
        <v>#REF!</v>
      </c>
      <c r="AR24" s="7">
        <f t="shared" ca="1" si="13"/>
        <v>0</v>
      </c>
      <c r="AS24" s="120">
        <f t="shared" ca="1" si="27"/>
        <v>0</v>
      </c>
      <c r="AT24" s="8" t="e">
        <f t="shared" ca="1" si="108"/>
        <v>#REF!</v>
      </c>
      <c r="AV24" s="128" t="s">
        <v>733</v>
      </c>
      <c r="AW24" s="8">
        <f>COUNTIF(Lignes_!B:B,AV24)</f>
        <v>1</v>
      </c>
      <c r="AX24" s="8">
        <f>SUMIF(Lignes_!$B$4:$B$1000,AV24,Lignes_!$D$4:$D$1000)</f>
        <v>4</v>
      </c>
      <c r="AY24" s="186">
        <f t="shared" si="81"/>
        <v>4</v>
      </c>
      <c r="BA24" s="8">
        <f>SUMIF(DataHubs!$J:$J,ROI_Avions!$AV24,DataHubs!K:K)</f>
        <v>122480327</v>
      </c>
      <c r="BB24" s="8">
        <f>SUMIF(DataHubs!$J:$J,ROI_Avions!$AV24,DataHubs!L:L)</f>
        <v>103650945</v>
      </c>
      <c r="BC24" s="186">
        <f t="shared" si="76"/>
        <v>0.84626607014202371</v>
      </c>
    </row>
    <row r="25" spans="1:55" x14ac:dyDescent="0.3">
      <c r="A25" s="145" t="s">
        <v>315</v>
      </c>
      <c r="B25" s="146">
        <v>0</v>
      </c>
      <c r="C25" s="145" t="s">
        <v>988</v>
      </c>
      <c r="D25" s="145" t="str">
        <f t="shared" si="15"/>
        <v>SFO/PVG</v>
      </c>
      <c r="E25" s="146">
        <v>43568470</v>
      </c>
      <c r="F25" s="147" t="s">
        <v>991</v>
      </c>
      <c r="G25" s="146">
        <v>362700000</v>
      </c>
      <c r="I25" s="8"/>
      <c r="J25" s="8"/>
      <c r="K25" s="8"/>
      <c r="L25" s="53"/>
      <c r="M25" s="53"/>
      <c r="O25" s="138"/>
      <c r="P25" s="133">
        <f>SUMIFS(GestionLignesDemande!D$4:D$1000,GestionLignesDemande!$B$4:$B$1000,ROI_Avions!$A25,GestionLignesDemande!$C$4:$C$1000,ROI_Avions!$C25)</f>
        <v>0</v>
      </c>
      <c r="Q25" s="133">
        <f>SUMIFS(GestionLignesDemande!E$4:E$1000,GestionLignesDemande!$B$4:$B$1000,ROI_Avions!$A25,GestionLignesDemande!$C$4:$C$1000,ROI_Avions!$C25)</f>
        <v>0</v>
      </c>
      <c r="R25" s="133">
        <f>SUMIFS(GestionLignesDemande!F$4:F$1000,GestionLignesDemande!$B$4:$B$1000,ROI_Avions!$A25,GestionLignesDemande!$C$4:$C$1000,ROI_Avions!$C25)</f>
        <v>0</v>
      </c>
      <c r="S25" s="133">
        <f>SUMIFS(GestionLignesDemande!G$4:G$1000,GestionLignesDemande!$B$4:$B$1000,ROI_Avions!$A25,GestionLignesDemande!$C$4:$C$1000,ROI_Avions!$C25)</f>
        <v>0</v>
      </c>
      <c r="T25" s="121"/>
      <c r="U25" s="8">
        <f t="shared" si="97"/>
        <v>856</v>
      </c>
      <c r="V25" s="8">
        <v>853</v>
      </c>
      <c r="W25" s="8">
        <v>0</v>
      </c>
      <c r="X25" s="8">
        <v>0</v>
      </c>
      <c r="Y25" s="8">
        <v>3</v>
      </c>
      <c r="Z25" s="121"/>
      <c r="AA25" s="132">
        <f t="shared" si="109"/>
        <v>-2988</v>
      </c>
      <c r="AB25" s="132">
        <f t="shared" si="110"/>
        <v>-672</v>
      </c>
      <c r="AC25" s="132">
        <f t="shared" si="111"/>
        <v>-218</v>
      </c>
      <c r="AD25" s="132">
        <f t="shared" si="112"/>
        <v>-56</v>
      </c>
      <c r="AE25" s="121"/>
      <c r="AF25" s="26">
        <f>SUMIFS(DataPrixBillets!N$1:N$1000,DataPrixBillets!$J$1:$J$1000,ROI_Avions!$A25,DataPrixBillets!$K$1:$K$1000,ROI_Avions!$C25)</f>
        <v>0</v>
      </c>
      <c r="AG25" s="26">
        <f>SUMIFS(DataPrixBillets!O$1:O$1000,DataPrixBillets!$J$1:$J$1000,ROI_Avions!$A25,DataPrixBillets!$K$1:$K$1000,ROI_Avions!$C25)</f>
        <v>0</v>
      </c>
      <c r="AH25" s="26">
        <f>SUMIFS(DataPrixBillets!P$1:P$1000,DataPrixBillets!$J$1:$J$1000,ROI_Avions!$A25,DataPrixBillets!$K$1:$K$1000,ROI_Avions!$C25)</f>
        <v>0</v>
      </c>
      <c r="AI25" s="26">
        <f>SUMIFS(DataPrixBillets!Q$1:Q$1000,DataPrixBillets!$J$1:$J$1000,ROI_Avions!$A25,DataPrixBillets!$K$1:$K$1000,ROI_Avions!$C25)</f>
        <v>0</v>
      </c>
      <c r="AJ25" s="121"/>
      <c r="AK25" s="8">
        <f t="shared" si="101"/>
        <v>0</v>
      </c>
      <c r="AL25" s="8" t="e">
        <f t="shared" ca="1" si="102"/>
        <v>#REF!</v>
      </c>
      <c r="AM25" s="8" t="e">
        <f t="shared" ca="1" si="103"/>
        <v>#REF!</v>
      </c>
      <c r="AN25" s="8" t="e">
        <f t="shared" ca="1" si="104"/>
        <v>#REF!</v>
      </c>
      <c r="AO25" s="8" t="e">
        <f t="shared" ca="1" si="105"/>
        <v>#REF!</v>
      </c>
      <c r="AP25" s="8" t="e">
        <f t="shared" ca="1" si="106"/>
        <v>#REF!</v>
      </c>
      <c r="AQ25" s="8" t="e">
        <f t="shared" ca="1" si="107"/>
        <v>#REF!</v>
      </c>
      <c r="AR25" s="7">
        <f t="shared" ca="1" si="13"/>
        <v>0</v>
      </c>
      <c r="AS25" s="120">
        <f t="shared" ca="1" si="27"/>
        <v>0</v>
      </c>
      <c r="AT25" s="8" t="e">
        <f t="shared" ca="1" si="108"/>
        <v>#REF!</v>
      </c>
      <c r="AV25" s="128" t="s">
        <v>732</v>
      </c>
      <c r="AW25" s="8">
        <f>COUNTIF(Lignes_!B:B,AV25)</f>
        <v>0</v>
      </c>
      <c r="AX25" s="8">
        <f>SUMIF(Lignes_!$B$4:$B$1000,AV25,Lignes_!$D$4:$D$1000)</f>
        <v>0</v>
      </c>
      <c r="AY25" s="186">
        <f t="shared" si="81"/>
        <v>0</v>
      </c>
      <c r="BA25" s="8">
        <f>SUMIF(DataHubs!$J:$J,ROI_Avions!$AV25,DataHubs!K:K)</f>
        <v>142169866</v>
      </c>
      <c r="BB25" s="8">
        <f>SUMIF(DataHubs!$J:$J,ROI_Avions!$AV25,DataHubs!L:L)</f>
        <v>120691857</v>
      </c>
      <c r="BC25" s="186">
        <f t="shared" si="76"/>
        <v>0.84892713481209869</v>
      </c>
    </row>
    <row r="26" spans="1:55" x14ac:dyDescent="0.3">
      <c r="A26" s="145" t="s">
        <v>315</v>
      </c>
      <c r="B26" s="146">
        <v>0</v>
      </c>
      <c r="C26" s="145" t="s">
        <v>995</v>
      </c>
      <c r="D26" s="145" t="str">
        <f t="shared" si="15"/>
        <v>SFO/PEK</v>
      </c>
      <c r="E26" s="146">
        <v>50159560</v>
      </c>
      <c r="F26" s="147" t="s">
        <v>992</v>
      </c>
      <c r="G26" s="146">
        <v>0</v>
      </c>
      <c r="I26" s="8">
        <v>10075000</v>
      </c>
      <c r="J26" s="8">
        <v>132990000</v>
      </c>
      <c r="K26" s="8">
        <v>8</v>
      </c>
      <c r="L26" s="53">
        <f ca="1">TODAY()</f>
        <v>43464</v>
      </c>
      <c r="M26" s="53">
        <f ca="1">L26+(K26*7)</f>
        <v>43520</v>
      </c>
      <c r="O26" s="138"/>
      <c r="P26" s="133">
        <f>SUMIFS(GestionLignesDemande!D$4:D$1000,GestionLignesDemande!$B$4:$B$1000,ROI_Avions!$A26,GestionLignesDemande!$C$4:$C$1000,ROI_Avions!$C26)</f>
        <v>0</v>
      </c>
      <c r="Q26" s="133">
        <f>SUMIFS(GestionLignesDemande!E$4:E$1000,GestionLignesDemande!$B$4:$B$1000,ROI_Avions!$A26,GestionLignesDemande!$C$4:$C$1000,ROI_Avions!$C26)</f>
        <v>0</v>
      </c>
      <c r="R26" s="133">
        <f>SUMIFS(GestionLignesDemande!F$4:F$1000,GestionLignesDemande!$B$4:$B$1000,ROI_Avions!$A26,GestionLignesDemande!$C$4:$C$1000,ROI_Avions!$C26)</f>
        <v>0</v>
      </c>
      <c r="S26" s="133">
        <f>SUMIFS(GestionLignesDemande!G$4:G$1000,GestionLignesDemande!$B$4:$B$1000,ROI_Avions!$A26,GestionLignesDemande!$C$4:$C$1000,ROI_Avions!$C26)</f>
        <v>0</v>
      </c>
      <c r="T26" s="121"/>
      <c r="U26" s="8">
        <f t="shared" si="97"/>
        <v>512</v>
      </c>
      <c r="V26" s="8">
        <v>288</v>
      </c>
      <c r="W26" s="8">
        <v>157</v>
      </c>
      <c r="X26" s="8">
        <v>67</v>
      </c>
      <c r="Y26" s="8">
        <v>0</v>
      </c>
      <c r="Z26" s="121"/>
      <c r="AA26" s="132">
        <f>P26-(V26*2)</f>
        <v>-576</v>
      </c>
      <c r="AB26" s="132">
        <f t="shared" ref="AB26" si="113">Q26-(W26*2)</f>
        <v>-314</v>
      </c>
      <c r="AC26" s="132">
        <f t="shared" ref="AC26" si="114">R26-(X26*2)</f>
        <v>-134</v>
      </c>
      <c r="AD26" s="132">
        <f t="shared" ref="AD26" si="115">S26-(Y26*2)</f>
        <v>0</v>
      </c>
      <c r="AE26" s="121"/>
      <c r="AF26" s="26">
        <f>SUMIFS(DataPrixBillets!N$1:N$1000,DataPrixBillets!$J$1:$J$1000,ROI_Avions!$A26,DataPrixBillets!$K$1:$K$1000,ROI_Avions!$C26)</f>
        <v>0</v>
      </c>
      <c r="AG26" s="26">
        <f>SUMIFS(DataPrixBillets!O$1:O$1000,DataPrixBillets!$J$1:$J$1000,ROI_Avions!$A26,DataPrixBillets!$K$1:$K$1000,ROI_Avions!$C26)</f>
        <v>0</v>
      </c>
      <c r="AH26" s="26">
        <f>SUMIFS(DataPrixBillets!P$1:P$1000,DataPrixBillets!$J$1:$J$1000,ROI_Avions!$A26,DataPrixBillets!$K$1:$K$1000,ROI_Avions!$C26)</f>
        <v>0</v>
      </c>
      <c r="AI26" s="26">
        <f>SUMIFS(DataPrixBillets!Q$1:Q$1000,DataPrixBillets!$J$1:$J$1000,ROI_Avions!$A26,DataPrixBillets!$K$1:$K$1000,ROI_Avions!$C26)</f>
        <v>0</v>
      </c>
      <c r="AJ26" s="121"/>
      <c r="AK26" s="8">
        <f t="shared" ref="AK26:AK28" si="116">(((AF26*V26)*2+(AG26*W26)*2+(AH26*X26)*2+(AI26*Y26)*2)*7)</f>
        <v>0</v>
      </c>
      <c r="AL26" s="8" t="e">
        <f t="shared" ref="AL26:AL28" ca="1" si="117">AK26-AM26</f>
        <v>#REF!</v>
      </c>
      <c r="AM26" s="8" t="e">
        <f t="shared" ref="AM26:AM28" ca="1" si="118">AK26*$AM$2</f>
        <v>#REF!</v>
      </c>
      <c r="AN26" s="8" t="e">
        <f t="shared" ref="AN26:AN28" ca="1" si="119">AL26*$AN$2</f>
        <v>#REF!</v>
      </c>
      <c r="AO26" s="8" t="e">
        <f t="shared" ref="AO26:AO28" ca="1" si="120">(AL26-AN26-I26)*$AO$2</f>
        <v>#REF!</v>
      </c>
      <c r="AP26" s="8" t="e">
        <f t="shared" ref="AP26:AP28" ca="1" si="121">AL26-AN26-(I26/7)-(AO26/7)</f>
        <v>#REF!</v>
      </c>
      <c r="AQ26" s="8" t="e">
        <f t="shared" ref="AQ26:AQ28" ca="1" si="122">AP26/7</f>
        <v>#REF!</v>
      </c>
      <c r="AR26" s="7">
        <f t="shared" ca="1" si="13"/>
        <v>0</v>
      </c>
      <c r="AS26" s="120">
        <f t="shared" ca="1" si="27"/>
        <v>0</v>
      </c>
      <c r="AT26" s="8" t="e">
        <f t="shared" ref="AT26:AT28" ca="1" si="123">IF(K26&gt;=1,AP26*K26,AP26*$AT$1)</f>
        <v>#REF!</v>
      </c>
      <c r="AV26" s="128" t="s">
        <v>731</v>
      </c>
      <c r="AW26" s="8">
        <f>COUNTIF(Lignes_!B:B,AV26)</f>
        <v>0</v>
      </c>
      <c r="AX26" s="8">
        <f>SUMIF(Lignes_!$B$4:$B$1000,AV26,Lignes_!$D$4:$D$1000)</f>
        <v>0</v>
      </c>
      <c r="AY26" s="186">
        <f t="shared" si="81"/>
        <v>0</v>
      </c>
      <c r="BA26" s="8">
        <f>SUMIF(DataHubs!$J:$J,ROI_Avions!$AV26,DataHubs!K:K)</f>
        <v>0</v>
      </c>
      <c r="BB26" s="8">
        <f>SUMIF(DataHubs!$J:$J,ROI_Avions!$AV26,DataHubs!L:L)</f>
        <v>0</v>
      </c>
      <c r="BC26" s="186">
        <f t="shared" si="76"/>
        <v>0</v>
      </c>
    </row>
    <row r="27" spans="1:55" x14ac:dyDescent="0.3">
      <c r="A27" s="145" t="s">
        <v>315</v>
      </c>
      <c r="B27" s="146">
        <v>0</v>
      </c>
      <c r="C27" s="145" t="s">
        <v>995</v>
      </c>
      <c r="D27" s="145" t="str">
        <f t="shared" si="15"/>
        <v>SFO/PEK</v>
      </c>
      <c r="E27" s="146">
        <v>50159560</v>
      </c>
      <c r="F27" s="147" t="s">
        <v>993</v>
      </c>
      <c r="G27" s="146">
        <v>362700000</v>
      </c>
      <c r="I27" s="8">
        <v>0</v>
      </c>
      <c r="J27" s="8">
        <v>0</v>
      </c>
      <c r="K27" s="8">
        <v>0</v>
      </c>
      <c r="L27" s="53"/>
      <c r="M27" s="53"/>
      <c r="O27" s="138"/>
      <c r="P27" s="133">
        <f>SUMIFS(GestionLignesDemande!D$4:D$1000,GestionLignesDemande!$B$4:$B$1000,ROI_Avions!$A27,GestionLignesDemande!$C$4:$C$1000,ROI_Avions!$C27)</f>
        <v>0</v>
      </c>
      <c r="Q27" s="133">
        <f>SUMIFS(GestionLignesDemande!E$4:E$1000,GestionLignesDemande!$B$4:$B$1000,ROI_Avions!$A27,GestionLignesDemande!$C$4:$C$1000,ROI_Avions!$C27)</f>
        <v>0</v>
      </c>
      <c r="R27" s="133">
        <f>SUMIFS(GestionLignesDemande!F$4:F$1000,GestionLignesDemande!$B$4:$B$1000,ROI_Avions!$A27,GestionLignesDemande!$C$4:$C$1000,ROI_Avions!$C27)</f>
        <v>0</v>
      </c>
      <c r="S27" s="133">
        <f>SUMIFS(GestionLignesDemande!G$4:G$1000,GestionLignesDemande!$B$4:$B$1000,ROI_Avions!$A27,GestionLignesDemande!$C$4:$C$1000,ROI_Avions!$C27)</f>
        <v>0</v>
      </c>
      <c r="T27" s="121"/>
      <c r="U27" s="8">
        <f t="shared" si="97"/>
        <v>614</v>
      </c>
      <c r="V27" s="8">
        <v>389</v>
      </c>
      <c r="W27" s="8">
        <v>159</v>
      </c>
      <c r="X27" s="8">
        <v>42</v>
      </c>
      <c r="Y27" s="8">
        <v>24</v>
      </c>
      <c r="Z27" s="121"/>
      <c r="AA27" s="132">
        <f t="shared" ref="AA27:AA28" si="124">AA26-V27*2</f>
        <v>-1354</v>
      </c>
      <c r="AB27" s="132">
        <f t="shared" ref="AB27:AB28" si="125">AB26-W27*2</f>
        <v>-632</v>
      </c>
      <c r="AC27" s="132">
        <f t="shared" ref="AC27:AC28" si="126">AC26-X27*2</f>
        <v>-218</v>
      </c>
      <c r="AD27" s="132">
        <f t="shared" ref="AD27:AD28" si="127">AD26-Y27*2</f>
        <v>-48</v>
      </c>
      <c r="AE27" s="121"/>
      <c r="AF27" s="26">
        <f>SUMIFS(DataPrixBillets!N$1:N$1000,DataPrixBillets!$J$1:$J$1000,ROI_Avions!$A27,DataPrixBillets!$K$1:$K$1000,ROI_Avions!$C27)</f>
        <v>0</v>
      </c>
      <c r="AG27" s="26">
        <f>SUMIFS(DataPrixBillets!O$1:O$1000,DataPrixBillets!$J$1:$J$1000,ROI_Avions!$A27,DataPrixBillets!$K$1:$K$1000,ROI_Avions!$C27)</f>
        <v>0</v>
      </c>
      <c r="AH27" s="26">
        <f>SUMIFS(DataPrixBillets!P$1:P$1000,DataPrixBillets!$J$1:$J$1000,ROI_Avions!$A27,DataPrixBillets!$K$1:$K$1000,ROI_Avions!$C27)</f>
        <v>0</v>
      </c>
      <c r="AI27" s="26">
        <f>SUMIFS(DataPrixBillets!Q$1:Q$1000,DataPrixBillets!$J$1:$J$1000,ROI_Avions!$A27,DataPrixBillets!$K$1:$K$1000,ROI_Avions!$C27)</f>
        <v>0</v>
      </c>
      <c r="AJ27" s="121"/>
      <c r="AK27" s="8">
        <f t="shared" si="116"/>
        <v>0</v>
      </c>
      <c r="AL27" s="8" t="e">
        <f t="shared" ca="1" si="117"/>
        <v>#REF!</v>
      </c>
      <c r="AM27" s="8" t="e">
        <f t="shared" ca="1" si="118"/>
        <v>#REF!</v>
      </c>
      <c r="AN27" s="8" t="e">
        <f t="shared" ca="1" si="119"/>
        <v>#REF!</v>
      </c>
      <c r="AO27" s="8" t="e">
        <f t="shared" ca="1" si="120"/>
        <v>#REF!</v>
      </c>
      <c r="AP27" s="8" t="e">
        <f t="shared" ca="1" si="121"/>
        <v>#REF!</v>
      </c>
      <c r="AQ27" s="8" t="e">
        <f t="shared" ca="1" si="122"/>
        <v>#REF!</v>
      </c>
      <c r="AR27" s="7">
        <f t="shared" ca="1" si="13"/>
        <v>0</v>
      </c>
      <c r="AS27" s="120">
        <f t="shared" ca="1" si="27"/>
        <v>0</v>
      </c>
      <c r="AT27" s="8" t="e">
        <f t="shared" ca="1" si="123"/>
        <v>#REF!</v>
      </c>
      <c r="AV27" s="128" t="s">
        <v>428</v>
      </c>
      <c r="AW27" s="8">
        <f>COUNTIF(Lignes_!B:B,AV27)</f>
        <v>0</v>
      </c>
      <c r="AX27" s="8">
        <f>SUMIF(Lignes_!$B$4:$B$1000,AV27,Lignes_!$D$4:$D$1000)</f>
        <v>0</v>
      </c>
      <c r="AY27" s="186">
        <f t="shared" si="81"/>
        <v>0</v>
      </c>
      <c r="BA27" s="8">
        <f>SUMIF(DataHubs!$J:$J,ROI_Avions!$AV27,DataHubs!K:K)</f>
        <v>0</v>
      </c>
      <c r="BB27" s="8">
        <f>SUMIF(DataHubs!$J:$J,ROI_Avions!$AV27,DataHubs!L:L)</f>
        <v>0</v>
      </c>
      <c r="BC27" s="186">
        <f t="shared" si="76"/>
        <v>0</v>
      </c>
    </row>
    <row r="28" spans="1:55" x14ac:dyDescent="0.3">
      <c r="A28" s="145" t="s">
        <v>315</v>
      </c>
      <c r="B28" s="146">
        <v>0</v>
      </c>
      <c r="C28" s="145" t="s">
        <v>995</v>
      </c>
      <c r="D28" s="145" t="str">
        <f t="shared" si="15"/>
        <v>SFO/PEK</v>
      </c>
      <c r="E28" s="146">
        <v>50159560</v>
      </c>
      <c r="F28" s="147" t="s">
        <v>994</v>
      </c>
      <c r="G28" s="146">
        <v>362700000</v>
      </c>
      <c r="I28" s="8">
        <v>0</v>
      </c>
      <c r="J28" s="8">
        <v>0</v>
      </c>
      <c r="K28" s="8">
        <v>0</v>
      </c>
      <c r="L28" s="53"/>
      <c r="M28" s="53"/>
      <c r="O28" s="138"/>
      <c r="P28" s="133">
        <f>SUMIFS(GestionLignesDemande!D$4:D$1000,GestionLignesDemande!$B$4:$B$1000,ROI_Avions!$A28,GestionLignesDemande!$C$4:$C$1000,ROI_Avions!$C28)</f>
        <v>0</v>
      </c>
      <c r="Q28" s="133">
        <f>SUMIFS(GestionLignesDemande!E$4:E$1000,GestionLignesDemande!$B$4:$B$1000,ROI_Avions!$A28,GestionLignesDemande!$C$4:$C$1000,ROI_Avions!$C28)</f>
        <v>0</v>
      </c>
      <c r="R28" s="133">
        <f>SUMIFS(GestionLignesDemande!F$4:F$1000,GestionLignesDemande!$B$4:$B$1000,ROI_Avions!$A28,GestionLignesDemande!$C$4:$C$1000,ROI_Avions!$C28)</f>
        <v>0</v>
      </c>
      <c r="S28" s="133">
        <f>SUMIFS(GestionLignesDemande!G$4:G$1000,GestionLignesDemande!$B$4:$B$1000,ROI_Avions!$A28,GestionLignesDemande!$C$4:$C$1000,ROI_Avions!$C28)</f>
        <v>0</v>
      </c>
      <c r="T28" s="121"/>
      <c r="U28" s="8">
        <f t="shared" si="97"/>
        <v>856</v>
      </c>
      <c r="V28" s="8">
        <v>853</v>
      </c>
      <c r="W28" s="8">
        <v>0</v>
      </c>
      <c r="X28" s="8">
        <v>0</v>
      </c>
      <c r="Y28" s="8">
        <v>3</v>
      </c>
      <c r="Z28" s="121"/>
      <c r="AA28" s="132">
        <f t="shared" si="124"/>
        <v>-3060</v>
      </c>
      <c r="AB28" s="132">
        <f t="shared" si="125"/>
        <v>-632</v>
      </c>
      <c r="AC28" s="132">
        <f t="shared" si="126"/>
        <v>-218</v>
      </c>
      <c r="AD28" s="132">
        <f t="shared" si="127"/>
        <v>-54</v>
      </c>
      <c r="AE28" s="121"/>
      <c r="AF28" s="26">
        <f>SUMIFS(DataPrixBillets!N$1:N$1000,DataPrixBillets!$J$1:$J$1000,ROI_Avions!$A28,DataPrixBillets!$K$1:$K$1000,ROI_Avions!$C28)</f>
        <v>0</v>
      </c>
      <c r="AG28" s="26">
        <f>SUMIFS(DataPrixBillets!O$1:O$1000,DataPrixBillets!$J$1:$J$1000,ROI_Avions!$A28,DataPrixBillets!$K$1:$K$1000,ROI_Avions!$C28)</f>
        <v>0</v>
      </c>
      <c r="AH28" s="26">
        <f>SUMIFS(DataPrixBillets!P$1:P$1000,DataPrixBillets!$J$1:$J$1000,ROI_Avions!$A28,DataPrixBillets!$K$1:$K$1000,ROI_Avions!$C28)</f>
        <v>0</v>
      </c>
      <c r="AI28" s="26">
        <f>SUMIFS(DataPrixBillets!Q$1:Q$1000,DataPrixBillets!$J$1:$J$1000,ROI_Avions!$A28,DataPrixBillets!$K$1:$K$1000,ROI_Avions!$C28)</f>
        <v>0</v>
      </c>
      <c r="AJ28" s="121"/>
      <c r="AK28" s="8">
        <f t="shared" si="116"/>
        <v>0</v>
      </c>
      <c r="AL28" s="8" t="e">
        <f t="shared" ca="1" si="117"/>
        <v>#REF!</v>
      </c>
      <c r="AM28" s="8" t="e">
        <f t="shared" ca="1" si="118"/>
        <v>#REF!</v>
      </c>
      <c r="AN28" s="8" t="e">
        <f t="shared" ca="1" si="119"/>
        <v>#REF!</v>
      </c>
      <c r="AO28" s="8" t="e">
        <f t="shared" ca="1" si="120"/>
        <v>#REF!</v>
      </c>
      <c r="AP28" s="8" t="e">
        <f t="shared" ca="1" si="121"/>
        <v>#REF!</v>
      </c>
      <c r="AQ28" s="8" t="e">
        <f t="shared" ca="1" si="122"/>
        <v>#REF!</v>
      </c>
      <c r="AR28" s="7">
        <f t="shared" ca="1" si="13"/>
        <v>0</v>
      </c>
      <c r="AS28" s="120">
        <f t="shared" ca="1" si="27"/>
        <v>0</v>
      </c>
      <c r="AT28" s="8" t="e">
        <f t="shared" ca="1" si="123"/>
        <v>#REF!</v>
      </c>
      <c r="AV28" s="128" t="s">
        <v>427</v>
      </c>
      <c r="AW28" s="8">
        <f>COUNTIF(Lignes_!B:B,AV28)</f>
        <v>0</v>
      </c>
      <c r="AX28" s="8">
        <f>SUMIF(Lignes_!$B$4:$B$1000,AV28,Lignes_!$D$4:$D$1000)</f>
        <v>0</v>
      </c>
      <c r="AY28" s="186">
        <f t="shared" si="81"/>
        <v>0</v>
      </c>
      <c r="BA28" s="8">
        <f>SUMIF(DataHubs!$J:$J,ROI_Avions!$AV28,DataHubs!K:K)</f>
        <v>0</v>
      </c>
      <c r="BB28" s="8">
        <f>SUMIF(DataHubs!$J:$J,ROI_Avions!$AV28,DataHubs!L:L)</f>
        <v>0</v>
      </c>
      <c r="BC28" s="186">
        <f t="shared" si="76"/>
        <v>0</v>
      </c>
    </row>
    <row r="29" spans="1:55" x14ac:dyDescent="0.3">
      <c r="A29" s="145" t="s">
        <v>315</v>
      </c>
      <c r="B29" s="146">
        <v>0</v>
      </c>
      <c r="C29" s="145" t="s">
        <v>996</v>
      </c>
      <c r="D29" s="145" t="str">
        <f t="shared" si="15"/>
        <v>SFO/TAO</v>
      </c>
      <c r="E29" s="146">
        <v>59870941</v>
      </c>
      <c r="F29" s="147" t="s">
        <v>997</v>
      </c>
      <c r="G29" s="146">
        <v>0</v>
      </c>
      <c r="I29" s="8">
        <v>7823150</v>
      </c>
      <c r="J29" s="8">
        <v>103265580</v>
      </c>
      <c r="K29" s="8">
        <v>8</v>
      </c>
      <c r="L29" s="53">
        <f ca="1">TODAY()</f>
        <v>43464</v>
      </c>
      <c r="M29" s="53">
        <f ca="1">L29+(K29*7)</f>
        <v>43520</v>
      </c>
      <c r="O29" s="138"/>
      <c r="P29" s="133">
        <f>SUMIFS(GestionLignesDemande!D$4:D$1000,GestionLignesDemande!$B$4:$B$1000,ROI_Avions!$A29,GestionLignesDemande!$C$4:$C$1000,ROI_Avions!$C29)</f>
        <v>0</v>
      </c>
      <c r="Q29" s="133">
        <f>SUMIFS(GestionLignesDemande!E$4:E$1000,GestionLignesDemande!$B$4:$B$1000,ROI_Avions!$A29,GestionLignesDemande!$C$4:$C$1000,ROI_Avions!$C29)</f>
        <v>0</v>
      </c>
      <c r="R29" s="133">
        <f>SUMIFS(GestionLignesDemande!F$4:F$1000,GestionLignesDemande!$B$4:$B$1000,ROI_Avions!$A29,GestionLignesDemande!$C$4:$C$1000,ROI_Avions!$C29)</f>
        <v>0</v>
      </c>
      <c r="S29" s="133">
        <f>SUMIFS(GestionLignesDemande!G$4:G$1000,GestionLignesDemande!$B$4:$B$1000,ROI_Avions!$A29,GestionLignesDemande!$C$4:$C$1000,ROI_Avions!$C29)</f>
        <v>0</v>
      </c>
      <c r="T29" s="121"/>
      <c r="U29" s="8">
        <f t="shared" si="97"/>
        <v>439</v>
      </c>
      <c r="V29" s="8">
        <v>247</v>
      </c>
      <c r="W29" s="8">
        <v>135</v>
      </c>
      <c r="X29" s="8">
        <v>57</v>
      </c>
      <c r="Y29" s="8">
        <v>0</v>
      </c>
      <c r="Z29" s="121"/>
      <c r="AA29" s="132">
        <f>P29-(V29*2)</f>
        <v>-494</v>
      </c>
      <c r="AB29" s="132">
        <f t="shared" ref="AB29" si="128">Q29-(W29*2)</f>
        <v>-270</v>
      </c>
      <c r="AC29" s="132">
        <f t="shared" ref="AC29" si="129">R29-(X29*2)</f>
        <v>-114</v>
      </c>
      <c r="AD29" s="132">
        <f t="shared" ref="AD29" si="130">S29-(Y29*2)</f>
        <v>0</v>
      </c>
      <c r="AE29" s="121"/>
      <c r="AF29" s="26">
        <f>SUMIFS(DataPrixBillets!N$1:N$1000,DataPrixBillets!$J$1:$J$1000,ROI_Avions!$A29,DataPrixBillets!$K$1:$K$1000,ROI_Avions!$C29)</f>
        <v>0</v>
      </c>
      <c r="AG29" s="26">
        <f>SUMIFS(DataPrixBillets!O$1:O$1000,DataPrixBillets!$J$1:$J$1000,ROI_Avions!$A29,DataPrixBillets!$K$1:$K$1000,ROI_Avions!$C29)</f>
        <v>0</v>
      </c>
      <c r="AH29" s="26">
        <f>SUMIFS(DataPrixBillets!P$1:P$1000,DataPrixBillets!$J$1:$J$1000,ROI_Avions!$A29,DataPrixBillets!$K$1:$K$1000,ROI_Avions!$C29)</f>
        <v>0</v>
      </c>
      <c r="AI29" s="26">
        <f>SUMIFS(DataPrixBillets!Q$1:Q$1000,DataPrixBillets!$J$1:$J$1000,ROI_Avions!$A29,DataPrixBillets!$K$1:$K$1000,ROI_Avions!$C29)</f>
        <v>0</v>
      </c>
      <c r="AJ29" s="121"/>
      <c r="AK29" s="8">
        <f t="shared" ref="AK29:AK31" si="131">(((AF29*V29)*2+(AG29*W29)*2+(AH29*X29)*2+(AI29*Y29)*2)*7)</f>
        <v>0</v>
      </c>
      <c r="AL29" s="8" t="e">
        <f t="shared" ref="AL29:AL31" ca="1" si="132">AK29-AM29</f>
        <v>#REF!</v>
      </c>
      <c r="AM29" s="8" t="e">
        <f t="shared" ref="AM29:AM31" ca="1" si="133">AK29*$AM$2</f>
        <v>#REF!</v>
      </c>
      <c r="AN29" s="8" t="e">
        <f t="shared" ref="AN29:AN31" ca="1" si="134">AL29*$AN$2</f>
        <v>#REF!</v>
      </c>
      <c r="AO29" s="8" t="e">
        <f t="shared" ref="AO29:AO31" ca="1" si="135">(AL29-AN29-I29)*$AO$2</f>
        <v>#REF!</v>
      </c>
      <c r="AP29" s="8" t="e">
        <f t="shared" ref="AP29:AP31" ca="1" si="136">AL29-AN29-(I29/7)-(AO29/7)</f>
        <v>#REF!</v>
      </c>
      <c r="AQ29" s="8" t="e">
        <f t="shared" ref="AQ29:AQ31" ca="1" si="137">AP29/7</f>
        <v>#REF!</v>
      </c>
      <c r="AR29" s="7">
        <f t="shared" ca="1" si="13"/>
        <v>0</v>
      </c>
      <c r="AS29" s="120">
        <f t="shared" ca="1" si="27"/>
        <v>0</v>
      </c>
      <c r="AT29" s="8" t="e">
        <f t="shared" ref="AT29:AT31" ca="1" si="138">IF(K29&gt;=1,AP29*K29,AP29*$AT$1)</f>
        <v>#REF!</v>
      </c>
      <c r="AV29" s="128" t="s">
        <v>730</v>
      </c>
      <c r="AW29" s="8">
        <f>COUNTIF(Lignes_!B:B,AV29)</f>
        <v>0</v>
      </c>
      <c r="AX29" s="8">
        <f>SUMIF(Lignes_!$B$4:$B$1000,AV29,Lignes_!$D$4:$D$1000)</f>
        <v>0</v>
      </c>
      <c r="AY29" s="186">
        <f t="shared" si="81"/>
        <v>0</v>
      </c>
      <c r="BA29" s="8">
        <f>SUMIF(DataHubs!$J:$J,ROI_Avions!$AV29,DataHubs!K:K)</f>
        <v>0</v>
      </c>
      <c r="BB29" s="8">
        <f>SUMIF(DataHubs!$J:$J,ROI_Avions!$AV29,DataHubs!L:L)</f>
        <v>0</v>
      </c>
      <c r="BC29" s="186">
        <f t="shared" si="76"/>
        <v>0</v>
      </c>
    </row>
    <row r="30" spans="1:55" x14ac:dyDescent="0.3">
      <c r="A30" s="145" t="s">
        <v>315</v>
      </c>
      <c r="B30" s="146">
        <v>0</v>
      </c>
      <c r="C30" s="145" t="s">
        <v>996</v>
      </c>
      <c r="D30" s="145" t="str">
        <f t="shared" si="15"/>
        <v>SFO/TAO</v>
      </c>
      <c r="E30" s="146">
        <v>59870941</v>
      </c>
      <c r="F30" s="147" t="s">
        <v>1000</v>
      </c>
      <c r="G30" s="146">
        <v>301644000</v>
      </c>
      <c r="I30" s="8">
        <v>0</v>
      </c>
      <c r="J30" s="8">
        <v>0</v>
      </c>
      <c r="K30" s="8">
        <v>0</v>
      </c>
      <c r="L30" s="53"/>
      <c r="M30" s="53"/>
      <c r="O30" s="138"/>
      <c r="P30" s="133">
        <f>SUMIFS(GestionLignesDemande!D$4:D$1000,GestionLignesDemande!$B$4:$B$1000,ROI_Avions!$A30,GestionLignesDemande!$C$4:$C$1000,ROI_Avions!$C30)</f>
        <v>0</v>
      </c>
      <c r="Q30" s="133">
        <f>SUMIFS(GestionLignesDemande!E$4:E$1000,GestionLignesDemande!$B$4:$B$1000,ROI_Avions!$A30,GestionLignesDemande!$C$4:$C$1000,ROI_Avions!$C30)</f>
        <v>0</v>
      </c>
      <c r="R30" s="133">
        <f>SUMIFS(GestionLignesDemande!F$4:F$1000,GestionLignesDemande!$B$4:$B$1000,ROI_Avions!$A30,GestionLignesDemande!$C$4:$C$1000,ROI_Avions!$C30)</f>
        <v>0</v>
      </c>
      <c r="S30" s="133">
        <f>SUMIFS(GestionLignesDemande!G$4:G$1000,GestionLignesDemande!$B$4:$B$1000,ROI_Avions!$A30,GestionLignesDemande!$C$4:$C$1000,ROI_Avions!$C30)</f>
        <v>0</v>
      </c>
      <c r="T30" s="121"/>
      <c r="U30" s="8">
        <f t="shared" si="97"/>
        <v>733</v>
      </c>
      <c r="V30" s="8">
        <v>730</v>
      </c>
      <c r="W30" s="8">
        <v>0</v>
      </c>
      <c r="X30" s="8">
        <v>0</v>
      </c>
      <c r="Y30" s="8">
        <v>3</v>
      </c>
      <c r="Z30" s="121"/>
      <c r="AA30" s="132">
        <f t="shared" ref="AA30" si="139">AA29-V30*2</f>
        <v>-1954</v>
      </c>
      <c r="AB30" s="132">
        <f t="shared" ref="AB30" si="140">AB29-W30*2</f>
        <v>-270</v>
      </c>
      <c r="AC30" s="132">
        <f t="shared" ref="AC30" si="141">AC29-X30*2</f>
        <v>-114</v>
      </c>
      <c r="AD30" s="132">
        <f t="shared" ref="AD30" si="142">AD29-Y30*2</f>
        <v>-6</v>
      </c>
      <c r="AE30" s="121"/>
      <c r="AF30" s="26">
        <f>SUMIFS(DataPrixBillets!N$1:N$1000,DataPrixBillets!$J$1:$J$1000,ROI_Avions!$A30,DataPrixBillets!$K$1:$K$1000,ROI_Avions!$C30)</f>
        <v>0</v>
      </c>
      <c r="AG30" s="26">
        <f>SUMIFS(DataPrixBillets!O$1:O$1000,DataPrixBillets!$J$1:$J$1000,ROI_Avions!$A30,DataPrixBillets!$K$1:$K$1000,ROI_Avions!$C30)</f>
        <v>0</v>
      </c>
      <c r="AH30" s="26">
        <f>SUMIFS(DataPrixBillets!P$1:P$1000,DataPrixBillets!$J$1:$J$1000,ROI_Avions!$A30,DataPrixBillets!$K$1:$K$1000,ROI_Avions!$C30)</f>
        <v>0</v>
      </c>
      <c r="AI30" s="26">
        <f>SUMIFS(DataPrixBillets!Q$1:Q$1000,DataPrixBillets!$J$1:$J$1000,ROI_Avions!$A30,DataPrixBillets!$K$1:$K$1000,ROI_Avions!$C30)</f>
        <v>0</v>
      </c>
      <c r="AJ30" s="121"/>
      <c r="AK30" s="8">
        <f t="shared" si="131"/>
        <v>0</v>
      </c>
      <c r="AL30" s="8" t="e">
        <f t="shared" ca="1" si="132"/>
        <v>#REF!</v>
      </c>
      <c r="AM30" s="8" t="e">
        <f t="shared" ca="1" si="133"/>
        <v>#REF!</v>
      </c>
      <c r="AN30" s="8" t="e">
        <f t="shared" ca="1" si="134"/>
        <v>#REF!</v>
      </c>
      <c r="AO30" s="8" t="e">
        <f t="shared" ca="1" si="135"/>
        <v>#REF!</v>
      </c>
      <c r="AP30" s="8" t="e">
        <f t="shared" ca="1" si="136"/>
        <v>#REF!</v>
      </c>
      <c r="AQ30" s="8" t="e">
        <f t="shared" ca="1" si="137"/>
        <v>#REF!</v>
      </c>
      <c r="AR30" s="7">
        <f t="shared" ca="1" si="13"/>
        <v>0</v>
      </c>
      <c r="AS30" s="120">
        <f t="shared" ca="1" si="27"/>
        <v>0</v>
      </c>
      <c r="AT30" s="8" t="e">
        <f t="shared" ca="1" si="138"/>
        <v>#REF!</v>
      </c>
      <c r="AV30" s="131" t="s">
        <v>342</v>
      </c>
      <c r="AW30" s="206">
        <f>COUNTIF(Lignes_!B:B,AV30)</f>
        <v>0</v>
      </c>
      <c r="AX30" s="206">
        <f>SUMIF(Lignes_!$B$4:$B$1000,AV30,Lignes_!$D$4:$D$1000)</f>
        <v>0</v>
      </c>
      <c r="AY30" s="186">
        <f>IFERROR(AX30/AW30,0)</f>
        <v>0</v>
      </c>
      <c r="BA30" s="206">
        <f>SUMIF(DataHubs!$J:$J,ROI_Avions!$AV30,DataHubs!K:K)</f>
        <v>0</v>
      </c>
      <c r="BB30" s="206">
        <f>SUMIF(DataHubs!$J:$J,ROI_Avions!$AV30,DataHubs!L:L)</f>
        <v>0</v>
      </c>
      <c r="BC30" s="186">
        <f t="shared" ref="BC30" si="143">IFERROR(BB30/BA30,0)</f>
        <v>0</v>
      </c>
    </row>
    <row r="31" spans="1:55" x14ac:dyDescent="0.3">
      <c r="A31" s="145" t="s">
        <v>315</v>
      </c>
      <c r="B31" s="146">
        <v>0</v>
      </c>
      <c r="C31" s="145" t="s">
        <v>996</v>
      </c>
      <c r="D31" s="145" t="str">
        <f t="shared" si="15"/>
        <v>SFO/TAO</v>
      </c>
      <c r="E31" s="146">
        <v>59870941</v>
      </c>
      <c r="F31" s="147" t="s">
        <v>1001</v>
      </c>
      <c r="G31" s="146">
        <v>301644000</v>
      </c>
      <c r="I31" s="8">
        <v>0</v>
      </c>
      <c r="J31" s="8">
        <v>0</v>
      </c>
      <c r="K31" s="8">
        <v>0</v>
      </c>
      <c r="L31" s="53"/>
      <c r="M31" s="53"/>
      <c r="O31" s="138"/>
      <c r="P31" s="133">
        <f>SUMIFS(GestionLignesDemande!D$4:D$1000,GestionLignesDemande!$B$4:$B$1000,ROI_Avions!$A31,GestionLignesDemande!$C$4:$C$1000,ROI_Avions!$C31)</f>
        <v>0</v>
      </c>
      <c r="Q31" s="133">
        <f>SUMIFS(GestionLignesDemande!E$4:E$1000,GestionLignesDemande!$B$4:$B$1000,ROI_Avions!$A31,GestionLignesDemande!$C$4:$C$1000,ROI_Avions!$C31)</f>
        <v>0</v>
      </c>
      <c r="R31" s="133">
        <f>SUMIFS(GestionLignesDemande!F$4:F$1000,GestionLignesDemande!$B$4:$B$1000,ROI_Avions!$A31,GestionLignesDemande!$C$4:$C$1000,ROI_Avions!$C31)</f>
        <v>0</v>
      </c>
      <c r="S31" s="133">
        <f>SUMIFS(GestionLignesDemande!G$4:G$1000,GestionLignesDemande!$B$4:$B$1000,ROI_Avions!$A31,GestionLignesDemande!$C$4:$C$1000,ROI_Avions!$C31)</f>
        <v>0</v>
      </c>
      <c r="T31" s="121"/>
      <c r="U31" s="8">
        <f t="shared" si="97"/>
        <v>490</v>
      </c>
      <c r="V31" s="8">
        <v>268</v>
      </c>
      <c r="W31" s="8">
        <v>156</v>
      </c>
      <c r="X31" s="8">
        <v>43</v>
      </c>
      <c r="Y31" s="8">
        <v>23</v>
      </c>
      <c r="Z31" s="121"/>
      <c r="AA31" s="132">
        <f t="shared" ref="AA31" si="144">AA30-V31*2</f>
        <v>-2490</v>
      </c>
      <c r="AB31" s="132">
        <f t="shared" ref="AB31" si="145">AB30-W31*2</f>
        <v>-582</v>
      </c>
      <c r="AC31" s="132">
        <f t="shared" ref="AC31" si="146">AC30-X31*2</f>
        <v>-200</v>
      </c>
      <c r="AD31" s="132">
        <f t="shared" ref="AD31" si="147">AD30-Y31*2</f>
        <v>-52</v>
      </c>
      <c r="AE31" s="121"/>
      <c r="AF31" s="26">
        <f>SUMIFS(DataPrixBillets!N$1:N$1000,DataPrixBillets!$J$1:$J$1000,ROI_Avions!$A31,DataPrixBillets!$K$1:$K$1000,ROI_Avions!$C31)</f>
        <v>0</v>
      </c>
      <c r="AG31" s="26">
        <f>SUMIFS(DataPrixBillets!O$1:O$1000,DataPrixBillets!$J$1:$J$1000,ROI_Avions!$A31,DataPrixBillets!$K$1:$K$1000,ROI_Avions!$C31)</f>
        <v>0</v>
      </c>
      <c r="AH31" s="26">
        <f>SUMIFS(DataPrixBillets!P$1:P$1000,DataPrixBillets!$J$1:$J$1000,ROI_Avions!$A31,DataPrixBillets!$K$1:$K$1000,ROI_Avions!$C31)</f>
        <v>0</v>
      </c>
      <c r="AI31" s="26">
        <f>SUMIFS(DataPrixBillets!Q$1:Q$1000,DataPrixBillets!$J$1:$J$1000,ROI_Avions!$A31,DataPrixBillets!$K$1:$K$1000,ROI_Avions!$C31)</f>
        <v>0</v>
      </c>
      <c r="AJ31" s="121"/>
      <c r="AK31" s="8">
        <f t="shared" si="131"/>
        <v>0</v>
      </c>
      <c r="AL31" s="8" t="e">
        <f t="shared" ca="1" si="132"/>
        <v>#REF!</v>
      </c>
      <c r="AM31" s="8" t="e">
        <f t="shared" ca="1" si="133"/>
        <v>#REF!</v>
      </c>
      <c r="AN31" s="8" t="e">
        <f t="shared" ca="1" si="134"/>
        <v>#REF!</v>
      </c>
      <c r="AO31" s="8" t="e">
        <f t="shared" ca="1" si="135"/>
        <v>#REF!</v>
      </c>
      <c r="AP31" s="8" t="e">
        <f t="shared" ca="1" si="136"/>
        <v>#REF!</v>
      </c>
      <c r="AQ31" s="8" t="e">
        <f t="shared" ca="1" si="137"/>
        <v>#REF!</v>
      </c>
      <c r="AR31" s="7">
        <f t="shared" ca="1" si="13"/>
        <v>0</v>
      </c>
      <c r="AS31" s="120">
        <f t="shared" ca="1" si="27"/>
        <v>0</v>
      </c>
      <c r="AT31" s="8" t="e">
        <f t="shared" ca="1" si="138"/>
        <v>#REF!</v>
      </c>
      <c r="AV31" s="131" t="s">
        <v>1138</v>
      </c>
      <c r="AW31" s="206">
        <f>COUNTIF(Lignes_!B:B,AV31)</f>
        <v>0</v>
      </c>
      <c r="AX31" s="206">
        <f>SUMIF(Lignes_!$B$4:$B$1000,AV31,Lignes_!$D$4:$D$1000)</f>
        <v>0</v>
      </c>
      <c r="AY31" s="186">
        <f>IFERROR(AX31/AW31,0)</f>
        <v>0</v>
      </c>
      <c r="BA31" s="206">
        <f>SUMIF(DataHubs!$J:$J,ROI_Avions!$AV31,DataHubs!K:K)</f>
        <v>0</v>
      </c>
      <c r="BB31" s="206">
        <f>SUMIF(DataHubs!$J:$J,ROI_Avions!$AV31,DataHubs!L:L)</f>
        <v>0</v>
      </c>
      <c r="BC31" s="186">
        <f t="shared" ref="BC31:BC32" si="148">IFERROR(BB31/BA31,0)</f>
        <v>0</v>
      </c>
    </row>
    <row r="32" spans="1:55" s="185" customFormat="1" x14ac:dyDescent="0.3">
      <c r="A32" s="145" t="s">
        <v>315</v>
      </c>
      <c r="B32" s="146">
        <v>0</v>
      </c>
      <c r="C32" s="145" t="s">
        <v>999</v>
      </c>
      <c r="D32" s="145" t="str">
        <f t="shared" si="15"/>
        <v>SFO/DLC</v>
      </c>
      <c r="E32" s="146">
        <v>69316642</v>
      </c>
      <c r="F32" s="147" t="s">
        <v>998</v>
      </c>
      <c r="G32" s="146">
        <v>0</v>
      </c>
      <c r="H32" s="116"/>
      <c r="I32" s="8">
        <v>7823150</v>
      </c>
      <c r="J32" s="8">
        <v>103265580</v>
      </c>
      <c r="K32" s="8">
        <v>8</v>
      </c>
      <c r="L32" s="53">
        <f ca="1">TODAY()</f>
        <v>43464</v>
      </c>
      <c r="M32" s="53">
        <f ca="1">L32+(K32*7)</f>
        <v>43520</v>
      </c>
      <c r="N32" s="116"/>
      <c r="O32" s="138"/>
      <c r="P32" s="133">
        <f>SUMIFS(GestionLignesDemande!D$4:D$1000,GestionLignesDemande!$B$4:$B$1000,ROI_Avions!$A32,GestionLignesDemande!$C$4:$C$1000,ROI_Avions!$C32)</f>
        <v>0</v>
      </c>
      <c r="Q32" s="133">
        <f>SUMIFS(GestionLignesDemande!E$4:E$1000,GestionLignesDemande!$B$4:$B$1000,ROI_Avions!$A32,GestionLignesDemande!$C$4:$C$1000,ROI_Avions!$C32)</f>
        <v>0</v>
      </c>
      <c r="R32" s="133">
        <f>SUMIFS(GestionLignesDemande!F$4:F$1000,GestionLignesDemande!$B$4:$B$1000,ROI_Avions!$A32,GestionLignesDemande!$C$4:$C$1000,ROI_Avions!$C32)</f>
        <v>0</v>
      </c>
      <c r="S32" s="133">
        <f>SUMIFS(GestionLignesDemande!G$4:G$1000,GestionLignesDemande!$B$4:$B$1000,ROI_Avions!$A32,GestionLignesDemande!$C$4:$C$1000,ROI_Avions!$C32)</f>
        <v>0</v>
      </c>
      <c r="T32" s="121"/>
      <c r="U32" s="8">
        <f t="shared" si="97"/>
        <v>439</v>
      </c>
      <c r="V32" s="8">
        <v>247</v>
      </c>
      <c r="W32" s="8">
        <v>135</v>
      </c>
      <c r="X32" s="8">
        <v>57</v>
      </c>
      <c r="Y32" s="8">
        <v>0</v>
      </c>
      <c r="Z32" s="121"/>
      <c r="AA32" s="132">
        <f>P32-(V32*2)</f>
        <v>-494</v>
      </c>
      <c r="AB32" s="132">
        <f t="shared" ref="AB32" si="149">Q32-(W32*2)</f>
        <v>-270</v>
      </c>
      <c r="AC32" s="132">
        <f t="shared" ref="AC32" si="150">R32-(X32*2)</f>
        <v>-114</v>
      </c>
      <c r="AD32" s="132">
        <f t="shared" ref="AD32" si="151">S32-(Y32*2)</f>
        <v>0</v>
      </c>
      <c r="AE32" s="121"/>
      <c r="AF32" s="26">
        <f>SUMIFS(DataPrixBillets!N$1:N$1000,DataPrixBillets!$J$1:$J$1000,ROI_Avions!$A32,DataPrixBillets!$K$1:$K$1000,ROI_Avions!$C32)</f>
        <v>0</v>
      </c>
      <c r="AG32" s="26">
        <f>SUMIFS(DataPrixBillets!O$1:O$1000,DataPrixBillets!$J$1:$J$1000,ROI_Avions!$A32,DataPrixBillets!$K$1:$K$1000,ROI_Avions!$C32)</f>
        <v>0</v>
      </c>
      <c r="AH32" s="26">
        <f>SUMIFS(DataPrixBillets!P$1:P$1000,DataPrixBillets!$J$1:$J$1000,ROI_Avions!$A32,DataPrixBillets!$K$1:$K$1000,ROI_Avions!$C32)</f>
        <v>0</v>
      </c>
      <c r="AI32" s="26">
        <f>SUMIFS(DataPrixBillets!Q$1:Q$1000,DataPrixBillets!$J$1:$J$1000,ROI_Avions!$A32,DataPrixBillets!$K$1:$K$1000,ROI_Avions!$C32)</f>
        <v>0</v>
      </c>
      <c r="AJ32" s="121"/>
      <c r="AK32" s="8">
        <f t="shared" ref="AK32:AK34" si="152">(((AF32*V32)*2+(AG32*W32)*2+(AH32*X32)*2+(AI32*Y32)*2)*7)</f>
        <v>0</v>
      </c>
      <c r="AL32" s="8" t="e">
        <f t="shared" ref="AL32:AL34" ca="1" si="153">AK32-AM32</f>
        <v>#REF!</v>
      </c>
      <c r="AM32" s="8" t="e">
        <f t="shared" ref="AM32:AM34" ca="1" si="154">AK32*$AM$2</f>
        <v>#REF!</v>
      </c>
      <c r="AN32" s="8" t="e">
        <f t="shared" ref="AN32:AN34" ca="1" si="155">AL32*$AN$2</f>
        <v>#REF!</v>
      </c>
      <c r="AO32" s="8" t="e">
        <f t="shared" ref="AO32:AO34" ca="1" si="156">(AL32-AN32-I32)*$AO$2</f>
        <v>#REF!</v>
      </c>
      <c r="AP32" s="8" t="e">
        <f t="shared" ref="AP32:AP34" ca="1" si="157">AL32-AN32-(I32/7)-(AO32/7)</f>
        <v>#REF!</v>
      </c>
      <c r="AQ32" s="8" t="e">
        <f t="shared" ref="AQ32:AQ34" ca="1" si="158">AP32/7</f>
        <v>#REF!</v>
      </c>
      <c r="AR32" s="7">
        <f t="shared" ca="1" si="13"/>
        <v>0</v>
      </c>
      <c r="AS32" s="120">
        <f t="shared" ca="1" si="27"/>
        <v>0</v>
      </c>
      <c r="AT32" s="8" t="e">
        <f t="shared" ref="AT32:AT34" ca="1" si="159">IF(K32&gt;=1,AP32*K32,AP32*$AT$1)</f>
        <v>#REF!</v>
      </c>
      <c r="AV32" s="131" t="s">
        <v>1137</v>
      </c>
      <c r="AW32" s="206">
        <f>COUNTIF(Lignes_!B:B,AV32)</f>
        <v>0</v>
      </c>
      <c r="AX32" s="206">
        <f>SUMIF(Lignes_!$B$4:$B$1000,AV32,Lignes_!$D$4:$D$1000)</f>
        <v>0</v>
      </c>
      <c r="AY32" s="186">
        <f>IFERROR(AX32/AW32,0)</f>
        <v>0</v>
      </c>
      <c r="BA32" s="206">
        <f>SUMIF(DataHubs!$J:$J,ROI_Avions!$AV32,DataHubs!K:K)</f>
        <v>0</v>
      </c>
      <c r="BB32" s="206">
        <f>SUMIF(DataHubs!$J:$J,ROI_Avions!$AV32,DataHubs!L:L)</f>
        <v>0</v>
      </c>
      <c r="BC32" s="186">
        <f t="shared" si="148"/>
        <v>0</v>
      </c>
    </row>
    <row r="33" spans="1:55" s="185" customFormat="1" x14ac:dyDescent="0.3">
      <c r="A33" s="145" t="s">
        <v>315</v>
      </c>
      <c r="B33" s="146">
        <v>0</v>
      </c>
      <c r="C33" s="145" t="s">
        <v>999</v>
      </c>
      <c r="D33" s="145" t="str">
        <f t="shared" si="15"/>
        <v>SFO/DLC</v>
      </c>
      <c r="E33" s="146">
        <v>69316642</v>
      </c>
      <c r="F33" s="147" t="s">
        <v>1002</v>
      </c>
      <c r="G33" s="146">
        <v>301644000</v>
      </c>
      <c r="H33" s="116"/>
      <c r="I33" s="8">
        <v>0</v>
      </c>
      <c r="J33" s="8">
        <v>0</v>
      </c>
      <c r="K33" s="8">
        <v>0</v>
      </c>
      <c r="L33" s="53"/>
      <c r="M33" s="53"/>
      <c r="N33" s="116"/>
      <c r="O33" s="138"/>
      <c r="P33" s="133">
        <f>SUMIFS(GestionLignesDemande!D$4:D$1000,GestionLignesDemande!$B$4:$B$1000,ROI_Avions!$A33,GestionLignesDemande!$C$4:$C$1000,ROI_Avions!$C33)</f>
        <v>0</v>
      </c>
      <c r="Q33" s="133">
        <f>SUMIFS(GestionLignesDemande!E$4:E$1000,GestionLignesDemande!$B$4:$B$1000,ROI_Avions!$A33,GestionLignesDemande!$C$4:$C$1000,ROI_Avions!$C33)</f>
        <v>0</v>
      </c>
      <c r="R33" s="133">
        <f>SUMIFS(GestionLignesDemande!F$4:F$1000,GestionLignesDemande!$B$4:$B$1000,ROI_Avions!$A33,GestionLignesDemande!$C$4:$C$1000,ROI_Avions!$C33)</f>
        <v>0</v>
      </c>
      <c r="S33" s="133">
        <f>SUMIFS(GestionLignesDemande!G$4:G$1000,GestionLignesDemande!$B$4:$B$1000,ROI_Avions!$A33,GestionLignesDemande!$C$4:$C$1000,ROI_Avions!$C33)</f>
        <v>0</v>
      </c>
      <c r="T33" s="121"/>
      <c r="U33" s="8">
        <f t="shared" si="97"/>
        <v>733</v>
      </c>
      <c r="V33" s="8">
        <v>730</v>
      </c>
      <c r="W33" s="8">
        <v>0</v>
      </c>
      <c r="X33" s="8">
        <v>0</v>
      </c>
      <c r="Y33" s="8">
        <v>3</v>
      </c>
      <c r="Z33" s="121"/>
      <c r="AA33" s="132">
        <f t="shared" ref="AA33:AA34" si="160">AA32-V33*2</f>
        <v>-1954</v>
      </c>
      <c r="AB33" s="132">
        <f t="shared" ref="AB33:AB34" si="161">AB32-W33*2</f>
        <v>-270</v>
      </c>
      <c r="AC33" s="132">
        <f t="shared" ref="AC33:AC34" si="162">AC32-X33*2</f>
        <v>-114</v>
      </c>
      <c r="AD33" s="132">
        <f t="shared" ref="AD33:AD34" si="163">AD32-Y33*2</f>
        <v>-6</v>
      </c>
      <c r="AE33" s="121"/>
      <c r="AF33" s="26">
        <f>SUMIFS(DataPrixBillets!N$1:N$1000,DataPrixBillets!$J$1:$J$1000,ROI_Avions!$A33,DataPrixBillets!$K$1:$K$1000,ROI_Avions!$C33)</f>
        <v>0</v>
      </c>
      <c r="AG33" s="26">
        <f>SUMIFS(DataPrixBillets!O$1:O$1000,DataPrixBillets!$J$1:$J$1000,ROI_Avions!$A33,DataPrixBillets!$K$1:$K$1000,ROI_Avions!$C33)</f>
        <v>0</v>
      </c>
      <c r="AH33" s="26">
        <f>SUMIFS(DataPrixBillets!P$1:P$1000,DataPrixBillets!$J$1:$J$1000,ROI_Avions!$A33,DataPrixBillets!$K$1:$K$1000,ROI_Avions!$C33)</f>
        <v>0</v>
      </c>
      <c r="AI33" s="26">
        <f>SUMIFS(DataPrixBillets!Q$1:Q$1000,DataPrixBillets!$J$1:$J$1000,ROI_Avions!$A33,DataPrixBillets!$K$1:$K$1000,ROI_Avions!$C33)</f>
        <v>0</v>
      </c>
      <c r="AJ33" s="121"/>
      <c r="AK33" s="8">
        <f t="shared" si="152"/>
        <v>0</v>
      </c>
      <c r="AL33" s="8" t="e">
        <f t="shared" ca="1" si="153"/>
        <v>#REF!</v>
      </c>
      <c r="AM33" s="8" t="e">
        <f t="shared" ca="1" si="154"/>
        <v>#REF!</v>
      </c>
      <c r="AN33" s="8" t="e">
        <f t="shared" ca="1" si="155"/>
        <v>#REF!</v>
      </c>
      <c r="AO33" s="8" t="e">
        <f t="shared" ca="1" si="156"/>
        <v>#REF!</v>
      </c>
      <c r="AP33" s="8" t="e">
        <f t="shared" ca="1" si="157"/>
        <v>#REF!</v>
      </c>
      <c r="AQ33" s="8" t="e">
        <f t="shared" ca="1" si="158"/>
        <v>#REF!</v>
      </c>
      <c r="AR33" s="7">
        <f t="shared" ca="1" si="13"/>
        <v>0</v>
      </c>
      <c r="AS33" s="120">
        <f t="shared" ca="1" si="27"/>
        <v>0</v>
      </c>
      <c r="AT33" s="8" t="e">
        <f t="shared" ca="1" si="159"/>
        <v>#REF!</v>
      </c>
      <c r="AV33" s="131" t="s">
        <v>1043</v>
      </c>
      <c r="AW33" s="8">
        <f>SUM(AW17:AW29)</f>
        <v>1</v>
      </c>
      <c r="AX33" s="8">
        <f>SUM(AX17:AX29)</f>
        <v>4</v>
      </c>
      <c r="AY33" s="186">
        <f>IFERROR(AX33/AW33,0)</f>
        <v>4</v>
      </c>
      <c r="BA33" s="212">
        <f>SUBTOTAL(109,Tableau4[CA])</f>
        <v>264650193</v>
      </c>
      <c r="BB33" s="212">
        <f>SUBTOTAL(109,Tableau4[Résultat])</f>
        <v>224342802</v>
      </c>
      <c r="BC33" s="213">
        <f>SUBTOTAL(101,Tableau4[Ratio])</f>
        <v>0.10594957530963264</v>
      </c>
    </row>
    <row r="34" spans="1:55" s="185" customFormat="1" x14ac:dyDescent="0.3">
      <c r="A34" s="145" t="s">
        <v>315</v>
      </c>
      <c r="B34" s="146">
        <v>0</v>
      </c>
      <c r="C34" s="145" t="s">
        <v>999</v>
      </c>
      <c r="D34" s="145" t="str">
        <f t="shared" si="15"/>
        <v>SFO/DLC</v>
      </c>
      <c r="E34" s="146">
        <v>69316642</v>
      </c>
      <c r="F34" s="147" t="s">
        <v>1003</v>
      </c>
      <c r="G34" s="146">
        <v>301644000</v>
      </c>
      <c r="H34" s="116"/>
      <c r="I34" s="8">
        <v>0</v>
      </c>
      <c r="J34" s="8">
        <v>0</v>
      </c>
      <c r="K34" s="8">
        <v>0</v>
      </c>
      <c r="L34" s="53"/>
      <c r="M34" s="53"/>
      <c r="N34" s="116"/>
      <c r="O34" s="138"/>
      <c r="P34" s="133">
        <f>SUMIFS(GestionLignesDemande!D$4:D$1000,GestionLignesDemande!$B$4:$B$1000,ROI_Avions!$A34,GestionLignesDemande!$C$4:$C$1000,ROI_Avions!$C34)</f>
        <v>0</v>
      </c>
      <c r="Q34" s="133">
        <f>SUMIFS(GestionLignesDemande!E$4:E$1000,GestionLignesDemande!$B$4:$B$1000,ROI_Avions!$A34,GestionLignesDemande!$C$4:$C$1000,ROI_Avions!$C34)</f>
        <v>0</v>
      </c>
      <c r="R34" s="133">
        <f>SUMIFS(GestionLignesDemande!F$4:F$1000,GestionLignesDemande!$B$4:$B$1000,ROI_Avions!$A34,GestionLignesDemande!$C$4:$C$1000,ROI_Avions!$C34)</f>
        <v>0</v>
      </c>
      <c r="S34" s="133">
        <f>SUMIFS(GestionLignesDemande!G$4:G$1000,GestionLignesDemande!$B$4:$B$1000,ROI_Avions!$A34,GestionLignesDemande!$C$4:$C$1000,ROI_Avions!$C34)</f>
        <v>0</v>
      </c>
      <c r="T34" s="121"/>
      <c r="U34" s="8">
        <f t="shared" si="97"/>
        <v>490</v>
      </c>
      <c r="V34" s="8">
        <v>268</v>
      </c>
      <c r="W34" s="8">
        <v>156</v>
      </c>
      <c r="X34" s="8">
        <v>43</v>
      </c>
      <c r="Y34" s="8">
        <v>23</v>
      </c>
      <c r="Z34" s="121"/>
      <c r="AA34" s="132">
        <f t="shared" si="160"/>
        <v>-2490</v>
      </c>
      <c r="AB34" s="132">
        <f t="shared" si="161"/>
        <v>-582</v>
      </c>
      <c r="AC34" s="132">
        <f t="shared" si="162"/>
        <v>-200</v>
      </c>
      <c r="AD34" s="132">
        <f t="shared" si="163"/>
        <v>-52</v>
      </c>
      <c r="AE34" s="121"/>
      <c r="AF34" s="26">
        <f>SUMIFS(DataPrixBillets!N$1:N$1000,DataPrixBillets!$J$1:$J$1000,ROI_Avions!$A34,DataPrixBillets!$K$1:$K$1000,ROI_Avions!$C34)</f>
        <v>0</v>
      </c>
      <c r="AG34" s="26">
        <f>SUMIFS(DataPrixBillets!O$1:O$1000,DataPrixBillets!$J$1:$J$1000,ROI_Avions!$A34,DataPrixBillets!$K$1:$K$1000,ROI_Avions!$C34)</f>
        <v>0</v>
      </c>
      <c r="AH34" s="26">
        <f>SUMIFS(DataPrixBillets!P$1:P$1000,DataPrixBillets!$J$1:$J$1000,ROI_Avions!$A34,DataPrixBillets!$K$1:$K$1000,ROI_Avions!$C34)</f>
        <v>0</v>
      </c>
      <c r="AI34" s="26">
        <f>SUMIFS(DataPrixBillets!Q$1:Q$1000,DataPrixBillets!$J$1:$J$1000,ROI_Avions!$A34,DataPrixBillets!$K$1:$K$1000,ROI_Avions!$C34)</f>
        <v>0</v>
      </c>
      <c r="AJ34" s="121"/>
      <c r="AK34" s="8">
        <f t="shared" si="152"/>
        <v>0</v>
      </c>
      <c r="AL34" s="8" t="e">
        <f t="shared" ca="1" si="153"/>
        <v>#REF!</v>
      </c>
      <c r="AM34" s="8" t="e">
        <f t="shared" ca="1" si="154"/>
        <v>#REF!</v>
      </c>
      <c r="AN34" s="8" t="e">
        <f t="shared" ca="1" si="155"/>
        <v>#REF!</v>
      </c>
      <c r="AO34" s="8" t="e">
        <f t="shared" ca="1" si="156"/>
        <v>#REF!</v>
      </c>
      <c r="AP34" s="8" t="e">
        <f t="shared" ca="1" si="157"/>
        <v>#REF!</v>
      </c>
      <c r="AQ34" s="8" t="e">
        <f t="shared" ca="1" si="158"/>
        <v>#REF!</v>
      </c>
      <c r="AR34" s="7">
        <f t="shared" ca="1" si="13"/>
        <v>0</v>
      </c>
      <c r="AS34" s="120">
        <f t="shared" ca="1" si="27"/>
        <v>0</v>
      </c>
      <c r="AT34" s="8" t="e">
        <f t="shared" ca="1" si="159"/>
        <v>#REF!</v>
      </c>
      <c r="AV34" s="131" t="s">
        <v>1042</v>
      </c>
      <c r="AW34" s="8">
        <f>AVERAGE(AW17:AW29)</f>
        <v>7.6923076923076927E-2</v>
      </c>
      <c r="AX34" s="8">
        <f>AVERAGE(AX17:AX29)</f>
        <v>0.30769230769230771</v>
      </c>
      <c r="AY34" s="186">
        <f>AVERAGE(AY17:AY29)</f>
        <v>0.30769230769230771</v>
      </c>
      <c r="BA34"/>
      <c r="BB34"/>
      <c r="BC34"/>
    </row>
    <row r="35" spans="1:55" s="204" customFormat="1" x14ac:dyDescent="0.3">
      <c r="A35" s="145" t="s">
        <v>315</v>
      </c>
      <c r="B35" s="146">
        <v>0</v>
      </c>
      <c r="C35" s="145" t="s">
        <v>1105</v>
      </c>
      <c r="D35" s="145" t="str">
        <f t="shared" si="15"/>
        <v>SFO/ATQ</v>
      </c>
      <c r="E35" s="146">
        <v>211842888</v>
      </c>
      <c r="F35" s="147" t="str">
        <f>"MD11-A-"&amp;A35&amp;"-"&amp;C35&amp;"-"&amp;1</f>
        <v>MD11-A-SFO-ATQ-1</v>
      </c>
      <c r="G35" s="146">
        <v>146160000</v>
      </c>
      <c r="H35" s="116"/>
      <c r="I35" s="206"/>
      <c r="J35" s="206"/>
      <c r="K35" s="206"/>
      <c r="L35" s="53"/>
      <c r="M35" s="53"/>
      <c r="N35" s="116"/>
      <c r="O35" s="138"/>
      <c r="P35" s="133">
        <f>SUMIFS(GestionLignesDemande!D$4:D$1000,GestionLignesDemande!$B$4:$B$1000,ROI_Avions!$A35,GestionLignesDemande!$C$4:$C$1000,ROI_Avions!$C35)</f>
        <v>0</v>
      </c>
      <c r="Q35" s="133">
        <f>SUMIFS(GestionLignesDemande!E$4:E$1000,GestionLignesDemande!$B$4:$B$1000,ROI_Avions!$A35,GestionLignesDemande!$C$4:$C$1000,ROI_Avions!$C35)</f>
        <v>0</v>
      </c>
      <c r="R35" s="133">
        <f>SUMIFS(GestionLignesDemande!F$4:F$1000,GestionLignesDemande!$B$4:$B$1000,ROI_Avions!$A35,GestionLignesDemande!$C$4:$C$1000,ROI_Avions!$C35)</f>
        <v>0</v>
      </c>
      <c r="S35" s="133">
        <f>SUMIFS(GestionLignesDemande!G$4:G$1000,GestionLignesDemande!$B$4:$B$1000,ROI_Avions!$A35,GestionLignesDemande!$C$4:$C$1000,ROI_Avions!$C35)</f>
        <v>0</v>
      </c>
      <c r="T35" s="121"/>
      <c r="U35" s="206">
        <f t="shared" si="97"/>
        <v>335</v>
      </c>
      <c r="V35" s="206">
        <v>270</v>
      </c>
      <c r="W35" s="206">
        <v>45</v>
      </c>
      <c r="X35" s="206">
        <v>14</v>
      </c>
      <c r="Y35" s="206">
        <v>6</v>
      </c>
      <c r="Z35" s="121"/>
      <c r="AA35" s="132">
        <f>P35-(V35*2)</f>
        <v>-540</v>
      </c>
      <c r="AB35" s="132">
        <f t="shared" ref="AB35" si="164">Q35-(W35*2)</f>
        <v>-90</v>
      </c>
      <c r="AC35" s="132">
        <f t="shared" ref="AC35" si="165">R35-(X35*2)</f>
        <v>-28</v>
      </c>
      <c r="AD35" s="132">
        <f t="shared" ref="AD35" si="166">S35-(Y35*2)</f>
        <v>-12</v>
      </c>
      <c r="AE35" s="121"/>
      <c r="AF35" s="26">
        <f>SUMIFS(DataPrixBillets!N$1:N$1000,DataPrixBillets!$J$1:$J$1000,ROI_Avions!$A35,DataPrixBillets!$K$1:$K$1000,ROI_Avions!$C35)</f>
        <v>0</v>
      </c>
      <c r="AG35" s="26">
        <f>SUMIFS(DataPrixBillets!O$1:O$1000,DataPrixBillets!$J$1:$J$1000,ROI_Avions!$A35,DataPrixBillets!$K$1:$K$1000,ROI_Avions!$C35)</f>
        <v>0</v>
      </c>
      <c r="AH35" s="26">
        <f>SUMIFS(DataPrixBillets!P$1:P$1000,DataPrixBillets!$J$1:$J$1000,ROI_Avions!$A35,DataPrixBillets!$K$1:$K$1000,ROI_Avions!$C35)</f>
        <v>0</v>
      </c>
      <c r="AI35" s="26">
        <f>SUMIFS(DataPrixBillets!Q$1:Q$1000,DataPrixBillets!$J$1:$J$1000,ROI_Avions!$A35,DataPrixBillets!$K$1:$K$1000,ROI_Avions!$C35)</f>
        <v>0</v>
      </c>
      <c r="AJ35" s="121"/>
      <c r="AK35" s="206">
        <f t="shared" ref="AK35:AK64" si="167">(((AF35*V35)*2+(AG35*W35)*2+(AH35*X35)*2+(AI35*Y35)*2)*7)</f>
        <v>0</v>
      </c>
      <c r="AL35" s="206" t="e">
        <f t="shared" ref="AL35:AL64" ca="1" si="168">AK35-AM35</f>
        <v>#REF!</v>
      </c>
      <c r="AM35" s="206" t="e">
        <f t="shared" ref="AM35:AM64" ca="1" si="169">AK35*$AM$2</f>
        <v>#REF!</v>
      </c>
      <c r="AN35" s="206" t="e">
        <f t="shared" ref="AN35:AN64" ca="1" si="170">AL35*$AN$2</f>
        <v>#REF!</v>
      </c>
      <c r="AO35" s="206" t="e">
        <f t="shared" ref="AO35:AO64" ca="1" si="171">(AL35-AN35-I35)*$AO$2</f>
        <v>#REF!</v>
      </c>
      <c r="AP35" s="206" t="e">
        <f t="shared" ref="AP35:AP64" ca="1" si="172">AL35-AN35-(I35/7)-(AO35/7)</f>
        <v>#REF!</v>
      </c>
      <c r="AQ35" s="206" t="e">
        <f t="shared" ref="AQ35:AQ64" ca="1" si="173">AP35/7</f>
        <v>#REF!</v>
      </c>
      <c r="AR35" s="207">
        <f t="shared" ca="1" si="13"/>
        <v>0</v>
      </c>
      <c r="AS35" s="120">
        <f t="shared" ca="1" si="27"/>
        <v>0</v>
      </c>
      <c r="AT35" s="206" t="e">
        <f t="shared" ref="AT35:AT64" ca="1" si="174">IF(K35&gt;=1,AP35*K35,AP35*$AT$1)</f>
        <v>#REF!</v>
      </c>
      <c r="AV35"/>
      <c r="AW35" s="73"/>
      <c r="AX35"/>
      <c r="AY35"/>
      <c r="BA35" s="185"/>
      <c r="BB35" s="185"/>
      <c r="BC35" s="185"/>
    </row>
    <row r="36" spans="1:55" s="204" customFormat="1" x14ac:dyDescent="0.3">
      <c r="A36" s="145" t="s">
        <v>315</v>
      </c>
      <c r="B36" s="146">
        <v>0</v>
      </c>
      <c r="C36" s="145" t="s">
        <v>1105</v>
      </c>
      <c r="D36" s="145" t="str">
        <f t="shared" si="15"/>
        <v>SFO/ATQ</v>
      </c>
      <c r="E36" s="146">
        <v>211842888</v>
      </c>
      <c r="F36" s="147" t="str">
        <f t="shared" ref="F36" si="175">"MD11-A-"&amp;A36&amp;"-"&amp;C36&amp;"-"&amp;2</f>
        <v>MD11-A-SFO-ATQ-2</v>
      </c>
      <c r="G36" s="146">
        <v>146160000</v>
      </c>
      <c r="H36" s="116"/>
      <c r="I36" s="206"/>
      <c r="J36" s="206"/>
      <c r="K36" s="206"/>
      <c r="L36" s="53"/>
      <c r="M36" s="53"/>
      <c r="N36" s="116"/>
      <c r="O36" s="138"/>
      <c r="P36" s="133">
        <f>SUMIFS(GestionLignesDemande!D$4:D$1000,GestionLignesDemande!$B$4:$B$1000,ROI_Avions!$A36,GestionLignesDemande!$C$4:$C$1000,ROI_Avions!$C36)</f>
        <v>0</v>
      </c>
      <c r="Q36" s="133">
        <f>SUMIFS(GestionLignesDemande!E$4:E$1000,GestionLignesDemande!$B$4:$B$1000,ROI_Avions!$A36,GestionLignesDemande!$C$4:$C$1000,ROI_Avions!$C36)</f>
        <v>0</v>
      </c>
      <c r="R36" s="133">
        <f>SUMIFS(GestionLignesDemande!F$4:F$1000,GestionLignesDemande!$B$4:$B$1000,ROI_Avions!$A36,GestionLignesDemande!$C$4:$C$1000,ROI_Avions!$C36)</f>
        <v>0</v>
      </c>
      <c r="S36" s="133">
        <f>SUMIFS(GestionLignesDemande!G$4:G$1000,GestionLignesDemande!$B$4:$B$1000,ROI_Avions!$A36,GestionLignesDemande!$C$4:$C$1000,ROI_Avions!$C36)</f>
        <v>0</v>
      </c>
      <c r="T36" s="121"/>
      <c r="U36" s="206">
        <f t="shared" si="97"/>
        <v>335</v>
      </c>
      <c r="V36" s="206">
        <v>270</v>
      </c>
      <c r="W36" s="206">
        <v>45</v>
      </c>
      <c r="X36" s="206">
        <v>14</v>
      </c>
      <c r="Y36" s="206">
        <v>6</v>
      </c>
      <c r="Z36" s="121"/>
      <c r="AA36" s="132">
        <f t="shared" ref="AA36" si="176">AA35-V36*2</f>
        <v>-1080</v>
      </c>
      <c r="AB36" s="132">
        <f t="shared" ref="AB36" si="177">AB35-W36*2</f>
        <v>-180</v>
      </c>
      <c r="AC36" s="132">
        <f t="shared" ref="AC36" si="178">AC35-X36*2</f>
        <v>-56</v>
      </c>
      <c r="AD36" s="132">
        <f t="shared" ref="AD36" si="179">AD35-Y36*2</f>
        <v>-24</v>
      </c>
      <c r="AE36" s="121"/>
      <c r="AF36" s="26">
        <f>SUMIFS(DataPrixBillets!N$1:N$1000,DataPrixBillets!$J$1:$J$1000,ROI_Avions!$A36,DataPrixBillets!$K$1:$K$1000,ROI_Avions!$C36)</f>
        <v>0</v>
      </c>
      <c r="AG36" s="26">
        <f>SUMIFS(DataPrixBillets!O$1:O$1000,DataPrixBillets!$J$1:$J$1000,ROI_Avions!$A36,DataPrixBillets!$K$1:$K$1000,ROI_Avions!$C36)</f>
        <v>0</v>
      </c>
      <c r="AH36" s="26">
        <f>SUMIFS(DataPrixBillets!P$1:P$1000,DataPrixBillets!$J$1:$J$1000,ROI_Avions!$A36,DataPrixBillets!$K$1:$K$1000,ROI_Avions!$C36)</f>
        <v>0</v>
      </c>
      <c r="AI36" s="26">
        <f>SUMIFS(DataPrixBillets!Q$1:Q$1000,DataPrixBillets!$J$1:$J$1000,ROI_Avions!$A36,DataPrixBillets!$K$1:$K$1000,ROI_Avions!$C36)</f>
        <v>0</v>
      </c>
      <c r="AJ36" s="121"/>
      <c r="AK36" s="206">
        <f t="shared" si="167"/>
        <v>0</v>
      </c>
      <c r="AL36" s="206" t="e">
        <f t="shared" ca="1" si="168"/>
        <v>#REF!</v>
      </c>
      <c r="AM36" s="206" t="e">
        <f t="shared" ca="1" si="169"/>
        <v>#REF!</v>
      </c>
      <c r="AN36" s="206" t="e">
        <f t="shared" ca="1" si="170"/>
        <v>#REF!</v>
      </c>
      <c r="AO36" s="206" t="e">
        <f t="shared" ca="1" si="171"/>
        <v>#REF!</v>
      </c>
      <c r="AP36" s="206" t="e">
        <f t="shared" ca="1" si="172"/>
        <v>#REF!</v>
      </c>
      <c r="AQ36" s="206" t="e">
        <f t="shared" ca="1" si="173"/>
        <v>#REF!</v>
      </c>
      <c r="AR36" s="207">
        <f t="shared" ca="1" si="13"/>
        <v>0</v>
      </c>
      <c r="AS36" s="120">
        <f t="shared" ca="1" si="27"/>
        <v>0</v>
      </c>
      <c r="AT36" s="206" t="e">
        <f t="shared" ca="1" si="174"/>
        <v>#REF!</v>
      </c>
      <c r="AV36" s="185"/>
      <c r="AW36" s="73"/>
      <c r="AX36" s="185"/>
      <c r="AY36" s="185"/>
      <c r="BA36" s="185"/>
      <c r="BB36" s="185"/>
      <c r="BC36" s="185"/>
    </row>
    <row r="37" spans="1:55" s="204" customFormat="1" x14ac:dyDescent="0.3">
      <c r="A37" s="145" t="s">
        <v>315</v>
      </c>
      <c r="B37" s="146">
        <v>0</v>
      </c>
      <c r="C37" s="145" t="s">
        <v>1105</v>
      </c>
      <c r="D37" s="145" t="str">
        <f t="shared" si="15"/>
        <v>SFO/ATQ</v>
      </c>
      <c r="E37" s="146">
        <v>211842888</v>
      </c>
      <c r="F37" s="147" t="str">
        <f>"MD11-A-"&amp;A37&amp;"-"&amp;C37&amp;"-"&amp;3</f>
        <v>MD11-A-SFO-ATQ-3</v>
      </c>
      <c r="G37" s="146">
        <v>146160000</v>
      </c>
      <c r="H37" s="116"/>
      <c r="I37" s="206"/>
      <c r="J37" s="206"/>
      <c r="K37" s="206"/>
      <c r="L37" s="53"/>
      <c r="M37" s="53"/>
      <c r="N37" s="116"/>
      <c r="O37" s="138"/>
      <c r="P37" s="133">
        <f>SUMIFS(GestionLignesDemande!D$4:D$1000,GestionLignesDemande!$B$4:$B$1000,ROI_Avions!$A37,GestionLignesDemande!$C$4:$C$1000,ROI_Avions!$C37)</f>
        <v>0</v>
      </c>
      <c r="Q37" s="133">
        <f>SUMIFS(GestionLignesDemande!E$4:E$1000,GestionLignesDemande!$B$4:$B$1000,ROI_Avions!$A37,GestionLignesDemande!$C$4:$C$1000,ROI_Avions!$C37)</f>
        <v>0</v>
      </c>
      <c r="R37" s="133">
        <f>SUMIFS(GestionLignesDemande!F$4:F$1000,GestionLignesDemande!$B$4:$B$1000,ROI_Avions!$A37,GestionLignesDemande!$C$4:$C$1000,ROI_Avions!$C37)</f>
        <v>0</v>
      </c>
      <c r="S37" s="133">
        <f>SUMIFS(GestionLignesDemande!G$4:G$1000,GestionLignesDemande!$B$4:$B$1000,ROI_Avions!$A37,GestionLignesDemande!$C$4:$C$1000,ROI_Avions!$C37)</f>
        <v>0</v>
      </c>
      <c r="T37" s="121"/>
      <c r="U37" s="206">
        <f t="shared" si="97"/>
        <v>335</v>
      </c>
      <c r="V37" s="206">
        <v>270</v>
      </c>
      <c r="W37" s="206">
        <v>45</v>
      </c>
      <c r="X37" s="206">
        <v>14</v>
      </c>
      <c r="Y37" s="206">
        <v>6</v>
      </c>
      <c r="Z37" s="121"/>
      <c r="AA37" s="132">
        <f t="shared" ref="AA37:AA39" si="180">AA36-V37*2</f>
        <v>-1620</v>
      </c>
      <c r="AB37" s="132">
        <f t="shared" ref="AB37:AB39" si="181">AB36-W37*2</f>
        <v>-270</v>
      </c>
      <c r="AC37" s="132">
        <f t="shared" ref="AC37:AC39" si="182">AC36-X37*2</f>
        <v>-84</v>
      </c>
      <c r="AD37" s="132">
        <f t="shared" ref="AD37:AD39" si="183">AD36-Y37*2</f>
        <v>-36</v>
      </c>
      <c r="AE37" s="121"/>
      <c r="AF37" s="26">
        <f>SUMIFS(DataPrixBillets!N$1:N$1000,DataPrixBillets!$J$1:$J$1000,ROI_Avions!$A37,DataPrixBillets!$K$1:$K$1000,ROI_Avions!$C37)</f>
        <v>0</v>
      </c>
      <c r="AG37" s="26">
        <f>SUMIFS(DataPrixBillets!O$1:O$1000,DataPrixBillets!$J$1:$J$1000,ROI_Avions!$A37,DataPrixBillets!$K$1:$K$1000,ROI_Avions!$C37)</f>
        <v>0</v>
      </c>
      <c r="AH37" s="26">
        <f>SUMIFS(DataPrixBillets!P$1:P$1000,DataPrixBillets!$J$1:$J$1000,ROI_Avions!$A37,DataPrixBillets!$K$1:$K$1000,ROI_Avions!$C37)</f>
        <v>0</v>
      </c>
      <c r="AI37" s="26">
        <f>SUMIFS(DataPrixBillets!Q$1:Q$1000,DataPrixBillets!$J$1:$J$1000,ROI_Avions!$A37,DataPrixBillets!$K$1:$K$1000,ROI_Avions!$C37)</f>
        <v>0</v>
      </c>
      <c r="AJ37" s="121"/>
      <c r="AK37" s="206">
        <f t="shared" si="167"/>
        <v>0</v>
      </c>
      <c r="AL37" s="206" t="e">
        <f t="shared" ca="1" si="168"/>
        <v>#REF!</v>
      </c>
      <c r="AM37" s="206" t="e">
        <f t="shared" ca="1" si="169"/>
        <v>#REF!</v>
      </c>
      <c r="AN37" s="206" t="e">
        <f t="shared" ca="1" si="170"/>
        <v>#REF!</v>
      </c>
      <c r="AO37" s="206" t="e">
        <f t="shared" ca="1" si="171"/>
        <v>#REF!</v>
      </c>
      <c r="AP37" s="206" t="e">
        <f t="shared" ca="1" si="172"/>
        <v>#REF!</v>
      </c>
      <c r="AQ37" s="206" t="e">
        <f t="shared" ca="1" si="173"/>
        <v>#REF!</v>
      </c>
      <c r="AR37" s="207">
        <f t="shared" ref="AR37:AR68" ca="1" si="184">IFERROR((AP37/7)/((B37/COUNTIFS(A:A,A37))+(E37/COUNTIFS(A:A,A37,C:C,C37))+I37*K37+J37+G37),0)</f>
        <v>0</v>
      </c>
      <c r="AS37" s="120">
        <f t="shared" ref="AS37:AS68" ca="1" si="185">IFERROR(((B37/COUNTIFS(A:A,A37))+(E37/COUNTIFS(A:A,A37,C:C,C37))+I37*K37+J37+G37)/(AP37/7),0)</f>
        <v>0</v>
      </c>
      <c r="AT37" s="206" t="e">
        <f t="shared" ca="1" si="174"/>
        <v>#REF!</v>
      </c>
      <c r="AV37" s="185"/>
      <c r="AW37" s="73"/>
      <c r="AX37" s="185"/>
      <c r="AY37" s="185"/>
      <c r="BA37" s="185"/>
      <c r="BB37" s="185"/>
      <c r="BC37" s="185"/>
    </row>
    <row r="38" spans="1:55" s="204" customFormat="1" x14ac:dyDescent="0.3">
      <c r="A38" s="145" t="s">
        <v>315</v>
      </c>
      <c r="B38" s="146">
        <v>0</v>
      </c>
      <c r="C38" s="145" t="s">
        <v>1105</v>
      </c>
      <c r="D38" s="145" t="str">
        <f t="shared" si="15"/>
        <v>SFO/ATQ</v>
      </c>
      <c r="E38" s="146">
        <v>211842888</v>
      </c>
      <c r="F38" s="147" t="str">
        <f>"MD11-A-"&amp;A38&amp;"-"&amp;C38&amp;"-"&amp;4</f>
        <v>MD11-A-SFO-ATQ-4</v>
      </c>
      <c r="G38" s="146">
        <v>146160000</v>
      </c>
      <c r="H38" s="116"/>
      <c r="I38" s="206"/>
      <c r="J38" s="206"/>
      <c r="K38" s="206"/>
      <c r="L38" s="53"/>
      <c r="M38" s="53"/>
      <c r="N38" s="116"/>
      <c r="O38" s="138"/>
      <c r="P38" s="133">
        <f>SUMIFS(GestionLignesDemande!D$4:D$1000,GestionLignesDemande!$B$4:$B$1000,ROI_Avions!$A38,GestionLignesDemande!$C$4:$C$1000,ROI_Avions!$C38)</f>
        <v>0</v>
      </c>
      <c r="Q38" s="133">
        <f>SUMIFS(GestionLignesDemande!E$4:E$1000,GestionLignesDemande!$B$4:$B$1000,ROI_Avions!$A38,GestionLignesDemande!$C$4:$C$1000,ROI_Avions!$C38)</f>
        <v>0</v>
      </c>
      <c r="R38" s="133">
        <f>SUMIFS(GestionLignesDemande!F$4:F$1000,GestionLignesDemande!$B$4:$B$1000,ROI_Avions!$A38,GestionLignesDemande!$C$4:$C$1000,ROI_Avions!$C38)</f>
        <v>0</v>
      </c>
      <c r="S38" s="133">
        <f>SUMIFS(GestionLignesDemande!G$4:G$1000,GestionLignesDemande!$B$4:$B$1000,ROI_Avions!$A38,GestionLignesDemande!$C$4:$C$1000,ROI_Avions!$C38)</f>
        <v>0</v>
      </c>
      <c r="T38" s="121"/>
      <c r="U38" s="206">
        <f t="shared" si="97"/>
        <v>335</v>
      </c>
      <c r="V38" s="206">
        <v>270</v>
      </c>
      <c r="W38" s="206">
        <v>45</v>
      </c>
      <c r="X38" s="206">
        <v>14</v>
      </c>
      <c r="Y38" s="206">
        <v>6</v>
      </c>
      <c r="Z38" s="121"/>
      <c r="AA38" s="132">
        <f t="shared" si="180"/>
        <v>-2160</v>
      </c>
      <c r="AB38" s="132">
        <f t="shared" si="181"/>
        <v>-360</v>
      </c>
      <c r="AC38" s="132">
        <f t="shared" si="182"/>
        <v>-112</v>
      </c>
      <c r="AD38" s="132">
        <f t="shared" si="183"/>
        <v>-48</v>
      </c>
      <c r="AE38" s="121"/>
      <c r="AF38" s="26">
        <f>SUMIFS(DataPrixBillets!N$1:N$1000,DataPrixBillets!$J$1:$J$1000,ROI_Avions!$A38,DataPrixBillets!$K$1:$K$1000,ROI_Avions!$C38)</f>
        <v>0</v>
      </c>
      <c r="AG38" s="26">
        <f>SUMIFS(DataPrixBillets!O$1:O$1000,DataPrixBillets!$J$1:$J$1000,ROI_Avions!$A38,DataPrixBillets!$K$1:$K$1000,ROI_Avions!$C38)</f>
        <v>0</v>
      </c>
      <c r="AH38" s="26">
        <f>SUMIFS(DataPrixBillets!P$1:P$1000,DataPrixBillets!$J$1:$J$1000,ROI_Avions!$A38,DataPrixBillets!$K$1:$K$1000,ROI_Avions!$C38)</f>
        <v>0</v>
      </c>
      <c r="AI38" s="26">
        <f>SUMIFS(DataPrixBillets!Q$1:Q$1000,DataPrixBillets!$J$1:$J$1000,ROI_Avions!$A38,DataPrixBillets!$K$1:$K$1000,ROI_Avions!$C38)</f>
        <v>0</v>
      </c>
      <c r="AJ38" s="121"/>
      <c r="AK38" s="206">
        <f t="shared" si="167"/>
        <v>0</v>
      </c>
      <c r="AL38" s="206" t="e">
        <f t="shared" ca="1" si="168"/>
        <v>#REF!</v>
      </c>
      <c r="AM38" s="206" t="e">
        <f t="shared" ca="1" si="169"/>
        <v>#REF!</v>
      </c>
      <c r="AN38" s="206" t="e">
        <f t="shared" ca="1" si="170"/>
        <v>#REF!</v>
      </c>
      <c r="AO38" s="206" t="e">
        <f t="shared" ca="1" si="171"/>
        <v>#REF!</v>
      </c>
      <c r="AP38" s="206" t="e">
        <f t="shared" ca="1" si="172"/>
        <v>#REF!</v>
      </c>
      <c r="AQ38" s="206" t="e">
        <f t="shared" ca="1" si="173"/>
        <v>#REF!</v>
      </c>
      <c r="AR38" s="207">
        <f t="shared" ca="1" si="184"/>
        <v>0</v>
      </c>
      <c r="AS38" s="120">
        <f t="shared" ca="1" si="185"/>
        <v>0</v>
      </c>
      <c r="AT38" s="206" t="e">
        <f t="shared" ca="1" si="174"/>
        <v>#REF!</v>
      </c>
      <c r="AW38" s="205"/>
    </row>
    <row r="39" spans="1:55" s="204" customFormat="1" x14ac:dyDescent="0.3">
      <c r="A39" s="145" t="s">
        <v>315</v>
      </c>
      <c r="B39" s="146">
        <v>0</v>
      </c>
      <c r="C39" s="145" t="s">
        <v>1105</v>
      </c>
      <c r="D39" s="145" t="str">
        <f t="shared" si="15"/>
        <v>SFO/ATQ</v>
      </c>
      <c r="E39" s="146">
        <v>211842888</v>
      </c>
      <c r="F39" s="147" t="str">
        <f>"MD11-A-"&amp;A39&amp;"-"&amp;C39&amp;"-"&amp;5</f>
        <v>MD11-A-SFO-ATQ-5</v>
      </c>
      <c r="G39" s="146">
        <v>146160000</v>
      </c>
      <c r="H39" s="116"/>
      <c r="I39" s="206"/>
      <c r="J39" s="206"/>
      <c r="K39" s="206"/>
      <c r="L39" s="53"/>
      <c r="M39" s="53"/>
      <c r="N39" s="116"/>
      <c r="O39" s="138"/>
      <c r="P39" s="133">
        <f>SUMIFS(GestionLignesDemande!D$4:D$1000,GestionLignesDemande!$B$4:$B$1000,ROI_Avions!$A39,GestionLignesDemande!$C$4:$C$1000,ROI_Avions!$C39)</f>
        <v>0</v>
      </c>
      <c r="Q39" s="133">
        <f>SUMIFS(GestionLignesDemande!E$4:E$1000,GestionLignesDemande!$B$4:$B$1000,ROI_Avions!$A39,GestionLignesDemande!$C$4:$C$1000,ROI_Avions!$C39)</f>
        <v>0</v>
      </c>
      <c r="R39" s="133">
        <f>SUMIFS(GestionLignesDemande!F$4:F$1000,GestionLignesDemande!$B$4:$B$1000,ROI_Avions!$A39,GestionLignesDemande!$C$4:$C$1000,ROI_Avions!$C39)</f>
        <v>0</v>
      </c>
      <c r="S39" s="133">
        <f>SUMIFS(GestionLignesDemande!G$4:G$1000,GestionLignesDemande!$B$4:$B$1000,ROI_Avions!$A39,GestionLignesDemande!$C$4:$C$1000,ROI_Avions!$C39)</f>
        <v>0</v>
      </c>
      <c r="T39" s="121"/>
      <c r="U39" s="206">
        <f t="shared" si="97"/>
        <v>335</v>
      </c>
      <c r="V39" s="206">
        <v>270</v>
      </c>
      <c r="W39" s="206">
        <v>45</v>
      </c>
      <c r="X39" s="206">
        <v>14</v>
      </c>
      <c r="Y39" s="206">
        <v>6</v>
      </c>
      <c r="Z39" s="121"/>
      <c r="AA39" s="132">
        <f t="shared" si="180"/>
        <v>-2700</v>
      </c>
      <c r="AB39" s="132">
        <f t="shared" si="181"/>
        <v>-450</v>
      </c>
      <c r="AC39" s="132">
        <f t="shared" si="182"/>
        <v>-140</v>
      </c>
      <c r="AD39" s="132">
        <f t="shared" si="183"/>
        <v>-60</v>
      </c>
      <c r="AE39" s="121"/>
      <c r="AF39" s="26">
        <f>SUMIFS(DataPrixBillets!N$1:N$1000,DataPrixBillets!$J$1:$J$1000,ROI_Avions!$A39,DataPrixBillets!$K$1:$K$1000,ROI_Avions!$C39)</f>
        <v>0</v>
      </c>
      <c r="AG39" s="26">
        <f>SUMIFS(DataPrixBillets!O$1:O$1000,DataPrixBillets!$J$1:$J$1000,ROI_Avions!$A39,DataPrixBillets!$K$1:$K$1000,ROI_Avions!$C39)</f>
        <v>0</v>
      </c>
      <c r="AH39" s="26">
        <f>SUMIFS(DataPrixBillets!P$1:P$1000,DataPrixBillets!$J$1:$J$1000,ROI_Avions!$A39,DataPrixBillets!$K$1:$K$1000,ROI_Avions!$C39)</f>
        <v>0</v>
      </c>
      <c r="AI39" s="26">
        <f>SUMIFS(DataPrixBillets!Q$1:Q$1000,DataPrixBillets!$J$1:$J$1000,ROI_Avions!$A39,DataPrixBillets!$K$1:$K$1000,ROI_Avions!$C39)</f>
        <v>0</v>
      </c>
      <c r="AJ39" s="121"/>
      <c r="AK39" s="206">
        <f t="shared" si="167"/>
        <v>0</v>
      </c>
      <c r="AL39" s="206" t="e">
        <f t="shared" ca="1" si="168"/>
        <v>#REF!</v>
      </c>
      <c r="AM39" s="206" t="e">
        <f t="shared" ca="1" si="169"/>
        <v>#REF!</v>
      </c>
      <c r="AN39" s="206" t="e">
        <f t="shared" ca="1" si="170"/>
        <v>#REF!</v>
      </c>
      <c r="AO39" s="206" t="e">
        <f t="shared" ca="1" si="171"/>
        <v>#REF!</v>
      </c>
      <c r="AP39" s="206" t="e">
        <f t="shared" ca="1" si="172"/>
        <v>#REF!</v>
      </c>
      <c r="AQ39" s="206" t="e">
        <f t="shared" ca="1" si="173"/>
        <v>#REF!</v>
      </c>
      <c r="AR39" s="207">
        <f t="shared" ca="1" si="184"/>
        <v>0</v>
      </c>
      <c r="AS39" s="120">
        <f t="shared" ca="1" si="185"/>
        <v>0</v>
      </c>
      <c r="AT39" s="206" t="e">
        <f t="shared" ca="1" si="174"/>
        <v>#REF!</v>
      </c>
      <c r="AW39" s="205"/>
    </row>
    <row r="40" spans="1:55" s="204" customFormat="1" x14ac:dyDescent="0.3">
      <c r="A40" s="145" t="s">
        <v>315</v>
      </c>
      <c r="B40" s="146">
        <v>0</v>
      </c>
      <c r="C40" s="145" t="s">
        <v>1106</v>
      </c>
      <c r="D40" s="145" t="str">
        <f t="shared" si="15"/>
        <v>SFO/GAU</v>
      </c>
      <c r="E40" s="146">
        <v>177056821</v>
      </c>
      <c r="F40" s="147" t="str">
        <f>"MD11-A-"&amp;A40&amp;"-"&amp;C40&amp;"-"&amp;1</f>
        <v>MD11-A-SFO-GAU-1</v>
      </c>
      <c r="G40" s="146">
        <v>146160000</v>
      </c>
      <c r="H40" s="116"/>
      <c r="I40" s="206"/>
      <c r="J40" s="206"/>
      <c r="K40" s="206"/>
      <c r="L40" s="53"/>
      <c r="M40" s="53"/>
      <c r="N40" s="116"/>
      <c r="O40" s="138"/>
      <c r="P40" s="133">
        <f>SUMIFS(GestionLignesDemande!D$4:D$1000,GestionLignesDemande!$B$4:$B$1000,ROI_Avions!$A40,GestionLignesDemande!$C$4:$C$1000,ROI_Avions!$C40)</f>
        <v>0</v>
      </c>
      <c r="Q40" s="133">
        <f>SUMIFS(GestionLignesDemande!E$4:E$1000,GestionLignesDemande!$B$4:$B$1000,ROI_Avions!$A40,GestionLignesDemande!$C$4:$C$1000,ROI_Avions!$C40)</f>
        <v>0</v>
      </c>
      <c r="R40" s="133">
        <f>SUMIFS(GestionLignesDemande!F$4:F$1000,GestionLignesDemande!$B$4:$B$1000,ROI_Avions!$A40,GestionLignesDemande!$C$4:$C$1000,ROI_Avions!$C40)</f>
        <v>0</v>
      </c>
      <c r="S40" s="133">
        <f>SUMIFS(GestionLignesDemande!G$4:G$1000,GestionLignesDemande!$B$4:$B$1000,ROI_Avions!$A40,GestionLignesDemande!$C$4:$C$1000,ROI_Avions!$C40)</f>
        <v>0</v>
      </c>
      <c r="T40" s="121"/>
      <c r="U40" s="206">
        <f t="shared" si="97"/>
        <v>335</v>
      </c>
      <c r="V40" s="206">
        <v>270</v>
      </c>
      <c r="W40" s="206">
        <v>45</v>
      </c>
      <c r="X40" s="206">
        <v>14</v>
      </c>
      <c r="Y40" s="206">
        <v>6</v>
      </c>
      <c r="Z40" s="121"/>
      <c r="AA40" s="132">
        <f>P40-(V40*2)</f>
        <v>-540</v>
      </c>
      <c r="AB40" s="132">
        <f t="shared" ref="AB40" si="186">Q40-(W40*2)</f>
        <v>-90</v>
      </c>
      <c r="AC40" s="132">
        <f t="shared" ref="AC40" si="187">R40-(X40*2)</f>
        <v>-28</v>
      </c>
      <c r="AD40" s="132">
        <f t="shared" ref="AD40" si="188">S40-(Y40*2)</f>
        <v>-12</v>
      </c>
      <c r="AE40" s="121"/>
      <c r="AF40" s="26">
        <f>SUMIFS(DataPrixBillets!N$1:N$1000,DataPrixBillets!$J$1:$J$1000,ROI_Avions!$A40,DataPrixBillets!$K$1:$K$1000,ROI_Avions!$C40)</f>
        <v>0</v>
      </c>
      <c r="AG40" s="26">
        <f>SUMIFS(DataPrixBillets!O$1:O$1000,DataPrixBillets!$J$1:$J$1000,ROI_Avions!$A40,DataPrixBillets!$K$1:$K$1000,ROI_Avions!$C40)</f>
        <v>0</v>
      </c>
      <c r="AH40" s="26">
        <f>SUMIFS(DataPrixBillets!P$1:P$1000,DataPrixBillets!$J$1:$J$1000,ROI_Avions!$A40,DataPrixBillets!$K$1:$K$1000,ROI_Avions!$C40)</f>
        <v>0</v>
      </c>
      <c r="AI40" s="26">
        <f>SUMIFS(DataPrixBillets!Q$1:Q$1000,DataPrixBillets!$J$1:$J$1000,ROI_Avions!$A40,DataPrixBillets!$K$1:$K$1000,ROI_Avions!$C40)</f>
        <v>0</v>
      </c>
      <c r="AJ40" s="121"/>
      <c r="AK40" s="206">
        <f t="shared" si="167"/>
        <v>0</v>
      </c>
      <c r="AL40" s="206" t="e">
        <f t="shared" ca="1" si="168"/>
        <v>#REF!</v>
      </c>
      <c r="AM40" s="206" t="e">
        <f t="shared" ca="1" si="169"/>
        <v>#REF!</v>
      </c>
      <c r="AN40" s="206" t="e">
        <f t="shared" ca="1" si="170"/>
        <v>#REF!</v>
      </c>
      <c r="AO40" s="206" t="e">
        <f t="shared" ca="1" si="171"/>
        <v>#REF!</v>
      </c>
      <c r="AP40" s="206" t="e">
        <f t="shared" ca="1" si="172"/>
        <v>#REF!</v>
      </c>
      <c r="AQ40" s="206" t="e">
        <f t="shared" ca="1" si="173"/>
        <v>#REF!</v>
      </c>
      <c r="AR40" s="207">
        <f t="shared" ca="1" si="184"/>
        <v>0</v>
      </c>
      <c r="AS40" s="120">
        <f t="shared" ca="1" si="185"/>
        <v>0</v>
      </c>
      <c r="AT40" s="206" t="e">
        <f t="shared" ca="1" si="174"/>
        <v>#REF!</v>
      </c>
      <c r="AW40" s="205"/>
    </row>
    <row r="41" spans="1:55" s="204" customFormat="1" x14ac:dyDescent="0.3">
      <c r="A41" s="145" t="s">
        <v>315</v>
      </c>
      <c r="B41" s="146">
        <v>0</v>
      </c>
      <c r="C41" s="145" t="s">
        <v>1106</v>
      </c>
      <c r="D41" s="145" t="str">
        <f t="shared" si="15"/>
        <v>SFO/GAU</v>
      </c>
      <c r="E41" s="146">
        <v>177056821</v>
      </c>
      <c r="F41" s="147" t="str">
        <f t="shared" ref="F41" si="189">"MD11-A-"&amp;A41&amp;"-"&amp;C41&amp;"-"&amp;2</f>
        <v>MD11-A-SFO-GAU-2</v>
      </c>
      <c r="G41" s="146">
        <v>146160000</v>
      </c>
      <c r="H41" s="116"/>
      <c r="I41" s="206"/>
      <c r="J41" s="206"/>
      <c r="K41" s="206"/>
      <c r="L41" s="53"/>
      <c r="M41" s="53"/>
      <c r="N41" s="116"/>
      <c r="O41" s="138"/>
      <c r="P41" s="133">
        <f>SUMIFS(GestionLignesDemande!D$4:D$1000,GestionLignesDemande!$B$4:$B$1000,ROI_Avions!$A41,GestionLignesDemande!$C$4:$C$1000,ROI_Avions!$C41)</f>
        <v>0</v>
      </c>
      <c r="Q41" s="133">
        <f>SUMIFS(GestionLignesDemande!E$4:E$1000,GestionLignesDemande!$B$4:$B$1000,ROI_Avions!$A41,GestionLignesDemande!$C$4:$C$1000,ROI_Avions!$C41)</f>
        <v>0</v>
      </c>
      <c r="R41" s="133">
        <f>SUMIFS(GestionLignesDemande!F$4:F$1000,GestionLignesDemande!$B$4:$B$1000,ROI_Avions!$A41,GestionLignesDemande!$C$4:$C$1000,ROI_Avions!$C41)</f>
        <v>0</v>
      </c>
      <c r="S41" s="133">
        <f>SUMIFS(GestionLignesDemande!G$4:G$1000,GestionLignesDemande!$B$4:$B$1000,ROI_Avions!$A41,GestionLignesDemande!$C$4:$C$1000,ROI_Avions!$C41)</f>
        <v>0</v>
      </c>
      <c r="T41" s="121"/>
      <c r="U41" s="206">
        <f t="shared" si="97"/>
        <v>335</v>
      </c>
      <c r="V41" s="206">
        <v>270</v>
      </c>
      <c r="W41" s="206">
        <v>45</v>
      </c>
      <c r="X41" s="206">
        <v>14</v>
      </c>
      <c r="Y41" s="206">
        <v>6</v>
      </c>
      <c r="Z41" s="121"/>
      <c r="AA41" s="132">
        <f t="shared" ref="AA41:AA44" si="190">AA40-V41*2</f>
        <v>-1080</v>
      </c>
      <c r="AB41" s="132">
        <f t="shared" ref="AB41:AB44" si="191">AB40-W41*2</f>
        <v>-180</v>
      </c>
      <c r="AC41" s="132">
        <f t="shared" ref="AC41:AC44" si="192">AC40-X41*2</f>
        <v>-56</v>
      </c>
      <c r="AD41" s="132">
        <f t="shared" ref="AD41:AD44" si="193">AD40-Y41*2</f>
        <v>-24</v>
      </c>
      <c r="AE41" s="121"/>
      <c r="AF41" s="26">
        <f>SUMIFS(DataPrixBillets!N$1:N$1000,DataPrixBillets!$J$1:$J$1000,ROI_Avions!$A41,DataPrixBillets!$K$1:$K$1000,ROI_Avions!$C41)</f>
        <v>0</v>
      </c>
      <c r="AG41" s="26">
        <f>SUMIFS(DataPrixBillets!O$1:O$1000,DataPrixBillets!$J$1:$J$1000,ROI_Avions!$A41,DataPrixBillets!$K$1:$K$1000,ROI_Avions!$C41)</f>
        <v>0</v>
      </c>
      <c r="AH41" s="26">
        <f>SUMIFS(DataPrixBillets!P$1:P$1000,DataPrixBillets!$J$1:$J$1000,ROI_Avions!$A41,DataPrixBillets!$K$1:$K$1000,ROI_Avions!$C41)</f>
        <v>0</v>
      </c>
      <c r="AI41" s="26">
        <f>SUMIFS(DataPrixBillets!Q$1:Q$1000,DataPrixBillets!$J$1:$J$1000,ROI_Avions!$A41,DataPrixBillets!$K$1:$K$1000,ROI_Avions!$C41)</f>
        <v>0</v>
      </c>
      <c r="AJ41" s="121"/>
      <c r="AK41" s="206">
        <f t="shared" si="167"/>
        <v>0</v>
      </c>
      <c r="AL41" s="206" t="e">
        <f t="shared" ca="1" si="168"/>
        <v>#REF!</v>
      </c>
      <c r="AM41" s="206" t="e">
        <f t="shared" ca="1" si="169"/>
        <v>#REF!</v>
      </c>
      <c r="AN41" s="206" t="e">
        <f t="shared" ca="1" si="170"/>
        <v>#REF!</v>
      </c>
      <c r="AO41" s="206" t="e">
        <f t="shared" ca="1" si="171"/>
        <v>#REF!</v>
      </c>
      <c r="AP41" s="206" t="e">
        <f t="shared" ca="1" si="172"/>
        <v>#REF!</v>
      </c>
      <c r="AQ41" s="206" t="e">
        <f t="shared" ca="1" si="173"/>
        <v>#REF!</v>
      </c>
      <c r="AR41" s="207">
        <f t="shared" ca="1" si="184"/>
        <v>0</v>
      </c>
      <c r="AS41" s="120">
        <f t="shared" ca="1" si="185"/>
        <v>0</v>
      </c>
      <c r="AT41" s="206" t="e">
        <f t="shared" ca="1" si="174"/>
        <v>#REF!</v>
      </c>
      <c r="AW41" s="205"/>
    </row>
    <row r="42" spans="1:55" s="204" customFormat="1" x14ac:dyDescent="0.3">
      <c r="A42" s="145" t="s">
        <v>315</v>
      </c>
      <c r="B42" s="146">
        <v>0</v>
      </c>
      <c r="C42" s="145" t="s">
        <v>1106</v>
      </c>
      <c r="D42" s="145" t="str">
        <f t="shared" si="15"/>
        <v>SFO/GAU</v>
      </c>
      <c r="E42" s="146">
        <v>177056821</v>
      </c>
      <c r="F42" s="147" t="str">
        <f>"MD11-A-"&amp;A42&amp;"-"&amp;C42&amp;"-"&amp;3</f>
        <v>MD11-A-SFO-GAU-3</v>
      </c>
      <c r="G42" s="146">
        <v>146160000</v>
      </c>
      <c r="H42" s="116"/>
      <c r="I42" s="206"/>
      <c r="J42" s="206"/>
      <c r="K42" s="206"/>
      <c r="L42" s="53"/>
      <c r="M42" s="53"/>
      <c r="N42" s="116"/>
      <c r="O42" s="138"/>
      <c r="P42" s="133">
        <f>SUMIFS(GestionLignesDemande!D$4:D$1000,GestionLignesDemande!$B$4:$B$1000,ROI_Avions!$A42,GestionLignesDemande!$C$4:$C$1000,ROI_Avions!$C42)</f>
        <v>0</v>
      </c>
      <c r="Q42" s="133">
        <f>SUMIFS(GestionLignesDemande!E$4:E$1000,GestionLignesDemande!$B$4:$B$1000,ROI_Avions!$A42,GestionLignesDemande!$C$4:$C$1000,ROI_Avions!$C42)</f>
        <v>0</v>
      </c>
      <c r="R42" s="133">
        <f>SUMIFS(GestionLignesDemande!F$4:F$1000,GestionLignesDemande!$B$4:$B$1000,ROI_Avions!$A42,GestionLignesDemande!$C$4:$C$1000,ROI_Avions!$C42)</f>
        <v>0</v>
      </c>
      <c r="S42" s="133">
        <f>SUMIFS(GestionLignesDemande!G$4:G$1000,GestionLignesDemande!$B$4:$B$1000,ROI_Avions!$A42,GestionLignesDemande!$C$4:$C$1000,ROI_Avions!$C42)</f>
        <v>0</v>
      </c>
      <c r="T42" s="121"/>
      <c r="U42" s="206">
        <f t="shared" si="97"/>
        <v>335</v>
      </c>
      <c r="V42" s="206">
        <v>270</v>
      </c>
      <c r="W42" s="206">
        <v>45</v>
      </c>
      <c r="X42" s="206">
        <v>14</v>
      </c>
      <c r="Y42" s="206">
        <v>6</v>
      </c>
      <c r="Z42" s="121"/>
      <c r="AA42" s="132">
        <f t="shared" si="190"/>
        <v>-1620</v>
      </c>
      <c r="AB42" s="132">
        <f t="shared" si="191"/>
        <v>-270</v>
      </c>
      <c r="AC42" s="132">
        <f t="shared" si="192"/>
        <v>-84</v>
      </c>
      <c r="AD42" s="132">
        <f t="shared" si="193"/>
        <v>-36</v>
      </c>
      <c r="AE42" s="121"/>
      <c r="AF42" s="26">
        <f>SUMIFS(DataPrixBillets!N$1:N$1000,DataPrixBillets!$J$1:$J$1000,ROI_Avions!$A42,DataPrixBillets!$K$1:$K$1000,ROI_Avions!$C42)</f>
        <v>0</v>
      </c>
      <c r="AG42" s="26">
        <f>SUMIFS(DataPrixBillets!O$1:O$1000,DataPrixBillets!$J$1:$J$1000,ROI_Avions!$A42,DataPrixBillets!$K$1:$K$1000,ROI_Avions!$C42)</f>
        <v>0</v>
      </c>
      <c r="AH42" s="26">
        <f>SUMIFS(DataPrixBillets!P$1:P$1000,DataPrixBillets!$J$1:$J$1000,ROI_Avions!$A42,DataPrixBillets!$K$1:$K$1000,ROI_Avions!$C42)</f>
        <v>0</v>
      </c>
      <c r="AI42" s="26">
        <f>SUMIFS(DataPrixBillets!Q$1:Q$1000,DataPrixBillets!$J$1:$J$1000,ROI_Avions!$A42,DataPrixBillets!$K$1:$K$1000,ROI_Avions!$C42)</f>
        <v>0</v>
      </c>
      <c r="AJ42" s="121"/>
      <c r="AK42" s="206">
        <f t="shared" si="167"/>
        <v>0</v>
      </c>
      <c r="AL42" s="206" t="e">
        <f t="shared" ca="1" si="168"/>
        <v>#REF!</v>
      </c>
      <c r="AM42" s="206" t="e">
        <f t="shared" ca="1" si="169"/>
        <v>#REF!</v>
      </c>
      <c r="AN42" s="206" t="e">
        <f t="shared" ca="1" si="170"/>
        <v>#REF!</v>
      </c>
      <c r="AO42" s="206" t="e">
        <f t="shared" ca="1" si="171"/>
        <v>#REF!</v>
      </c>
      <c r="AP42" s="206" t="e">
        <f t="shared" ca="1" si="172"/>
        <v>#REF!</v>
      </c>
      <c r="AQ42" s="206" t="e">
        <f t="shared" ca="1" si="173"/>
        <v>#REF!</v>
      </c>
      <c r="AR42" s="207">
        <f t="shared" ca="1" si="184"/>
        <v>0</v>
      </c>
      <c r="AS42" s="120">
        <f t="shared" ca="1" si="185"/>
        <v>0</v>
      </c>
      <c r="AT42" s="206" t="e">
        <f t="shared" ca="1" si="174"/>
        <v>#REF!</v>
      </c>
      <c r="AW42" s="205"/>
    </row>
    <row r="43" spans="1:55" s="204" customFormat="1" x14ac:dyDescent="0.3">
      <c r="A43" s="145" t="s">
        <v>315</v>
      </c>
      <c r="B43" s="146">
        <v>0</v>
      </c>
      <c r="C43" s="145" t="s">
        <v>1106</v>
      </c>
      <c r="D43" s="145" t="str">
        <f t="shared" si="15"/>
        <v>SFO/GAU</v>
      </c>
      <c r="E43" s="146">
        <v>177056821</v>
      </c>
      <c r="F43" s="147" t="str">
        <f>"MD11-A-"&amp;A43&amp;"-"&amp;C43&amp;"-"&amp;4</f>
        <v>MD11-A-SFO-GAU-4</v>
      </c>
      <c r="G43" s="146">
        <v>146160000</v>
      </c>
      <c r="H43" s="116"/>
      <c r="I43" s="206"/>
      <c r="J43" s="206"/>
      <c r="K43" s="206"/>
      <c r="L43" s="53"/>
      <c r="M43" s="53"/>
      <c r="N43" s="116"/>
      <c r="O43" s="138"/>
      <c r="P43" s="133">
        <f>SUMIFS(GestionLignesDemande!D$4:D$1000,GestionLignesDemande!$B$4:$B$1000,ROI_Avions!$A43,GestionLignesDemande!$C$4:$C$1000,ROI_Avions!$C43)</f>
        <v>0</v>
      </c>
      <c r="Q43" s="133">
        <f>SUMIFS(GestionLignesDemande!E$4:E$1000,GestionLignesDemande!$B$4:$B$1000,ROI_Avions!$A43,GestionLignesDemande!$C$4:$C$1000,ROI_Avions!$C43)</f>
        <v>0</v>
      </c>
      <c r="R43" s="133">
        <f>SUMIFS(GestionLignesDemande!F$4:F$1000,GestionLignesDemande!$B$4:$B$1000,ROI_Avions!$A43,GestionLignesDemande!$C$4:$C$1000,ROI_Avions!$C43)</f>
        <v>0</v>
      </c>
      <c r="S43" s="133">
        <f>SUMIFS(GestionLignesDemande!G$4:G$1000,GestionLignesDemande!$B$4:$B$1000,ROI_Avions!$A43,GestionLignesDemande!$C$4:$C$1000,ROI_Avions!$C43)</f>
        <v>0</v>
      </c>
      <c r="T43" s="121"/>
      <c r="U43" s="206">
        <f t="shared" si="97"/>
        <v>335</v>
      </c>
      <c r="V43" s="206">
        <v>270</v>
      </c>
      <c r="W43" s="206">
        <v>45</v>
      </c>
      <c r="X43" s="206">
        <v>14</v>
      </c>
      <c r="Y43" s="206">
        <v>6</v>
      </c>
      <c r="Z43" s="121"/>
      <c r="AA43" s="132">
        <f t="shared" si="190"/>
        <v>-2160</v>
      </c>
      <c r="AB43" s="132">
        <f t="shared" si="191"/>
        <v>-360</v>
      </c>
      <c r="AC43" s="132">
        <f t="shared" si="192"/>
        <v>-112</v>
      </c>
      <c r="AD43" s="132">
        <f t="shared" si="193"/>
        <v>-48</v>
      </c>
      <c r="AE43" s="121"/>
      <c r="AF43" s="26">
        <f>SUMIFS(DataPrixBillets!N$1:N$1000,DataPrixBillets!$J$1:$J$1000,ROI_Avions!$A43,DataPrixBillets!$K$1:$K$1000,ROI_Avions!$C43)</f>
        <v>0</v>
      </c>
      <c r="AG43" s="26">
        <f>SUMIFS(DataPrixBillets!O$1:O$1000,DataPrixBillets!$J$1:$J$1000,ROI_Avions!$A43,DataPrixBillets!$K$1:$K$1000,ROI_Avions!$C43)</f>
        <v>0</v>
      </c>
      <c r="AH43" s="26">
        <f>SUMIFS(DataPrixBillets!P$1:P$1000,DataPrixBillets!$J$1:$J$1000,ROI_Avions!$A43,DataPrixBillets!$K$1:$K$1000,ROI_Avions!$C43)</f>
        <v>0</v>
      </c>
      <c r="AI43" s="26">
        <f>SUMIFS(DataPrixBillets!Q$1:Q$1000,DataPrixBillets!$J$1:$J$1000,ROI_Avions!$A43,DataPrixBillets!$K$1:$K$1000,ROI_Avions!$C43)</f>
        <v>0</v>
      </c>
      <c r="AJ43" s="121"/>
      <c r="AK43" s="206">
        <f t="shared" si="167"/>
        <v>0</v>
      </c>
      <c r="AL43" s="206" t="e">
        <f t="shared" ca="1" si="168"/>
        <v>#REF!</v>
      </c>
      <c r="AM43" s="206" t="e">
        <f t="shared" ca="1" si="169"/>
        <v>#REF!</v>
      </c>
      <c r="AN43" s="206" t="e">
        <f t="shared" ca="1" si="170"/>
        <v>#REF!</v>
      </c>
      <c r="AO43" s="206" t="e">
        <f t="shared" ca="1" si="171"/>
        <v>#REF!</v>
      </c>
      <c r="AP43" s="206" t="e">
        <f t="shared" ca="1" si="172"/>
        <v>#REF!</v>
      </c>
      <c r="AQ43" s="206" t="e">
        <f t="shared" ca="1" si="173"/>
        <v>#REF!</v>
      </c>
      <c r="AR43" s="207">
        <f t="shared" ca="1" si="184"/>
        <v>0</v>
      </c>
      <c r="AS43" s="120">
        <f t="shared" ca="1" si="185"/>
        <v>0</v>
      </c>
      <c r="AT43" s="206" t="e">
        <f t="shared" ca="1" si="174"/>
        <v>#REF!</v>
      </c>
      <c r="AW43" s="205"/>
    </row>
    <row r="44" spans="1:55" s="204" customFormat="1" x14ac:dyDescent="0.3">
      <c r="A44" s="145" t="s">
        <v>315</v>
      </c>
      <c r="B44" s="146">
        <v>0</v>
      </c>
      <c r="C44" s="145" t="s">
        <v>1106</v>
      </c>
      <c r="D44" s="145" t="str">
        <f t="shared" si="15"/>
        <v>SFO/GAU</v>
      </c>
      <c r="E44" s="146">
        <v>177056821</v>
      </c>
      <c r="F44" s="147" t="str">
        <f>"MD11-A-"&amp;A44&amp;"-"&amp;C44&amp;"-"&amp;5</f>
        <v>MD11-A-SFO-GAU-5</v>
      </c>
      <c r="G44" s="146">
        <v>146160000</v>
      </c>
      <c r="H44" s="116"/>
      <c r="I44" s="206"/>
      <c r="J44" s="206"/>
      <c r="K44" s="206"/>
      <c r="L44" s="53"/>
      <c r="M44" s="53"/>
      <c r="N44" s="116"/>
      <c r="O44" s="138"/>
      <c r="P44" s="133">
        <f>SUMIFS(GestionLignesDemande!D$4:D$1000,GestionLignesDemande!$B$4:$B$1000,ROI_Avions!$A44,GestionLignesDemande!$C$4:$C$1000,ROI_Avions!$C44)</f>
        <v>0</v>
      </c>
      <c r="Q44" s="133">
        <f>SUMIFS(GestionLignesDemande!E$4:E$1000,GestionLignesDemande!$B$4:$B$1000,ROI_Avions!$A44,GestionLignesDemande!$C$4:$C$1000,ROI_Avions!$C44)</f>
        <v>0</v>
      </c>
      <c r="R44" s="133">
        <f>SUMIFS(GestionLignesDemande!F$4:F$1000,GestionLignesDemande!$B$4:$B$1000,ROI_Avions!$A44,GestionLignesDemande!$C$4:$C$1000,ROI_Avions!$C44)</f>
        <v>0</v>
      </c>
      <c r="S44" s="133">
        <f>SUMIFS(GestionLignesDemande!G$4:G$1000,GestionLignesDemande!$B$4:$B$1000,ROI_Avions!$A44,GestionLignesDemande!$C$4:$C$1000,ROI_Avions!$C44)</f>
        <v>0</v>
      </c>
      <c r="T44" s="121"/>
      <c r="U44" s="206">
        <f t="shared" si="97"/>
        <v>335</v>
      </c>
      <c r="V44" s="206">
        <v>270</v>
      </c>
      <c r="W44" s="206">
        <v>45</v>
      </c>
      <c r="X44" s="206">
        <v>14</v>
      </c>
      <c r="Y44" s="206">
        <v>6</v>
      </c>
      <c r="Z44" s="121"/>
      <c r="AA44" s="132">
        <f t="shared" si="190"/>
        <v>-2700</v>
      </c>
      <c r="AB44" s="132">
        <f t="shared" si="191"/>
        <v>-450</v>
      </c>
      <c r="AC44" s="132">
        <f t="shared" si="192"/>
        <v>-140</v>
      </c>
      <c r="AD44" s="132">
        <f t="shared" si="193"/>
        <v>-60</v>
      </c>
      <c r="AE44" s="121"/>
      <c r="AF44" s="26">
        <f>SUMIFS(DataPrixBillets!N$1:N$1000,DataPrixBillets!$J$1:$J$1000,ROI_Avions!$A44,DataPrixBillets!$K$1:$K$1000,ROI_Avions!$C44)</f>
        <v>0</v>
      </c>
      <c r="AG44" s="26">
        <f>SUMIFS(DataPrixBillets!O$1:O$1000,DataPrixBillets!$J$1:$J$1000,ROI_Avions!$A44,DataPrixBillets!$K$1:$K$1000,ROI_Avions!$C44)</f>
        <v>0</v>
      </c>
      <c r="AH44" s="26">
        <f>SUMIFS(DataPrixBillets!P$1:P$1000,DataPrixBillets!$J$1:$J$1000,ROI_Avions!$A44,DataPrixBillets!$K$1:$K$1000,ROI_Avions!$C44)</f>
        <v>0</v>
      </c>
      <c r="AI44" s="26">
        <f>SUMIFS(DataPrixBillets!Q$1:Q$1000,DataPrixBillets!$J$1:$J$1000,ROI_Avions!$A44,DataPrixBillets!$K$1:$K$1000,ROI_Avions!$C44)</f>
        <v>0</v>
      </c>
      <c r="AJ44" s="121"/>
      <c r="AK44" s="206">
        <f t="shared" si="167"/>
        <v>0</v>
      </c>
      <c r="AL44" s="206" t="e">
        <f t="shared" ca="1" si="168"/>
        <v>#REF!</v>
      </c>
      <c r="AM44" s="206" t="e">
        <f t="shared" ca="1" si="169"/>
        <v>#REF!</v>
      </c>
      <c r="AN44" s="206" t="e">
        <f t="shared" ca="1" si="170"/>
        <v>#REF!</v>
      </c>
      <c r="AO44" s="206" t="e">
        <f t="shared" ca="1" si="171"/>
        <v>#REF!</v>
      </c>
      <c r="AP44" s="206" t="e">
        <f t="shared" ca="1" si="172"/>
        <v>#REF!</v>
      </c>
      <c r="AQ44" s="206" t="e">
        <f t="shared" ca="1" si="173"/>
        <v>#REF!</v>
      </c>
      <c r="AR44" s="207">
        <f t="shared" ca="1" si="184"/>
        <v>0</v>
      </c>
      <c r="AS44" s="120">
        <f t="shared" ca="1" si="185"/>
        <v>0</v>
      </c>
      <c r="AT44" s="206" t="e">
        <f t="shared" ca="1" si="174"/>
        <v>#REF!</v>
      </c>
      <c r="AW44" s="205"/>
    </row>
    <row r="45" spans="1:55" s="204" customFormat="1" x14ac:dyDescent="0.3">
      <c r="A45" s="145" t="s">
        <v>315</v>
      </c>
      <c r="B45" s="146">
        <v>0</v>
      </c>
      <c r="C45" s="145" t="s">
        <v>1107</v>
      </c>
      <c r="D45" s="145" t="str">
        <f t="shared" si="15"/>
        <v>SFO/SXR</v>
      </c>
      <c r="E45" s="146">
        <v>148222639</v>
      </c>
      <c r="F45" s="147" t="str">
        <f>"MD11-A-"&amp;A45&amp;"-"&amp;C45&amp;"-"&amp;1</f>
        <v>MD11-A-SFO-SXR-1</v>
      </c>
      <c r="G45" s="146">
        <v>146160000</v>
      </c>
      <c r="H45" s="116"/>
      <c r="I45" s="206"/>
      <c r="J45" s="206"/>
      <c r="K45" s="206"/>
      <c r="L45" s="53"/>
      <c r="M45" s="53"/>
      <c r="N45" s="116"/>
      <c r="O45" s="138"/>
      <c r="P45" s="133">
        <f>SUMIFS(GestionLignesDemande!D$4:D$1000,GestionLignesDemande!$B$4:$B$1000,ROI_Avions!$A45,GestionLignesDemande!$C$4:$C$1000,ROI_Avions!$C45)</f>
        <v>0</v>
      </c>
      <c r="Q45" s="133">
        <f>SUMIFS(GestionLignesDemande!E$4:E$1000,GestionLignesDemande!$B$4:$B$1000,ROI_Avions!$A45,GestionLignesDemande!$C$4:$C$1000,ROI_Avions!$C45)</f>
        <v>0</v>
      </c>
      <c r="R45" s="133">
        <f>SUMIFS(GestionLignesDemande!F$4:F$1000,GestionLignesDemande!$B$4:$B$1000,ROI_Avions!$A45,GestionLignesDemande!$C$4:$C$1000,ROI_Avions!$C45)</f>
        <v>0</v>
      </c>
      <c r="S45" s="133">
        <f>SUMIFS(GestionLignesDemande!G$4:G$1000,GestionLignesDemande!$B$4:$B$1000,ROI_Avions!$A45,GestionLignesDemande!$C$4:$C$1000,ROI_Avions!$C45)</f>
        <v>0</v>
      </c>
      <c r="T45" s="121"/>
      <c r="U45" s="206">
        <f t="shared" si="97"/>
        <v>335</v>
      </c>
      <c r="V45" s="206">
        <v>270</v>
      </c>
      <c r="W45" s="206">
        <v>45</v>
      </c>
      <c r="X45" s="206">
        <v>14</v>
      </c>
      <c r="Y45" s="206">
        <v>6</v>
      </c>
      <c r="Z45" s="121"/>
      <c r="AA45" s="132">
        <f>P45-(V45*2)</f>
        <v>-540</v>
      </c>
      <c r="AB45" s="132">
        <f t="shared" ref="AB45" si="194">Q45-(W45*2)</f>
        <v>-90</v>
      </c>
      <c r="AC45" s="132">
        <f t="shared" ref="AC45" si="195">R45-(X45*2)</f>
        <v>-28</v>
      </c>
      <c r="AD45" s="132">
        <f t="shared" ref="AD45" si="196">S45-(Y45*2)</f>
        <v>-12</v>
      </c>
      <c r="AE45" s="121"/>
      <c r="AF45" s="26">
        <f>SUMIFS(DataPrixBillets!N$1:N$1000,DataPrixBillets!$J$1:$J$1000,ROI_Avions!$A45,DataPrixBillets!$K$1:$K$1000,ROI_Avions!$C45)</f>
        <v>0</v>
      </c>
      <c r="AG45" s="26">
        <f>SUMIFS(DataPrixBillets!O$1:O$1000,DataPrixBillets!$J$1:$J$1000,ROI_Avions!$A45,DataPrixBillets!$K$1:$K$1000,ROI_Avions!$C45)</f>
        <v>0</v>
      </c>
      <c r="AH45" s="26">
        <f>SUMIFS(DataPrixBillets!P$1:P$1000,DataPrixBillets!$J$1:$J$1000,ROI_Avions!$A45,DataPrixBillets!$K$1:$K$1000,ROI_Avions!$C45)</f>
        <v>0</v>
      </c>
      <c r="AI45" s="26">
        <f>SUMIFS(DataPrixBillets!Q$1:Q$1000,DataPrixBillets!$J$1:$J$1000,ROI_Avions!$A45,DataPrixBillets!$K$1:$K$1000,ROI_Avions!$C45)</f>
        <v>0</v>
      </c>
      <c r="AJ45" s="121"/>
      <c r="AK45" s="206">
        <f t="shared" si="167"/>
        <v>0</v>
      </c>
      <c r="AL45" s="206" t="e">
        <f t="shared" ca="1" si="168"/>
        <v>#REF!</v>
      </c>
      <c r="AM45" s="206" t="e">
        <f t="shared" ca="1" si="169"/>
        <v>#REF!</v>
      </c>
      <c r="AN45" s="206" t="e">
        <f t="shared" ca="1" si="170"/>
        <v>#REF!</v>
      </c>
      <c r="AO45" s="206" t="e">
        <f t="shared" ca="1" si="171"/>
        <v>#REF!</v>
      </c>
      <c r="AP45" s="206" t="e">
        <f t="shared" ca="1" si="172"/>
        <v>#REF!</v>
      </c>
      <c r="AQ45" s="206" t="e">
        <f t="shared" ca="1" si="173"/>
        <v>#REF!</v>
      </c>
      <c r="AR45" s="207">
        <f t="shared" ca="1" si="184"/>
        <v>0</v>
      </c>
      <c r="AS45" s="120">
        <f t="shared" ca="1" si="185"/>
        <v>0</v>
      </c>
      <c r="AT45" s="206" t="e">
        <f t="shared" ca="1" si="174"/>
        <v>#REF!</v>
      </c>
      <c r="AW45" s="205"/>
    </row>
    <row r="46" spans="1:55" s="204" customFormat="1" x14ac:dyDescent="0.3">
      <c r="A46" s="145" t="s">
        <v>315</v>
      </c>
      <c r="B46" s="146">
        <v>0</v>
      </c>
      <c r="C46" s="145" t="s">
        <v>1107</v>
      </c>
      <c r="D46" s="145" t="str">
        <f t="shared" si="15"/>
        <v>SFO/SXR</v>
      </c>
      <c r="E46" s="146">
        <v>148222639</v>
      </c>
      <c r="F46" s="147" t="str">
        <f t="shared" ref="F46" si="197">"MD11-A-"&amp;A46&amp;"-"&amp;C46&amp;"-"&amp;2</f>
        <v>MD11-A-SFO-SXR-2</v>
      </c>
      <c r="G46" s="146">
        <v>146160000</v>
      </c>
      <c r="H46" s="116"/>
      <c r="I46" s="206"/>
      <c r="J46" s="206"/>
      <c r="K46" s="206"/>
      <c r="L46" s="53"/>
      <c r="M46" s="53"/>
      <c r="N46" s="116"/>
      <c r="O46" s="138"/>
      <c r="P46" s="133">
        <f>SUMIFS(GestionLignesDemande!D$4:D$1000,GestionLignesDemande!$B$4:$B$1000,ROI_Avions!$A46,GestionLignesDemande!$C$4:$C$1000,ROI_Avions!$C46)</f>
        <v>0</v>
      </c>
      <c r="Q46" s="133">
        <f>SUMIFS(GestionLignesDemande!E$4:E$1000,GestionLignesDemande!$B$4:$B$1000,ROI_Avions!$A46,GestionLignesDemande!$C$4:$C$1000,ROI_Avions!$C46)</f>
        <v>0</v>
      </c>
      <c r="R46" s="133">
        <f>SUMIFS(GestionLignesDemande!F$4:F$1000,GestionLignesDemande!$B$4:$B$1000,ROI_Avions!$A46,GestionLignesDemande!$C$4:$C$1000,ROI_Avions!$C46)</f>
        <v>0</v>
      </c>
      <c r="S46" s="133">
        <f>SUMIFS(GestionLignesDemande!G$4:G$1000,GestionLignesDemande!$B$4:$B$1000,ROI_Avions!$A46,GestionLignesDemande!$C$4:$C$1000,ROI_Avions!$C46)</f>
        <v>0</v>
      </c>
      <c r="T46" s="121"/>
      <c r="U46" s="206">
        <f t="shared" si="97"/>
        <v>335</v>
      </c>
      <c r="V46" s="206">
        <v>270</v>
      </c>
      <c r="W46" s="206">
        <v>45</v>
      </c>
      <c r="X46" s="206">
        <v>14</v>
      </c>
      <c r="Y46" s="206">
        <v>6</v>
      </c>
      <c r="Z46" s="121"/>
      <c r="AA46" s="132">
        <f t="shared" ref="AA46:AA49" si="198">AA45-V46*2</f>
        <v>-1080</v>
      </c>
      <c r="AB46" s="132">
        <f t="shared" ref="AB46:AB49" si="199">AB45-W46*2</f>
        <v>-180</v>
      </c>
      <c r="AC46" s="132">
        <f t="shared" ref="AC46:AC49" si="200">AC45-X46*2</f>
        <v>-56</v>
      </c>
      <c r="AD46" s="132">
        <f t="shared" ref="AD46:AD49" si="201">AD45-Y46*2</f>
        <v>-24</v>
      </c>
      <c r="AE46" s="121"/>
      <c r="AF46" s="26">
        <f>SUMIFS(DataPrixBillets!N$1:N$1000,DataPrixBillets!$J$1:$J$1000,ROI_Avions!$A46,DataPrixBillets!$K$1:$K$1000,ROI_Avions!$C46)</f>
        <v>0</v>
      </c>
      <c r="AG46" s="26">
        <f>SUMIFS(DataPrixBillets!O$1:O$1000,DataPrixBillets!$J$1:$J$1000,ROI_Avions!$A46,DataPrixBillets!$K$1:$K$1000,ROI_Avions!$C46)</f>
        <v>0</v>
      </c>
      <c r="AH46" s="26">
        <f>SUMIFS(DataPrixBillets!P$1:P$1000,DataPrixBillets!$J$1:$J$1000,ROI_Avions!$A46,DataPrixBillets!$K$1:$K$1000,ROI_Avions!$C46)</f>
        <v>0</v>
      </c>
      <c r="AI46" s="26">
        <f>SUMIFS(DataPrixBillets!Q$1:Q$1000,DataPrixBillets!$J$1:$J$1000,ROI_Avions!$A46,DataPrixBillets!$K$1:$K$1000,ROI_Avions!$C46)</f>
        <v>0</v>
      </c>
      <c r="AJ46" s="121"/>
      <c r="AK46" s="206">
        <f t="shared" si="167"/>
        <v>0</v>
      </c>
      <c r="AL46" s="206" t="e">
        <f t="shared" ca="1" si="168"/>
        <v>#REF!</v>
      </c>
      <c r="AM46" s="206" t="e">
        <f t="shared" ca="1" si="169"/>
        <v>#REF!</v>
      </c>
      <c r="AN46" s="206" t="e">
        <f t="shared" ca="1" si="170"/>
        <v>#REF!</v>
      </c>
      <c r="AO46" s="206" t="e">
        <f t="shared" ca="1" si="171"/>
        <v>#REF!</v>
      </c>
      <c r="AP46" s="206" t="e">
        <f t="shared" ca="1" si="172"/>
        <v>#REF!</v>
      </c>
      <c r="AQ46" s="206" t="e">
        <f t="shared" ca="1" si="173"/>
        <v>#REF!</v>
      </c>
      <c r="AR46" s="207">
        <f t="shared" ca="1" si="184"/>
        <v>0</v>
      </c>
      <c r="AS46" s="120">
        <f t="shared" ca="1" si="185"/>
        <v>0</v>
      </c>
      <c r="AT46" s="206" t="e">
        <f t="shared" ca="1" si="174"/>
        <v>#REF!</v>
      </c>
      <c r="AW46" s="205"/>
    </row>
    <row r="47" spans="1:55" s="204" customFormat="1" x14ac:dyDescent="0.3">
      <c r="A47" s="145" t="s">
        <v>315</v>
      </c>
      <c r="B47" s="146">
        <v>0</v>
      </c>
      <c r="C47" s="145" t="s">
        <v>1107</v>
      </c>
      <c r="D47" s="145" t="str">
        <f t="shared" si="15"/>
        <v>SFO/SXR</v>
      </c>
      <c r="E47" s="146">
        <v>148222639</v>
      </c>
      <c r="F47" s="147" t="str">
        <f>"MD11-A-"&amp;A47&amp;"-"&amp;C47&amp;"-"&amp;3</f>
        <v>MD11-A-SFO-SXR-3</v>
      </c>
      <c r="G47" s="146">
        <v>196272000</v>
      </c>
      <c r="H47" s="116"/>
      <c r="I47" s="206"/>
      <c r="J47" s="206"/>
      <c r="K47" s="206"/>
      <c r="L47" s="53"/>
      <c r="M47" s="53"/>
      <c r="N47" s="116"/>
      <c r="O47" s="138"/>
      <c r="P47" s="133">
        <f>SUMIFS(GestionLignesDemande!D$4:D$1000,GestionLignesDemande!$B$4:$B$1000,ROI_Avions!$A47,GestionLignesDemande!$C$4:$C$1000,ROI_Avions!$C47)</f>
        <v>0</v>
      </c>
      <c r="Q47" s="133">
        <f>SUMIFS(GestionLignesDemande!E$4:E$1000,GestionLignesDemande!$B$4:$B$1000,ROI_Avions!$A47,GestionLignesDemande!$C$4:$C$1000,ROI_Avions!$C47)</f>
        <v>0</v>
      </c>
      <c r="R47" s="133">
        <f>SUMIFS(GestionLignesDemande!F$4:F$1000,GestionLignesDemande!$B$4:$B$1000,ROI_Avions!$A47,GestionLignesDemande!$C$4:$C$1000,ROI_Avions!$C47)</f>
        <v>0</v>
      </c>
      <c r="S47" s="133">
        <f>SUMIFS(GestionLignesDemande!G$4:G$1000,GestionLignesDemande!$B$4:$B$1000,ROI_Avions!$A47,GestionLignesDemande!$C$4:$C$1000,ROI_Avions!$C47)</f>
        <v>0</v>
      </c>
      <c r="T47" s="121"/>
      <c r="U47" s="206">
        <f t="shared" si="97"/>
        <v>335</v>
      </c>
      <c r="V47" s="206">
        <v>270</v>
      </c>
      <c r="W47" s="206">
        <v>45</v>
      </c>
      <c r="X47" s="206">
        <v>14</v>
      </c>
      <c r="Y47" s="206">
        <v>6</v>
      </c>
      <c r="Z47" s="121"/>
      <c r="AA47" s="132">
        <f t="shared" si="198"/>
        <v>-1620</v>
      </c>
      <c r="AB47" s="132">
        <f t="shared" si="199"/>
        <v>-270</v>
      </c>
      <c r="AC47" s="132">
        <f t="shared" si="200"/>
        <v>-84</v>
      </c>
      <c r="AD47" s="132">
        <f t="shared" si="201"/>
        <v>-36</v>
      </c>
      <c r="AE47" s="121"/>
      <c r="AF47" s="26">
        <f>SUMIFS(DataPrixBillets!N$1:N$1000,DataPrixBillets!$J$1:$J$1000,ROI_Avions!$A47,DataPrixBillets!$K$1:$K$1000,ROI_Avions!$C47)</f>
        <v>0</v>
      </c>
      <c r="AG47" s="26">
        <f>SUMIFS(DataPrixBillets!O$1:O$1000,DataPrixBillets!$J$1:$J$1000,ROI_Avions!$A47,DataPrixBillets!$K$1:$K$1000,ROI_Avions!$C47)</f>
        <v>0</v>
      </c>
      <c r="AH47" s="26">
        <f>SUMIFS(DataPrixBillets!P$1:P$1000,DataPrixBillets!$J$1:$J$1000,ROI_Avions!$A47,DataPrixBillets!$K$1:$K$1000,ROI_Avions!$C47)</f>
        <v>0</v>
      </c>
      <c r="AI47" s="26">
        <f>SUMIFS(DataPrixBillets!Q$1:Q$1000,DataPrixBillets!$J$1:$J$1000,ROI_Avions!$A47,DataPrixBillets!$K$1:$K$1000,ROI_Avions!$C47)</f>
        <v>0</v>
      </c>
      <c r="AJ47" s="121"/>
      <c r="AK47" s="206">
        <f t="shared" si="167"/>
        <v>0</v>
      </c>
      <c r="AL47" s="206" t="e">
        <f t="shared" ca="1" si="168"/>
        <v>#REF!</v>
      </c>
      <c r="AM47" s="206" t="e">
        <f t="shared" ca="1" si="169"/>
        <v>#REF!</v>
      </c>
      <c r="AN47" s="206" t="e">
        <f t="shared" ca="1" si="170"/>
        <v>#REF!</v>
      </c>
      <c r="AO47" s="206" t="e">
        <f t="shared" ca="1" si="171"/>
        <v>#REF!</v>
      </c>
      <c r="AP47" s="206" t="e">
        <f t="shared" ca="1" si="172"/>
        <v>#REF!</v>
      </c>
      <c r="AQ47" s="206" t="e">
        <f t="shared" ca="1" si="173"/>
        <v>#REF!</v>
      </c>
      <c r="AR47" s="207">
        <f t="shared" ca="1" si="184"/>
        <v>0</v>
      </c>
      <c r="AS47" s="120">
        <f t="shared" ca="1" si="185"/>
        <v>0</v>
      </c>
      <c r="AT47" s="206" t="e">
        <f t="shared" ca="1" si="174"/>
        <v>#REF!</v>
      </c>
      <c r="AW47" s="205"/>
    </row>
    <row r="48" spans="1:55" s="204" customFormat="1" x14ac:dyDescent="0.3">
      <c r="A48" s="145" t="s">
        <v>315</v>
      </c>
      <c r="B48" s="146">
        <v>0</v>
      </c>
      <c r="C48" s="145" t="s">
        <v>1107</v>
      </c>
      <c r="D48" s="145" t="str">
        <f t="shared" si="15"/>
        <v>SFO/SXR</v>
      </c>
      <c r="E48" s="146">
        <v>148222639</v>
      </c>
      <c r="F48" s="147" t="str">
        <f>"MD11-A-"&amp;A48&amp;"-"&amp;C48&amp;"-"&amp;4</f>
        <v>MD11-A-SFO-SXR-4</v>
      </c>
      <c r="G48" s="146">
        <v>196272000</v>
      </c>
      <c r="H48" s="116"/>
      <c r="I48" s="206"/>
      <c r="J48" s="206"/>
      <c r="K48" s="206"/>
      <c r="L48" s="53"/>
      <c r="M48" s="53"/>
      <c r="N48" s="116"/>
      <c r="O48" s="138"/>
      <c r="P48" s="133">
        <f>SUMIFS(GestionLignesDemande!D$4:D$1000,GestionLignesDemande!$B$4:$B$1000,ROI_Avions!$A48,GestionLignesDemande!$C$4:$C$1000,ROI_Avions!$C48)</f>
        <v>0</v>
      </c>
      <c r="Q48" s="133">
        <f>SUMIFS(GestionLignesDemande!E$4:E$1000,GestionLignesDemande!$B$4:$B$1000,ROI_Avions!$A48,GestionLignesDemande!$C$4:$C$1000,ROI_Avions!$C48)</f>
        <v>0</v>
      </c>
      <c r="R48" s="133">
        <f>SUMIFS(GestionLignesDemande!F$4:F$1000,GestionLignesDemande!$B$4:$B$1000,ROI_Avions!$A48,GestionLignesDemande!$C$4:$C$1000,ROI_Avions!$C48)</f>
        <v>0</v>
      </c>
      <c r="S48" s="133">
        <f>SUMIFS(GestionLignesDemande!G$4:G$1000,GestionLignesDemande!$B$4:$B$1000,ROI_Avions!$A48,GestionLignesDemande!$C$4:$C$1000,ROI_Avions!$C48)</f>
        <v>0</v>
      </c>
      <c r="T48" s="121"/>
      <c r="U48" s="206">
        <f t="shared" si="97"/>
        <v>335</v>
      </c>
      <c r="V48" s="206">
        <v>270</v>
      </c>
      <c r="W48" s="206">
        <v>45</v>
      </c>
      <c r="X48" s="206">
        <v>14</v>
      </c>
      <c r="Y48" s="206">
        <v>6</v>
      </c>
      <c r="Z48" s="121"/>
      <c r="AA48" s="132">
        <f t="shared" si="198"/>
        <v>-2160</v>
      </c>
      <c r="AB48" s="132">
        <f t="shared" si="199"/>
        <v>-360</v>
      </c>
      <c r="AC48" s="132">
        <f t="shared" si="200"/>
        <v>-112</v>
      </c>
      <c r="AD48" s="132">
        <f t="shared" si="201"/>
        <v>-48</v>
      </c>
      <c r="AE48" s="121"/>
      <c r="AF48" s="26">
        <f>SUMIFS(DataPrixBillets!N$1:N$1000,DataPrixBillets!$J$1:$J$1000,ROI_Avions!$A48,DataPrixBillets!$K$1:$K$1000,ROI_Avions!$C48)</f>
        <v>0</v>
      </c>
      <c r="AG48" s="26">
        <f>SUMIFS(DataPrixBillets!O$1:O$1000,DataPrixBillets!$J$1:$J$1000,ROI_Avions!$A48,DataPrixBillets!$K$1:$K$1000,ROI_Avions!$C48)</f>
        <v>0</v>
      </c>
      <c r="AH48" s="26">
        <f>SUMIFS(DataPrixBillets!P$1:P$1000,DataPrixBillets!$J$1:$J$1000,ROI_Avions!$A48,DataPrixBillets!$K$1:$K$1000,ROI_Avions!$C48)</f>
        <v>0</v>
      </c>
      <c r="AI48" s="26">
        <f>SUMIFS(DataPrixBillets!Q$1:Q$1000,DataPrixBillets!$J$1:$J$1000,ROI_Avions!$A48,DataPrixBillets!$K$1:$K$1000,ROI_Avions!$C48)</f>
        <v>0</v>
      </c>
      <c r="AJ48" s="121"/>
      <c r="AK48" s="206">
        <f t="shared" si="167"/>
        <v>0</v>
      </c>
      <c r="AL48" s="206" t="e">
        <f t="shared" ca="1" si="168"/>
        <v>#REF!</v>
      </c>
      <c r="AM48" s="206" t="e">
        <f t="shared" ca="1" si="169"/>
        <v>#REF!</v>
      </c>
      <c r="AN48" s="206" t="e">
        <f t="shared" ca="1" si="170"/>
        <v>#REF!</v>
      </c>
      <c r="AO48" s="206" t="e">
        <f t="shared" ca="1" si="171"/>
        <v>#REF!</v>
      </c>
      <c r="AP48" s="206" t="e">
        <f t="shared" ca="1" si="172"/>
        <v>#REF!</v>
      </c>
      <c r="AQ48" s="206" t="e">
        <f t="shared" ca="1" si="173"/>
        <v>#REF!</v>
      </c>
      <c r="AR48" s="207">
        <f t="shared" ca="1" si="184"/>
        <v>0</v>
      </c>
      <c r="AS48" s="120">
        <f t="shared" ca="1" si="185"/>
        <v>0</v>
      </c>
      <c r="AT48" s="206" t="e">
        <f t="shared" ca="1" si="174"/>
        <v>#REF!</v>
      </c>
      <c r="AW48" s="205"/>
    </row>
    <row r="49" spans="1:49" s="204" customFormat="1" x14ac:dyDescent="0.3">
      <c r="A49" s="145" t="s">
        <v>315</v>
      </c>
      <c r="B49" s="146">
        <v>0</v>
      </c>
      <c r="C49" s="145" t="s">
        <v>1107</v>
      </c>
      <c r="D49" s="145" t="str">
        <f t="shared" si="15"/>
        <v>SFO/SXR</v>
      </c>
      <c r="E49" s="146">
        <v>148222639</v>
      </c>
      <c r="F49" s="147" t="str">
        <f>"MD11-A-"&amp;A49&amp;"-"&amp;C49&amp;"-"&amp;5</f>
        <v>MD11-A-SFO-SXR-5</v>
      </c>
      <c r="G49" s="146">
        <v>196272000</v>
      </c>
      <c r="H49" s="116"/>
      <c r="I49" s="206"/>
      <c r="J49" s="206"/>
      <c r="K49" s="206"/>
      <c r="L49" s="53"/>
      <c r="M49" s="53"/>
      <c r="N49" s="116"/>
      <c r="O49" s="138"/>
      <c r="P49" s="133">
        <f>SUMIFS(GestionLignesDemande!D$4:D$1000,GestionLignesDemande!$B$4:$B$1000,ROI_Avions!$A49,GestionLignesDemande!$C$4:$C$1000,ROI_Avions!$C49)</f>
        <v>0</v>
      </c>
      <c r="Q49" s="133">
        <f>SUMIFS(GestionLignesDemande!E$4:E$1000,GestionLignesDemande!$B$4:$B$1000,ROI_Avions!$A49,GestionLignesDemande!$C$4:$C$1000,ROI_Avions!$C49)</f>
        <v>0</v>
      </c>
      <c r="R49" s="133">
        <f>SUMIFS(GestionLignesDemande!F$4:F$1000,GestionLignesDemande!$B$4:$B$1000,ROI_Avions!$A49,GestionLignesDemande!$C$4:$C$1000,ROI_Avions!$C49)</f>
        <v>0</v>
      </c>
      <c r="S49" s="133">
        <f>SUMIFS(GestionLignesDemande!G$4:G$1000,GestionLignesDemande!$B$4:$B$1000,ROI_Avions!$A49,GestionLignesDemande!$C$4:$C$1000,ROI_Avions!$C49)</f>
        <v>0</v>
      </c>
      <c r="T49" s="121"/>
      <c r="U49" s="206">
        <f t="shared" si="97"/>
        <v>335</v>
      </c>
      <c r="V49" s="206">
        <v>270</v>
      </c>
      <c r="W49" s="206">
        <v>45</v>
      </c>
      <c r="X49" s="206">
        <v>14</v>
      </c>
      <c r="Y49" s="206">
        <v>6</v>
      </c>
      <c r="Z49" s="121"/>
      <c r="AA49" s="132">
        <f t="shared" si="198"/>
        <v>-2700</v>
      </c>
      <c r="AB49" s="132">
        <f t="shared" si="199"/>
        <v>-450</v>
      </c>
      <c r="AC49" s="132">
        <f t="shared" si="200"/>
        <v>-140</v>
      </c>
      <c r="AD49" s="132">
        <f t="shared" si="201"/>
        <v>-60</v>
      </c>
      <c r="AE49" s="121"/>
      <c r="AF49" s="26">
        <f>SUMIFS(DataPrixBillets!N$1:N$1000,DataPrixBillets!$J$1:$J$1000,ROI_Avions!$A49,DataPrixBillets!$K$1:$K$1000,ROI_Avions!$C49)</f>
        <v>0</v>
      </c>
      <c r="AG49" s="26">
        <f>SUMIFS(DataPrixBillets!O$1:O$1000,DataPrixBillets!$J$1:$J$1000,ROI_Avions!$A49,DataPrixBillets!$K$1:$K$1000,ROI_Avions!$C49)</f>
        <v>0</v>
      </c>
      <c r="AH49" s="26">
        <f>SUMIFS(DataPrixBillets!P$1:P$1000,DataPrixBillets!$J$1:$J$1000,ROI_Avions!$A49,DataPrixBillets!$K$1:$K$1000,ROI_Avions!$C49)</f>
        <v>0</v>
      </c>
      <c r="AI49" s="26">
        <f>SUMIFS(DataPrixBillets!Q$1:Q$1000,DataPrixBillets!$J$1:$J$1000,ROI_Avions!$A49,DataPrixBillets!$K$1:$K$1000,ROI_Avions!$C49)</f>
        <v>0</v>
      </c>
      <c r="AJ49" s="121"/>
      <c r="AK49" s="206">
        <f t="shared" si="167"/>
        <v>0</v>
      </c>
      <c r="AL49" s="206" t="e">
        <f t="shared" ca="1" si="168"/>
        <v>#REF!</v>
      </c>
      <c r="AM49" s="206" t="e">
        <f t="shared" ca="1" si="169"/>
        <v>#REF!</v>
      </c>
      <c r="AN49" s="206" t="e">
        <f t="shared" ca="1" si="170"/>
        <v>#REF!</v>
      </c>
      <c r="AO49" s="206" t="e">
        <f t="shared" ca="1" si="171"/>
        <v>#REF!</v>
      </c>
      <c r="AP49" s="206" t="e">
        <f t="shared" ca="1" si="172"/>
        <v>#REF!</v>
      </c>
      <c r="AQ49" s="206" t="e">
        <f t="shared" ca="1" si="173"/>
        <v>#REF!</v>
      </c>
      <c r="AR49" s="207">
        <f t="shared" ca="1" si="184"/>
        <v>0</v>
      </c>
      <c r="AS49" s="120">
        <f t="shared" ca="1" si="185"/>
        <v>0</v>
      </c>
      <c r="AT49" s="206" t="e">
        <f t="shared" ca="1" si="174"/>
        <v>#REF!</v>
      </c>
      <c r="AW49" s="205"/>
    </row>
    <row r="50" spans="1:49" s="204" customFormat="1" x14ac:dyDescent="0.3">
      <c r="A50" s="145" t="s">
        <v>315</v>
      </c>
      <c r="B50" s="146">
        <v>0</v>
      </c>
      <c r="C50" s="145" t="s">
        <v>1108</v>
      </c>
      <c r="D50" s="145" t="str">
        <f t="shared" si="15"/>
        <v>SFO/HAN</v>
      </c>
      <c r="E50" s="146">
        <v>123541862</v>
      </c>
      <c r="F50" s="147" t="str">
        <f>"MD11-A-"&amp;A50&amp;"-"&amp;C50&amp;"-"&amp;1</f>
        <v>MD11-A-SFO-HAN-1</v>
      </c>
      <c r="G50" s="146">
        <v>196272000</v>
      </c>
      <c r="H50" s="116"/>
      <c r="I50" s="206"/>
      <c r="J50" s="206"/>
      <c r="K50" s="206"/>
      <c r="L50" s="53"/>
      <c r="M50" s="53"/>
      <c r="N50" s="116"/>
      <c r="O50" s="138"/>
      <c r="P50" s="133">
        <f>SUMIFS(GestionLignesDemande!D$4:D$1000,GestionLignesDemande!$B$4:$B$1000,ROI_Avions!$A50,GestionLignesDemande!$C$4:$C$1000,ROI_Avions!$C50)</f>
        <v>0</v>
      </c>
      <c r="Q50" s="133">
        <f>SUMIFS(GestionLignesDemande!E$4:E$1000,GestionLignesDemande!$B$4:$B$1000,ROI_Avions!$A50,GestionLignesDemande!$C$4:$C$1000,ROI_Avions!$C50)</f>
        <v>0</v>
      </c>
      <c r="R50" s="133">
        <f>SUMIFS(GestionLignesDemande!F$4:F$1000,GestionLignesDemande!$B$4:$B$1000,ROI_Avions!$A50,GestionLignesDemande!$C$4:$C$1000,ROI_Avions!$C50)</f>
        <v>0</v>
      </c>
      <c r="S50" s="133">
        <f>SUMIFS(GestionLignesDemande!G$4:G$1000,GestionLignesDemande!$B$4:$B$1000,ROI_Avions!$A50,GestionLignesDemande!$C$4:$C$1000,ROI_Avions!$C50)</f>
        <v>0</v>
      </c>
      <c r="T50" s="121"/>
      <c r="U50" s="206">
        <f t="shared" si="97"/>
        <v>335</v>
      </c>
      <c r="V50" s="206">
        <v>270</v>
      </c>
      <c r="W50" s="206">
        <v>45</v>
      </c>
      <c r="X50" s="206">
        <v>14</v>
      </c>
      <c r="Y50" s="206">
        <v>6</v>
      </c>
      <c r="Z50" s="121"/>
      <c r="AA50" s="132">
        <f>P50-(V50*2)</f>
        <v>-540</v>
      </c>
      <c r="AB50" s="132">
        <f t="shared" ref="AB50" si="202">Q50-(W50*2)</f>
        <v>-90</v>
      </c>
      <c r="AC50" s="132">
        <f t="shared" ref="AC50" si="203">R50-(X50*2)</f>
        <v>-28</v>
      </c>
      <c r="AD50" s="132">
        <f t="shared" ref="AD50" si="204">S50-(Y50*2)</f>
        <v>-12</v>
      </c>
      <c r="AE50" s="121"/>
      <c r="AF50" s="26">
        <f>SUMIFS(DataPrixBillets!N$1:N$1000,DataPrixBillets!$J$1:$J$1000,ROI_Avions!$A50,DataPrixBillets!$K$1:$K$1000,ROI_Avions!$C50)</f>
        <v>0</v>
      </c>
      <c r="AG50" s="26">
        <f>SUMIFS(DataPrixBillets!O$1:O$1000,DataPrixBillets!$J$1:$J$1000,ROI_Avions!$A50,DataPrixBillets!$K$1:$K$1000,ROI_Avions!$C50)</f>
        <v>0</v>
      </c>
      <c r="AH50" s="26">
        <f>SUMIFS(DataPrixBillets!P$1:P$1000,DataPrixBillets!$J$1:$J$1000,ROI_Avions!$A50,DataPrixBillets!$K$1:$K$1000,ROI_Avions!$C50)</f>
        <v>0</v>
      </c>
      <c r="AI50" s="26">
        <f>SUMIFS(DataPrixBillets!Q$1:Q$1000,DataPrixBillets!$J$1:$J$1000,ROI_Avions!$A50,DataPrixBillets!$K$1:$K$1000,ROI_Avions!$C50)</f>
        <v>0</v>
      </c>
      <c r="AJ50" s="121"/>
      <c r="AK50" s="206">
        <f t="shared" si="167"/>
        <v>0</v>
      </c>
      <c r="AL50" s="206" t="e">
        <f t="shared" ca="1" si="168"/>
        <v>#REF!</v>
      </c>
      <c r="AM50" s="206" t="e">
        <f t="shared" ca="1" si="169"/>
        <v>#REF!</v>
      </c>
      <c r="AN50" s="206" t="e">
        <f t="shared" ca="1" si="170"/>
        <v>#REF!</v>
      </c>
      <c r="AO50" s="206" t="e">
        <f t="shared" ca="1" si="171"/>
        <v>#REF!</v>
      </c>
      <c r="AP50" s="206" t="e">
        <f t="shared" ca="1" si="172"/>
        <v>#REF!</v>
      </c>
      <c r="AQ50" s="206" t="e">
        <f t="shared" ca="1" si="173"/>
        <v>#REF!</v>
      </c>
      <c r="AR50" s="207">
        <f t="shared" ca="1" si="184"/>
        <v>0</v>
      </c>
      <c r="AS50" s="120">
        <f t="shared" ca="1" si="185"/>
        <v>0</v>
      </c>
      <c r="AT50" s="206" t="e">
        <f t="shared" ca="1" si="174"/>
        <v>#REF!</v>
      </c>
      <c r="AW50" s="205"/>
    </row>
    <row r="51" spans="1:49" s="204" customFormat="1" x14ac:dyDescent="0.3">
      <c r="A51" s="145" t="s">
        <v>315</v>
      </c>
      <c r="B51" s="146">
        <v>0</v>
      </c>
      <c r="C51" s="145" t="s">
        <v>1108</v>
      </c>
      <c r="D51" s="145" t="str">
        <f t="shared" si="15"/>
        <v>SFO/HAN</v>
      </c>
      <c r="E51" s="146">
        <v>123541862</v>
      </c>
      <c r="F51" s="147" t="str">
        <f t="shared" ref="F51" si="205">"MD11-A-"&amp;A51&amp;"-"&amp;C51&amp;"-"&amp;2</f>
        <v>MD11-A-SFO-HAN-2</v>
      </c>
      <c r="G51" s="146">
        <v>196272000</v>
      </c>
      <c r="H51" s="116"/>
      <c r="I51" s="206"/>
      <c r="J51" s="206"/>
      <c r="K51" s="206"/>
      <c r="L51" s="53"/>
      <c r="M51" s="53"/>
      <c r="N51" s="116"/>
      <c r="O51" s="138"/>
      <c r="P51" s="133">
        <f>SUMIFS(GestionLignesDemande!D$4:D$1000,GestionLignesDemande!$B$4:$B$1000,ROI_Avions!$A51,GestionLignesDemande!$C$4:$C$1000,ROI_Avions!$C51)</f>
        <v>0</v>
      </c>
      <c r="Q51" s="133">
        <f>SUMIFS(GestionLignesDemande!E$4:E$1000,GestionLignesDemande!$B$4:$B$1000,ROI_Avions!$A51,GestionLignesDemande!$C$4:$C$1000,ROI_Avions!$C51)</f>
        <v>0</v>
      </c>
      <c r="R51" s="133">
        <f>SUMIFS(GestionLignesDemande!F$4:F$1000,GestionLignesDemande!$B$4:$B$1000,ROI_Avions!$A51,GestionLignesDemande!$C$4:$C$1000,ROI_Avions!$C51)</f>
        <v>0</v>
      </c>
      <c r="S51" s="133">
        <f>SUMIFS(GestionLignesDemande!G$4:G$1000,GestionLignesDemande!$B$4:$B$1000,ROI_Avions!$A51,GestionLignesDemande!$C$4:$C$1000,ROI_Avions!$C51)</f>
        <v>0</v>
      </c>
      <c r="T51" s="121"/>
      <c r="U51" s="206">
        <f t="shared" si="97"/>
        <v>335</v>
      </c>
      <c r="V51" s="206">
        <v>270</v>
      </c>
      <c r="W51" s="206">
        <v>45</v>
      </c>
      <c r="X51" s="206">
        <v>14</v>
      </c>
      <c r="Y51" s="206">
        <v>6</v>
      </c>
      <c r="Z51" s="121"/>
      <c r="AA51" s="132">
        <f t="shared" ref="AA51:AA54" si="206">AA50-V51*2</f>
        <v>-1080</v>
      </c>
      <c r="AB51" s="132">
        <f t="shared" ref="AB51:AB54" si="207">AB50-W51*2</f>
        <v>-180</v>
      </c>
      <c r="AC51" s="132">
        <f t="shared" ref="AC51:AC54" si="208">AC50-X51*2</f>
        <v>-56</v>
      </c>
      <c r="AD51" s="132">
        <f t="shared" ref="AD51:AD54" si="209">AD50-Y51*2</f>
        <v>-24</v>
      </c>
      <c r="AE51" s="121"/>
      <c r="AF51" s="26">
        <f>SUMIFS(DataPrixBillets!N$1:N$1000,DataPrixBillets!$J$1:$J$1000,ROI_Avions!$A51,DataPrixBillets!$K$1:$K$1000,ROI_Avions!$C51)</f>
        <v>0</v>
      </c>
      <c r="AG51" s="26">
        <f>SUMIFS(DataPrixBillets!O$1:O$1000,DataPrixBillets!$J$1:$J$1000,ROI_Avions!$A51,DataPrixBillets!$K$1:$K$1000,ROI_Avions!$C51)</f>
        <v>0</v>
      </c>
      <c r="AH51" s="26">
        <f>SUMIFS(DataPrixBillets!P$1:P$1000,DataPrixBillets!$J$1:$J$1000,ROI_Avions!$A51,DataPrixBillets!$K$1:$K$1000,ROI_Avions!$C51)</f>
        <v>0</v>
      </c>
      <c r="AI51" s="26">
        <f>SUMIFS(DataPrixBillets!Q$1:Q$1000,DataPrixBillets!$J$1:$J$1000,ROI_Avions!$A51,DataPrixBillets!$K$1:$K$1000,ROI_Avions!$C51)</f>
        <v>0</v>
      </c>
      <c r="AJ51" s="121"/>
      <c r="AK51" s="206">
        <f t="shared" si="167"/>
        <v>0</v>
      </c>
      <c r="AL51" s="206" t="e">
        <f t="shared" ca="1" si="168"/>
        <v>#REF!</v>
      </c>
      <c r="AM51" s="206" t="e">
        <f t="shared" ca="1" si="169"/>
        <v>#REF!</v>
      </c>
      <c r="AN51" s="206" t="e">
        <f t="shared" ca="1" si="170"/>
        <v>#REF!</v>
      </c>
      <c r="AO51" s="206" t="e">
        <f t="shared" ca="1" si="171"/>
        <v>#REF!</v>
      </c>
      <c r="AP51" s="206" t="e">
        <f t="shared" ca="1" si="172"/>
        <v>#REF!</v>
      </c>
      <c r="AQ51" s="206" t="e">
        <f t="shared" ca="1" si="173"/>
        <v>#REF!</v>
      </c>
      <c r="AR51" s="207">
        <f t="shared" ca="1" si="184"/>
        <v>0</v>
      </c>
      <c r="AS51" s="120">
        <f t="shared" ca="1" si="185"/>
        <v>0</v>
      </c>
      <c r="AT51" s="206" t="e">
        <f t="shared" ca="1" si="174"/>
        <v>#REF!</v>
      </c>
      <c r="AW51" s="205"/>
    </row>
    <row r="52" spans="1:49" s="204" customFormat="1" x14ac:dyDescent="0.3">
      <c r="A52" s="145" t="s">
        <v>315</v>
      </c>
      <c r="B52" s="146">
        <v>0</v>
      </c>
      <c r="C52" s="145" t="s">
        <v>1108</v>
      </c>
      <c r="D52" s="145" t="str">
        <f t="shared" si="15"/>
        <v>SFO/HAN</v>
      </c>
      <c r="E52" s="146">
        <v>123541862</v>
      </c>
      <c r="F52" s="147" t="str">
        <f>"MD11-A-"&amp;A52&amp;"-"&amp;C52&amp;"-"&amp;3</f>
        <v>MD11-A-SFO-HAN-3</v>
      </c>
      <c r="G52" s="146">
        <v>196272000</v>
      </c>
      <c r="H52" s="116"/>
      <c r="I52" s="206"/>
      <c r="J52" s="206"/>
      <c r="K52" s="206"/>
      <c r="L52" s="53"/>
      <c r="M52" s="53"/>
      <c r="N52" s="116"/>
      <c r="O52" s="138"/>
      <c r="P52" s="133">
        <f>SUMIFS(GestionLignesDemande!D$4:D$1000,GestionLignesDemande!$B$4:$B$1000,ROI_Avions!$A52,GestionLignesDemande!$C$4:$C$1000,ROI_Avions!$C52)</f>
        <v>0</v>
      </c>
      <c r="Q52" s="133">
        <f>SUMIFS(GestionLignesDemande!E$4:E$1000,GestionLignesDemande!$B$4:$B$1000,ROI_Avions!$A52,GestionLignesDemande!$C$4:$C$1000,ROI_Avions!$C52)</f>
        <v>0</v>
      </c>
      <c r="R52" s="133">
        <f>SUMIFS(GestionLignesDemande!F$4:F$1000,GestionLignesDemande!$B$4:$B$1000,ROI_Avions!$A52,GestionLignesDemande!$C$4:$C$1000,ROI_Avions!$C52)</f>
        <v>0</v>
      </c>
      <c r="S52" s="133">
        <f>SUMIFS(GestionLignesDemande!G$4:G$1000,GestionLignesDemande!$B$4:$B$1000,ROI_Avions!$A52,GestionLignesDemande!$C$4:$C$1000,ROI_Avions!$C52)</f>
        <v>0</v>
      </c>
      <c r="T52" s="121"/>
      <c r="U52" s="206">
        <f t="shared" si="97"/>
        <v>335</v>
      </c>
      <c r="V52" s="206">
        <v>270</v>
      </c>
      <c r="W52" s="206">
        <v>45</v>
      </c>
      <c r="X52" s="206">
        <v>14</v>
      </c>
      <c r="Y52" s="206">
        <v>6</v>
      </c>
      <c r="Z52" s="121"/>
      <c r="AA52" s="132">
        <f t="shared" si="206"/>
        <v>-1620</v>
      </c>
      <c r="AB52" s="132">
        <f t="shared" si="207"/>
        <v>-270</v>
      </c>
      <c r="AC52" s="132">
        <f t="shared" si="208"/>
        <v>-84</v>
      </c>
      <c r="AD52" s="132">
        <f t="shared" si="209"/>
        <v>-36</v>
      </c>
      <c r="AE52" s="121"/>
      <c r="AF52" s="26">
        <f>SUMIFS(DataPrixBillets!N$1:N$1000,DataPrixBillets!$J$1:$J$1000,ROI_Avions!$A52,DataPrixBillets!$K$1:$K$1000,ROI_Avions!$C52)</f>
        <v>0</v>
      </c>
      <c r="AG52" s="26">
        <f>SUMIFS(DataPrixBillets!O$1:O$1000,DataPrixBillets!$J$1:$J$1000,ROI_Avions!$A52,DataPrixBillets!$K$1:$K$1000,ROI_Avions!$C52)</f>
        <v>0</v>
      </c>
      <c r="AH52" s="26">
        <f>SUMIFS(DataPrixBillets!P$1:P$1000,DataPrixBillets!$J$1:$J$1000,ROI_Avions!$A52,DataPrixBillets!$K$1:$K$1000,ROI_Avions!$C52)</f>
        <v>0</v>
      </c>
      <c r="AI52" s="26">
        <f>SUMIFS(DataPrixBillets!Q$1:Q$1000,DataPrixBillets!$J$1:$J$1000,ROI_Avions!$A52,DataPrixBillets!$K$1:$K$1000,ROI_Avions!$C52)</f>
        <v>0</v>
      </c>
      <c r="AJ52" s="121"/>
      <c r="AK52" s="206">
        <f t="shared" si="167"/>
        <v>0</v>
      </c>
      <c r="AL52" s="206" t="e">
        <f t="shared" ca="1" si="168"/>
        <v>#REF!</v>
      </c>
      <c r="AM52" s="206" t="e">
        <f t="shared" ca="1" si="169"/>
        <v>#REF!</v>
      </c>
      <c r="AN52" s="206" t="e">
        <f t="shared" ca="1" si="170"/>
        <v>#REF!</v>
      </c>
      <c r="AO52" s="206" t="e">
        <f t="shared" ca="1" si="171"/>
        <v>#REF!</v>
      </c>
      <c r="AP52" s="206" t="e">
        <f t="shared" ca="1" si="172"/>
        <v>#REF!</v>
      </c>
      <c r="AQ52" s="206" t="e">
        <f t="shared" ca="1" si="173"/>
        <v>#REF!</v>
      </c>
      <c r="AR52" s="207">
        <f t="shared" ca="1" si="184"/>
        <v>0</v>
      </c>
      <c r="AS52" s="120">
        <f t="shared" ca="1" si="185"/>
        <v>0</v>
      </c>
      <c r="AT52" s="206" t="e">
        <f t="shared" ca="1" si="174"/>
        <v>#REF!</v>
      </c>
      <c r="AW52" s="205"/>
    </row>
    <row r="53" spans="1:49" s="204" customFormat="1" x14ac:dyDescent="0.3">
      <c r="A53" s="145" t="s">
        <v>315</v>
      </c>
      <c r="B53" s="146">
        <v>0</v>
      </c>
      <c r="C53" s="145" t="s">
        <v>1108</v>
      </c>
      <c r="D53" s="145" t="str">
        <f t="shared" si="15"/>
        <v>SFO/HAN</v>
      </c>
      <c r="E53" s="146">
        <v>123541862</v>
      </c>
      <c r="F53" s="147" t="str">
        <f>"MD11-A-"&amp;A53&amp;"-"&amp;C53&amp;"-"&amp;4</f>
        <v>MD11-A-SFO-HAN-4</v>
      </c>
      <c r="G53" s="146">
        <v>196272000</v>
      </c>
      <c r="H53" s="116"/>
      <c r="I53" s="206"/>
      <c r="J53" s="206"/>
      <c r="K53" s="206"/>
      <c r="L53" s="53"/>
      <c r="M53" s="53"/>
      <c r="N53" s="116"/>
      <c r="O53" s="138"/>
      <c r="P53" s="133">
        <f>SUMIFS(GestionLignesDemande!D$4:D$1000,GestionLignesDemande!$B$4:$B$1000,ROI_Avions!$A53,GestionLignesDemande!$C$4:$C$1000,ROI_Avions!$C53)</f>
        <v>0</v>
      </c>
      <c r="Q53" s="133">
        <f>SUMIFS(GestionLignesDemande!E$4:E$1000,GestionLignesDemande!$B$4:$B$1000,ROI_Avions!$A53,GestionLignesDemande!$C$4:$C$1000,ROI_Avions!$C53)</f>
        <v>0</v>
      </c>
      <c r="R53" s="133">
        <f>SUMIFS(GestionLignesDemande!F$4:F$1000,GestionLignesDemande!$B$4:$B$1000,ROI_Avions!$A53,GestionLignesDemande!$C$4:$C$1000,ROI_Avions!$C53)</f>
        <v>0</v>
      </c>
      <c r="S53" s="133">
        <f>SUMIFS(GestionLignesDemande!G$4:G$1000,GestionLignesDemande!$B$4:$B$1000,ROI_Avions!$A53,GestionLignesDemande!$C$4:$C$1000,ROI_Avions!$C53)</f>
        <v>0</v>
      </c>
      <c r="T53" s="121"/>
      <c r="U53" s="206">
        <f t="shared" si="97"/>
        <v>335</v>
      </c>
      <c r="V53" s="206">
        <v>270</v>
      </c>
      <c r="W53" s="206">
        <v>45</v>
      </c>
      <c r="X53" s="206">
        <v>14</v>
      </c>
      <c r="Y53" s="206">
        <v>6</v>
      </c>
      <c r="Z53" s="121"/>
      <c r="AA53" s="132">
        <f t="shared" si="206"/>
        <v>-2160</v>
      </c>
      <c r="AB53" s="132">
        <f t="shared" si="207"/>
        <v>-360</v>
      </c>
      <c r="AC53" s="132">
        <f t="shared" si="208"/>
        <v>-112</v>
      </c>
      <c r="AD53" s="132">
        <f t="shared" si="209"/>
        <v>-48</v>
      </c>
      <c r="AE53" s="121"/>
      <c r="AF53" s="26">
        <f>SUMIFS(DataPrixBillets!N$1:N$1000,DataPrixBillets!$J$1:$J$1000,ROI_Avions!$A53,DataPrixBillets!$K$1:$K$1000,ROI_Avions!$C53)</f>
        <v>0</v>
      </c>
      <c r="AG53" s="26">
        <f>SUMIFS(DataPrixBillets!O$1:O$1000,DataPrixBillets!$J$1:$J$1000,ROI_Avions!$A53,DataPrixBillets!$K$1:$K$1000,ROI_Avions!$C53)</f>
        <v>0</v>
      </c>
      <c r="AH53" s="26">
        <f>SUMIFS(DataPrixBillets!P$1:P$1000,DataPrixBillets!$J$1:$J$1000,ROI_Avions!$A53,DataPrixBillets!$K$1:$K$1000,ROI_Avions!$C53)</f>
        <v>0</v>
      </c>
      <c r="AI53" s="26">
        <f>SUMIFS(DataPrixBillets!Q$1:Q$1000,DataPrixBillets!$J$1:$J$1000,ROI_Avions!$A53,DataPrixBillets!$K$1:$K$1000,ROI_Avions!$C53)</f>
        <v>0</v>
      </c>
      <c r="AJ53" s="121"/>
      <c r="AK53" s="206">
        <f t="shared" si="167"/>
        <v>0</v>
      </c>
      <c r="AL53" s="206" t="e">
        <f t="shared" ca="1" si="168"/>
        <v>#REF!</v>
      </c>
      <c r="AM53" s="206" t="e">
        <f t="shared" ca="1" si="169"/>
        <v>#REF!</v>
      </c>
      <c r="AN53" s="206" t="e">
        <f t="shared" ca="1" si="170"/>
        <v>#REF!</v>
      </c>
      <c r="AO53" s="206" t="e">
        <f t="shared" ca="1" si="171"/>
        <v>#REF!</v>
      </c>
      <c r="AP53" s="206" t="e">
        <f t="shared" ca="1" si="172"/>
        <v>#REF!</v>
      </c>
      <c r="AQ53" s="206" t="e">
        <f t="shared" ca="1" si="173"/>
        <v>#REF!</v>
      </c>
      <c r="AR53" s="207">
        <f t="shared" ca="1" si="184"/>
        <v>0</v>
      </c>
      <c r="AS53" s="120">
        <f t="shared" ca="1" si="185"/>
        <v>0</v>
      </c>
      <c r="AT53" s="206" t="e">
        <f t="shared" ca="1" si="174"/>
        <v>#REF!</v>
      </c>
      <c r="AW53" s="205"/>
    </row>
    <row r="54" spans="1:49" s="204" customFormat="1" x14ac:dyDescent="0.3">
      <c r="A54" s="145" t="s">
        <v>315</v>
      </c>
      <c r="B54" s="146">
        <v>0</v>
      </c>
      <c r="C54" s="145" t="s">
        <v>1108</v>
      </c>
      <c r="D54" s="145" t="str">
        <f t="shared" si="15"/>
        <v>SFO/HAN</v>
      </c>
      <c r="E54" s="146">
        <v>123541862</v>
      </c>
      <c r="F54" s="147" t="str">
        <f>"MD11-A-"&amp;A54&amp;"-"&amp;C54&amp;"-"&amp;5</f>
        <v>MD11-A-SFO-HAN-5</v>
      </c>
      <c r="G54" s="146">
        <v>196272000</v>
      </c>
      <c r="H54" s="116"/>
      <c r="I54" s="206"/>
      <c r="J54" s="206"/>
      <c r="K54" s="206"/>
      <c r="L54" s="53"/>
      <c r="M54" s="53"/>
      <c r="N54" s="116"/>
      <c r="O54" s="138"/>
      <c r="P54" s="133">
        <f>SUMIFS(GestionLignesDemande!D$4:D$1000,GestionLignesDemande!$B$4:$B$1000,ROI_Avions!$A54,GestionLignesDemande!$C$4:$C$1000,ROI_Avions!$C54)</f>
        <v>0</v>
      </c>
      <c r="Q54" s="133">
        <f>SUMIFS(GestionLignesDemande!E$4:E$1000,GestionLignesDemande!$B$4:$B$1000,ROI_Avions!$A54,GestionLignesDemande!$C$4:$C$1000,ROI_Avions!$C54)</f>
        <v>0</v>
      </c>
      <c r="R54" s="133">
        <f>SUMIFS(GestionLignesDemande!F$4:F$1000,GestionLignesDemande!$B$4:$B$1000,ROI_Avions!$A54,GestionLignesDemande!$C$4:$C$1000,ROI_Avions!$C54)</f>
        <v>0</v>
      </c>
      <c r="S54" s="133">
        <f>SUMIFS(GestionLignesDemande!G$4:G$1000,GestionLignesDemande!$B$4:$B$1000,ROI_Avions!$A54,GestionLignesDemande!$C$4:$C$1000,ROI_Avions!$C54)</f>
        <v>0</v>
      </c>
      <c r="T54" s="121"/>
      <c r="U54" s="206">
        <f t="shared" si="97"/>
        <v>335</v>
      </c>
      <c r="V54" s="206">
        <v>270</v>
      </c>
      <c r="W54" s="206">
        <v>45</v>
      </c>
      <c r="X54" s="206">
        <v>14</v>
      </c>
      <c r="Y54" s="206">
        <v>6</v>
      </c>
      <c r="Z54" s="121"/>
      <c r="AA54" s="132">
        <f t="shared" si="206"/>
        <v>-2700</v>
      </c>
      <c r="AB54" s="132">
        <f t="shared" si="207"/>
        <v>-450</v>
      </c>
      <c r="AC54" s="132">
        <f t="shared" si="208"/>
        <v>-140</v>
      </c>
      <c r="AD54" s="132">
        <f t="shared" si="209"/>
        <v>-60</v>
      </c>
      <c r="AE54" s="121"/>
      <c r="AF54" s="26">
        <f>SUMIFS(DataPrixBillets!N$1:N$1000,DataPrixBillets!$J$1:$J$1000,ROI_Avions!$A54,DataPrixBillets!$K$1:$K$1000,ROI_Avions!$C54)</f>
        <v>0</v>
      </c>
      <c r="AG54" s="26">
        <f>SUMIFS(DataPrixBillets!O$1:O$1000,DataPrixBillets!$J$1:$J$1000,ROI_Avions!$A54,DataPrixBillets!$K$1:$K$1000,ROI_Avions!$C54)</f>
        <v>0</v>
      </c>
      <c r="AH54" s="26">
        <f>SUMIFS(DataPrixBillets!P$1:P$1000,DataPrixBillets!$J$1:$J$1000,ROI_Avions!$A54,DataPrixBillets!$K$1:$K$1000,ROI_Avions!$C54)</f>
        <v>0</v>
      </c>
      <c r="AI54" s="26">
        <f>SUMIFS(DataPrixBillets!Q$1:Q$1000,DataPrixBillets!$J$1:$J$1000,ROI_Avions!$A54,DataPrixBillets!$K$1:$K$1000,ROI_Avions!$C54)</f>
        <v>0</v>
      </c>
      <c r="AJ54" s="121"/>
      <c r="AK54" s="206">
        <f t="shared" si="167"/>
        <v>0</v>
      </c>
      <c r="AL54" s="206" t="e">
        <f t="shared" ca="1" si="168"/>
        <v>#REF!</v>
      </c>
      <c r="AM54" s="206" t="e">
        <f t="shared" ca="1" si="169"/>
        <v>#REF!</v>
      </c>
      <c r="AN54" s="206" t="e">
        <f t="shared" ca="1" si="170"/>
        <v>#REF!</v>
      </c>
      <c r="AO54" s="206" t="e">
        <f t="shared" ca="1" si="171"/>
        <v>#REF!</v>
      </c>
      <c r="AP54" s="206" t="e">
        <f t="shared" ca="1" si="172"/>
        <v>#REF!</v>
      </c>
      <c r="AQ54" s="206" t="e">
        <f t="shared" ca="1" si="173"/>
        <v>#REF!</v>
      </c>
      <c r="AR54" s="207">
        <f t="shared" ca="1" si="184"/>
        <v>0</v>
      </c>
      <c r="AS54" s="120">
        <f t="shared" ca="1" si="185"/>
        <v>0</v>
      </c>
      <c r="AT54" s="206" t="e">
        <f t="shared" ca="1" si="174"/>
        <v>#REF!</v>
      </c>
      <c r="AW54" s="205"/>
    </row>
    <row r="55" spans="1:49" s="204" customFormat="1" x14ac:dyDescent="0.3">
      <c r="A55" s="145" t="s">
        <v>315</v>
      </c>
      <c r="B55" s="146">
        <v>0</v>
      </c>
      <c r="C55" s="145" t="s">
        <v>1109</v>
      </c>
      <c r="D55" s="145" t="str">
        <f t="shared" si="15"/>
        <v>SFO/CGO</v>
      </c>
      <c r="E55" s="146">
        <v>98312274</v>
      </c>
      <c r="F55" s="147" t="str">
        <f>"MD11-A-"&amp;A55&amp;"-"&amp;C55&amp;"-"&amp;1</f>
        <v>MD11-A-SFO-CGO-1</v>
      </c>
      <c r="G55" s="146">
        <v>196272000</v>
      </c>
      <c r="H55" s="116"/>
      <c r="I55" s="206"/>
      <c r="J55" s="206"/>
      <c r="K55" s="206"/>
      <c r="L55" s="53"/>
      <c r="M55" s="53"/>
      <c r="N55" s="116"/>
      <c r="O55" s="138"/>
      <c r="P55" s="133">
        <f>SUMIFS(GestionLignesDemande!D$4:D$1000,GestionLignesDemande!$B$4:$B$1000,ROI_Avions!$A55,GestionLignesDemande!$C$4:$C$1000,ROI_Avions!$C55)</f>
        <v>0</v>
      </c>
      <c r="Q55" s="133">
        <f>SUMIFS(GestionLignesDemande!E$4:E$1000,GestionLignesDemande!$B$4:$B$1000,ROI_Avions!$A55,GestionLignesDemande!$C$4:$C$1000,ROI_Avions!$C55)</f>
        <v>0</v>
      </c>
      <c r="R55" s="133">
        <f>SUMIFS(GestionLignesDemande!F$4:F$1000,GestionLignesDemande!$B$4:$B$1000,ROI_Avions!$A55,GestionLignesDemande!$C$4:$C$1000,ROI_Avions!$C55)</f>
        <v>0</v>
      </c>
      <c r="S55" s="133">
        <f>SUMIFS(GestionLignesDemande!G$4:G$1000,GestionLignesDemande!$B$4:$B$1000,ROI_Avions!$A55,GestionLignesDemande!$C$4:$C$1000,ROI_Avions!$C55)</f>
        <v>0</v>
      </c>
      <c r="T55" s="121"/>
      <c r="U55" s="206">
        <f t="shared" si="97"/>
        <v>335</v>
      </c>
      <c r="V55" s="206">
        <v>270</v>
      </c>
      <c r="W55" s="206">
        <v>45</v>
      </c>
      <c r="X55" s="206">
        <v>14</v>
      </c>
      <c r="Y55" s="206">
        <v>6</v>
      </c>
      <c r="Z55" s="121"/>
      <c r="AA55" s="132">
        <f>P55-(V55*2)</f>
        <v>-540</v>
      </c>
      <c r="AB55" s="132">
        <f t="shared" ref="AB55" si="210">Q55-(W55*2)</f>
        <v>-90</v>
      </c>
      <c r="AC55" s="132">
        <f t="shared" ref="AC55" si="211">R55-(X55*2)</f>
        <v>-28</v>
      </c>
      <c r="AD55" s="132">
        <f t="shared" ref="AD55" si="212">S55-(Y55*2)</f>
        <v>-12</v>
      </c>
      <c r="AE55" s="121"/>
      <c r="AF55" s="26">
        <f>SUMIFS(DataPrixBillets!N$1:N$1000,DataPrixBillets!$J$1:$J$1000,ROI_Avions!$A55,DataPrixBillets!$K$1:$K$1000,ROI_Avions!$C55)</f>
        <v>0</v>
      </c>
      <c r="AG55" s="26">
        <f>SUMIFS(DataPrixBillets!O$1:O$1000,DataPrixBillets!$J$1:$J$1000,ROI_Avions!$A55,DataPrixBillets!$K$1:$K$1000,ROI_Avions!$C55)</f>
        <v>0</v>
      </c>
      <c r="AH55" s="26">
        <f>SUMIFS(DataPrixBillets!P$1:P$1000,DataPrixBillets!$J$1:$J$1000,ROI_Avions!$A55,DataPrixBillets!$K$1:$K$1000,ROI_Avions!$C55)</f>
        <v>0</v>
      </c>
      <c r="AI55" s="26">
        <f>SUMIFS(DataPrixBillets!Q$1:Q$1000,DataPrixBillets!$J$1:$J$1000,ROI_Avions!$A55,DataPrixBillets!$K$1:$K$1000,ROI_Avions!$C55)</f>
        <v>0</v>
      </c>
      <c r="AJ55" s="121"/>
      <c r="AK55" s="206">
        <f t="shared" si="167"/>
        <v>0</v>
      </c>
      <c r="AL55" s="206" t="e">
        <f t="shared" ca="1" si="168"/>
        <v>#REF!</v>
      </c>
      <c r="AM55" s="206" t="e">
        <f t="shared" ca="1" si="169"/>
        <v>#REF!</v>
      </c>
      <c r="AN55" s="206" t="e">
        <f t="shared" ca="1" si="170"/>
        <v>#REF!</v>
      </c>
      <c r="AO55" s="206" t="e">
        <f t="shared" ca="1" si="171"/>
        <v>#REF!</v>
      </c>
      <c r="AP55" s="206" t="e">
        <f t="shared" ca="1" si="172"/>
        <v>#REF!</v>
      </c>
      <c r="AQ55" s="206" t="e">
        <f t="shared" ca="1" si="173"/>
        <v>#REF!</v>
      </c>
      <c r="AR55" s="207">
        <f t="shared" ca="1" si="184"/>
        <v>0</v>
      </c>
      <c r="AS55" s="120">
        <f t="shared" ca="1" si="185"/>
        <v>0</v>
      </c>
      <c r="AT55" s="206" t="e">
        <f t="shared" ca="1" si="174"/>
        <v>#REF!</v>
      </c>
      <c r="AW55" s="205"/>
    </row>
    <row r="56" spans="1:49" s="204" customFormat="1" x14ac:dyDescent="0.3">
      <c r="A56" s="145" t="s">
        <v>315</v>
      </c>
      <c r="B56" s="146">
        <v>0</v>
      </c>
      <c r="C56" s="145" t="s">
        <v>1109</v>
      </c>
      <c r="D56" s="145" t="str">
        <f t="shared" si="15"/>
        <v>SFO/CGO</v>
      </c>
      <c r="E56" s="146">
        <v>98312274</v>
      </c>
      <c r="F56" s="147" t="str">
        <f t="shared" ref="F56" si="213">"MD11-A-"&amp;A56&amp;"-"&amp;C56&amp;"-"&amp;2</f>
        <v>MD11-A-SFO-CGO-2</v>
      </c>
      <c r="G56" s="146">
        <v>196272000</v>
      </c>
      <c r="H56" s="116"/>
      <c r="I56" s="206"/>
      <c r="J56" s="206"/>
      <c r="K56" s="206"/>
      <c r="L56" s="53"/>
      <c r="M56" s="53"/>
      <c r="N56" s="116"/>
      <c r="O56" s="138"/>
      <c r="P56" s="133">
        <f>SUMIFS(GestionLignesDemande!D$4:D$1000,GestionLignesDemande!$B$4:$B$1000,ROI_Avions!$A56,GestionLignesDemande!$C$4:$C$1000,ROI_Avions!$C56)</f>
        <v>0</v>
      </c>
      <c r="Q56" s="133">
        <f>SUMIFS(GestionLignesDemande!E$4:E$1000,GestionLignesDemande!$B$4:$B$1000,ROI_Avions!$A56,GestionLignesDemande!$C$4:$C$1000,ROI_Avions!$C56)</f>
        <v>0</v>
      </c>
      <c r="R56" s="133">
        <f>SUMIFS(GestionLignesDemande!F$4:F$1000,GestionLignesDemande!$B$4:$B$1000,ROI_Avions!$A56,GestionLignesDemande!$C$4:$C$1000,ROI_Avions!$C56)</f>
        <v>0</v>
      </c>
      <c r="S56" s="133">
        <f>SUMIFS(GestionLignesDemande!G$4:G$1000,GestionLignesDemande!$B$4:$B$1000,ROI_Avions!$A56,GestionLignesDemande!$C$4:$C$1000,ROI_Avions!$C56)</f>
        <v>0</v>
      </c>
      <c r="T56" s="121"/>
      <c r="U56" s="206">
        <f t="shared" si="97"/>
        <v>335</v>
      </c>
      <c r="V56" s="206">
        <v>270</v>
      </c>
      <c r="W56" s="206">
        <v>45</v>
      </c>
      <c r="X56" s="206">
        <v>14</v>
      </c>
      <c r="Y56" s="206">
        <v>6</v>
      </c>
      <c r="Z56" s="121"/>
      <c r="AA56" s="132">
        <f t="shared" ref="AA56:AA59" si="214">AA55-V56*2</f>
        <v>-1080</v>
      </c>
      <c r="AB56" s="132">
        <f t="shared" ref="AB56:AB59" si="215">AB55-W56*2</f>
        <v>-180</v>
      </c>
      <c r="AC56" s="132">
        <f t="shared" ref="AC56:AC59" si="216">AC55-X56*2</f>
        <v>-56</v>
      </c>
      <c r="AD56" s="132">
        <f t="shared" ref="AD56:AD59" si="217">AD55-Y56*2</f>
        <v>-24</v>
      </c>
      <c r="AE56" s="121"/>
      <c r="AF56" s="26">
        <f>SUMIFS(DataPrixBillets!N$1:N$1000,DataPrixBillets!$J$1:$J$1000,ROI_Avions!$A56,DataPrixBillets!$K$1:$K$1000,ROI_Avions!$C56)</f>
        <v>0</v>
      </c>
      <c r="AG56" s="26">
        <f>SUMIFS(DataPrixBillets!O$1:O$1000,DataPrixBillets!$J$1:$J$1000,ROI_Avions!$A56,DataPrixBillets!$K$1:$K$1000,ROI_Avions!$C56)</f>
        <v>0</v>
      </c>
      <c r="AH56" s="26">
        <f>SUMIFS(DataPrixBillets!P$1:P$1000,DataPrixBillets!$J$1:$J$1000,ROI_Avions!$A56,DataPrixBillets!$K$1:$K$1000,ROI_Avions!$C56)</f>
        <v>0</v>
      </c>
      <c r="AI56" s="26">
        <f>SUMIFS(DataPrixBillets!Q$1:Q$1000,DataPrixBillets!$J$1:$J$1000,ROI_Avions!$A56,DataPrixBillets!$K$1:$K$1000,ROI_Avions!$C56)</f>
        <v>0</v>
      </c>
      <c r="AJ56" s="121"/>
      <c r="AK56" s="206">
        <f t="shared" si="167"/>
        <v>0</v>
      </c>
      <c r="AL56" s="206" t="e">
        <f t="shared" ca="1" si="168"/>
        <v>#REF!</v>
      </c>
      <c r="AM56" s="206" t="e">
        <f t="shared" ca="1" si="169"/>
        <v>#REF!</v>
      </c>
      <c r="AN56" s="206" t="e">
        <f t="shared" ca="1" si="170"/>
        <v>#REF!</v>
      </c>
      <c r="AO56" s="206" t="e">
        <f t="shared" ca="1" si="171"/>
        <v>#REF!</v>
      </c>
      <c r="AP56" s="206" t="e">
        <f t="shared" ca="1" si="172"/>
        <v>#REF!</v>
      </c>
      <c r="AQ56" s="206" t="e">
        <f t="shared" ca="1" si="173"/>
        <v>#REF!</v>
      </c>
      <c r="AR56" s="207">
        <f t="shared" ca="1" si="184"/>
        <v>0</v>
      </c>
      <c r="AS56" s="120">
        <f t="shared" ca="1" si="185"/>
        <v>0</v>
      </c>
      <c r="AT56" s="206" t="e">
        <f t="shared" ca="1" si="174"/>
        <v>#REF!</v>
      </c>
      <c r="AW56" s="205"/>
    </row>
    <row r="57" spans="1:49" s="204" customFormat="1" x14ac:dyDescent="0.3">
      <c r="A57" s="145" t="s">
        <v>315</v>
      </c>
      <c r="B57" s="146">
        <v>0</v>
      </c>
      <c r="C57" s="145" t="s">
        <v>1109</v>
      </c>
      <c r="D57" s="145" t="str">
        <f t="shared" si="15"/>
        <v>SFO/CGO</v>
      </c>
      <c r="E57" s="146">
        <v>98312274</v>
      </c>
      <c r="F57" s="147" t="str">
        <f>"MD11-A-"&amp;A57&amp;"-"&amp;C57&amp;"-"&amp;3</f>
        <v>MD11-A-SFO-CGO-3</v>
      </c>
      <c r="G57" s="146">
        <v>196272000</v>
      </c>
      <c r="H57" s="116"/>
      <c r="I57" s="206"/>
      <c r="J57" s="206"/>
      <c r="K57" s="206"/>
      <c r="L57" s="53"/>
      <c r="M57" s="53"/>
      <c r="N57" s="116"/>
      <c r="O57" s="138"/>
      <c r="P57" s="133">
        <f>SUMIFS(GestionLignesDemande!D$4:D$1000,GestionLignesDemande!$B$4:$B$1000,ROI_Avions!$A57,GestionLignesDemande!$C$4:$C$1000,ROI_Avions!$C57)</f>
        <v>0</v>
      </c>
      <c r="Q57" s="133">
        <f>SUMIFS(GestionLignesDemande!E$4:E$1000,GestionLignesDemande!$B$4:$B$1000,ROI_Avions!$A57,GestionLignesDemande!$C$4:$C$1000,ROI_Avions!$C57)</f>
        <v>0</v>
      </c>
      <c r="R57" s="133">
        <f>SUMIFS(GestionLignesDemande!F$4:F$1000,GestionLignesDemande!$B$4:$B$1000,ROI_Avions!$A57,GestionLignesDemande!$C$4:$C$1000,ROI_Avions!$C57)</f>
        <v>0</v>
      </c>
      <c r="S57" s="133">
        <f>SUMIFS(GestionLignesDemande!G$4:G$1000,GestionLignesDemande!$B$4:$B$1000,ROI_Avions!$A57,GestionLignesDemande!$C$4:$C$1000,ROI_Avions!$C57)</f>
        <v>0</v>
      </c>
      <c r="T57" s="121"/>
      <c r="U57" s="206">
        <f t="shared" si="97"/>
        <v>335</v>
      </c>
      <c r="V57" s="206">
        <v>270</v>
      </c>
      <c r="W57" s="206">
        <v>45</v>
      </c>
      <c r="X57" s="206">
        <v>14</v>
      </c>
      <c r="Y57" s="206">
        <v>6</v>
      </c>
      <c r="Z57" s="121"/>
      <c r="AA57" s="132">
        <f t="shared" si="214"/>
        <v>-1620</v>
      </c>
      <c r="AB57" s="132">
        <f t="shared" si="215"/>
        <v>-270</v>
      </c>
      <c r="AC57" s="132">
        <f t="shared" si="216"/>
        <v>-84</v>
      </c>
      <c r="AD57" s="132">
        <f t="shared" si="217"/>
        <v>-36</v>
      </c>
      <c r="AE57" s="121"/>
      <c r="AF57" s="26">
        <f>SUMIFS(DataPrixBillets!N$1:N$1000,DataPrixBillets!$J$1:$J$1000,ROI_Avions!$A57,DataPrixBillets!$K$1:$K$1000,ROI_Avions!$C57)</f>
        <v>0</v>
      </c>
      <c r="AG57" s="26">
        <f>SUMIFS(DataPrixBillets!O$1:O$1000,DataPrixBillets!$J$1:$J$1000,ROI_Avions!$A57,DataPrixBillets!$K$1:$K$1000,ROI_Avions!$C57)</f>
        <v>0</v>
      </c>
      <c r="AH57" s="26">
        <f>SUMIFS(DataPrixBillets!P$1:P$1000,DataPrixBillets!$J$1:$J$1000,ROI_Avions!$A57,DataPrixBillets!$K$1:$K$1000,ROI_Avions!$C57)</f>
        <v>0</v>
      </c>
      <c r="AI57" s="26">
        <f>SUMIFS(DataPrixBillets!Q$1:Q$1000,DataPrixBillets!$J$1:$J$1000,ROI_Avions!$A57,DataPrixBillets!$K$1:$K$1000,ROI_Avions!$C57)</f>
        <v>0</v>
      </c>
      <c r="AJ57" s="121"/>
      <c r="AK57" s="206">
        <f t="shared" si="167"/>
        <v>0</v>
      </c>
      <c r="AL57" s="206" t="e">
        <f t="shared" ca="1" si="168"/>
        <v>#REF!</v>
      </c>
      <c r="AM57" s="206" t="e">
        <f t="shared" ca="1" si="169"/>
        <v>#REF!</v>
      </c>
      <c r="AN57" s="206" t="e">
        <f t="shared" ca="1" si="170"/>
        <v>#REF!</v>
      </c>
      <c r="AO57" s="206" t="e">
        <f t="shared" ca="1" si="171"/>
        <v>#REF!</v>
      </c>
      <c r="AP57" s="206" t="e">
        <f t="shared" ca="1" si="172"/>
        <v>#REF!</v>
      </c>
      <c r="AQ57" s="206" t="e">
        <f t="shared" ca="1" si="173"/>
        <v>#REF!</v>
      </c>
      <c r="AR57" s="207">
        <f t="shared" ca="1" si="184"/>
        <v>0</v>
      </c>
      <c r="AS57" s="120">
        <f t="shared" ca="1" si="185"/>
        <v>0</v>
      </c>
      <c r="AT57" s="206" t="e">
        <f t="shared" ca="1" si="174"/>
        <v>#REF!</v>
      </c>
      <c r="AW57" s="205"/>
    </row>
    <row r="58" spans="1:49" s="204" customFormat="1" x14ac:dyDescent="0.3">
      <c r="A58" s="145" t="s">
        <v>315</v>
      </c>
      <c r="B58" s="146">
        <v>0</v>
      </c>
      <c r="C58" s="145" t="s">
        <v>1109</v>
      </c>
      <c r="D58" s="145" t="str">
        <f t="shared" si="15"/>
        <v>SFO/CGO</v>
      </c>
      <c r="E58" s="146">
        <v>98312274</v>
      </c>
      <c r="F58" s="147" t="str">
        <f>"MD11-A-"&amp;A58&amp;"-"&amp;C58&amp;"-"&amp;4</f>
        <v>MD11-A-SFO-CGO-4</v>
      </c>
      <c r="G58" s="146">
        <v>196272000</v>
      </c>
      <c r="H58" s="116"/>
      <c r="I58" s="206"/>
      <c r="J58" s="206"/>
      <c r="K58" s="206"/>
      <c r="L58" s="53"/>
      <c r="M58" s="53"/>
      <c r="N58" s="116"/>
      <c r="O58" s="138"/>
      <c r="P58" s="133">
        <f>SUMIFS(GestionLignesDemande!D$4:D$1000,GestionLignesDemande!$B$4:$B$1000,ROI_Avions!$A58,GestionLignesDemande!$C$4:$C$1000,ROI_Avions!$C58)</f>
        <v>0</v>
      </c>
      <c r="Q58" s="133">
        <f>SUMIFS(GestionLignesDemande!E$4:E$1000,GestionLignesDemande!$B$4:$B$1000,ROI_Avions!$A58,GestionLignesDemande!$C$4:$C$1000,ROI_Avions!$C58)</f>
        <v>0</v>
      </c>
      <c r="R58" s="133">
        <f>SUMIFS(GestionLignesDemande!F$4:F$1000,GestionLignesDemande!$B$4:$B$1000,ROI_Avions!$A58,GestionLignesDemande!$C$4:$C$1000,ROI_Avions!$C58)</f>
        <v>0</v>
      </c>
      <c r="S58" s="133">
        <f>SUMIFS(GestionLignesDemande!G$4:G$1000,GestionLignesDemande!$B$4:$B$1000,ROI_Avions!$A58,GestionLignesDemande!$C$4:$C$1000,ROI_Avions!$C58)</f>
        <v>0</v>
      </c>
      <c r="T58" s="121"/>
      <c r="U58" s="206">
        <f t="shared" si="97"/>
        <v>335</v>
      </c>
      <c r="V58" s="206">
        <v>270</v>
      </c>
      <c r="W58" s="206">
        <v>45</v>
      </c>
      <c r="X58" s="206">
        <v>14</v>
      </c>
      <c r="Y58" s="206">
        <v>6</v>
      </c>
      <c r="Z58" s="121"/>
      <c r="AA58" s="132">
        <f t="shared" si="214"/>
        <v>-2160</v>
      </c>
      <c r="AB58" s="132">
        <f t="shared" si="215"/>
        <v>-360</v>
      </c>
      <c r="AC58" s="132">
        <f t="shared" si="216"/>
        <v>-112</v>
      </c>
      <c r="AD58" s="132">
        <f t="shared" si="217"/>
        <v>-48</v>
      </c>
      <c r="AE58" s="121"/>
      <c r="AF58" s="26">
        <f>SUMIFS(DataPrixBillets!N$1:N$1000,DataPrixBillets!$J$1:$J$1000,ROI_Avions!$A58,DataPrixBillets!$K$1:$K$1000,ROI_Avions!$C58)</f>
        <v>0</v>
      </c>
      <c r="AG58" s="26">
        <f>SUMIFS(DataPrixBillets!O$1:O$1000,DataPrixBillets!$J$1:$J$1000,ROI_Avions!$A58,DataPrixBillets!$K$1:$K$1000,ROI_Avions!$C58)</f>
        <v>0</v>
      </c>
      <c r="AH58" s="26">
        <f>SUMIFS(DataPrixBillets!P$1:P$1000,DataPrixBillets!$J$1:$J$1000,ROI_Avions!$A58,DataPrixBillets!$K$1:$K$1000,ROI_Avions!$C58)</f>
        <v>0</v>
      </c>
      <c r="AI58" s="26">
        <f>SUMIFS(DataPrixBillets!Q$1:Q$1000,DataPrixBillets!$J$1:$J$1000,ROI_Avions!$A58,DataPrixBillets!$K$1:$K$1000,ROI_Avions!$C58)</f>
        <v>0</v>
      </c>
      <c r="AJ58" s="121"/>
      <c r="AK58" s="206">
        <f t="shared" si="167"/>
        <v>0</v>
      </c>
      <c r="AL58" s="206" t="e">
        <f t="shared" ca="1" si="168"/>
        <v>#REF!</v>
      </c>
      <c r="AM58" s="206" t="e">
        <f t="shared" ca="1" si="169"/>
        <v>#REF!</v>
      </c>
      <c r="AN58" s="206" t="e">
        <f t="shared" ca="1" si="170"/>
        <v>#REF!</v>
      </c>
      <c r="AO58" s="206" t="e">
        <f t="shared" ca="1" si="171"/>
        <v>#REF!</v>
      </c>
      <c r="AP58" s="206" t="e">
        <f t="shared" ca="1" si="172"/>
        <v>#REF!</v>
      </c>
      <c r="AQ58" s="206" t="e">
        <f t="shared" ca="1" si="173"/>
        <v>#REF!</v>
      </c>
      <c r="AR58" s="207">
        <f t="shared" ca="1" si="184"/>
        <v>0</v>
      </c>
      <c r="AS58" s="120">
        <f t="shared" ca="1" si="185"/>
        <v>0</v>
      </c>
      <c r="AT58" s="206" t="e">
        <f t="shared" ca="1" si="174"/>
        <v>#REF!</v>
      </c>
      <c r="AW58" s="205"/>
    </row>
    <row r="59" spans="1:49" s="204" customFormat="1" x14ac:dyDescent="0.3">
      <c r="A59" s="145" t="s">
        <v>315</v>
      </c>
      <c r="B59" s="146">
        <v>0</v>
      </c>
      <c r="C59" s="145" t="s">
        <v>1109</v>
      </c>
      <c r="D59" s="145" t="str">
        <f t="shared" si="15"/>
        <v>SFO/CGO</v>
      </c>
      <c r="E59" s="146">
        <v>98312274</v>
      </c>
      <c r="F59" s="147" t="str">
        <f>"MD11-A-"&amp;A59&amp;"-"&amp;C59&amp;"-"&amp;5</f>
        <v>MD11-A-SFO-CGO-5</v>
      </c>
      <c r="G59" s="146">
        <v>196272000</v>
      </c>
      <c r="H59" s="116"/>
      <c r="I59" s="206"/>
      <c r="J59" s="206"/>
      <c r="K59" s="206"/>
      <c r="L59" s="53"/>
      <c r="M59" s="53"/>
      <c r="N59" s="116"/>
      <c r="O59" s="138"/>
      <c r="P59" s="133">
        <f>SUMIFS(GestionLignesDemande!D$4:D$1000,GestionLignesDemande!$B$4:$B$1000,ROI_Avions!$A59,GestionLignesDemande!$C$4:$C$1000,ROI_Avions!$C59)</f>
        <v>0</v>
      </c>
      <c r="Q59" s="133">
        <f>SUMIFS(GestionLignesDemande!E$4:E$1000,GestionLignesDemande!$B$4:$B$1000,ROI_Avions!$A59,GestionLignesDemande!$C$4:$C$1000,ROI_Avions!$C59)</f>
        <v>0</v>
      </c>
      <c r="R59" s="133">
        <f>SUMIFS(GestionLignesDemande!F$4:F$1000,GestionLignesDemande!$B$4:$B$1000,ROI_Avions!$A59,GestionLignesDemande!$C$4:$C$1000,ROI_Avions!$C59)</f>
        <v>0</v>
      </c>
      <c r="S59" s="133">
        <f>SUMIFS(GestionLignesDemande!G$4:G$1000,GestionLignesDemande!$B$4:$B$1000,ROI_Avions!$A59,GestionLignesDemande!$C$4:$C$1000,ROI_Avions!$C59)</f>
        <v>0</v>
      </c>
      <c r="T59" s="121"/>
      <c r="U59" s="206">
        <f t="shared" si="97"/>
        <v>335</v>
      </c>
      <c r="V59" s="206">
        <v>270</v>
      </c>
      <c r="W59" s="206">
        <v>45</v>
      </c>
      <c r="X59" s="206">
        <v>14</v>
      </c>
      <c r="Y59" s="206">
        <v>6</v>
      </c>
      <c r="Z59" s="121"/>
      <c r="AA59" s="132">
        <f t="shared" si="214"/>
        <v>-2700</v>
      </c>
      <c r="AB59" s="132">
        <f t="shared" si="215"/>
        <v>-450</v>
      </c>
      <c r="AC59" s="132">
        <f t="shared" si="216"/>
        <v>-140</v>
      </c>
      <c r="AD59" s="132">
        <f t="shared" si="217"/>
        <v>-60</v>
      </c>
      <c r="AE59" s="121"/>
      <c r="AF59" s="26">
        <f>SUMIFS(DataPrixBillets!N$1:N$1000,DataPrixBillets!$J$1:$J$1000,ROI_Avions!$A59,DataPrixBillets!$K$1:$K$1000,ROI_Avions!$C59)</f>
        <v>0</v>
      </c>
      <c r="AG59" s="26">
        <f>SUMIFS(DataPrixBillets!O$1:O$1000,DataPrixBillets!$J$1:$J$1000,ROI_Avions!$A59,DataPrixBillets!$K$1:$K$1000,ROI_Avions!$C59)</f>
        <v>0</v>
      </c>
      <c r="AH59" s="26">
        <f>SUMIFS(DataPrixBillets!P$1:P$1000,DataPrixBillets!$J$1:$J$1000,ROI_Avions!$A59,DataPrixBillets!$K$1:$K$1000,ROI_Avions!$C59)</f>
        <v>0</v>
      </c>
      <c r="AI59" s="26">
        <f>SUMIFS(DataPrixBillets!Q$1:Q$1000,DataPrixBillets!$J$1:$J$1000,ROI_Avions!$A59,DataPrixBillets!$K$1:$K$1000,ROI_Avions!$C59)</f>
        <v>0</v>
      </c>
      <c r="AJ59" s="121"/>
      <c r="AK59" s="206">
        <f t="shared" si="167"/>
        <v>0</v>
      </c>
      <c r="AL59" s="206" t="e">
        <f t="shared" ca="1" si="168"/>
        <v>#REF!</v>
      </c>
      <c r="AM59" s="206" t="e">
        <f t="shared" ca="1" si="169"/>
        <v>#REF!</v>
      </c>
      <c r="AN59" s="206" t="e">
        <f t="shared" ca="1" si="170"/>
        <v>#REF!</v>
      </c>
      <c r="AO59" s="206" t="e">
        <f t="shared" ca="1" si="171"/>
        <v>#REF!</v>
      </c>
      <c r="AP59" s="206" t="e">
        <f t="shared" ca="1" si="172"/>
        <v>#REF!</v>
      </c>
      <c r="AQ59" s="206" t="e">
        <f t="shared" ca="1" si="173"/>
        <v>#REF!</v>
      </c>
      <c r="AR59" s="207">
        <f t="shared" ca="1" si="184"/>
        <v>0</v>
      </c>
      <c r="AS59" s="120">
        <f t="shared" ca="1" si="185"/>
        <v>0</v>
      </c>
      <c r="AT59" s="206" t="e">
        <f t="shared" ca="1" si="174"/>
        <v>#REF!</v>
      </c>
      <c r="AW59" s="205"/>
    </row>
    <row r="60" spans="1:49" s="204" customFormat="1" x14ac:dyDescent="0.3">
      <c r="A60" s="145" t="s">
        <v>315</v>
      </c>
      <c r="B60" s="146">
        <v>0</v>
      </c>
      <c r="C60" s="145" t="s">
        <v>1110</v>
      </c>
      <c r="D60" s="145" t="str">
        <f t="shared" si="15"/>
        <v>SFO/HGH</v>
      </c>
      <c r="E60" s="146">
        <v>83131544</v>
      </c>
      <c r="F60" s="147" t="str">
        <f>"MD11-A-"&amp;A60&amp;"-"&amp;C60&amp;"-"&amp;1</f>
        <v>MD11-A-SFO-HGH-1</v>
      </c>
      <c r="G60" s="146">
        <v>196272000</v>
      </c>
      <c r="H60" s="116"/>
      <c r="I60" s="206"/>
      <c r="J60" s="206"/>
      <c r="K60" s="206"/>
      <c r="L60" s="53"/>
      <c r="M60" s="53"/>
      <c r="N60" s="116"/>
      <c r="O60" s="138"/>
      <c r="P60" s="133">
        <f>SUMIFS(GestionLignesDemande!D$4:D$1000,GestionLignesDemande!$B$4:$B$1000,ROI_Avions!$A60,GestionLignesDemande!$C$4:$C$1000,ROI_Avions!$C60)</f>
        <v>0</v>
      </c>
      <c r="Q60" s="133">
        <f>SUMIFS(GestionLignesDemande!E$4:E$1000,GestionLignesDemande!$B$4:$B$1000,ROI_Avions!$A60,GestionLignesDemande!$C$4:$C$1000,ROI_Avions!$C60)</f>
        <v>0</v>
      </c>
      <c r="R60" s="133">
        <f>SUMIFS(GestionLignesDemande!F$4:F$1000,GestionLignesDemande!$B$4:$B$1000,ROI_Avions!$A60,GestionLignesDemande!$C$4:$C$1000,ROI_Avions!$C60)</f>
        <v>0</v>
      </c>
      <c r="S60" s="133">
        <f>SUMIFS(GestionLignesDemande!G$4:G$1000,GestionLignesDemande!$B$4:$B$1000,ROI_Avions!$A60,GestionLignesDemande!$C$4:$C$1000,ROI_Avions!$C60)</f>
        <v>0</v>
      </c>
      <c r="T60" s="121"/>
      <c r="U60" s="206">
        <f t="shared" si="97"/>
        <v>335</v>
      </c>
      <c r="V60" s="206">
        <v>270</v>
      </c>
      <c r="W60" s="206">
        <v>45</v>
      </c>
      <c r="X60" s="206">
        <v>14</v>
      </c>
      <c r="Y60" s="206">
        <v>6</v>
      </c>
      <c r="Z60" s="121"/>
      <c r="AA60" s="132">
        <f>P60-(V60*2)</f>
        <v>-540</v>
      </c>
      <c r="AB60" s="132">
        <f t="shared" ref="AB60" si="218">Q60-(W60*2)</f>
        <v>-90</v>
      </c>
      <c r="AC60" s="132">
        <f t="shared" ref="AC60" si="219">R60-(X60*2)</f>
        <v>-28</v>
      </c>
      <c r="AD60" s="132">
        <f t="shared" ref="AD60" si="220">S60-(Y60*2)</f>
        <v>-12</v>
      </c>
      <c r="AE60" s="121"/>
      <c r="AF60" s="26">
        <f>SUMIFS(DataPrixBillets!N$1:N$1000,DataPrixBillets!$J$1:$J$1000,ROI_Avions!$A60,DataPrixBillets!$K$1:$K$1000,ROI_Avions!$C60)</f>
        <v>0</v>
      </c>
      <c r="AG60" s="26">
        <f>SUMIFS(DataPrixBillets!O$1:O$1000,DataPrixBillets!$J$1:$J$1000,ROI_Avions!$A60,DataPrixBillets!$K$1:$K$1000,ROI_Avions!$C60)</f>
        <v>0</v>
      </c>
      <c r="AH60" s="26">
        <f>SUMIFS(DataPrixBillets!P$1:P$1000,DataPrixBillets!$J$1:$J$1000,ROI_Avions!$A60,DataPrixBillets!$K$1:$K$1000,ROI_Avions!$C60)</f>
        <v>0</v>
      </c>
      <c r="AI60" s="26">
        <f>SUMIFS(DataPrixBillets!Q$1:Q$1000,DataPrixBillets!$J$1:$J$1000,ROI_Avions!$A60,DataPrixBillets!$K$1:$K$1000,ROI_Avions!$C60)</f>
        <v>0</v>
      </c>
      <c r="AJ60" s="121"/>
      <c r="AK60" s="206">
        <f t="shared" si="167"/>
        <v>0</v>
      </c>
      <c r="AL60" s="206" t="e">
        <f t="shared" ca="1" si="168"/>
        <v>#REF!</v>
      </c>
      <c r="AM60" s="206" t="e">
        <f t="shared" ca="1" si="169"/>
        <v>#REF!</v>
      </c>
      <c r="AN60" s="206" t="e">
        <f t="shared" ca="1" si="170"/>
        <v>#REF!</v>
      </c>
      <c r="AO60" s="206" t="e">
        <f t="shared" ca="1" si="171"/>
        <v>#REF!</v>
      </c>
      <c r="AP60" s="206" t="e">
        <f t="shared" ca="1" si="172"/>
        <v>#REF!</v>
      </c>
      <c r="AQ60" s="206" t="e">
        <f t="shared" ca="1" si="173"/>
        <v>#REF!</v>
      </c>
      <c r="AR60" s="207">
        <f t="shared" ca="1" si="184"/>
        <v>0</v>
      </c>
      <c r="AS60" s="120">
        <f t="shared" ca="1" si="185"/>
        <v>0</v>
      </c>
      <c r="AT60" s="206" t="e">
        <f t="shared" ca="1" si="174"/>
        <v>#REF!</v>
      </c>
      <c r="AW60" s="205"/>
    </row>
    <row r="61" spans="1:49" s="204" customFormat="1" x14ac:dyDescent="0.3">
      <c r="A61" s="145" t="s">
        <v>315</v>
      </c>
      <c r="B61" s="146">
        <v>0</v>
      </c>
      <c r="C61" s="145" t="s">
        <v>1110</v>
      </c>
      <c r="D61" s="145" t="str">
        <f t="shared" si="15"/>
        <v>SFO/HGH</v>
      </c>
      <c r="E61" s="146">
        <v>83131544</v>
      </c>
      <c r="F61" s="147" t="str">
        <f t="shared" ref="F61" si="221">"MD11-A-"&amp;A61&amp;"-"&amp;C61&amp;"-"&amp;2</f>
        <v>MD11-A-SFO-HGH-2</v>
      </c>
      <c r="G61" s="146">
        <v>196272000</v>
      </c>
      <c r="H61" s="116"/>
      <c r="I61" s="206"/>
      <c r="J61" s="206"/>
      <c r="K61" s="206"/>
      <c r="L61" s="53"/>
      <c r="M61" s="53"/>
      <c r="N61" s="116"/>
      <c r="O61" s="138"/>
      <c r="P61" s="133">
        <f>SUMIFS(GestionLignesDemande!D$4:D$1000,GestionLignesDemande!$B$4:$B$1000,ROI_Avions!$A61,GestionLignesDemande!$C$4:$C$1000,ROI_Avions!$C61)</f>
        <v>0</v>
      </c>
      <c r="Q61" s="133">
        <f>SUMIFS(GestionLignesDemande!E$4:E$1000,GestionLignesDemande!$B$4:$B$1000,ROI_Avions!$A61,GestionLignesDemande!$C$4:$C$1000,ROI_Avions!$C61)</f>
        <v>0</v>
      </c>
      <c r="R61" s="133">
        <f>SUMIFS(GestionLignesDemande!F$4:F$1000,GestionLignesDemande!$B$4:$B$1000,ROI_Avions!$A61,GestionLignesDemande!$C$4:$C$1000,ROI_Avions!$C61)</f>
        <v>0</v>
      </c>
      <c r="S61" s="133">
        <f>SUMIFS(GestionLignesDemande!G$4:G$1000,GestionLignesDemande!$B$4:$B$1000,ROI_Avions!$A61,GestionLignesDemande!$C$4:$C$1000,ROI_Avions!$C61)</f>
        <v>0</v>
      </c>
      <c r="T61" s="121"/>
      <c r="U61" s="206">
        <f t="shared" si="97"/>
        <v>335</v>
      </c>
      <c r="V61" s="206">
        <v>270</v>
      </c>
      <c r="W61" s="206">
        <v>45</v>
      </c>
      <c r="X61" s="206">
        <v>14</v>
      </c>
      <c r="Y61" s="206">
        <v>6</v>
      </c>
      <c r="Z61" s="121"/>
      <c r="AA61" s="132">
        <f t="shared" ref="AA61:AA64" si="222">AA60-V61*2</f>
        <v>-1080</v>
      </c>
      <c r="AB61" s="132">
        <f t="shared" ref="AB61:AB64" si="223">AB60-W61*2</f>
        <v>-180</v>
      </c>
      <c r="AC61" s="132">
        <f t="shared" ref="AC61:AC64" si="224">AC60-X61*2</f>
        <v>-56</v>
      </c>
      <c r="AD61" s="132">
        <f t="shared" ref="AD61:AD64" si="225">AD60-Y61*2</f>
        <v>-24</v>
      </c>
      <c r="AE61" s="121"/>
      <c r="AF61" s="26">
        <f>SUMIFS(DataPrixBillets!N$1:N$1000,DataPrixBillets!$J$1:$J$1000,ROI_Avions!$A61,DataPrixBillets!$K$1:$K$1000,ROI_Avions!$C61)</f>
        <v>0</v>
      </c>
      <c r="AG61" s="26">
        <f>SUMIFS(DataPrixBillets!O$1:O$1000,DataPrixBillets!$J$1:$J$1000,ROI_Avions!$A61,DataPrixBillets!$K$1:$K$1000,ROI_Avions!$C61)</f>
        <v>0</v>
      </c>
      <c r="AH61" s="26">
        <f>SUMIFS(DataPrixBillets!P$1:P$1000,DataPrixBillets!$J$1:$J$1000,ROI_Avions!$A61,DataPrixBillets!$K$1:$K$1000,ROI_Avions!$C61)</f>
        <v>0</v>
      </c>
      <c r="AI61" s="26">
        <f>SUMIFS(DataPrixBillets!Q$1:Q$1000,DataPrixBillets!$J$1:$J$1000,ROI_Avions!$A61,DataPrixBillets!$K$1:$K$1000,ROI_Avions!$C61)</f>
        <v>0</v>
      </c>
      <c r="AJ61" s="121"/>
      <c r="AK61" s="206">
        <f t="shared" si="167"/>
        <v>0</v>
      </c>
      <c r="AL61" s="206" t="e">
        <f t="shared" ca="1" si="168"/>
        <v>#REF!</v>
      </c>
      <c r="AM61" s="206" t="e">
        <f t="shared" ca="1" si="169"/>
        <v>#REF!</v>
      </c>
      <c r="AN61" s="206" t="e">
        <f t="shared" ca="1" si="170"/>
        <v>#REF!</v>
      </c>
      <c r="AO61" s="206" t="e">
        <f t="shared" ca="1" si="171"/>
        <v>#REF!</v>
      </c>
      <c r="AP61" s="206" t="e">
        <f t="shared" ca="1" si="172"/>
        <v>#REF!</v>
      </c>
      <c r="AQ61" s="206" t="e">
        <f t="shared" ca="1" si="173"/>
        <v>#REF!</v>
      </c>
      <c r="AR61" s="207">
        <f t="shared" ca="1" si="184"/>
        <v>0</v>
      </c>
      <c r="AS61" s="120">
        <f t="shared" ca="1" si="185"/>
        <v>0</v>
      </c>
      <c r="AT61" s="206" t="e">
        <f t="shared" ca="1" si="174"/>
        <v>#REF!</v>
      </c>
      <c r="AW61" s="205"/>
    </row>
    <row r="62" spans="1:49" s="204" customFormat="1" x14ac:dyDescent="0.3">
      <c r="A62" s="145" t="s">
        <v>315</v>
      </c>
      <c r="B62" s="146">
        <v>0</v>
      </c>
      <c r="C62" s="145" t="s">
        <v>1110</v>
      </c>
      <c r="D62" s="145" t="str">
        <f t="shared" si="15"/>
        <v>SFO/HGH</v>
      </c>
      <c r="E62" s="146">
        <v>83131544</v>
      </c>
      <c r="F62" s="147" t="str">
        <f>"MD11-A-"&amp;A62&amp;"-"&amp;C62&amp;"-"&amp;3</f>
        <v>MD11-A-SFO-HGH-3</v>
      </c>
      <c r="G62" s="146">
        <v>196272000</v>
      </c>
      <c r="H62" s="116"/>
      <c r="I62" s="206"/>
      <c r="J62" s="206"/>
      <c r="K62" s="206"/>
      <c r="L62" s="53"/>
      <c r="M62" s="53"/>
      <c r="N62" s="116"/>
      <c r="O62" s="138"/>
      <c r="P62" s="133">
        <f>SUMIFS(GestionLignesDemande!D$4:D$1000,GestionLignesDemande!$B$4:$B$1000,ROI_Avions!$A62,GestionLignesDemande!$C$4:$C$1000,ROI_Avions!$C62)</f>
        <v>0</v>
      </c>
      <c r="Q62" s="133">
        <f>SUMIFS(GestionLignesDemande!E$4:E$1000,GestionLignesDemande!$B$4:$B$1000,ROI_Avions!$A62,GestionLignesDemande!$C$4:$C$1000,ROI_Avions!$C62)</f>
        <v>0</v>
      </c>
      <c r="R62" s="133">
        <f>SUMIFS(GestionLignesDemande!F$4:F$1000,GestionLignesDemande!$B$4:$B$1000,ROI_Avions!$A62,GestionLignesDemande!$C$4:$C$1000,ROI_Avions!$C62)</f>
        <v>0</v>
      </c>
      <c r="S62" s="133">
        <f>SUMIFS(GestionLignesDemande!G$4:G$1000,GestionLignesDemande!$B$4:$B$1000,ROI_Avions!$A62,GestionLignesDemande!$C$4:$C$1000,ROI_Avions!$C62)</f>
        <v>0</v>
      </c>
      <c r="T62" s="121"/>
      <c r="U62" s="206">
        <f t="shared" si="97"/>
        <v>335</v>
      </c>
      <c r="V62" s="206">
        <v>270</v>
      </c>
      <c r="W62" s="206">
        <v>45</v>
      </c>
      <c r="X62" s="206">
        <v>14</v>
      </c>
      <c r="Y62" s="206">
        <v>6</v>
      </c>
      <c r="Z62" s="121"/>
      <c r="AA62" s="132">
        <f t="shared" si="222"/>
        <v>-1620</v>
      </c>
      <c r="AB62" s="132">
        <f t="shared" si="223"/>
        <v>-270</v>
      </c>
      <c r="AC62" s="132">
        <f t="shared" si="224"/>
        <v>-84</v>
      </c>
      <c r="AD62" s="132">
        <f t="shared" si="225"/>
        <v>-36</v>
      </c>
      <c r="AE62" s="121"/>
      <c r="AF62" s="26">
        <f>SUMIFS(DataPrixBillets!N$1:N$1000,DataPrixBillets!$J$1:$J$1000,ROI_Avions!$A62,DataPrixBillets!$K$1:$K$1000,ROI_Avions!$C62)</f>
        <v>0</v>
      </c>
      <c r="AG62" s="26">
        <f>SUMIFS(DataPrixBillets!O$1:O$1000,DataPrixBillets!$J$1:$J$1000,ROI_Avions!$A62,DataPrixBillets!$K$1:$K$1000,ROI_Avions!$C62)</f>
        <v>0</v>
      </c>
      <c r="AH62" s="26">
        <f>SUMIFS(DataPrixBillets!P$1:P$1000,DataPrixBillets!$J$1:$J$1000,ROI_Avions!$A62,DataPrixBillets!$K$1:$K$1000,ROI_Avions!$C62)</f>
        <v>0</v>
      </c>
      <c r="AI62" s="26">
        <f>SUMIFS(DataPrixBillets!Q$1:Q$1000,DataPrixBillets!$J$1:$J$1000,ROI_Avions!$A62,DataPrixBillets!$K$1:$K$1000,ROI_Avions!$C62)</f>
        <v>0</v>
      </c>
      <c r="AJ62" s="121"/>
      <c r="AK62" s="206">
        <f t="shared" si="167"/>
        <v>0</v>
      </c>
      <c r="AL62" s="206" t="e">
        <f t="shared" ca="1" si="168"/>
        <v>#REF!</v>
      </c>
      <c r="AM62" s="206" t="e">
        <f t="shared" ca="1" si="169"/>
        <v>#REF!</v>
      </c>
      <c r="AN62" s="206" t="e">
        <f t="shared" ca="1" si="170"/>
        <v>#REF!</v>
      </c>
      <c r="AO62" s="206" t="e">
        <f t="shared" ca="1" si="171"/>
        <v>#REF!</v>
      </c>
      <c r="AP62" s="206" t="e">
        <f t="shared" ca="1" si="172"/>
        <v>#REF!</v>
      </c>
      <c r="AQ62" s="206" t="e">
        <f t="shared" ca="1" si="173"/>
        <v>#REF!</v>
      </c>
      <c r="AR62" s="207">
        <f t="shared" ca="1" si="184"/>
        <v>0</v>
      </c>
      <c r="AS62" s="120">
        <f t="shared" ca="1" si="185"/>
        <v>0</v>
      </c>
      <c r="AT62" s="206" t="e">
        <f t="shared" ca="1" si="174"/>
        <v>#REF!</v>
      </c>
      <c r="AW62" s="205"/>
    </row>
    <row r="63" spans="1:49" s="204" customFormat="1" x14ac:dyDescent="0.3">
      <c r="A63" s="145" t="s">
        <v>315</v>
      </c>
      <c r="B63" s="146">
        <v>0</v>
      </c>
      <c r="C63" s="145" t="s">
        <v>1110</v>
      </c>
      <c r="D63" s="145" t="str">
        <f t="shared" si="15"/>
        <v>SFO/HGH</v>
      </c>
      <c r="E63" s="146">
        <v>83131544</v>
      </c>
      <c r="F63" s="147" t="str">
        <f>"MD11-A-"&amp;A63&amp;"-"&amp;C63&amp;"-"&amp;4</f>
        <v>MD11-A-SFO-HGH-4</v>
      </c>
      <c r="G63" s="146">
        <v>196272000</v>
      </c>
      <c r="H63" s="116"/>
      <c r="I63" s="206"/>
      <c r="J63" s="206"/>
      <c r="K63" s="206"/>
      <c r="L63" s="53"/>
      <c r="M63" s="53"/>
      <c r="N63" s="116"/>
      <c r="O63" s="138"/>
      <c r="P63" s="133">
        <f>SUMIFS(GestionLignesDemande!D$4:D$1000,GestionLignesDemande!$B$4:$B$1000,ROI_Avions!$A63,GestionLignesDemande!$C$4:$C$1000,ROI_Avions!$C63)</f>
        <v>0</v>
      </c>
      <c r="Q63" s="133">
        <f>SUMIFS(GestionLignesDemande!E$4:E$1000,GestionLignesDemande!$B$4:$B$1000,ROI_Avions!$A63,GestionLignesDemande!$C$4:$C$1000,ROI_Avions!$C63)</f>
        <v>0</v>
      </c>
      <c r="R63" s="133">
        <f>SUMIFS(GestionLignesDemande!F$4:F$1000,GestionLignesDemande!$B$4:$B$1000,ROI_Avions!$A63,GestionLignesDemande!$C$4:$C$1000,ROI_Avions!$C63)</f>
        <v>0</v>
      </c>
      <c r="S63" s="133">
        <f>SUMIFS(GestionLignesDemande!G$4:G$1000,GestionLignesDemande!$B$4:$B$1000,ROI_Avions!$A63,GestionLignesDemande!$C$4:$C$1000,ROI_Avions!$C63)</f>
        <v>0</v>
      </c>
      <c r="T63" s="121"/>
      <c r="U63" s="206">
        <f t="shared" si="97"/>
        <v>335</v>
      </c>
      <c r="V63" s="206">
        <v>270</v>
      </c>
      <c r="W63" s="206">
        <v>45</v>
      </c>
      <c r="X63" s="206">
        <v>14</v>
      </c>
      <c r="Y63" s="206">
        <v>6</v>
      </c>
      <c r="Z63" s="121"/>
      <c r="AA63" s="132">
        <f t="shared" si="222"/>
        <v>-2160</v>
      </c>
      <c r="AB63" s="132">
        <f t="shared" si="223"/>
        <v>-360</v>
      </c>
      <c r="AC63" s="132">
        <f t="shared" si="224"/>
        <v>-112</v>
      </c>
      <c r="AD63" s="132">
        <f t="shared" si="225"/>
        <v>-48</v>
      </c>
      <c r="AE63" s="121"/>
      <c r="AF63" s="26">
        <f>SUMIFS(DataPrixBillets!N$1:N$1000,DataPrixBillets!$J$1:$J$1000,ROI_Avions!$A63,DataPrixBillets!$K$1:$K$1000,ROI_Avions!$C63)</f>
        <v>0</v>
      </c>
      <c r="AG63" s="26">
        <f>SUMIFS(DataPrixBillets!O$1:O$1000,DataPrixBillets!$J$1:$J$1000,ROI_Avions!$A63,DataPrixBillets!$K$1:$K$1000,ROI_Avions!$C63)</f>
        <v>0</v>
      </c>
      <c r="AH63" s="26">
        <f>SUMIFS(DataPrixBillets!P$1:P$1000,DataPrixBillets!$J$1:$J$1000,ROI_Avions!$A63,DataPrixBillets!$K$1:$K$1000,ROI_Avions!$C63)</f>
        <v>0</v>
      </c>
      <c r="AI63" s="26">
        <f>SUMIFS(DataPrixBillets!Q$1:Q$1000,DataPrixBillets!$J$1:$J$1000,ROI_Avions!$A63,DataPrixBillets!$K$1:$K$1000,ROI_Avions!$C63)</f>
        <v>0</v>
      </c>
      <c r="AJ63" s="121"/>
      <c r="AK63" s="206">
        <f t="shared" si="167"/>
        <v>0</v>
      </c>
      <c r="AL63" s="206" t="e">
        <f t="shared" ca="1" si="168"/>
        <v>#REF!</v>
      </c>
      <c r="AM63" s="206" t="e">
        <f t="shared" ca="1" si="169"/>
        <v>#REF!</v>
      </c>
      <c r="AN63" s="206" t="e">
        <f t="shared" ca="1" si="170"/>
        <v>#REF!</v>
      </c>
      <c r="AO63" s="206" t="e">
        <f t="shared" ca="1" si="171"/>
        <v>#REF!</v>
      </c>
      <c r="AP63" s="206" t="e">
        <f t="shared" ca="1" si="172"/>
        <v>#REF!</v>
      </c>
      <c r="AQ63" s="206" t="e">
        <f t="shared" ca="1" si="173"/>
        <v>#REF!</v>
      </c>
      <c r="AR63" s="207">
        <f t="shared" ca="1" si="184"/>
        <v>0</v>
      </c>
      <c r="AS63" s="120">
        <f t="shared" ca="1" si="185"/>
        <v>0</v>
      </c>
      <c r="AT63" s="206" t="e">
        <f t="shared" ca="1" si="174"/>
        <v>#REF!</v>
      </c>
      <c r="AW63" s="205"/>
    </row>
    <row r="64" spans="1:49" s="204" customFormat="1" x14ac:dyDescent="0.3">
      <c r="A64" s="145" t="s">
        <v>315</v>
      </c>
      <c r="B64" s="146">
        <v>0</v>
      </c>
      <c r="C64" s="145" t="s">
        <v>1110</v>
      </c>
      <c r="D64" s="145" t="str">
        <f t="shared" si="15"/>
        <v>SFO/HGH</v>
      </c>
      <c r="E64" s="146">
        <v>83131544</v>
      </c>
      <c r="F64" s="147" t="str">
        <f>"MD11-A-"&amp;A64&amp;"-"&amp;C64&amp;"-"&amp;5</f>
        <v>MD11-A-SFO-HGH-5</v>
      </c>
      <c r="G64" s="146">
        <v>196272000</v>
      </c>
      <c r="H64" s="116"/>
      <c r="I64" s="206"/>
      <c r="J64" s="206"/>
      <c r="K64" s="206"/>
      <c r="L64" s="53"/>
      <c r="M64" s="53"/>
      <c r="N64" s="116"/>
      <c r="O64" s="138"/>
      <c r="P64" s="133">
        <f>SUMIFS(GestionLignesDemande!D$4:D$1000,GestionLignesDemande!$B$4:$B$1000,ROI_Avions!$A64,GestionLignesDemande!$C$4:$C$1000,ROI_Avions!$C64)</f>
        <v>0</v>
      </c>
      <c r="Q64" s="133">
        <f>SUMIFS(GestionLignesDemande!E$4:E$1000,GestionLignesDemande!$B$4:$B$1000,ROI_Avions!$A64,GestionLignesDemande!$C$4:$C$1000,ROI_Avions!$C64)</f>
        <v>0</v>
      </c>
      <c r="R64" s="133">
        <f>SUMIFS(GestionLignesDemande!F$4:F$1000,GestionLignesDemande!$B$4:$B$1000,ROI_Avions!$A64,GestionLignesDemande!$C$4:$C$1000,ROI_Avions!$C64)</f>
        <v>0</v>
      </c>
      <c r="S64" s="133">
        <f>SUMIFS(GestionLignesDemande!G$4:G$1000,GestionLignesDemande!$B$4:$B$1000,ROI_Avions!$A64,GestionLignesDemande!$C$4:$C$1000,ROI_Avions!$C64)</f>
        <v>0</v>
      </c>
      <c r="T64" s="121"/>
      <c r="U64" s="206">
        <f t="shared" si="97"/>
        <v>335</v>
      </c>
      <c r="V64" s="206">
        <v>270</v>
      </c>
      <c r="W64" s="206">
        <v>45</v>
      </c>
      <c r="X64" s="206">
        <v>14</v>
      </c>
      <c r="Y64" s="206">
        <v>6</v>
      </c>
      <c r="Z64" s="121"/>
      <c r="AA64" s="132">
        <f t="shared" si="222"/>
        <v>-2700</v>
      </c>
      <c r="AB64" s="132">
        <f t="shared" si="223"/>
        <v>-450</v>
      </c>
      <c r="AC64" s="132">
        <f t="shared" si="224"/>
        <v>-140</v>
      </c>
      <c r="AD64" s="132">
        <f t="shared" si="225"/>
        <v>-60</v>
      </c>
      <c r="AE64" s="121"/>
      <c r="AF64" s="26">
        <f>SUMIFS(DataPrixBillets!N$1:N$1000,DataPrixBillets!$J$1:$J$1000,ROI_Avions!$A64,DataPrixBillets!$K$1:$K$1000,ROI_Avions!$C64)</f>
        <v>0</v>
      </c>
      <c r="AG64" s="26">
        <f>SUMIFS(DataPrixBillets!O$1:O$1000,DataPrixBillets!$J$1:$J$1000,ROI_Avions!$A64,DataPrixBillets!$K$1:$K$1000,ROI_Avions!$C64)</f>
        <v>0</v>
      </c>
      <c r="AH64" s="26">
        <f>SUMIFS(DataPrixBillets!P$1:P$1000,DataPrixBillets!$J$1:$J$1000,ROI_Avions!$A64,DataPrixBillets!$K$1:$K$1000,ROI_Avions!$C64)</f>
        <v>0</v>
      </c>
      <c r="AI64" s="26">
        <f>SUMIFS(DataPrixBillets!Q$1:Q$1000,DataPrixBillets!$J$1:$J$1000,ROI_Avions!$A64,DataPrixBillets!$K$1:$K$1000,ROI_Avions!$C64)</f>
        <v>0</v>
      </c>
      <c r="AJ64" s="121"/>
      <c r="AK64" s="206">
        <f t="shared" si="167"/>
        <v>0</v>
      </c>
      <c r="AL64" s="206" t="e">
        <f t="shared" ca="1" si="168"/>
        <v>#REF!</v>
      </c>
      <c r="AM64" s="206" t="e">
        <f t="shared" ca="1" si="169"/>
        <v>#REF!</v>
      </c>
      <c r="AN64" s="206" t="e">
        <f t="shared" ca="1" si="170"/>
        <v>#REF!</v>
      </c>
      <c r="AO64" s="206" t="e">
        <f t="shared" ca="1" si="171"/>
        <v>#REF!</v>
      </c>
      <c r="AP64" s="206" t="e">
        <f t="shared" ca="1" si="172"/>
        <v>#REF!</v>
      </c>
      <c r="AQ64" s="206" t="e">
        <f t="shared" ca="1" si="173"/>
        <v>#REF!</v>
      </c>
      <c r="AR64" s="207">
        <f t="shared" ca="1" si="184"/>
        <v>0</v>
      </c>
      <c r="AS64" s="120">
        <f t="shared" ca="1" si="185"/>
        <v>0</v>
      </c>
      <c r="AT64" s="206" t="e">
        <f t="shared" ca="1" si="174"/>
        <v>#REF!</v>
      </c>
      <c r="AW64" s="205"/>
    </row>
    <row r="65" spans="1:55" x14ac:dyDescent="0.3">
      <c r="A65" s="143" t="s">
        <v>724</v>
      </c>
      <c r="B65" s="149">
        <v>595891869</v>
      </c>
      <c r="C65" s="143" t="s">
        <v>322</v>
      </c>
      <c r="D65" s="145" t="str">
        <f t="shared" si="15"/>
        <v>DLA/AMS</v>
      </c>
      <c r="E65" s="149">
        <v>12868489</v>
      </c>
      <c r="F65" s="144" t="s">
        <v>832</v>
      </c>
      <c r="G65" s="149">
        <v>344565000</v>
      </c>
      <c r="I65" s="8">
        <v>0</v>
      </c>
      <c r="J65" s="8">
        <v>0</v>
      </c>
      <c r="K65" s="8">
        <v>0</v>
      </c>
      <c r="L65" s="53"/>
      <c r="M65" s="53"/>
      <c r="O65" s="140"/>
      <c r="P65" s="133">
        <f>SUMIFS(GestionLignesDemande!D$4:D$1000,GestionLignesDemande!$B$4:$B$1000,ROI_Avions!$A65,GestionLignesDemande!$C$4:$C$1000,ROI_Avions!$C65)</f>
        <v>0</v>
      </c>
      <c r="Q65" s="133">
        <f>SUMIFS(GestionLignesDemande!E$4:E$1000,GestionLignesDemande!$B$4:$B$1000,ROI_Avions!$A65,GestionLignesDemande!$C$4:$C$1000,ROI_Avions!$C65)</f>
        <v>0</v>
      </c>
      <c r="R65" s="133">
        <f>SUMIFS(GestionLignesDemande!F$4:F$1000,GestionLignesDemande!$B$4:$B$1000,ROI_Avions!$A65,GestionLignesDemande!$C$4:$C$1000,ROI_Avions!$C65)</f>
        <v>0</v>
      </c>
      <c r="S65" s="133">
        <f>SUMIFS(GestionLignesDemande!G$4:G$1000,GestionLignesDemande!$B$4:$B$1000,ROI_Avions!$A65,GestionLignesDemande!$C$4:$C$1000,ROI_Avions!$C65)</f>
        <v>0</v>
      </c>
      <c r="U65" s="8">
        <f t="shared" si="1"/>
        <v>578</v>
      </c>
      <c r="V65" s="8">
        <v>397</v>
      </c>
      <c r="W65" s="8">
        <v>128</v>
      </c>
      <c r="X65" s="8">
        <v>23</v>
      </c>
      <c r="Y65" s="8">
        <v>30</v>
      </c>
      <c r="Z65" s="121"/>
      <c r="AA65" s="132">
        <f t="shared" ref="AA65" si="226">P65-(V65*2)</f>
        <v>-794</v>
      </c>
      <c r="AB65" s="132">
        <f t="shared" ref="AB65" si="227">Q65-(W65*2)</f>
        <v>-256</v>
      </c>
      <c r="AC65" s="132">
        <f t="shared" ref="AC65" si="228">R65-(X65*2)</f>
        <v>-46</v>
      </c>
      <c r="AD65" s="132">
        <f t="shared" ref="AD65" si="229">S65-(Y65*2)</f>
        <v>-60</v>
      </c>
      <c r="AE65" s="121"/>
      <c r="AF65" s="26">
        <f>SUMIFS(DataPrixBillets!N$1:N$1000,DataPrixBillets!$J$1:$J$1000,ROI_Avions!$A65,DataPrixBillets!$K$1:$K$1000,ROI_Avions!$C65)</f>
        <v>0</v>
      </c>
      <c r="AG65" s="26">
        <f>SUMIFS(DataPrixBillets!O$1:O$1000,DataPrixBillets!$J$1:$J$1000,ROI_Avions!$A65,DataPrixBillets!$K$1:$K$1000,ROI_Avions!$C65)</f>
        <v>0</v>
      </c>
      <c r="AH65" s="26">
        <f>SUMIFS(DataPrixBillets!P$1:P$1000,DataPrixBillets!$J$1:$J$1000,ROI_Avions!$A65,DataPrixBillets!$K$1:$K$1000,ROI_Avions!$C65)</f>
        <v>0</v>
      </c>
      <c r="AI65" s="26">
        <f>SUMIFS(DataPrixBillets!Q$1:Q$1000,DataPrixBillets!$J$1:$J$1000,ROI_Avions!$A65,DataPrixBillets!$K$1:$K$1000,ROI_Avions!$C65)</f>
        <v>0</v>
      </c>
      <c r="AJ65" s="121"/>
      <c r="AK65" s="8">
        <f t="shared" si="20"/>
        <v>0</v>
      </c>
      <c r="AL65" s="8" t="e">
        <f t="shared" ca="1" si="21"/>
        <v>#REF!</v>
      </c>
      <c r="AM65" s="8" t="e">
        <f t="shared" ca="1" si="22"/>
        <v>#REF!</v>
      </c>
      <c r="AN65" s="8" t="e">
        <f t="shared" ca="1" si="23"/>
        <v>#REF!</v>
      </c>
      <c r="AO65" s="8" t="e">
        <f t="shared" ca="1" si="24"/>
        <v>#REF!</v>
      </c>
      <c r="AP65" s="8" t="e">
        <f t="shared" ca="1" si="25"/>
        <v>#REF!</v>
      </c>
      <c r="AQ65" s="8" t="e">
        <f t="shared" ca="1" si="26"/>
        <v>#REF!</v>
      </c>
      <c r="AR65" s="7">
        <f t="shared" ca="1" si="184"/>
        <v>0</v>
      </c>
      <c r="AS65" s="120">
        <f t="shared" ca="1" si="185"/>
        <v>0</v>
      </c>
      <c r="AT65" s="8" t="e">
        <f t="shared" ca="1" si="28"/>
        <v>#REF!</v>
      </c>
      <c r="AU65" s="38">
        <f ca="1">AS65/7</f>
        <v>0</v>
      </c>
      <c r="AV65" s="204"/>
      <c r="AW65" s="205"/>
      <c r="AX65" s="204"/>
      <c r="AY65" s="204"/>
      <c r="BA65" s="204"/>
      <c r="BB65" s="204"/>
      <c r="BC65" s="204"/>
    </row>
    <row r="66" spans="1:55" x14ac:dyDescent="0.3">
      <c r="A66" s="143" t="s">
        <v>724</v>
      </c>
      <c r="B66" s="149">
        <v>595891869</v>
      </c>
      <c r="C66" s="143" t="s">
        <v>322</v>
      </c>
      <c r="D66" s="145" t="str">
        <f t="shared" si="15"/>
        <v>DLA/AMS</v>
      </c>
      <c r="E66" s="149">
        <v>12868489</v>
      </c>
      <c r="F66" s="144" t="s">
        <v>833</v>
      </c>
      <c r="G66" s="149">
        <v>344565000</v>
      </c>
      <c r="I66" s="8">
        <v>0</v>
      </c>
      <c r="J66" s="8">
        <v>0</v>
      </c>
      <c r="K66" s="8">
        <v>0</v>
      </c>
      <c r="L66" s="53"/>
      <c r="M66" s="53"/>
      <c r="O66" s="140"/>
      <c r="P66" s="133">
        <f>SUMIFS(GestionLignesDemande!D$4:D$1000,GestionLignesDemande!$B$4:$B$1000,ROI_Avions!$A66,GestionLignesDemande!$C$4:$C$1000,ROI_Avions!$C66)</f>
        <v>0</v>
      </c>
      <c r="Q66" s="133">
        <f>SUMIFS(GestionLignesDemande!E$4:E$1000,GestionLignesDemande!$B$4:$B$1000,ROI_Avions!$A66,GestionLignesDemande!$C$4:$C$1000,ROI_Avions!$C66)</f>
        <v>0</v>
      </c>
      <c r="R66" s="133">
        <f>SUMIFS(GestionLignesDemande!F$4:F$1000,GestionLignesDemande!$B$4:$B$1000,ROI_Avions!$A66,GestionLignesDemande!$C$4:$C$1000,ROI_Avions!$C66)</f>
        <v>0</v>
      </c>
      <c r="S66" s="133">
        <f>SUMIFS(GestionLignesDemande!G$4:G$1000,GestionLignesDemande!$B$4:$B$1000,ROI_Avions!$A66,GestionLignesDemande!$C$4:$C$1000,ROI_Avions!$C66)</f>
        <v>0</v>
      </c>
      <c r="U66" s="8">
        <f t="shared" si="1"/>
        <v>855</v>
      </c>
      <c r="V66" s="8">
        <v>853</v>
      </c>
      <c r="W66" s="8">
        <v>0</v>
      </c>
      <c r="X66" s="8">
        <v>0</v>
      </c>
      <c r="Y66" s="8">
        <v>2</v>
      </c>
      <c r="Z66" s="121"/>
      <c r="AA66" s="132">
        <f t="shared" ref="AA66" si="230">AA65-V66*2</f>
        <v>-2500</v>
      </c>
      <c r="AB66" s="132">
        <f t="shared" ref="AB66" si="231">AB65-W66*2</f>
        <v>-256</v>
      </c>
      <c r="AC66" s="132">
        <f t="shared" ref="AC66" si="232">AC65-X66*2</f>
        <v>-46</v>
      </c>
      <c r="AD66" s="132">
        <f t="shared" ref="AD66" si="233">AD65-Y66*2</f>
        <v>-64</v>
      </c>
      <c r="AE66" s="121"/>
      <c r="AF66" s="26">
        <f>SUMIFS(DataPrixBillets!N$1:N$1000,DataPrixBillets!$J$1:$J$1000,ROI_Avions!$A66,DataPrixBillets!$K$1:$K$1000,ROI_Avions!$C66)</f>
        <v>0</v>
      </c>
      <c r="AG66" s="26">
        <f>SUMIFS(DataPrixBillets!O$1:O$1000,DataPrixBillets!$J$1:$J$1000,ROI_Avions!$A66,DataPrixBillets!$K$1:$K$1000,ROI_Avions!$C66)</f>
        <v>0</v>
      </c>
      <c r="AH66" s="26">
        <f>SUMIFS(DataPrixBillets!P$1:P$1000,DataPrixBillets!$J$1:$J$1000,ROI_Avions!$A66,DataPrixBillets!$K$1:$K$1000,ROI_Avions!$C66)</f>
        <v>0</v>
      </c>
      <c r="AI66" s="26">
        <f>SUMIFS(DataPrixBillets!Q$1:Q$1000,DataPrixBillets!$J$1:$J$1000,ROI_Avions!$A66,DataPrixBillets!$K$1:$K$1000,ROI_Avions!$C66)</f>
        <v>0</v>
      </c>
      <c r="AJ66" s="121"/>
      <c r="AK66" s="8">
        <f t="shared" ref="AK66" si="234">(((AF66*V66)*2+(AG66*W66)*2+(AH66*X66)*2+(AI66*Y66)*2)*7)</f>
        <v>0</v>
      </c>
      <c r="AL66" s="8" t="e">
        <f t="shared" ref="AL66" ca="1" si="235">AK66-AM66</f>
        <v>#REF!</v>
      </c>
      <c r="AM66" s="8" t="e">
        <f t="shared" ref="AM66" ca="1" si="236">AK66*$AM$2</f>
        <v>#REF!</v>
      </c>
      <c r="AN66" s="8" t="e">
        <f t="shared" ref="AN66" ca="1" si="237">AL66*$AN$2</f>
        <v>#REF!</v>
      </c>
      <c r="AO66" s="8" t="e">
        <f t="shared" ref="AO66" ca="1" si="238">(AL66-AN66-I66)*$AO$2</f>
        <v>#REF!</v>
      </c>
      <c r="AP66" s="8" t="e">
        <f t="shared" ref="AP66" ca="1" si="239">AL66-AN66-(I66/7)-(AO66/7)</f>
        <v>#REF!</v>
      </c>
      <c r="AQ66" s="8" t="e">
        <f t="shared" ref="AQ66" ca="1" si="240">AP66/7</f>
        <v>#REF!</v>
      </c>
      <c r="AR66" s="7">
        <f t="shared" ca="1" si="184"/>
        <v>0</v>
      </c>
      <c r="AS66" s="120">
        <f t="shared" ca="1" si="185"/>
        <v>0</v>
      </c>
      <c r="AT66" s="8" t="e">
        <f t="shared" ref="AT66" ca="1" si="241">IF(K66&gt;=1,AP66*K66,AP66*$AT$1)</f>
        <v>#REF!</v>
      </c>
      <c r="AU66" s="38">
        <f ca="1">AS66/7</f>
        <v>0</v>
      </c>
      <c r="AV66" s="204"/>
      <c r="AW66" s="205"/>
      <c r="AX66" s="204"/>
      <c r="AY66" s="204"/>
      <c r="BA66" s="204"/>
      <c r="BB66" s="204"/>
      <c r="BC66" s="204"/>
    </row>
    <row r="67" spans="1:55" x14ac:dyDescent="0.3">
      <c r="A67" s="143" t="s">
        <v>724</v>
      </c>
      <c r="B67" s="149">
        <v>595891869</v>
      </c>
      <c r="C67" s="143" t="s">
        <v>322</v>
      </c>
      <c r="D67" s="145" t="str">
        <f t="shared" si="15"/>
        <v>DLA/AMS</v>
      </c>
      <c r="E67" s="149">
        <v>12868489</v>
      </c>
      <c r="F67" s="144" t="s">
        <v>834</v>
      </c>
      <c r="G67" s="149">
        <v>204687000</v>
      </c>
      <c r="I67" s="8">
        <v>0</v>
      </c>
      <c r="J67" s="8">
        <v>0</v>
      </c>
      <c r="K67" s="8">
        <v>0</v>
      </c>
      <c r="L67" s="53"/>
      <c r="M67" s="53"/>
      <c r="O67" s="140"/>
      <c r="P67" s="133">
        <f>SUMIFS(GestionLignesDemande!D$4:D$1000,GestionLignesDemande!$B$4:$B$1000,ROI_Avions!$A67,GestionLignesDemande!$C$4:$C$1000,ROI_Avions!$C67)</f>
        <v>0</v>
      </c>
      <c r="Q67" s="133">
        <f>SUMIFS(GestionLignesDemande!E$4:E$1000,GestionLignesDemande!$B$4:$B$1000,ROI_Avions!$A67,GestionLignesDemande!$C$4:$C$1000,ROI_Avions!$C67)</f>
        <v>0</v>
      </c>
      <c r="R67" s="133">
        <f>SUMIFS(GestionLignesDemande!F$4:F$1000,GestionLignesDemande!$B$4:$B$1000,ROI_Avions!$A67,GestionLignesDemande!$C$4:$C$1000,ROI_Avions!$C67)</f>
        <v>0</v>
      </c>
      <c r="S67" s="133">
        <f>SUMIFS(GestionLignesDemande!G$4:G$1000,GestionLignesDemande!$B$4:$B$1000,ROI_Avions!$A67,GestionLignesDemande!$C$4:$C$1000,ROI_Avions!$C67)</f>
        <v>0</v>
      </c>
      <c r="U67" s="8">
        <f t="shared" si="1"/>
        <v>440</v>
      </c>
      <c r="V67" s="8">
        <v>440</v>
      </c>
      <c r="W67" s="8">
        <v>0</v>
      </c>
      <c r="X67" s="8">
        <v>0</v>
      </c>
      <c r="Y67" s="8">
        <v>0</v>
      </c>
      <c r="Z67" s="121"/>
      <c r="AA67" s="132">
        <f t="shared" ref="AA67" si="242">AA66-V67*2</f>
        <v>-3380</v>
      </c>
      <c r="AB67" s="132">
        <f t="shared" ref="AB67" si="243">AB66-W67*2</f>
        <v>-256</v>
      </c>
      <c r="AC67" s="132">
        <f t="shared" ref="AC67" si="244">AC66-X67*2</f>
        <v>-46</v>
      </c>
      <c r="AD67" s="132">
        <f t="shared" ref="AD67" si="245">AD66-Y67*2</f>
        <v>-64</v>
      </c>
      <c r="AE67" s="121"/>
      <c r="AF67" s="26">
        <f>SUMIFS(DataPrixBillets!N$1:N$1000,DataPrixBillets!$J$1:$J$1000,ROI_Avions!$A67,DataPrixBillets!$K$1:$K$1000,ROI_Avions!$C67)</f>
        <v>0</v>
      </c>
      <c r="AG67" s="26">
        <f>SUMIFS(DataPrixBillets!O$1:O$1000,DataPrixBillets!$J$1:$J$1000,ROI_Avions!$A67,DataPrixBillets!$K$1:$K$1000,ROI_Avions!$C67)</f>
        <v>0</v>
      </c>
      <c r="AH67" s="26">
        <f>SUMIFS(DataPrixBillets!P$1:P$1000,DataPrixBillets!$J$1:$J$1000,ROI_Avions!$A67,DataPrixBillets!$K$1:$K$1000,ROI_Avions!$C67)</f>
        <v>0</v>
      </c>
      <c r="AI67" s="26">
        <f>SUMIFS(DataPrixBillets!Q$1:Q$1000,DataPrixBillets!$J$1:$J$1000,ROI_Avions!$A67,DataPrixBillets!$K$1:$K$1000,ROI_Avions!$C67)</f>
        <v>0</v>
      </c>
      <c r="AJ67" s="121"/>
      <c r="AK67" s="8">
        <f t="shared" ref="AK67" si="246">(((AF67*V67)*2+(AG67*W67)*2+(AH67*X67)*2+(AI67*Y67)*2)*7)</f>
        <v>0</v>
      </c>
      <c r="AL67" s="8" t="e">
        <f t="shared" ref="AL67" ca="1" si="247">AK67-AM67</f>
        <v>#REF!</v>
      </c>
      <c r="AM67" s="8" t="e">
        <f t="shared" ref="AM67" ca="1" si="248">AK67*$AM$2</f>
        <v>#REF!</v>
      </c>
      <c r="AN67" s="8" t="e">
        <f t="shared" ref="AN67" ca="1" si="249">AL67*$AN$2</f>
        <v>#REF!</v>
      </c>
      <c r="AO67" s="8" t="e">
        <f t="shared" ref="AO67" ca="1" si="250">(AL67-AN67-I67)*$AO$2</f>
        <v>#REF!</v>
      </c>
      <c r="AP67" s="8" t="e">
        <f t="shared" ref="AP67" ca="1" si="251">AL67-AN67-(I67/7)-(AO67/7)</f>
        <v>#REF!</v>
      </c>
      <c r="AQ67" s="8" t="e">
        <f t="shared" ref="AQ67" ca="1" si="252">AP67/7</f>
        <v>#REF!</v>
      </c>
      <c r="AR67" s="7">
        <f t="shared" ca="1" si="184"/>
        <v>0</v>
      </c>
      <c r="AS67" s="120">
        <f t="shared" ca="1" si="185"/>
        <v>0</v>
      </c>
      <c r="AT67" s="8" t="e">
        <f t="shared" ref="AT67" ca="1" si="253">IF(K67&gt;=1,AP67*K67,AP67*$AT$1)</f>
        <v>#REF!</v>
      </c>
      <c r="AV67" s="204"/>
      <c r="AW67" s="205"/>
      <c r="AX67" s="204"/>
      <c r="AY67" s="204"/>
      <c r="BA67" s="204"/>
      <c r="BB67" s="204"/>
      <c r="BC67" s="204"/>
    </row>
    <row r="68" spans="1:55" s="185" customFormat="1" x14ac:dyDescent="0.3">
      <c r="A68" s="143" t="s">
        <v>724</v>
      </c>
      <c r="B68" s="149">
        <v>595891869</v>
      </c>
      <c r="C68" s="143" t="s">
        <v>851</v>
      </c>
      <c r="D68" s="145" t="str">
        <f t="shared" si="15"/>
        <v>DLA/URC</v>
      </c>
      <c r="E68" s="149">
        <v>17072935</v>
      </c>
      <c r="F68" s="144" t="s">
        <v>853</v>
      </c>
      <c r="G68" s="149">
        <v>0</v>
      </c>
      <c r="H68" s="116"/>
      <c r="I68" s="8">
        <v>0</v>
      </c>
      <c r="J68" s="8">
        <v>0</v>
      </c>
      <c r="K68" s="8">
        <v>0</v>
      </c>
      <c r="L68" s="53"/>
      <c r="M68" s="53"/>
      <c r="N68" s="116"/>
      <c r="O68" s="140"/>
      <c r="P68" s="133">
        <f>SUMIFS(GestionLignesDemande!D$4:D$1000,GestionLignesDemande!$B$4:$B$1000,ROI_Avions!$A68,GestionLignesDemande!$C$4:$C$1000,ROI_Avions!$C68)</f>
        <v>0</v>
      </c>
      <c r="Q68" s="133">
        <f>SUMIFS(GestionLignesDemande!E$4:E$1000,GestionLignesDemande!$B$4:$B$1000,ROI_Avions!$A68,GestionLignesDemande!$C$4:$C$1000,ROI_Avions!$C68)</f>
        <v>0</v>
      </c>
      <c r="R68" s="133">
        <f>SUMIFS(GestionLignesDemande!F$4:F$1000,GestionLignesDemande!$B$4:$B$1000,ROI_Avions!$A68,GestionLignesDemande!$C$4:$C$1000,ROI_Avions!$C68)</f>
        <v>0</v>
      </c>
      <c r="S68" s="133">
        <f>SUMIFS(GestionLignesDemande!G$4:G$1000,GestionLignesDemande!$B$4:$B$1000,ROI_Avions!$A68,GestionLignesDemande!$C$4:$C$1000,ROI_Avions!$C68)</f>
        <v>0</v>
      </c>
      <c r="T68" s="116"/>
      <c r="U68" s="8">
        <f t="shared" si="1"/>
        <v>387</v>
      </c>
      <c r="V68" s="8">
        <v>351</v>
      </c>
      <c r="W68" s="8">
        <v>25</v>
      </c>
      <c r="X68" s="8">
        <v>4</v>
      </c>
      <c r="Y68" s="8">
        <v>7</v>
      </c>
      <c r="Z68" s="121"/>
      <c r="AA68" s="132">
        <f t="shared" ref="AA68" si="254">P68-(V68*2)</f>
        <v>-702</v>
      </c>
      <c r="AB68" s="132">
        <f t="shared" ref="AB68" si="255">Q68-(W68*2)</f>
        <v>-50</v>
      </c>
      <c r="AC68" s="132">
        <f t="shared" ref="AC68" si="256">R68-(X68*2)</f>
        <v>-8</v>
      </c>
      <c r="AD68" s="132">
        <f t="shared" ref="AD68" si="257">S68-(Y68*2)</f>
        <v>-14</v>
      </c>
      <c r="AE68" s="121"/>
      <c r="AF68" s="26">
        <f>SUMIFS(DataPrixBillets!N$1:N$1000,DataPrixBillets!$J$1:$J$1000,ROI_Avions!$A68,DataPrixBillets!$K$1:$K$1000,ROI_Avions!$C68)</f>
        <v>0</v>
      </c>
      <c r="AG68" s="26">
        <f>SUMIFS(DataPrixBillets!O$1:O$1000,DataPrixBillets!$J$1:$J$1000,ROI_Avions!$A68,DataPrixBillets!$K$1:$K$1000,ROI_Avions!$C68)</f>
        <v>0</v>
      </c>
      <c r="AH68" s="26">
        <f>SUMIFS(DataPrixBillets!P$1:P$1000,DataPrixBillets!$J$1:$J$1000,ROI_Avions!$A68,DataPrixBillets!$K$1:$K$1000,ROI_Avions!$C68)</f>
        <v>0</v>
      </c>
      <c r="AI68" s="26">
        <f>SUMIFS(DataPrixBillets!Q$1:Q$1000,DataPrixBillets!$J$1:$J$1000,ROI_Avions!$A68,DataPrixBillets!$K$1:$K$1000,ROI_Avions!$C68)</f>
        <v>0</v>
      </c>
      <c r="AJ68" s="121"/>
      <c r="AK68" s="8">
        <f t="shared" ref="AK68" si="258">(((AF68*V68)*2+(AG68*W68)*2+(AH68*X68)*2+(AI68*Y68)*2)*7)</f>
        <v>0</v>
      </c>
      <c r="AL68" s="8" t="e">
        <f t="shared" ref="AL68" ca="1" si="259">AK68-AM68</f>
        <v>#REF!</v>
      </c>
      <c r="AM68" s="8" t="e">
        <f t="shared" ref="AM68" ca="1" si="260">AK68*$AM$2</f>
        <v>#REF!</v>
      </c>
      <c r="AN68" s="8" t="e">
        <f t="shared" ref="AN68" ca="1" si="261">AL68*$AN$2</f>
        <v>#REF!</v>
      </c>
      <c r="AO68" s="8" t="e">
        <f t="shared" ref="AO68" ca="1" si="262">(AL68-AN68-I68)*$AO$2</f>
        <v>#REF!</v>
      </c>
      <c r="AP68" s="8" t="e">
        <f t="shared" ref="AP68" ca="1" si="263">AL68-AN68-(I68/7)-(AO68/7)</f>
        <v>#REF!</v>
      </c>
      <c r="AQ68" s="8" t="e">
        <f t="shared" ref="AQ68" ca="1" si="264">AP68/7</f>
        <v>#REF!</v>
      </c>
      <c r="AR68" s="7">
        <f t="shared" ca="1" si="184"/>
        <v>0</v>
      </c>
      <c r="AS68" s="120">
        <f t="shared" ca="1" si="185"/>
        <v>0</v>
      </c>
      <c r="AT68" s="8" t="e">
        <f t="shared" ref="AT68" ca="1" si="265">IF(K68&gt;=1,AP68*K68,AP68*$AT$1)</f>
        <v>#REF!</v>
      </c>
      <c r="AW68" s="73"/>
      <c r="BA68"/>
      <c r="BB68"/>
      <c r="BC68"/>
    </row>
    <row r="69" spans="1:55" s="185" customFormat="1" x14ac:dyDescent="0.3">
      <c r="A69" s="143" t="s">
        <v>724</v>
      </c>
      <c r="B69" s="149">
        <v>595891869</v>
      </c>
      <c r="C69" s="143" t="s">
        <v>851</v>
      </c>
      <c r="D69" s="145" t="str">
        <f t="shared" si="15"/>
        <v>DLA/URC</v>
      </c>
      <c r="E69" s="149">
        <v>17072935</v>
      </c>
      <c r="F69" s="144" t="s">
        <v>854</v>
      </c>
      <c r="G69" s="149">
        <v>204687000</v>
      </c>
      <c r="H69" s="116"/>
      <c r="I69" s="8">
        <v>0</v>
      </c>
      <c r="J69" s="8">
        <v>0</v>
      </c>
      <c r="K69" s="8">
        <v>0</v>
      </c>
      <c r="L69" s="53"/>
      <c r="M69" s="53"/>
      <c r="N69" s="116"/>
      <c r="O69" s="140"/>
      <c r="P69" s="133">
        <f>SUMIFS(GestionLignesDemande!D$4:D$1000,GestionLignesDemande!$B$4:$B$1000,ROI_Avions!$A69,GestionLignesDemande!$C$4:$C$1000,ROI_Avions!$C69)</f>
        <v>0</v>
      </c>
      <c r="Q69" s="133">
        <f>SUMIFS(GestionLignesDemande!E$4:E$1000,GestionLignesDemande!$B$4:$B$1000,ROI_Avions!$A69,GestionLignesDemande!$C$4:$C$1000,ROI_Avions!$C69)</f>
        <v>0</v>
      </c>
      <c r="R69" s="133">
        <f>SUMIFS(GestionLignesDemande!F$4:F$1000,GestionLignesDemande!$B$4:$B$1000,ROI_Avions!$A69,GestionLignesDemande!$C$4:$C$1000,ROI_Avions!$C69)</f>
        <v>0</v>
      </c>
      <c r="S69" s="133">
        <f>SUMIFS(GestionLignesDemande!G$4:G$1000,GestionLignesDemande!$B$4:$B$1000,ROI_Avions!$A69,GestionLignesDemande!$C$4:$C$1000,ROI_Avions!$C69)</f>
        <v>0</v>
      </c>
      <c r="T69" s="116"/>
      <c r="U69" s="8">
        <f t="shared" si="1"/>
        <v>387</v>
      </c>
      <c r="V69" s="8">
        <v>351</v>
      </c>
      <c r="W69" s="8">
        <v>25</v>
      </c>
      <c r="X69" s="8">
        <v>4</v>
      </c>
      <c r="Y69" s="8">
        <v>7</v>
      </c>
      <c r="Z69" s="121"/>
      <c r="AA69" s="132">
        <f t="shared" ref="AA69:AA71" si="266">AA68-V69*2</f>
        <v>-1404</v>
      </c>
      <c r="AB69" s="132">
        <f t="shared" ref="AB69:AB71" si="267">AB68-W69*2</f>
        <v>-100</v>
      </c>
      <c r="AC69" s="132">
        <f t="shared" ref="AC69:AC71" si="268">AC68-X69*2</f>
        <v>-16</v>
      </c>
      <c r="AD69" s="132">
        <f t="shared" ref="AD69:AD71" si="269">AD68-Y69*2</f>
        <v>-28</v>
      </c>
      <c r="AE69" s="121"/>
      <c r="AF69" s="26">
        <f>SUMIFS(DataPrixBillets!N$1:N$1000,DataPrixBillets!$J$1:$J$1000,ROI_Avions!$A69,DataPrixBillets!$K$1:$K$1000,ROI_Avions!$C69)</f>
        <v>0</v>
      </c>
      <c r="AG69" s="26">
        <f>SUMIFS(DataPrixBillets!O$1:O$1000,DataPrixBillets!$J$1:$J$1000,ROI_Avions!$A69,DataPrixBillets!$K$1:$K$1000,ROI_Avions!$C69)</f>
        <v>0</v>
      </c>
      <c r="AH69" s="26">
        <f>SUMIFS(DataPrixBillets!P$1:P$1000,DataPrixBillets!$J$1:$J$1000,ROI_Avions!$A69,DataPrixBillets!$K$1:$K$1000,ROI_Avions!$C69)</f>
        <v>0</v>
      </c>
      <c r="AI69" s="26">
        <f>SUMIFS(DataPrixBillets!Q$1:Q$1000,DataPrixBillets!$J$1:$J$1000,ROI_Avions!$A69,DataPrixBillets!$K$1:$K$1000,ROI_Avions!$C69)</f>
        <v>0</v>
      </c>
      <c r="AJ69" s="121"/>
      <c r="AK69" s="8">
        <f t="shared" ref="AK69:AK71" si="270">(((AF69*V69)*2+(AG69*W69)*2+(AH69*X69)*2+(AI69*Y69)*2)*7)</f>
        <v>0</v>
      </c>
      <c r="AL69" s="8" t="e">
        <f t="shared" ref="AL69:AL71" ca="1" si="271">AK69-AM69</f>
        <v>#REF!</v>
      </c>
      <c r="AM69" s="8" t="e">
        <f t="shared" ref="AM69:AM71" ca="1" si="272">AK69*$AM$2</f>
        <v>#REF!</v>
      </c>
      <c r="AN69" s="8" t="e">
        <f t="shared" ref="AN69:AN71" ca="1" si="273">AL69*$AN$2</f>
        <v>#REF!</v>
      </c>
      <c r="AO69" s="8" t="e">
        <f t="shared" ref="AO69:AO71" ca="1" si="274">(AL69-AN69-I69)*$AO$2</f>
        <v>#REF!</v>
      </c>
      <c r="AP69" s="8" t="e">
        <f t="shared" ref="AP69:AP71" ca="1" si="275">AL69-AN69-(I69/7)-(AO69/7)</f>
        <v>#REF!</v>
      </c>
      <c r="AQ69" s="8" t="e">
        <f t="shared" ref="AQ69:AQ71" ca="1" si="276">AP69/7</f>
        <v>#REF!</v>
      </c>
      <c r="AR69" s="7">
        <f t="shared" ref="AR69:AR100" ca="1" si="277">IFERROR((AP69/7)/((B69/COUNTIFS(A:A,A69))+(E69/COUNTIFS(A:A,A69,C:C,C69))+I69*K69+J69+G69),0)</f>
        <v>0</v>
      </c>
      <c r="AS69" s="120">
        <f t="shared" ref="AS69:AS100" ca="1" si="278">IFERROR(((B69/COUNTIFS(A:A,A69))+(E69/COUNTIFS(A:A,A69,C:C,C69))+I69*K69+J69+G69)/(AP69/7),0)</f>
        <v>0</v>
      </c>
      <c r="AT69" s="8" t="e">
        <f t="shared" ref="AT69:AT71" ca="1" si="279">IF(K69&gt;=1,AP69*K69,AP69*$AT$1)</f>
        <v>#REF!</v>
      </c>
      <c r="AV69"/>
      <c r="AW69" s="73"/>
      <c r="AX69"/>
      <c r="AY69"/>
      <c r="BA69"/>
      <c r="BB69"/>
      <c r="BC69"/>
    </row>
    <row r="70" spans="1:55" s="185" customFormat="1" x14ac:dyDescent="0.3">
      <c r="A70" s="143" t="s">
        <v>724</v>
      </c>
      <c r="B70" s="149">
        <v>595891869</v>
      </c>
      <c r="C70" s="143" t="s">
        <v>851</v>
      </c>
      <c r="D70" s="145" t="str">
        <f t="shared" ref="D70:D133" si="280">A70&amp;"/"&amp;C70</f>
        <v>DLA/URC</v>
      </c>
      <c r="E70" s="149">
        <v>17072935</v>
      </c>
      <c r="F70" s="144" t="s">
        <v>852</v>
      </c>
      <c r="G70" s="149">
        <v>204687000</v>
      </c>
      <c r="H70" s="116"/>
      <c r="I70" s="8">
        <v>0</v>
      </c>
      <c r="J70" s="8">
        <v>0</v>
      </c>
      <c r="K70" s="8">
        <v>0</v>
      </c>
      <c r="L70" s="53"/>
      <c r="M70" s="53"/>
      <c r="N70" s="116"/>
      <c r="O70" s="140"/>
      <c r="P70" s="133">
        <f>SUMIFS(GestionLignesDemande!D$4:D$1000,GestionLignesDemande!$B$4:$B$1000,ROI_Avions!$A70,GestionLignesDemande!$C$4:$C$1000,ROI_Avions!$C70)</f>
        <v>0</v>
      </c>
      <c r="Q70" s="133">
        <f>SUMIFS(GestionLignesDemande!E$4:E$1000,GestionLignesDemande!$B$4:$B$1000,ROI_Avions!$A70,GestionLignesDemande!$C$4:$C$1000,ROI_Avions!$C70)</f>
        <v>0</v>
      </c>
      <c r="R70" s="133">
        <f>SUMIFS(GestionLignesDemande!F$4:F$1000,GestionLignesDemande!$B$4:$B$1000,ROI_Avions!$A70,GestionLignesDemande!$C$4:$C$1000,ROI_Avions!$C70)</f>
        <v>0</v>
      </c>
      <c r="S70" s="133">
        <f>SUMIFS(GestionLignesDemande!G$4:G$1000,GestionLignesDemande!$B$4:$B$1000,ROI_Avions!$A70,GestionLignesDemande!$C$4:$C$1000,ROI_Avions!$C70)</f>
        <v>0</v>
      </c>
      <c r="T70" s="116"/>
      <c r="U70" s="8">
        <f t="shared" si="1"/>
        <v>389</v>
      </c>
      <c r="V70" s="8">
        <v>357</v>
      </c>
      <c r="W70" s="8">
        <v>23</v>
      </c>
      <c r="X70" s="8">
        <v>2</v>
      </c>
      <c r="Y70" s="8">
        <v>7</v>
      </c>
      <c r="Z70" s="121"/>
      <c r="AA70" s="132">
        <f t="shared" si="266"/>
        <v>-2118</v>
      </c>
      <c r="AB70" s="132">
        <f t="shared" si="267"/>
        <v>-146</v>
      </c>
      <c r="AC70" s="132">
        <f t="shared" si="268"/>
        <v>-20</v>
      </c>
      <c r="AD70" s="132">
        <f t="shared" si="269"/>
        <v>-42</v>
      </c>
      <c r="AE70" s="121"/>
      <c r="AF70" s="26">
        <f>SUMIFS(DataPrixBillets!N$1:N$1000,DataPrixBillets!$J$1:$J$1000,ROI_Avions!$A70,DataPrixBillets!$K$1:$K$1000,ROI_Avions!$C70)</f>
        <v>0</v>
      </c>
      <c r="AG70" s="26">
        <f>SUMIFS(DataPrixBillets!O$1:O$1000,DataPrixBillets!$J$1:$J$1000,ROI_Avions!$A70,DataPrixBillets!$K$1:$K$1000,ROI_Avions!$C70)</f>
        <v>0</v>
      </c>
      <c r="AH70" s="26">
        <f>SUMIFS(DataPrixBillets!P$1:P$1000,DataPrixBillets!$J$1:$J$1000,ROI_Avions!$A70,DataPrixBillets!$K$1:$K$1000,ROI_Avions!$C70)</f>
        <v>0</v>
      </c>
      <c r="AI70" s="26">
        <f>SUMIFS(DataPrixBillets!Q$1:Q$1000,DataPrixBillets!$J$1:$J$1000,ROI_Avions!$A70,DataPrixBillets!$K$1:$K$1000,ROI_Avions!$C70)</f>
        <v>0</v>
      </c>
      <c r="AJ70" s="121"/>
      <c r="AK70" s="8">
        <f t="shared" si="270"/>
        <v>0</v>
      </c>
      <c r="AL70" s="8" t="e">
        <f t="shared" ca="1" si="271"/>
        <v>#REF!</v>
      </c>
      <c r="AM70" s="8" t="e">
        <f t="shared" ca="1" si="272"/>
        <v>#REF!</v>
      </c>
      <c r="AN70" s="8" t="e">
        <f t="shared" ca="1" si="273"/>
        <v>#REF!</v>
      </c>
      <c r="AO70" s="8" t="e">
        <f t="shared" ca="1" si="274"/>
        <v>#REF!</v>
      </c>
      <c r="AP70" s="8" t="e">
        <f t="shared" ca="1" si="275"/>
        <v>#REF!</v>
      </c>
      <c r="AQ70" s="8" t="e">
        <f t="shared" ca="1" si="276"/>
        <v>#REF!</v>
      </c>
      <c r="AR70" s="7">
        <f t="shared" ca="1" si="277"/>
        <v>0</v>
      </c>
      <c r="AS70" s="120">
        <f t="shared" ca="1" si="278"/>
        <v>0</v>
      </c>
      <c r="AT70" s="8" t="e">
        <f t="shared" ca="1" si="279"/>
        <v>#REF!</v>
      </c>
      <c r="AV70"/>
      <c r="AW70" s="73"/>
      <c r="AX70"/>
      <c r="AY70"/>
      <c r="BA70"/>
      <c r="BB70"/>
      <c r="BC70"/>
    </row>
    <row r="71" spans="1:55" s="185" customFormat="1" x14ac:dyDescent="0.3">
      <c r="A71" s="143" t="s">
        <v>724</v>
      </c>
      <c r="B71" s="149">
        <v>595891869</v>
      </c>
      <c r="C71" s="143" t="s">
        <v>851</v>
      </c>
      <c r="D71" s="145" t="str">
        <f t="shared" si="280"/>
        <v>DLA/URC</v>
      </c>
      <c r="E71" s="149">
        <v>17072935</v>
      </c>
      <c r="F71" s="144" t="s">
        <v>855</v>
      </c>
      <c r="G71" s="149">
        <v>204687000</v>
      </c>
      <c r="H71" s="116"/>
      <c r="I71" s="8">
        <v>0</v>
      </c>
      <c r="J71" s="8">
        <v>0</v>
      </c>
      <c r="K71" s="8">
        <v>0</v>
      </c>
      <c r="L71" s="53"/>
      <c r="M71" s="53"/>
      <c r="N71" s="116"/>
      <c r="O71" s="140"/>
      <c r="P71" s="133">
        <f>SUMIFS(GestionLignesDemande!D$4:D$1000,GestionLignesDemande!$B$4:$B$1000,ROI_Avions!$A71,GestionLignesDemande!$C$4:$C$1000,ROI_Avions!$C71)</f>
        <v>0</v>
      </c>
      <c r="Q71" s="133">
        <f>SUMIFS(GestionLignesDemande!E$4:E$1000,GestionLignesDemande!$B$4:$B$1000,ROI_Avions!$A71,GestionLignesDemande!$C$4:$C$1000,ROI_Avions!$C71)</f>
        <v>0</v>
      </c>
      <c r="R71" s="133">
        <f>SUMIFS(GestionLignesDemande!F$4:F$1000,GestionLignesDemande!$B$4:$B$1000,ROI_Avions!$A71,GestionLignesDemande!$C$4:$C$1000,ROI_Avions!$C71)</f>
        <v>0</v>
      </c>
      <c r="S71" s="133">
        <f>SUMIFS(GestionLignesDemande!G$4:G$1000,GestionLignesDemande!$B$4:$B$1000,ROI_Avions!$A71,GestionLignesDemande!$C$4:$C$1000,ROI_Avions!$C71)</f>
        <v>0</v>
      </c>
      <c r="T71" s="116"/>
      <c r="U71" s="8">
        <f t="shared" si="1"/>
        <v>441</v>
      </c>
      <c r="V71" s="8">
        <v>440</v>
      </c>
      <c r="W71" s="8">
        <v>0</v>
      </c>
      <c r="X71" s="8">
        <v>0</v>
      </c>
      <c r="Y71" s="8">
        <v>1</v>
      </c>
      <c r="Z71" s="121"/>
      <c r="AA71" s="132">
        <f t="shared" si="266"/>
        <v>-2998</v>
      </c>
      <c r="AB71" s="132">
        <f t="shared" si="267"/>
        <v>-146</v>
      </c>
      <c r="AC71" s="132">
        <f t="shared" si="268"/>
        <v>-20</v>
      </c>
      <c r="AD71" s="132">
        <f t="shared" si="269"/>
        <v>-44</v>
      </c>
      <c r="AE71" s="121"/>
      <c r="AF71" s="26">
        <f>SUMIFS(DataPrixBillets!N$1:N$1000,DataPrixBillets!$J$1:$J$1000,ROI_Avions!$A71,DataPrixBillets!$K$1:$K$1000,ROI_Avions!$C71)</f>
        <v>0</v>
      </c>
      <c r="AG71" s="26">
        <f>SUMIFS(DataPrixBillets!O$1:O$1000,DataPrixBillets!$J$1:$J$1000,ROI_Avions!$A71,DataPrixBillets!$K$1:$K$1000,ROI_Avions!$C71)</f>
        <v>0</v>
      </c>
      <c r="AH71" s="26">
        <f>SUMIFS(DataPrixBillets!P$1:P$1000,DataPrixBillets!$J$1:$J$1000,ROI_Avions!$A71,DataPrixBillets!$K$1:$K$1000,ROI_Avions!$C71)</f>
        <v>0</v>
      </c>
      <c r="AI71" s="26">
        <f>SUMIFS(DataPrixBillets!Q$1:Q$1000,DataPrixBillets!$J$1:$J$1000,ROI_Avions!$A71,DataPrixBillets!$K$1:$K$1000,ROI_Avions!$C71)</f>
        <v>0</v>
      </c>
      <c r="AJ71" s="121"/>
      <c r="AK71" s="8">
        <f t="shared" si="270"/>
        <v>0</v>
      </c>
      <c r="AL71" s="8" t="e">
        <f t="shared" ca="1" si="271"/>
        <v>#REF!</v>
      </c>
      <c r="AM71" s="8" t="e">
        <f t="shared" ca="1" si="272"/>
        <v>#REF!</v>
      </c>
      <c r="AN71" s="8" t="e">
        <f t="shared" ca="1" si="273"/>
        <v>#REF!</v>
      </c>
      <c r="AO71" s="8" t="e">
        <f t="shared" ca="1" si="274"/>
        <v>#REF!</v>
      </c>
      <c r="AP71" s="8" t="e">
        <f t="shared" ca="1" si="275"/>
        <v>#REF!</v>
      </c>
      <c r="AQ71" s="8" t="e">
        <f t="shared" ca="1" si="276"/>
        <v>#REF!</v>
      </c>
      <c r="AR71" s="7">
        <f t="shared" ca="1" si="277"/>
        <v>0</v>
      </c>
      <c r="AS71" s="120">
        <f t="shared" ca="1" si="278"/>
        <v>0</v>
      </c>
      <c r="AT71" s="8" t="e">
        <f t="shared" ca="1" si="279"/>
        <v>#REF!</v>
      </c>
      <c r="AV71"/>
      <c r="AW71"/>
      <c r="AX71"/>
      <c r="AY71"/>
    </row>
    <row r="72" spans="1:55" s="185" customFormat="1" x14ac:dyDescent="0.3">
      <c r="A72" s="143" t="s">
        <v>724</v>
      </c>
      <c r="B72" s="149">
        <v>595891869</v>
      </c>
      <c r="C72" s="143" t="s">
        <v>856</v>
      </c>
      <c r="D72" s="145" t="str">
        <f t="shared" si="280"/>
        <v>DLA/BUF</v>
      </c>
      <c r="E72" s="149">
        <v>20913060</v>
      </c>
      <c r="F72" s="144" t="s">
        <v>857</v>
      </c>
      <c r="G72" s="149">
        <v>204687000</v>
      </c>
      <c r="H72" s="116"/>
      <c r="I72" s="8">
        <v>0</v>
      </c>
      <c r="J72" s="8">
        <v>0</v>
      </c>
      <c r="K72" s="8">
        <v>0</v>
      </c>
      <c r="L72" s="53"/>
      <c r="M72" s="53"/>
      <c r="N72" s="116"/>
      <c r="O72" s="140"/>
      <c r="P72" s="133">
        <f>SUMIFS(GestionLignesDemande!D$4:D$1000,GestionLignesDemande!$B$4:$B$1000,ROI_Avions!$A72,GestionLignesDemande!$C$4:$C$1000,ROI_Avions!$C72)</f>
        <v>0</v>
      </c>
      <c r="Q72" s="133">
        <f>SUMIFS(GestionLignesDemande!E$4:E$1000,GestionLignesDemande!$B$4:$B$1000,ROI_Avions!$A72,GestionLignesDemande!$C$4:$C$1000,ROI_Avions!$C72)</f>
        <v>0</v>
      </c>
      <c r="R72" s="133">
        <f>SUMIFS(GestionLignesDemande!F$4:F$1000,GestionLignesDemande!$B$4:$B$1000,ROI_Avions!$A72,GestionLignesDemande!$C$4:$C$1000,ROI_Avions!$C72)</f>
        <v>0</v>
      </c>
      <c r="S72" s="133">
        <f>SUMIFS(GestionLignesDemande!G$4:G$1000,GestionLignesDemande!$B$4:$B$1000,ROI_Avions!$A72,GestionLignesDemande!$C$4:$C$1000,ROI_Avions!$C72)</f>
        <v>0</v>
      </c>
      <c r="T72" s="116"/>
      <c r="U72" s="8">
        <f t="shared" si="1"/>
        <v>384</v>
      </c>
      <c r="V72" s="8">
        <v>337</v>
      </c>
      <c r="W72" s="8">
        <v>34</v>
      </c>
      <c r="X72" s="8">
        <v>6</v>
      </c>
      <c r="Y72" s="8">
        <v>7</v>
      </c>
      <c r="Z72" s="121"/>
      <c r="AA72" s="132">
        <f t="shared" ref="AA72" si="281">P72-(V72*2)</f>
        <v>-674</v>
      </c>
      <c r="AB72" s="132">
        <f t="shared" ref="AB72" si="282">Q72-(W72*2)</f>
        <v>-68</v>
      </c>
      <c r="AC72" s="132">
        <f t="shared" ref="AC72" si="283">R72-(X72*2)</f>
        <v>-12</v>
      </c>
      <c r="AD72" s="132">
        <f t="shared" ref="AD72" si="284">S72-(Y72*2)</f>
        <v>-14</v>
      </c>
      <c r="AE72" s="121"/>
      <c r="AF72" s="26">
        <f>SUMIFS(DataPrixBillets!N$1:N$1000,DataPrixBillets!$J$1:$J$1000,ROI_Avions!$A72,DataPrixBillets!$K$1:$K$1000,ROI_Avions!$C72)</f>
        <v>0</v>
      </c>
      <c r="AG72" s="26">
        <f>SUMIFS(DataPrixBillets!O$1:O$1000,DataPrixBillets!$J$1:$J$1000,ROI_Avions!$A72,DataPrixBillets!$K$1:$K$1000,ROI_Avions!$C72)</f>
        <v>0</v>
      </c>
      <c r="AH72" s="26">
        <f>SUMIFS(DataPrixBillets!P$1:P$1000,DataPrixBillets!$J$1:$J$1000,ROI_Avions!$A72,DataPrixBillets!$K$1:$K$1000,ROI_Avions!$C72)</f>
        <v>0</v>
      </c>
      <c r="AI72" s="26">
        <f>SUMIFS(DataPrixBillets!Q$1:Q$1000,DataPrixBillets!$J$1:$J$1000,ROI_Avions!$A72,DataPrixBillets!$K$1:$K$1000,ROI_Avions!$C72)</f>
        <v>0</v>
      </c>
      <c r="AJ72" s="121"/>
      <c r="AK72" s="8">
        <f t="shared" ref="AK72:AK74" si="285">(((AF72*V72)*2+(AG72*W72)*2+(AH72*X72)*2+(AI72*Y72)*2)*7)</f>
        <v>0</v>
      </c>
      <c r="AL72" s="8" t="e">
        <f t="shared" ref="AL72:AL74" ca="1" si="286">AK72-AM72</f>
        <v>#REF!</v>
      </c>
      <c r="AM72" s="8" t="e">
        <f t="shared" ref="AM72:AM74" ca="1" si="287">AK72*$AM$2</f>
        <v>#REF!</v>
      </c>
      <c r="AN72" s="8" t="e">
        <f t="shared" ref="AN72:AN74" ca="1" si="288">AL72*$AN$2</f>
        <v>#REF!</v>
      </c>
      <c r="AO72" s="8" t="e">
        <f t="shared" ref="AO72:AO74" ca="1" si="289">(AL72-AN72-I72)*$AO$2</f>
        <v>#REF!</v>
      </c>
      <c r="AP72" s="8" t="e">
        <f t="shared" ref="AP72:AP74" ca="1" si="290">AL72-AN72-(I72/7)-(AO72/7)</f>
        <v>#REF!</v>
      </c>
      <c r="AQ72" s="8" t="e">
        <f t="shared" ref="AQ72:AQ74" ca="1" si="291">AP72/7</f>
        <v>#REF!</v>
      </c>
      <c r="AR72" s="7">
        <f t="shared" ca="1" si="277"/>
        <v>0</v>
      </c>
      <c r="AS72" s="120">
        <f t="shared" ca="1" si="278"/>
        <v>0</v>
      </c>
      <c r="AT72" s="8" t="e">
        <f t="shared" ref="AT72:AT74" ca="1" si="292">IF(K72&gt;=1,AP72*K72,AP72*$AT$1)</f>
        <v>#REF!</v>
      </c>
    </row>
    <row r="73" spans="1:55" s="185" customFormat="1" x14ac:dyDescent="0.3">
      <c r="A73" s="143" t="s">
        <v>724</v>
      </c>
      <c r="B73" s="149">
        <v>595891869</v>
      </c>
      <c r="C73" s="143" t="s">
        <v>856</v>
      </c>
      <c r="D73" s="145" t="str">
        <f t="shared" si="280"/>
        <v>DLA/BUF</v>
      </c>
      <c r="E73" s="149">
        <v>20913060</v>
      </c>
      <c r="F73" s="144" t="s">
        <v>858</v>
      </c>
      <c r="G73" s="149">
        <v>204687000</v>
      </c>
      <c r="H73" s="116"/>
      <c r="I73" s="8">
        <v>0</v>
      </c>
      <c r="J73" s="8">
        <v>0</v>
      </c>
      <c r="K73" s="8">
        <v>0</v>
      </c>
      <c r="L73" s="53"/>
      <c r="M73" s="53"/>
      <c r="N73" s="116"/>
      <c r="O73" s="140"/>
      <c r="P73" s="133">
        <f>SUMIFS(GestionLignesDemande!D$4:D$1000,GestionLignesDemande!$B$4:$B$1000,ROI_Avions!$A73,GestionLignesDemande!$C$4:$C$1000,ROI_Avions!$C73)</f>
        <v>0</v>
      </c>
      <c r="Q73" s="133">
        <f>SUMIFS(GestionLignesDemande!E$4:E$1000,GestionLignesDemande!$B$4:$B$1000,ROI_Avions!$A73,GestionLignesDemande!$C$4:$C$1000,ROI_Avions!$C73)</f>
        <v>0</v>
      </c>
      <c r="R73" s="133">
        <f>SUMIFS(GestionLignesDemande!F$4:F$1000,GestionLignesDemande!$B$4:$B$1000,ROI_Avions!$A73,GestionLignesDemande!$C$4:$C$1000,ROI_Avions!$C73)</f>
        <v>0</v>
      </c>
      <c r="S73" s="133">
        <f>SUMIFS(GestionLignesDemande!G$4:G$1000,GestionLignesDemande!$B$4:$B$1000,ROI_Avions!$A73,GestionLignesDemande!$C$4:$C$1000,ROI_Avions!$C73)</f>
        <v>0</v>
      </c>
      <c r="T73" s="116"/>
      <c r="U73" s="8">
        <f t="shared" si="1"/>
        <v>384</v>
      </c>
      <c r="V73" s="8">
        <v>337</v>
      </c>
      <c r="W73" s="8">
        <v>34</v>
      </c>
      <c r="X73" s="8">
        <v>6</v>
      </c>
      <c r="Y73" s="8">
        <v>7</v>
      </c>
      <c r="Z73" s="121"/>
      <c r="AA73" s="132">
        <f t="shared" ref="AA73:AA74" si="293">AA72-V73*2</f>
        <v>-1348</v>
      </c>
      <c r="AB73" s="132">
        <f t="shared" ref="AB73:AB74" si="294">AB72-W73*2</f>
        <v>-136</v>
      </c>
      <c r="AC73" s="132">
        <f t="shared" ref="AC73:AC74" si="295">AC72-X73*2</f>
        <v>-24</v>
      </c>
      <c r="AD73" s="132">
        <f t="shared" ref="AD73:AD74" si="296">AD72-Y73*2</f>
        <v>-28</v>
      </c>
      <c r="AE73" s="121"/>
      <c r="AF73" s="26">
        <f>SUMIFS(DataPrixBillets!N$1:N$1000,DataPrixBillets!$J$1:$J$1000,ROI_Avions!$A73,DataPrixBillets!$K$1:$K$1000,ROI_Avions!$C73)</f>
        <v>0</v>
      </c>
      <c r="AG73" s="26">
        <f>SUMIFS(DataPrixBillets!O$1:O$1000,DataPrixBillets!$J$1:$J$1000,ROI_Avions!$A73,DataPrixBillets!$K$1:$K$1000,ROI_Avions!$C73)</f>
        <v>0</v>
      </c>
      <c r="AH73" s="26">
        <f>SUMIFS(DataPrixBillets!P$1:P$1000,DataPrixBillets!$J$1:$J$1000,ROI_Avions!$A73,DataPrixBillets!$K$1:$K$1000,ROI_Avions!$C73)</f>
        <v>0</v>
      </c>
      <c r="AI73" s="26">
        <f>SUMIFS(DataPrixBillets!Q$1:Q$1000,DataPrixBillets!$J$1:$J$1000,ROI_Avions!$A73,DataPrixBillets!$K$1:$K$1000,ROI_Avions!$C73)</f>
        <v>0</v>
      </c>
      <c r="AJ73" s="121"/>
      <c r="AK73" s="8">
        <f t="shared" si="285"/>
        <v>0</v>
      </c>
      <c r="AL73" s="8" t="e">
        <f t="shared" ca="1" si="286"/>
        <v>#REF!</v>
      </c>
      <c r="AM73" s="8" t="e">
        <f t="shared" ca="1" si="287"/>
        <v>#REF!</v>
      </c>
      <c r="AN73" s="8" t="e">
        <f t="shared" ca="1" si="288"/>
        <v>#REF!</v>
      </c>
      <c r="AO73" s="8" t="e">
        <f t="shared" ca="1" si="289"/>
        <v>#REF!</v>
      </c>
      <c r="AP73" s="8" t="e">
        <f t="shared" ca="1" si="290"/>
        <v>#REF!</v>
      </c>
      <c r="AQ73" s="8" t="e">
        <f t="shared" ca="1" si="291"/>
        <v>#REF!</v>
      </c>
      <c r="AR73" s="7">
        <f t="shared" ca="1" si="277"/>
        <v>0</v>
      </c>
      <c r="AS73" s="120">
        <f t="shared" ca="1" si="278"/>
        <v>0</v>
      </c>
      <c r="AT73" s="8" t="e">
        <f t="shared" ca="1" si="292"/>
        <v>#REF!</v>
      </c>
    </row>
    <row r="74" spans="1:55" s="185" customFormat="1" x14ac:dyDescent="0.3">
      <c r="A74" s="143" t="s">
        <v>724</v>
      </c>
      <c r="B74" s="149">
        <v>595891869</v>
      </c>
      <c r="C74" s="143" t="s">
        <v>856</v>
      </c>
      <c r="D74" s="145" t="str">
        <f t="shared" si="280"/>
        <v>DLA/BUF</v>
      </c>
      <c r="E74" s="149">
        <v>20913060</v>
      </c>
      <c r="F74" s="144" t="s">
        <v>859</v>
      </c>
      <c r="G74" s="149">
        <v>204687000</v>
      </c>
      <c r="H74" s="116"/>
      <c r="I74" s="8">
        <v>0</v>
      </c>
      <c r="J74" s="8">
        <v>0</v>
      </c>
      <c r="K74" s="8">
        <v>0</v>
      </c>
      <c r="L74" s="53"/>
      <c r="M74" s="53"/>
      <c r="N74" s="116"/>
      <c r="O74" s="140"/>
      <c r="P74" s="133">
        <f>SUMIFS(GestionLignesDemande!D$4:D$1000,GestionLignesDemande!$B$4:$B$1000,ROI_Avions!$A74,GestionLignesDemande!$C$4:$C$1000,ROI_Avions!$C74)</f>
        <v>0</v>
      </c>
      <c r="Q74" s="133">
        <f>SUMIFS(GestionLignesDemande!E$4:E$1000,GestionLignesDemande!$B$4:$B$1000,ROI_Avions!$A74,GestionLignesDemande!$C$4:$C$1000,ROI_Avions!$C74)</f>
        <v>0</v>
      </c>
      <c r="R74" s="133">
        <f>SUMIFS(GestionLignesDemande!F$4:F$1000,GestionLignesDemande!$B$4:$B$1000,ROI_Avions!$A74,GestionLignesDemande!$C$4:$C$1000,ROI_Avions!$C74)</f>
        <v>0</v>
      </c>
      <c r="S74" s="133">
        <f>SUMIFS(GestionLignesDemande!G$4:G$1000,GestionLignesDemande!$B$4:$B$1000,ROI_Avions!$A74,GestionLignesDemande!$C$4:$C$1000,ROI_Avions!$C74)</f>
        <v>0</v>
      </c>
      <c r="T74" s="116"/>
      <c r="U74" s="8">
        <f t="shared" si="1"/>
        <v>383</v>
      </c>
      <c r="V74" s="8">
        <v>334</v>
      </c>
      <c r="W74" s="8">
        <v>35</v>
      </c>
      <c r="X74" s="8">
        <v>7</v>
      </c>
      <c r="Y74" s="8">
        <v>7</v>
      </c>
      <c r="Z74" s="121"/>
      <c r="AA74" s="132">
        <f t="shared" si="293"/>
        <v>-2016</v>
      </c>
      <c r="AB74" s="132">
        <f t="shared" si="294"/>
        <v>-206</v>
      </c>
      <c r="AC74" s="132">
        <f t="shared" si="295"/>
        <v>-38</v>
      </c>
      <c r="AD74" s="132">
        <f t="shared" si="296"/>
        <v>-42</v>
      </c>
      <c r="AE74" s="121"/>
      <c r="AF74" s="26">
        <f>SUMIFS(DataPrixBillets!N$1:N$1000,DataPrixBillets!$J$1:$J$1000,ROI_Avions!$A74,DataPrixBillets!$K$1:$K$1000,ROI_Avions!$C74)</f>
        <v>0</v>
      </c>
      <c r="AG74" s="26">
        <f>SUMIFS(DataPrixBillets!O$1:O$1000,DataPrixBillets!$J$1:$J$1000,ROI_Avions!$A74,DataPrixBillets!$K$1:$K$1000,ROI_Avions!$C74)</f>
        <v>0</v>
      </c>
      <c r="AH74" s="26">
        <f>SUMIFS(DataPrixBillets!P$1:P$1000,DataPrixBillets!$J$1:$J$1000,ROI_Avions!$A74,DataPrixBillets!$K$1:$K$1000,ROI_Avions!$C74)</f>
        <v>0</v>
      </c>
      <c r="AI74" s="26">
        <f>SUMIFS(DataPrixBillets!Q$1:Q$1000,DataPrixBillets!$J$1:$J$1000,ROI_Avions!$A74,DataPrixBillets!$K$1:$K$1000,ROI_Avions!$C74)</f>
        <v>0</v>
      </c>
      <c r="AJ74" s="121"/>
      <c r="AK74" s="8">
        <f t="shared" si="285"/>
        <v>0</v>
      </c>
      <c r="AL74" s="8" t="e">
        <f t="shared" ca="1" si="286"/>
        <v>#REF!</v>
      </c>
      <c r="AM74" s="8" t="e">
        <f t="shared" ca="1" si="287"/>
        <v>#REF!</v>
      </c>
      <c r="AN74" s="8" t="e">
        <f t="shared" ca="1" si="288"/>
        <v>#REF!</v>
      </c>
      <c r="AO74" s="8" t="e">
        <f t="shared" ca="1" si="289"/>
        <v>#REF!</v>
      </c>
      <c r="AP74" s="8" t="e">
        <f t="shared" ca="1" si="290"/>
        <v>#REF!</v>
      </c>
      <c r="AQ74" s="8" t="e">
        <f t="shared" ca="1" si="291"/>
        <v>#REF!</v>
      </c>
      <c r="AR74" s="7">
        <f t="shared" ca="1" si="277"/>
        <v>0</v>
      </c>
      <c r="AS74" s="120">
        <f t="shared" ca="1" si="278"/>
        <v>0</v>
      </c>
      <c r="AT74" s="8" t="e">
        <f t="shared" ca="1" si="292"/>
        <v>#REF!</v>
      </c>
    </row>
    <row r="75" spans="1:55" s="185" customFormat="1" x14ac:dyDescent="0.3">
      <c r="A75" s="143" t="s">
        <v>724</v>
      </c>
      <c r="B75" s="149">
        <v>595891869</v>
      </c>
      <c r="C75" s="143" t="s">
        <v>860</v>
      </c>
      <c r="D75" s="145" t="str">
        <f t="shared" si="280"/>
        <v>DLA/HKT</v>
      </c>
      <c r="E75" s="149">
        <v>24682328</v>
      </c>
      <c r="F75" s="144" t="s">
        <v>861</v>
      </c>
      <c r="G75" s="149">
        <v>344565000</v>
      </c>
      <c r="H75" s="116"/>
      <c r="I75" s="8">
        <v>0</v>
      </c>
      <c r="J75" s="8">
        <v>0</v>
      </c>
      <c r="K75" s="8">
        <v>0</v>
      </c>
      <c r="L75" s="53"/>
      <c r="M75" s="53"/>
      <c r="N75" s="116"/>
      <c r="O75" s="140"/>
      <c r="P75" s="133">
        <f>SUMIFS(GestionLignesDemande!D$4:D$1000,GestionLignesDemande!$B$4:$B$1000,ROI_Avions!$A75,GestionLignesDemande!$C$4:$C$1000,ROI_Avions!$C75)</f>
        <v>0</v>
      </c>
      <c r="Q75" s="133">
        <f>SUMIFS(GestionLignesDemande!E$4:E$1000,GestionLignesDemande!$B$4:$B$1000,ROI_Avions!$A75,GestionLignesDemande!$C$4:$C$1000,ROI_Avions!$C75)</f>
        <v>0</v>
      </c>
      <c r="R75" s="133">
        <f>SUMIFS(GestionLignesDemande!F$4:F$1000,GestionLignesDemande!$B$4:$B$1000,ROI_Avions!$A75,GestionLignesDemande!$C$4:$C$1000,ROI_Avions!$C75)</f>
        <v>0</v>
      </c>
      <c r="S75" s="133">
        <f>SUMIFS(GestionLignesDemande!G$4:G$1000,GestionLignesDemande!$B$4:$B$1000,ROI_Avions!$A75,GestionLignesDemande!$C$4:$C$1000,ROI_Avions!$C75)</f>
        <v>0</v>
      </c>
      <c r="T75" s="116"/>
      <c r="U75" s="8">
        <f t="shared" si="1"/>
        <v>784</v>
      </c>
      <c r="V75" s="8">
        <v>740</v>
      </c>
      <c r="W75" s="8">
        <v>30</v>
      </c>
      <c r="X75" s="8">
        <v>3</v>
      </c>
      <c r="Y75" s="8">
        <v>11</v>
      </c>
      <c r="Z75" s="121"/>
      <c r="AA75" s="132">
        <f t="shared" ref="AA75" si="297">P75-(V75*2)</f>
        <v>-1480</v>
      </c>
      <c r="AB75" s="132">
        <f t="shared" ref="AB75" si="298">Q75-(W75*2)</f>
        <v>-60</v>
      </c>
      <c r="AC75" s="132">
        <f t="shared" ref="AC75" si="299">R75-(X75*2)</f>
        <v>-6</v>
      </c>
      <c r="AD75" s="132">
        <f t="shared" ref="AD75" si="300">S75-(Y75*2)</f>
        <v>-22</v>
      </c>
      <c r="AE75" s="121"/>
      <c r="AF75" s="26">
        <f>SUMIFS(DataPrixBillets!N$1:N$1000,DataPrixBillets!$J$1:$J$1000,ROI_Avions!$A75,DataPrixBillets!$K$1:$K$1000,ROI_Avions!$C75)</f>
        <v>0</v>
      </c>
      <c r="AG75" s="26">
        <f>SUMIFS(DataPrixBillets!O$1:O$1000,DataPrixBillets!$J$1:$J$1000,ROI_Avions!$A75,DataPrixBillets!$K$1:$K$1000,ROI_Avions!$C75)</f>
        <v>0</v>
      </c>
      <c r="AH75" s="26">
        <f>SUMIFS(DataPrixBillets!P$1:P$1000,DataPrixBillets!$J$1:$J$1000,ROI_Avions!$A75,DataPrixBillets!$K$1:$K$1000,ROI_Avions!$C75)</f>
        <v>0</v>
      </c>
      <c r="AI75" s="26">
        <f>SUMIFS(DataPrixBillets!Q$1:Q$1000,DataPrixBillets!$J$1:$J$1000,ROI_Avions!$A75,DataPrixBillets!$K$1:$K$1000,ROI_Avions!$C75)</f>
        <v>0</v>
      </c>
      <c r="AJ75" s="121"/>
      <c r="AK75" s="8">
        <f t="shared" ref="AK75:AK76" si="301">(((AF75*V75)*2+(AG75*W75)*2+(AH75*X75)*2+(AI75*Y75)*2)*7)</f>
        <v>0</v>
      </c>
      <c r="AL75" s="8" t="e">
        <f t="shared" ref="AL75:AL76" ca="1" si="302">AK75-AM75</f>
        <v>#REF!</v>
      </c>
      <c r="AM75" s="8" t="e">
        <f t="shared" ref="AM75:AM76" ca="1" si="303">AK75*$AM$2</f>
        <v>#REF!</v>
      </c>
      <c r="AN75" s="8" t="e">
        <f t="shared" ref="AN75:AN76" ca="1" si="304">AL75*$AN$2</f>
        <v>#REF!</v>
      </c>
      <c r="AO75" s="8" t="e">
        <f t="shared" ref="AO75:AO76" ca="1" si="305">(AL75-AN75-I75)*$AO$2</f>
        <v>#REF!</v>
      </c>
      <c r="AP75" s="8" t="e">
        <f t="shared" ref="AP75:AP76" ca="1" si="306">AL75-AN75-(I75/7)-(AO75/7)</f>
        <v>#REF!</v>
      </c>
      <c r="AQ75" s="8" t="e">
        <f t="shared" ref="AQ75:AQ76" ca="1" si="307">AP75/7</f>
        <v>#REF!</v>
      </c>
      <c r="AR75" s="7">
        <f t="shared" ca="1" si="277"/>
        <v>0</v>
      </c>
      <c r="AS75" s="120">
        <f t="shared" ca="1" si="278"/>
        <v>0</v>
      </c>
      <c r="AT75" s="8" t="e">
        <f t="shared" ref="AT75:AT76" ca="1" si="308">IF(K75&gt;=1,AP75*K75,AP75*$AT$1)</f>
        <v>#REF!</v>
      </c>
    </row>
    <row r="76" spans="1:55" s="185" customFormat="1" x14ac:dyDescent="0.3">
      <c r="A76" s="143" t="s">
        <v>724</v>
      </c>
      <c r="B76" s="149">
        <v>595891869</v>
      </c>
      <c r="C76" s="143" t="s">
        <v>860</v>
      </c>
      <c r="D76" s="145" t="str">
        <f t="shared" si="280"/>
        <v>DLA/HKT</v>
      </c>
      <c r="E76" s="149">
        <v>24682328</v>
      </c>
      <c r="F76" s="144" t="s">
        <v>862</v>
      </c>
      <c r="G76" s="149">
        <v>344565000</v>
      </c>
      <c r="H76" s="116"/>
      <c r="I76" s="8">
        <v>0</v>
      </c>
      <c r="J76" s="8">
        <v>0</v>
      </c>
      <c r="K76" s="8">
        <v>0</v>
      </c>
      <c r="L76" s="53"/>
      <c r="M76" s="53"/>
      <c r="N76" s="116"/>
      <c r="O76" s="140"/>
      <c r="P76" s="133">
        <f>SUMIFS(GestionLignesDemande!D$4:D$1000,GestionLignesDemande!$B$4:$B$1000,ROI_Avions!$A76,GestionLignesDemande!$C$4:$C$1000,ROI_Avions!$C76)</f>
        <v>0</v>
      </c>
      <c r="Q76" s="133">
        <f>SUMIFS(GestionLignesDemande!E$4:E$1000,GestionLignesDemande!$B$4:$B$1000,ROI_Avions!$A76,GestionLignesDemande!$C$4:$C$1000,ROI_Avions!$C76)</f>
        <v>0</v>
      </c>
      <c r="R76" s="133">
        <f>SUMIFS(GestionLignesDemande!F$4:F$1000,GestionLignesDemande!$B$4:$B$1000,ROI_Avions!$A76,GestionLignesDemande!$C$4:$C$1000,ROI_Avions!$C76)</f>
        <v>0</v>
      </c>
      <c r="S76" s="133">
        <f>SUMIFS(GestionLignesDemande!G$4:G$1000,GestionLignesDemande!$B$4:$B$1000,ROI_Avions!$A76,GestionLignesDemande!$C$4:$C$1000,ROI_Avions!$C76)</f>
        <v>0</v>
      </c>
      <c r="T76" s="116"/>
      <c r="U76" s="8">
        <f t="shared" si="1"/>
        <v>784</v>
      </c>
      <c r="V76" s="8">
        <v>740</v>
      </c>
      <c r="W76" s="8">
        <v>30</v>
      </c>
      <c r="X76" s="8">
        <v>3</v>
      </c>
      <c r="Y76" s="8">
        <v>11</v>
      </c>
      <c r="Z76" s="121"/>
      <c r="AA76" s="132">
        <f t="shared" ref="AA76" si="309">AA75-V76*2</f>
        <v>-2960</v>
      </c>
      <c r="AB76" s="132">
        <f t="shared" ref="AB76" si="310">AB75-W76*2</f>
        <v>-120</v>
      </c>
      <c r="AC76" s="132">
        <f t="shared" ref="AC76" si="311">AC75-X76*2</f>
        <v>-12</v>
      </c>
      <c r="AD76" s="132">
        <f t="shared" ref="AD76" si="312">AD75-Y76*2</f>
        <v>-44</v>
      </c>
      <c r="AE76" s="121"/>
      <c r="AF76" s="26">
        <f>SUMIFS(DataPrixBillets!N$1:N$1000,DataPrixBillets!$J$1:$J$1000,ROI_Avions!$A76,DataPrixBillets!$K$1:$K$1000,ROI_Avions!$C76)</f>
        <v>0</v>
      </c>
      <c r="AG76" s="26">
        <f>SUMIFS(DataPrixBillets!O$1:O$1000,DataPrixBillets!$J$1:$J$1000,ROI_Avions!$A76,DataPrixBillets!$K$1:$K$1000,ROI_Avions!$C76)</f>
        <v>0</v>
      </c>
      <c r="AH76" s="26">
        <f>SUMIFS(DataPrixBillets!P$1:P$1000,DataPrixBillets!$J$1:$J$1000,ROI_Avions!$A76,DataPrixBillets!$K$1:$K$1000,ROI_Avions!$C76)</f>
        <v>0</v>
      </c>
      <c r="AI76" s="26">
        <f>SUMIFS(DataPrixBillets!Q$1:Q$1000,DataPrixBillets!$J$1:$J$1000,ROI_Avions!$A76,DataPrixBillets!$K$1:$K$1000,ROI_Avions!$C76)</f>
        <v>0</v>
      </c>
      <c r="AJ76" s="121"/>
      <c r="AK76" s="8">
        <f t="shared" si="301"/>
        <v>0</v>
      </c>
      <c r="AL76" s="8" t="e">
        <f t="shared" ca="1" si="302"/>
        <v>#REF!</v>
      </c>
      <c r="AM76" s="8" t="e">
        <f t="shared" ca="1" si="303"/>
        <v>#REF!</v>
      </c>
      <c r="AN76" s="8" t="e">
        <f t="shared" ca="1" si="304"/>
        <v>#REF!</v>
      </c>
      <c r="AO76" s="8" t="e">
        <f t="shared" ca="1" si="305"/>
        <v>#REF!</v>
      </c>
      <c r="AP76" s="8" t="e">
        <f t="shared" ca="1" si="306"/>
        <v>#REF!</v>
      </c>
      <c r="AQ76" s="8" t="e">
        <f t="shared" ca="1" si="307"/>
        <v>#REF!</v>
      </c>
      <c r="AR76" s="7">
        <f t="shared" ca="1" si="277"/>
        <v>0</v>
      </c>
      <c r="AS76" s="120">
        <f t="shared" ca="1" si="278"/>
        <v>0</v>
      </c>
      <c r="AT76" s="8" t="e">
        <f t="shared" ca="1" si="308"/>
        <v>#REF!</v>
      </c>
    </row>
    <row r="77" spans="1:55" s="185" customFormat="1" x14ac:dyDescent="0.3">
      <c r="A77" s="143" t="s">
        <v>724</v>
      </c>
      <c r="B77" s="149">
        <v>595891869</v>
      </c>
      <c r="C77" s="143" t="s">
        <v>863</v>
      </c>
      <c r="D77" s="145" t="str">
        <f t="shared" si="280"/>
        <v>DLA/MES</v>
      </c>
      <c r="E77" s="149">
        <v>29120660</v>
      </c>
      <c r="F77" s="144" t="s">
        <v>864</v>
      </c>
      <c r="G77" s="149">
        <v>344565000</v>
      </c>
      <c r="H77" s="116"/>
      <c r="I77" s="8">
        <v>0</v>
      </c>
      <c r="J77" s="8">
        <v>0</v>
      </c>
      <c r="K77" s="8">
        <v>0</v>
      </c>
      <c r="L77" s="53"/>
      <c r="M77" s="53"/>
      <c r="N77" s="116"/>
      <c r="O77" s="140"/>
      <c r="P77" s="133">
        <f>SUMIFS(GestionLignesDemande!D$4:D$1000,GestionLignesDemande!$B$4:$B$1000,ROI_Avions!$A77,GestionLignesDemande!$C$4:$C$1000,ROI_Avions!$C77)</f>
        <v>0</v>
      </c>
      <c r="Q77" s="133">
        <f>SUMIFS(GestionLignesDemande!E$4:E$1000,GestionLignesDemande!$B$4:$B$1000,ROI_Avions!$A77,GestionLignesDemande!$C$4:$C$1000,ROI_Avions!$C77)</f>
        <v>0</v>
      </c>
      <c r="R77" s="133">
        <f>SUMIFS(GestionLignesDemande!F$4:F$1000,GestionLignesDemande!$B$4:$B$1000,ROI_Avions!$A77,GestionLignesDemande!$C$4:$C$1000,ROI_Avions!$C77)</f>
        <v>0</v>
      </c>
      <c r="S77" s="133">
        <f>SUMIFS(GestionLignesDemande!G$4:G$1000,GestionLignesDemande!$B$4:$B$1000,ROI_Avions!$A77,GestionLignesDemande!$C$4:$C$1000,ROI_Avions!$C77)</f>
        <v>0</v>
      </c>
      <c r="T77" s="116"/>
      <c r="U77" s="8">
        <f t="shared" si="1"/>
        <v>856</v>
      </c>
      <c r="V77" s="8">
        <v>853</v>
      </c>
      <c r="W77" s="8">
        <v>0</v>
      </c>
      <c r="X77" s="8">
        <v>0</v>
      </c>
      <c r="Y77" s="8">
        <v>3</v>
      </c>
      <c r="Z77" s="121"/>
      <c r="AA77" s="132">
        <f t="shared" ref="AA77" si="313">P77-(V77*2)</f>
        <v>-1706</v>
      </c>
      <c r="AB77" s="132">
        <f t="shared" ref="AB77" si="314">Q77-(W77*2)</f>
        <v>0</v>
      </c>
      <c r="AC77" s="132">
        <f t="shared" ref="AC77" si="315">R77-(X77*2)</f>
        <v>0</v>
      </c>
      <c r="AD77" s="132">
        <f t="shared" ref="AD77" si="316">S77-(Y77*2)</f>
        <v>-6</v>
      </c>
      <c r="AE77" s="121"/>
      <c r="AF77" s="26">
        <f>SUMIFS(DataPrixBillets!N$1:N$1000,DataPrixBillets!$J$1:$J$1000,ROI_Avions!$A77,DataPrixBillets!$K$1:$K$1000,ROI_Avions!$C77)</f>
        <v>0</v>
      </c>
      <c r="AG77" s="26">
        <f>SUMIFS(DataPrixBillets!O$1:O$1000,DataPrixBillets!$J$1:$J$1000,ROI_Avions!$A77,DataPrixBillets!$K$1:$K$1000,ROI_Avions!$C77)</f>
        <v>0</v>
      </c>
      <c r="AH77" s="26">
        <f>SUMIFS(DataPrixBillets!P$1:P$1000,DataPrixBillets!$J$1:$J$1000,ROI_Avions!$A77,DataPrixBillets!$K$1:$K$1000,ROI_Avions!$C77)</f>
        <v>0</v>
      </c>
      <c r="AI77" s="26">
        <f>SUMIFS(DataPrixBillets!Q$1:Q$1000,DataPrixBillets!$J$1:$J$1000,ROI_Avions!$A77,DataPrixBillets!$K$1:$K$1000,ROI_Avions!$C77)</f>
        <v>0</v>
      </c>
      <c r="AJ77" s="121"/>
      <c r="AK77" s="8">
        <f t="shared" ref="AK77:AK78" si="317">(((AF77*V77)*2+(AG77*W77)*2+(AH77*X77)*2+(AI77*Y77)*2)*7)</f>
        <v>0</v>
      </c>
      <c r="AL77" s="8" t="e">
        <f t="shared" ref="AL77:AL78" ca="1" si="318">AK77-AM77</f>
        <v>#REF!</v>
      </c>
      <c r="AM77" s="8" t="e">
        <f t="shared" ref="AM77:AM78" ca="1" si="319">AK77*$AM$2</f>
        <v>#REF!</v>
      </c>
      <c r="AN77" s="8" t="e">
        <f t="shared" ref="AN77:AN78" ca="1" si="320">AL77*$AN$2</f>
        <v>#REF!</v>
      </c>
      <c r="AO77" s="8" t="e">
        <f t="shared" ref="AO77:AO78" ca="1" si="321">(AL77-AN77-I77)*$AO$2</f>
        <v>#REF!</v>
      </c>
      <c r="AP77" s="8" t="e">
        <f t="shared" ref="AP77:AP78" ca="1" si="322">AL77-AN77-(I77/7)-(AO77/7)</f>
        <v>#REF!</v>
      </c>
      <c r="AQ77" s="8" t="e">
        <f t="shared" ref="AQ77:AQ78" ca="1" si="323">AP77/7</f>
        <v>#REF!</v>
      </c>
      <c r="AR77" s="7">
        <f t="shared" ca="1" si="277"/>
        <v>0</v>
      </c>
      <c r="AS77" s="120">
        <f t="shared" ca="1" si="278"/>
        <v>0</v>
      </c>
      <c r="AT77" s="8" t="e">
        <f t="shared" ref="AT77:AT78" ca="1" si="324">IF(K77&gt;=1,AP77*K77,AP77*$AT$1)</f>
        <v>#REF!</v>
      </c>
    </row>
    <row r="78" spans="1:55" s="185" customFormat="1" x14ac:dyDescent="0.3">
      <c r="A78" s="143" t="s">
        <v>724</v>
      </c>
      <c r="B78" s="149">
        <v>595891869</v>
      </c>
      <c r="C78" s="143" t="s">
        <v>863</v>
      </c>
      <c r="D78" s="145" t="str">
        <f t="shared" si="280"/>
        <v>DLA/MES</v>
      </c>
      <c r="E78" s="149">
        <v>29120660</v>
      </c>
      <c r="F78" s="144" t="s">
        <v>865</v>
      </c>
      <c r="G78" s="149">
        <v>344565000</v>
      </c>
      <c r="H78" s="116"/>
      <c r="I78" s="8">
        <v>0</v>
      </c>
      <c r="J78" s="8">
        <v>0</v>
      </c>
      <c r="K78" s="8">
        <v>0</v>
      </c>
      <c r="L78" s="53"/>
      <c r="M78" s="53"/>
      <c r="N78" s="116"/>
      <c r="O78" s="140"/>
      <c r="P78" s="133">
        <f>SUMIFS(GestionLignesDemande!D$4:D$1000,GestionLignesDemande!$B$4:$B$1000,ROI_Avions!$A78,GestionLignesDemande!$C$4:$C$1000,ROI_Avions!$C78)</f>
        <v>0</v>
      </c>
      <c r="Q78" s="133">
        <f>SUMIFS(GestionLignesDemande!E$4:E$1000,GestionLignesDemande!$B$4:$B$1000,ROI_Avions!$A78,GestionLignesDemande!$C$4:$C$1000,ROI_Avions!$C78)</f>
        <v>0</v>
      </c>
      <c r="R78" s="133">
        <f>SUMIFS(GestionLignesDemande!F$4:F$1000,GestionLignesDemande!$B$4:$B$1000,ROI_Avions!$A78,GestionLignesDemande!$C$4:$C$1000,ROI_Avions!$C78)</f>
        <v>0</v>
      </c>
      <c r="S78" s="133">
        <f>SUMIFS(GestionLignesDemande!G$4:G$1000,GestionLignesDemande!$B$4:$B$1000,ROI_Avions!$A78,GestionLignesDemande!$C$4:$C$1000,ROI_Avions!$C78)</f>
        <v>0</v>
      </c>
      <c r="T78" s="116"/>
      <c r="U78" s="8">
        <f t="shared" si="1"/>
        <v>856</v>
      </c>
      <c r="V78" s="8">
        <v>853</v>
      </c>
      <c r="W78" s="8">
        <v>0</v>
      </c>
      <c r="X78" s="8">
        <v>0</v>
      </c>
      <c r="Y78" s="8">
        <v>3</v>
      </c>
      <c r="Z78" s="121"/>
      <c r="AA78" s="132">
        <f t="shared" ref="AA78" si="325">AA77-V78*2</f>
        <v>-3412</v>
      </c>
      <c r="AB78" s="132">
        <f t="shared" ref="AB78" si="326">AB77-W78*2</f>
        <v>0</v>
      </c>
      <c r="AC78" s="132">
        <f t="shared" ref="AC78" si="327">AC77-X78*2</f>
        <v>0</v>
      </c>
      <c r="AD78" s="132">
        <f t="shared" ref="AD78" si="328">AD77-Y78*2</f>
        <v>-12</v>
      </c>
      <c r="AE78" s="121"/>
      <c r="AF78" s="26">
        <f>SUMIFS(DataPrixBillets!N$1:N$1000,DataPrixBillets!$J$1:$J$1000,ROI_Avions!$A78,DataPrixBillets!$K$1:$K$1000,ROI_Avions!$C78)</f>
        <v>0</v>
      </c>
      <c r="AG78" s="26">
        <f>SUMIFS(DataPrixBillets!O$1:O$1000,DataPrixBillets!$J$1:$J$1000,ROI_Avions!$A78,DataPrixBillets!$K$1:$K$1000,ROI_Avions!$C78)</f>
        <v>0</v>
      </c>
      <c r="AH78" s="26">
        <f>SUMIFS(DataPrixBillets!P$1:P$1000,DataPrixBillets!$J$1:$J$1000,ROI_Avions!$A78,DataPrixBillets!$K$1:$K$1000,ROI_Avions!$C78)</f>
        <v>0</v>
      </c>
      <c r="AI78" s="26">
        <f>SUMIFS(DataPrixBillets!Q$1:Q$1000,DataPrixBillets!$J$1:$J$1000,ROI_Avions!$A78,DataPrixBillets!$K$1:$K$1000,ROI_Avions!$C78)</f>
        <v>0</v>
      </c>
      <c r="AJ78" s="121"/>
      <c r="AK78" s="8">
        <f t="shared" si="317"/>
        <v>0</v>
      </c>
      <c r="AL78" s="8" t="e">
        <f t="shared" ca="1" si="318"/>
        <v>#REF!</v>
      </c>
      <c r="AM78" s="8" t="e">
        <f t="shared" ca="1" si="319"/>
        <v>#REF!</v>
      </c>
      <c r="AN78" s="8" t="e">
        <f t="shared" ca="1" si="320"/>
        <v>#REF!</v>
      </c>
      <c r="AO78" s="8" t="e">
        <f t="shared" ca="1" si="321"/>
        <v>#REF!</v>
      </c>
      <c r="AP78" s="8" t="e">
        <f t="shared" ca="1" si="322"/>
        <v>#REF!</v>
      </c>
      <c r="AQ78" s="8" t="e">
        <f t="shared" ca="1" si="323"/>
        <v>#REF!</v>
      </c>
      <c r="AR78" s="7">
        <f t="shared" ca="1" si="277"/>
        <v>0</v>
      </c>
      <c r="AS78" s="120">
        <f t="shared" ca="1" si="278"/>
        <v>0</v>
      </c>
      <c r="AT78" s="8" t="e">
        <f t="shared" ca="1" si="324"/>
        <v>#REF!</v>
      </c>
    </row>
    <row r="79" spans="1:55" s="185" customFormat="1" x14ac:dyDescent="0.3">
      <c r="A79" s="143" t="s">
        <v>724</v>
      </c>
      <c r="B79" s="149">
        <v>595891869</v>
      </c>
      <c r="C79" s="143" t="s">
        <v>866</v>
      </c>
      <c r="D79" s="145" t="str">
        <f t="shared" si="280"/>
        <v>DLA/CNX</v>
      </c>
      <c r="E79" s="149">
        <v>34072768</v>
      </c>
      <c r="F79" s="144" t="s">
        <v>868</v>
      </c>
      <c r="G79" s="149">
        <v>253336500</v>
      </c>
      <c r="H79" s="116"/>
      <c r="I79" s="8">
        <v>0</v>
      </c>
      <c r="J79" s="8">
        <v>0</v>
      </c>
      <c r="K79" s="8">
        <v>0</v>
      </c>
      <c r="L79" s="53"/>
      <c r="M79" s="53"/>
      <c r="N79" s="116"/>
      <c r="O79" s="140"/>
      <c r="P79" s="133">
        <f>SUMIFS(GestionLignesDemande!D$4:D$1000,GestionLignesDemande!$B$4:$B$1000,ROI_Avions!$A79,GestionLignesDemande!$C$4:$C$1000,ROI_Avions!$C79)</f>
        <v>0</v>
      </c>
      <c r="Q79" s="133">
        <f>SUMIFS(GestionLignesDemande!E$4:E$1000,GestionLignesDemande!$B$4:$B$1000,ROI_Avions!$A79,GestionLignesDemande!$C$4:$C$1000,ROI_Avions!$C79)</f>
        <v>0</v>
      </c>
      <c r="R79" s="133">
        <f>SUMIFS(GestionLignesDemande!F$4:F$1000,GestionLignesDemande!$B$4:$B$1000,ROI_Avions!$A79,GestionLignesDemande!$C$4:$C$1000,ROI_Avions!$C79)</f>
        <v>0</v>
      </c>
      <c r="S79" s="133">
        <f>SUMIFS(GestionLignesDemande!G$4:G$1000,GestionLignesDemande!$B$4:$B$1000,ROI_Avions!$A79,GestionLignesDemande!$C$4:$C$1000,ROI_Avions!$C79)</f>
        <v>0</v>
      </c>
      <c r="T79" s="116"/>
      <c r="U79" s="8">
        <f t="shared" si="1"/>
        <v>606</v>
      </c>
      <c r="V79" s="8">
        <v>579</v>
      </c>
      <c r="W79" s="8">
        <v>18</v>
      </c>
      <c r="X79" s="8">
        <v>2</v>
      </c>
      <c r="Y79" s="8">
        <v>7</v>
      </c>
      <c r="Z79" s="121"/>
      <c r="AA79" s="132">
        <f t="shared" ref="AA79:AA81" si="329">AA78-V79*2</f>
        <v>-4570</v>
      </c>
      <c r="AB79" s="132">
        <f t="shared" ref="AB79:AB81" si="330">AB78-W79*2</f>
        <v>-36</v>
      </c>
      <c r="AC79" s="132">
        <f t="shared" ref="AC79:AC81" si="331">AC78-X79*2</f>
        <v>-4</v>
      </c>
      <c r="AD79" s="132">
        <f t="shared" ref="AD79:AD81" si="332">AD78-Y79*2</f>
        <v>-26</v>
      </c>
      <c r="AE79" s="121"/>
      <c r="AF79" s="26">
        <f>SUMIFS(DataPrixBillets!N$1:N$1000,DataPrixBillets!$J$1:$J$1000,ROI_Avions!$A79,DataPrixBillets!$K$1:$K$1000,ROI_Avions!$C79)</f>
        <v>0</v>
      </c>
      <c r="AG79" s="26">
        <f>SUMIFS(DataPrixBillets!O$1:O$1000,DataPrixBillets!$J$1:$J$1000,ROI_Avions!$A79,DataPrixBillets!$K$1:$K$1000,ROI_Avions!$C79)</f>
        <v>0</v>
      </c>
      <c r="AH79" s="26">
        <f>SUMIFS(DataPrixBillets!P$1:P$1000,DataPrixBillets!$J$1:$J$1000,ROI_Avions!$A79,DataPrixBillets!$K$1:$K$1000,ROI_Avions!$C79)</f>
        <v>0</v>
      </c>
      <c r="AI79" s="26">
        <f>SUMIFS(DataPrixBillets!Q$1:Q$1000,DataPrixBillets!$J$1:$J$1000,ROI_Avions!$A79,DataPrixBillets!$K$1:$K$1000,ROI_Avions!$C79)</f>
        <v>0</v>
      </c>
      <c r="AJ79" s="121"/>
      <c r="AK79" s="8">
        <f t="shared" ref="AK79:AK81" si="333">(((AF79*V79)*2+(AG79*W79)*2+(AH79*X79)*2+(AI79*Y79)*2)*7)</f>
        <v>0</v>
      </c>
      <c r="AL79" s="8" t="e">
        <f t="shared" ref="AL79:AL81" ca="1" si="334">AK79-AM79</f>
        <v>#REF!</v>
      </c>
      <c r="AM79" s="8" t="e">
        <f t="shared" ref="AM79:AM81" ca="1" si="335">AK79*$AM$2</f>
        <v>#REF!</v>
      </c>
      <c r="AN79" s="8" t="e">
        <f t="shared" ref="AN79:AN81" ca="1" si="336">AL79*$AN$2</f>
        <v>#REF!</v>
      </c>
      <c r="AO79" s="8" t="e">
        <f t="shared" ref="AO79:AO81" ca="1" si="337">(AL79-AN79-I79)*$AO$2</f>
        <v>#REF!</v>
      </c>
      <c r="AP79" s="8" t="e">
        <f t="shared" ref="AP79:AP81" ca="1" si="338">AL79-AN79-(I79/7)-(AO79/7)</f>
        <v>#REF!</v>
      </c>
      <c r="AQ79" s="8" t="e">
        <f t="shared" ref="AQ79:AQ81" ca="1" si="339">AP79/7</f>
        <v>#REF!</v>
      </c>
      <c r="AR79" s="7">
        <f t="shared" ca="1" si="277"/>
        <v>0</v>
      </c>
      <c r="AS79" s="120">
        <f t="shared" ca="1" si="278"/>
        <v>0</v>
      </c>
      <c r="AT79" s="8" t="e">
        <f t="shared" ref="AT79:AT81" ca="1" si="340">IF(K79&gt;=1,AP79*K79,AP79*$AT$1)</f>
        <v>#REF!</v>
      </c>
    </row>
    <row r="80" spans="1:55" s="185" customFormat="1" x14ac:dyDescent="0.3">
      <c r="A80" s="143" t="s">
        <v>724</v>
      </c>
      <c r="B80" s="149">
        <v>595891869</v>
      </c>
      <c r="C80" s="143" t="s">
        <v>866</v>
      </c>
      <c r="D80" s="145" t="str">
        <f t="shared" si="280"/>
        <v>DLA/CNX</v>
      </c>
      <c r="E80" s="149">
        <v>34072768</v>
      </c>
      <c r="F80" s="144" t="s">
        <v>867</v>
      </c>
      <c r="G80" s="149">
        <v>253336500</v>
      </c>
      <c r="H80" s="116"/>
      <c r="I80" s="8">
        <v>0</v>
      </c>
      <c r="J80" s="8">
        <v>0</v>
      </c>
      <c r="K80" s="8">
        <v>0</v>
      </c>
      <c r="L80" s="53"/>
      <c r="M80" s="53"/>
      <c r="N80" s="116"/>
      <c r="O80" s="140"/>
      <c r="P80" s="133">
        <f>SUMIFS(GestionLignesDemande!D$4:D$1000,GestionLignesDemande!$B$4:$B$1000,ROI_Avions!$A80,GestionLignesDemande!$C$4:$C$1000,ROI_Avions!$C80)</f>
        <v>0</v>
      </c>
      <c r="Q80" s="133">
        <f>SUMIFS(GestionLignesDemande!E$4:E$1000,GestionLignesDemande!$B$4:$B$1000,ROI_Avions!$A80,GestionLignesDemande!$C$4:$C$1000,ROI_Avions!$C80)</f>
        <v>0</v>
      </c>
      <c r="R80" s="133">
        <f>SUMIFS(GestionLignesDemande!F$4:F$1000,GestionLignesDemande!$B$4:$B$1000,ROI_Avions!$A80,GestionLignesDemande!$C$4:$C$1000,ROI_Avions!$C80)</f>
        <v>0</v>
      </c>
      <c r="S80" s="133">
        <f>SUMIFS(GestionLignesDemande!G$4:G$1000,GestionLignesDemande!$B$4:$B$1000,ROI_Avions!$A80,GestionLignesDemande!$C$4:$C$1000,ROI_Avions!$C80)</f>
        <v>0</v>
      </c>
      <c r="T80" s="116"/>
      <c r="U80" s="8">
        <f t="shared" si="1"/>
        <v>606</v>
      </c>
      <c r="V80" s="8">
        <v>579</v>
      </c>
      <c r="W80" s="8">
        <v>18</v>
      </c>
      <c r="X80" s="8">
        <v>2</v>
      </c>
      <c r="Y80" s="8">
        <v>7</v>
      </c>
      <c r="Z80" s="121"/>
      <c r="AA80" s="132">
        <f t="shared" si="329"/>
        <v>-5728</v>
      </c>
      <c r="AB80" s="132">
        <f t="shared" si="330"/>
        <v>-72</v>
      </c>
      <c r="AC80" s="132">
        <f t="shared" si="331"/>
        <v>-8</v>
      </c>
      <c r="AD80" s="132">
        <f t="shared" si="332"/>
        <v>-40</v>
      </c>
      <c r="AE80" s="121"/>
      <c r="AF80" s="26">
        <f>SUMIFS(DataPrixBillets!N$1:N$1000,DataPrixBillets!$J$1:$J$1000,ROI_Avions!$A80,DataPrixBillets!$K$1:$K$1000,ROI_Avions!$C80)</f>
        <v>0</v>
      </c>
      <c r="AG80" s="26">
        <f>SUMIFS(DataPrixBillets!O$1:O$1000,DataPrixBillets!$J$1:$J$1000,ROI_Avions!$A80,DataPrixBillets!$K$1:$K$1000,ROI_Avions!$C80)</f>
        <v>0</v>
      </c>
      <c r="AH80" s="26">
        <f>SUMIFS(DataPrixBillets!P$1:P$1000,DataPrixBillets!$J$1:$J$1000,ROI_Avions!$A80,DataPrixBillets!$K$1:$K$1000,ROI_Avions!$C80)</f>
        <v>0</v>
      </c>
      <c r="AI80" s="26">
        <f>SUMIFS(DataPrixBillets!Q$1:Q$1000,DataPrixBillets!$J$1:$J$1000,ROI_Avions!$A80,DataPrixBillets!$K$1:$K$1000,ROI_Avions!$C80)</f>
        <v>0</v>
      </c>
      <c r="AJ80" s="121"/>
      <c r="AK80" s="8">
        <f t="shared" si="333"/>
        <v>0</v>
      </c>
      <c r="AL80" s="8" t="e">
        <f t="shared" ca="1" si="334"/>
        <v>#REF!</v>
      </c>
      <c r="AM80" s="8" t="e">
        <f t="shared" ca="1" si="335"/>
        <v>#REF!</v>
      </c>
      <c r="AN80" s="8" t="e">
        <f t="shared" ca="1" si="336"/>
        <v>#REF!</v>
      </c>
      <c r="AO80" s="8" t="e">
        <f t="shared" ca="1" si="337"/>
        <v>#REF!</v>
      </c>
      <c r="AP80" s="8" t="e">
        <f t="shared" ca="1" si="338"/>
        <v>#REF!</v>
      </c>
      <c r="AQ80" s="8" t="e">
        <f t="shared" ca="1" si="339"/>
        <v>#REF!</v>
      </c>
      <c r="AR80" s="7">
        <f t="shared" ca="1" si="277"/>
        <v>0</v>
      </c>
      <c r="AS80" s="120">
        <f t="shared" ca="1" si="278"/>
        <v>0</v>
      </c>
      <c r="AT80" s="8" t="e">
        <f t="shared" ca="1" si="340"/>
        <v>#REF!</v>
      </c>
    </row>
    <row r="81" spans="1:55" s="185" customFormat="1" x14ac:dyDescent="0.3">
      <c r="A81" s="143" t="s">
        <v>724</v>
      </c>
      <c r="B81" s="149">
        <v>595891869</v>
      </c>
      <c r="C81" s="143" t="s">
        <v>866</v>
      </c>
      <c r="D81" s="145" t="str">
        <f t="shared" si="280"/>
        <v>DLA/CNX</v>
      </c>
      <c r="E81" s="149">
        <v>34072768</v>
      </c>
      <c r="F81" s="144" t="s">
        <v>869</v>
      </c>
      <c r="G81" s="149">
        <v>213322500</v>
      </c>
      <c r="H81" s="116"/>
      <c r="I81" s="8">
        <v>0</v>
      </c>
      <c r="J81" s="8">
        <v>0</v>
      </c>
      <c r="K81" s="8">
        <v>0</v>
      </c>
      <c r="L81" s="53"/>
      <c r="M81" s="53"/>
      <c r="N81" s="116"/>
      <c r="O81" s="140"/>
      <c r="P81" s="133">
        <f>SUMIFS(GestionLignesDemande!D$4:D$1000,GestionLignesDemande!$B$4:$B$1000,ROI_Avions!$A81,GestionLignesDemande!$C$4:$C$1000,ROI_Avions!$C81)</f>
        <v>0</v>
      </c>
      <c r="Q81" s="133">
        <f>SUMIFS(GestionLignesDemande!E$4:E$1000,GestionLignesDemande!$B$4:$B$1000,ROI_Avions!$A81,GestionLignesDemande!$C$4:$C$1000,ROI_Avions!$C81)</f>
        <v>0</v>
      </c>
      <c r="R81" s="133">
        <f>SUMIFS(GestionLignesDemande!F$4:F$1000,GestionLignesDemande!$B$4:$B$1000,ROI_Avions!$A81,GestionLignesDemande!$C$4:$C$1000,ROI_Avions!$C81)</f>
        <v>0</v>
      </c>
      <c r="S81" s="133">
        <f>SUMIFS(GestionLignesDemande!G$4:G$1000,GestionLignesDemande!$B$4:$B$1000,ROI_Avions!$A81,GestionLignesDemande!$C$4:$C$1000,ROI_Avions!$C81)</f>
        <v>0</v>
      </c>
      <c r="T81" s="116"/>
      <c r="U81" s="8">
        <f t="shared" si="1"/>
        <v>405</v>
      </c>
      <c r="V81" s="8">
        <v>387</v>
      </c>
      <c r="W81" s="8">
        <v>18</v>
      </c>
      <c r="X81" s="8">
        <v>0</v>
      </c>
      <c r="Y81" s="8">
        <v>0</v>
      </c>
      <c r="Z81" s="121"/>
      <c r="AA81" s="132">
        <f t="shared" si="329"/>
        <v>-6502</v>
      </c>
      <c r="AB81" s="132">
        <f t="shared" si="330"/>
        <v>-108</v>
      </c>
      <c r="AC81" s="132">
        <f t="shared" si="331"/>
        <v>-8</v>
      </c>
      <c r="AD81" s="132">
        <f t="shared" si="332"/>
        <v>-40</v>
      </c>
      <c r="AE81" s="121"/>
      <c r="AF81" s="26">
        <f>SUMIFS(DataPrixBillets!N$1:N$1000,DataPrixBillets!$J$1:$J$1000,ROI_Avions!$A81,DataPrixBillets!$K$1:$K$1000,ROI_Avions!$C81)</f>
        <v>0</v>
      </c>
      <c r="AG81" s="26">
        <f>SUMIFS(DataPrixBillets!O$1:O$1000,DataPrixBillets!$J$1:$J$1000,ROI_Avions!$A81,DataPrixBillets!$K$1:$K$1000,ROI_Avions!$C81)</f>
        <v>0</v>
      </c>
      <c r="AH81" s="26">
        <f>SUMIFS(DataPrixBillets!P$1:P$1000,DataPrixBillets!$J$1:$J$1000,ROI_Avions!$A81,DataPrixBillets!$K$1:$K$1000,ROI_Avions!$C81)</f>
        <v>0</v>
      </c>
      <c r="AI81" s="26">
        <f>SUMIFS(DataPrixBillets!Q$1:Q$1000,DataPrixBillets!$J$1:$J$1000,ROI_Avions!$A81,DataPrixBillets!$K$1:$K$1000,ROI_Avions!$C81)</f>
        <v>0</v>
      </c>
      <c r="AJ81" s="121"/>
      <c r="AK81" s="8">
        <f t="shared" si="333"/>
        <v>0</v>
      </c>
      <c r="AL81" s="8" t="e">
        <f t="shared" ca="1" si="334"/>
        <v>#REF!</v>
      </c>
      <c r="AM81" s="8" t="e">
        <f t="shared" ca="1" si="335"/>
        <v>#REF!</v>
      </c>
      <c r="AN81" s="8" t="e">
        <f t="shared" ca="1" si="336"/>
        <v>#REF!</v>
      </c>
      <c r="AO81" s="8" t="e">
        <f t="shared" ca="1" si="337"/>
        <v>#REF!</v>
      </c>
      <c r="AP81" s="8" t="e">
        <f t="shared" ca="1" si="338"/>
        <v>#REF!</v>
      </c>
      <c r="AQ81" s="8" t="e">
        <f t="shared" ca="1" si="339"/>
        <v>#REF!</v>
      </c>
      <c r="AR81" s="7">
        <f t="shared" ca="1" si="277"/>
        <v>0</v>
      </c>
      <c r="AS81" s="120">
        <f t="shared" ca="1" si="278"/>
        <v>0</v>
      </c>
      <c r="AT81" s="8" t="e">
        <f t="shared" ca="1" si="340"/>
        <v>#REF!</v>
      </c>
    </row>
    <row r="82" spans="1:55" s="185" customFormat="1" x14ac:dyDescent="0.3">
      <c r="A82" s="143" t="s">
        <v>724</v>
      </c>
      <c r="B82" s="149">
        <v>595891870</v>
      </c>
      <c r="C82" s="143" t="s">
        <v>341</v>
      </c>
      <c r="D82" s="145" t="str">
        <f t="shared" si="280"/>
        <v>DLA/JFK</v>
      </c>
      <c r="E82" s="149">
        <v>38860913</v>
      </c>
      <c r="F82" s="144" t="s">
        <v>873</v>
      </c>
      <c r="G82" s="149">
        <v>253336500</v>
      </c>
      <c r="H82" s="116"/>
      <c r="I82" s="8">
        <v>0</v>
      </c>
      <c r="J82" s="8">
        <v>0</v>
      </c>
      <c r="K82" s="8">
        <v>0</v>
      </c>
      <c r="L82" s="53"/>
      <c r="M82" s="53"/>
      <c r="N82" s="116"/>
      <c r="O82" s="140"/>
      <c r="P82" s="133">
        <f>SUMIFS(GestionLignesDemande!D$4:D$1000,GestionLignesDemande!$B$4:$B$1000,ROI_Avions!$A82,GestionLignesDemande!$C$4:$C$1000,ROI_Avions!$C82)</f>
        <v>0</v>
      </c>
      <c r="Q82" s="133">
        <f>SUMIFS(GestionLignesDemande!E$4:E$1000,GestionLignesDemande!$B$4:$B$1000,ROI_Avions!$A82,GestionLignesDemande!$C$4:$C$1000,ROI_Avions!$C82)</f>
        <v>0</v>
      </c>
      <c r="R82" s="133">
        <f>SUMIFS(GestionLignesDemande!F$4:F$1000,GestionLignesDemande!$B$4:$B$1000,ROI_Avions!$A82,GestionLignesDemande!$C$4:$C$1000,ROI_Avions!$C82)</f>
        <v>0</v>
      </c>
      <c r="S82" s="133">
        <f>SUMIFS(GestionLignesDemande!G$4:G$1000,GestionLignesDemande!$B$4:$B$1000,ROI_Avions!$A82,GestionLignesDemande!$C$4:$C$1000,ROI_Avions!$C82)</f>
        <v>0</v>
      </c>
      <c r="T82" s="116"/>
      <c r="U82" s="8">
        <f t="shared" si="1"/>
        <v>557</v>
      </c>
      <c r="V82" s="8">
        <v>482</v>
      </c>
      <c r="W82" s="8">
        <v>53</v>
      </c>
      <c r="X82" s="8">
        <v>11</v>
      </c>
      <c r="Y82" s="8">
        <v>11</v>
      </c>
      <c r="Z82" s="121"/>
      <c r="AA82" s="132">
        <f t="shared" ref="AA82" si="341">P82-(V82*2)</f>
        <v>-964</v>
      </c>
      <c r="AB82" s="132">
        <f t="shared" ref="AB82" si="342">Q82-(W82*2)</f>
        <v>-106</v>
      </c>
      <c r="AC82" s="132">
        <f t="shared" ref="AC82" si="343">R82-(X82*2)</f>
        <v>-22</v>
      </c>
      <c r="AD82" s="132">
        <f t="shared" ref="AD82" si="344">S82-(Y82*2)</f>
        <v>-22</v>
      </c>
      <c r="AE82" s="121"/>
      <c r="AF82" s="26">
        <f>SUMIFS(DataPrixBillets!N$1:N$1000,DataPrixBillets!$J$1:$J$1000,ROI_Avions!$A82,DataPrixBillets!$K$1:$K$1000,ROI_Avions!$C82)</f>
        <v>0</v>
      </c>
      <c r="AG82" s="26">
        <f>SUMIFS(DataPrixBillets!O$1:O$1000,DataPrixBillets!$J$1:$J$1000,ROI_Avions!$A82,DataPrixBillets!$K$1:$K$1000,ROI_Avions!$C82)</f>
        <v>0</v>
      </c>
      <c r="AH82" s="26">
        <f>SUMIFS(DataPrixBillets!P$1:P$1000,DataPrixBillets!$J$1:$J$1000,ROI_Avions!$A82,DataPrixBillets!$K$1:$K$1000,ROI_Avions!$C82)</f>
        <v>0</v>
      </c>
      <c r="AI82" s="26">
        <f>SUMIFS(DataPrixBillets!Q$1:Q$1000,DataPrixBillets!$J$1:$J$1000,ROI_Avions!$A82,DataPrixBillets!$K$1:$K$1000,ROI_Avions!$C82)</f>
        <v>0</v>
      </c>
      <c r="AJ82" s="121"/>
      <c r="AK82" s="8">
        <f t="shared" ref="AK82:AK84" si="345">(((AF82*V82)*2+(AG82*W82)*2+(AH82*X82)*2+(AI82*Y82)*2)*7)</f>
        <v>0</v>
      </c>
      <c r="AL82" s="8" t="e">
        <f t="shared" ref="AL82:AL84" ca="1" si="346">AK82-AM82</f>
        <v>#REF!</v>
      </c>
      <c r="AM82" s="8" t="e">
        <f t="shared" ref="AM82:AM84" ca="1" si="347">AK82*$AM$2</f>
        <v>#REF!</v>
      </c>
      <c r="AN82" s="8" t="e">
        <f t="shared" ref="AN82:AN84" ca="1" si="348">AL82*$AN$2</f>
        <v>#REF!</v>
      </c>
      <c r="AO82" s="8" t="e">
        <f t="shared" ref="AO82:AO84" ca="1" si="349">(AL82-AN82-I82)*$AO$2</f>
        <v>#REF!</v>
      </c>
      <c r="AP82" s="8" t="e">
        <f t="shared" ref="AP82:AP84" ca="1" si="350">AL82-AN82-(I82/7)-(AO82/7)</f>
        <v>#REF!</v>
      </c>
      <c r="AQ82" s="8" t="e">
        <f t="shared" ref="AQ82:AQ84" ca="1" si="351">AP82/7</f>
        <v>#REF!</v>
      </c>
      <c r="AR82" s="7">
        <f t="shared" ca="1" si="277"/>
        <v>0</v>
      </c>
      <c r="AS82" s="120">
        <f t="shared" ca="1" si="278"/>
        <v>0</v>
      </c>
      <c r="AT82" s="8" t="e">
        <f t="shared" ref="AT82:AT84" ca="1" si="352">IF(K82&gt;=1,AP82*K82,AP82*$AT$1)</f>
        <v>#REF!</v>
      </c>
    </row>
    <row r="83" spans="1:55" s="185" customFormat="1" x14ac:dyDescent="0.3">
      <c r="A83" s="143" t="s">
        <v>724</v>
      </c>
      <c r="B83" s="149">
        <v>595891871</v>
      </c>
      <c r="C83" s="143" t="s">
        <v>341</v>
      </c>
      <c r="D83" s="145" t="str">
        <f t="shared" si="280"/>
        <v>DLA/JFK</v>
      </c>
      <c r="E83" s="149">
        <v>38860913</v>
      </c>
      <c r="F83" s="144" t="s">
        <v>874</v>
      </c>
      <c r="G83" s="149">
        <v>0</v>
      </c>
      <c r="H83" s="116"/>
      <c r="I83" s="8">
        <v>0</v>
      </c>
      <c r="J83" s="8">
        <v>0</v>
      </c>
      <c r="K83" s="8">
        <v>0</v>
      </c>
      <c r="L83" s="53"/>
      <c r="M83" s="53"/>
      <c r="N83" s="116"/>
      <c r="O83" s="140"/>
      <c r="P83" s="133">
        <f>SUMIFS(GestionLignesDemande!D$4:D$1000,GestionLignesDemande!$B$4:$B$1000,ROI_Avions!$A83,GestionLignesDemande!$C$4:$C$1000,ROI_Avions!$C83)</f>
        <v>0</v>
      </c>
      <c r="Q83" s="133">
        <f>SUMIFS(GestionLignesDemande!E$4:E$1000,GestionLignesDemande!$B$4:$B$1000,ROI_Avions!$A83,GestionLignesDemande!$C$4:$C$1000,ROI_Avions!$C83)</f>
        <v>0</v>
      </c>
      <c r="R83" s="133">
        <f>SUMIFS(GestionLignesDemande!F$4:F$1000,GestionLignesDemande!$B$4:$B$1000,ROI_Avions!$A83,GestionLignesDemande!$C$4:$C$1000,ROI_Avions!$C83)</f>
        <v>0</v>
      </c>
      <c r="S83" s="133">
        <f>SUMIFS(GestionLignesDemande!G$4:G$1000,GestionLignesDemande!$B$4:$B$1000,ROI_Avions!$A83,GestionLignesDemande!$C$4:$C$1000,ROI_Avions!$C83)</f>
        <v>0</v>
      </c>
      <c r="T83" s="116"/>
      <c r="U83" s="8">
        <f t="shared" si="1"/>
        <v>557</v>
      </c>
      <c r="V83" s="8">
        <v>482</v>
      </c>
      <c r="W83" s="8">
        <v>53</v>
      </c>
      <c r="X83" s="8">
        <v>11</v>
      </c>
      <c r="Y83" s="8">
        <v>11</v>
      </c>
      <c r="Z83" s="121"/>
      <c r="AA83" s="132">
        <f t="shared" ref="AA83:AA84" si="353">AA82-V83*2</f>
        <v>-1928</v>
      </c>
      <c r="AB83" s="132">
        <f t="shared" ref="AB83:AB84" si="354">AB82-W83*2</f>
        <v>-212</v>
      </c>
      <c r="AC83" s="132">
        <f t="shared" ref="AC83:AC84" si="355">AC82-X83*2</f>
        <v>-44</v>
      </c>
      <c r="AD83" s="132">
        <f t="shared" ref="AD83:AD84" si="356">AD82-Y83*2</f>
        <v>-44</v>
      </c>
      <c r="AE83" s="121"/>
      <c r="AF83" s="26">
        <f>SUMIFS(DataPrixBillets!N$1:N$1000,DataPrixBillets!$J$1:$J$1000,ROI_Avions!$A83,DataPrixBillets!$K$1:$K$1000,ROI_Avions!$C83)</f>
        <v>0</v>
      </c>
      <c r="AG83" s="26">
        <f>SUMIFS(DataPrixBillets!O$1:O$1000,DataPrixBillets!$J$1:$J$1000,ROI_Avions!$A83,DataPrixBillets!$K$1:$K$1000,ROI_Avions!$C83)</f>
        <v>0</v>
      </c>
      <c r="AH83" s="26">
        <f>SUMIFS(DataPrixBillets!P$1:P$1000,DataPrixBillets!$J$1:$J$1000,ROI_Avions!$A83,DataPrixBillets!$K$1:$K$1000,ROI_Avions!$C83)</f>
        <v>0</v>
      </c>
      <c r="AI83" s="26">
        <f>SUMIFS(DataPrixBillets!Q$1:Q$1000,DataPrixBillets!$J$1:$J$1000,ROI_Avions!$A83,DataPrixBillets!$K$1:$K$1000,ROI_Avions!$C83)</f>
        <v>0</v>
      </c>
      <c r="AJ83" s="121"/>
      <c r="AK83" s="8">
        <f t="shared" si="345"/>
        <v>0</v>
      </c>
      <c r="AL83" s="8" t="e">
        <f t="shared" ca="1" si="346"/>
        <v>#REF!</v>
      </c>
      <c r="AM83" s="8" t="e">
        <f t="shared" ca="1" si="347"/>
        <v>#REF!</v>
      </c>
      <c r="AN83" s="8" t="e">
        <f t="shared" ca="1" si="348"/>
        <v>#REF!</v>
      </c>
      <c r="AO83" s="8" t="e">
        <f t="shared" ca="1" si="349"/>
        <v>#REF!</v>
      </c>
      <c r="AP83" s="8" t="e">
        <f t="shared" ca="1" si="350"/>
        <v>#REF!</v>
      </c>
      <c r="AQ83" s="8" t="e">
        <f t="shared" ca="1" si="351"/>
        <v>#REF!</v>
      </c>
      <c r="AR83" s="7">
        <f t="shared" ca="1" si="277"/>
        <v>0</v>
      </c>
      <c r="AS83" s="120">
        <f t="shared" ca="1" si="278"/>
        <v>0</v>
      </c>
      <c r="AT83" s="8" t="e">
        <f t="shared" ca="1" si="352"/>
        <v>#REF!</v>
      </c>
    </row>
    <row r="84" spans="1:55" s="185" customFormat="1" x14ac:dyDescent="0.3">
      <c r="A84" s="143" t="s">
        <v>724</v>
      </c>
      <c r="B84" s="149">
        <v>595891872</v>
      </c>
      <c r="C84" s="143" t="s">
        <v>341</v>
      </c>
      <c r="D84" s="145" t="str">
        <f t="shared" si="280"/>
        <v>DLA/JFK</v>
      </c>
      <c r="E84" s="149">
        <v>38860913</v>
      </c>
      <c r="F84" s="144" t="s">
        <v>875</v>
      </c>
      <c r="G84" s="149">
        <v>253336500</v>
      </c>
      <c r="H84" s="116"/>
      <c r="I84" s="8">
        <v>0</v>
      </c>
      <c r="J84" s="8">
        <v>0</v>
      </c>
      <c r="K84" s="8">
        <v>0</v>
      </c>
      <c r="L84" s="53"/>
      <c r="M84" s="53"/>
      <c r="N84" s="116"/>
      <c r="O84" s="140"/>
      <c r="P84" s="133">
        <f>SUMIFS(GestionLignesDemande!D$4:D$1000,GestionLignesDemande!$B$4:$B$1000,ROI_Avions!$A84,GestionLignesDemande!$C$4:$C$1000,ROI_Avions!$C84)</f>
        <v>0</v>
      </c>
      <c r="Q84" s="133">
        <f>SUMIFS(GestionLignesDemande!E$4:E$1000,GestionLignesDemande!$B$4:$B$1000,ROI_Avions!$A84,GestionLignesDemande!$C$4:$C$1000,ROI_Avions!$C84)</f>
        <v>0</v>
      </c>
      <c r="R84" s="133">
        <f>SUMIFS(GestionLignesDemande!F$4:F$1000,GestionLignesDemande!$B$4:$B$1000,ROI_Avions!$A84,GestionLignesDemande!$C$4:$C$1000,ROI_Avions!$C84)</f>
        <v>0</v>
      </c>
      <c r="S84" s="133">
        <f>SUMIFS(GestionLignesDemande!G$4:G$1000,GestionLignesDemande!$B$4:$B$1000,ROI_Avions!$A84,GestionLignesDemande!$C$4:$C$1000,ROI_Avions!$C84)</f>
        <v>0</v>
      </c>
      <c r="T84" s="116"/>
      <c r="U84" s="8">
        <f t="shared" si="1"/>
        <v>557</v>
      </c>
      <c r="V84" s="8">
        <v>482</v>
      </c>
      <c r="W84" s="8">
        <v>53</v>
      </c>
      <c r="X84" s="8">
        <v>11</v>
      </c>
      <c r="Y84" s="8">
        <v>11</v>
      </c>
      <c r="Z84" s="121"/>
      <c r="AA84" s="132">
        <f t="shared" si="353"/>
        <v>-2892</v>
      </c>
      <c r="AB84" s="132">
        <f t="shared" si="354"/>
        <v>-318</v>
      </c>
      <c r="AC84" s="132">
        <f t="shared" si="355"/>
        <v>-66</v>
      </c>
      <c r="AD84" s="132">
        <f t="shared" si="356"/>
        <v>-66</v>
      </c>
      <c r="AE84" s="121"/>
      <c r="AF84" s="26">
        <f>SUMIFS(DataPrixBillets!N$1:N$1000,DataPrixBillets!$J$1:$J$1000,ROI_Avions!$A84,DataPrixBillets!$K$1:$K$1000,ROI_Avions!$C84)</f>
        <v>0</v>
      </c>
      <c r="AG84" s="26">
        <f>SUMIFS(DataPrixBillets!O$1:O$1000,DataPrixBillets!$J$1:$J$1000,ROI_Avions!$A84,DataPrixBillets!$K$1:$K$1000,ROI_Avions!$C84)</f>
        <v>0</v>
      </c>
      <c r="AH84" s="26">
        <f>SUMIFS(DataPrixBillets!P$1:P$1000,DataPrixBillets!$J$1:$J$1000,ROI_Avions!$A84,DataPrixBillets!$K$1:$K$1000,ROI_Avions!$C84)</f>
        <v>0</v>
      </c>
      <c r="AI84" s="26">
        <f>SUMIFS(DataPrixBillets!Q$1:Q$1000,DataPrixBillets!$J$1:$J$1000,ROI_Avions!$A84,DataPrixBillets!$K$1:$K$1000,ROI_Avions!$C84)</f>
        <v>0</v>
      </c>
      <c r="AJ84" s="121"/>
      <c r="AK84" s="8">
        <f t="shared" si="345"/>
        <v>0</v>
      </c>
      <c r="AL84" s="8" t="e">
        <f t="shared" ca="1" si="346"/>
        <v>#REF!</v>
      </c>
      <c r="AM84" s="8" t="e">
        <f t="shared" ca="1" si="347"/>
        <v>#REF!</v>
      </c>
      <c r="AN84" s="8" t="e">
        <f t="shared" ca="1" si="348"/>
        <v>#REF!</v>
      </c>
      <c r="AO84" s="8" t="e">
        <f t="shared" ca="1" si="349"/>
        <v>#REF!</v>
      </c>
      <c r="AP84" s="8" t="e">
        <f t="shared" ca="1" si="350"/>
        <v>#REF!</v>
      </c>
      <c r="AQ84" s="8" t="e">
        <f t="shared" ca="1" si="351"/>
        <v>#REF!</v>
      </c>
      <c r="AR84" s="7">
        <f t="shared" ca="1" si="277"/>
        <v>0</v>
      </c>
      <c r="AS84" s="120">
        <f t="shared" ca="1" si="278"/>
        <v>0</v>
      </c>
      <c r="AT84" s="8" t="e">
        <f t="shared" ca="1" si="352"/>
        <v>#REF!</v>
      </c>
    </row>
    <row r="85" spans="1:55" s="185" customFormat="1" x14ac:dyDescent="0.3">
      <c r="A85" s="143" t="s">
        <v>724</v>
      </c>
      <c r="B85" s="149">
        <v>595891872</v>
      </c>
      <c r="C85" s="143" t="s">
        <v>939</v>
      </c>
      <c r="D85" s="145" t="str">
        <f t="shared" si="280"/>
        <v>DLA/KBV</v>
      </c>
      <c r="E85" s="149">
        <v>47062699</v>
      </c>
      <c r="F85" s="144" t="s">
        <v>942</v>
      </c>
      <c r="G85" s="149">
        <v>362700000</v>
      </c>
      <c r="H85" s="116"/>
      <c r="I85" s="8">
        <v>0</v>
      </c>
      <c r="J85" s="8">
        <v>0</v>
      </c>
      <c r="K85" s="8">
        <v>0</v>
      </c>
      <c r="L85" s="53"/>
      <c r="M85" s="53"/>
      <c r="N85" s="116"/>
      <c r="O85" s="140"/>
      <c r="P85" s="133">
        <f>SUMIFS(GestionLignesDemande!D$4:D$1000,GestionLignesDemande!$B$4:$B$1000,ROI_Avions!$A85,GestionLignesDemande!$C$4:$C$1000,ROI_Avions!$C85)</f>
        <v>0</v>
      </c>
      <c r="Q85" s="133">
        <f>SUMIFS(GestionLignesDemande!E$4:E$1000,GestionLignesDemande!$B$4:$B$1000,ROI_Avions!$A85,GestionLignesDemande!$C$4:$C$1000,ROI_Avions!$C85)</f>
        <v>0</v>
      </c>
      <c r="R85" s="133">
        <f>SUMIFS(GestionLignesDemande!F$4:F$1000,GestionLignesDemande!$B$4:$B$1000,ROI_Avions!$A85,GestionLignesDemande!$C$4:$C$1000,ROI_Avions!$C85)</f>
        <v>0</v>
      </c>
      <c r="S85" s="133">
        <f>SUMIFS(GestionLignesDemande!G$4:G$1000,GestionLignesDemande!$B$4:$B$1000,ROI_Avions!$A85,GestionLignesDemande!$C$4:$C$1000,ROI_Avions!$C85)</f>
        <v>0</v>
      </c>
      <c r="T85" s="116"/>
      <c r="U85" s="8">
        <f t="shared" si="1"/>
        <v>835</v>
      </c>
      <c r="V85" s="8">
        <v>813</v>
      </c>
      <c r="W85" s="8">
        <v>22</v>
      </c>
      <c r="X85" s="8">
        <v>0</v>
      </c>
      <c r="Y85" s="8">
        <v>0</v>
      </c>
      <c r="Z85" s="121"/>
      <c r="AA85" s="132">
        <f t="shared" ref="AA85" si="357">P85-(V85*2)</f>
        <v>-1626</v>
      </c>
      <c r="AB85" s="132">
        <f t="shared" ref="AB85" si="358">Q85-(W85*2)</f>
        <v>-44</v>
      </c>
      <c r="AC85" s="132">
        <f t="shared" ref="AC85" si="359">R85-(X85*2)</f>
        <v>0</v>
      </c>
      <c r="AD85" s="132">
        <f t="shared" ref="AD85" si="360">S85-(Y85*2)</f>
        <v>0</v>
      </c>
      <c r="AE85" s="121"/>
      <c r="AF85" s="26">
        <f>SUMIFS(DataPrixBillets!N$1:N$1000,DataPrixBillets!$J$1:$J$1000,ROI_Avions!$A85,DataPrixBillets!$K$1:$K$1000,ROI_Avions!$C85)</f>
        <v>0</v>
      </c>
      <c r="AG85" s="26">
        <f>SUMIFS(DataPrixBillets!O$1:O$1000,DataPrixBillets!$J$1:$J$1000,ROI_Avions!$A85,DataPrixBillets!$K$1:$K$1000,ROI_Avions!$C85)</f>
        <v>0</v>
      </c>
      <c r="AH85" s="26">
        <f>SUMIFS(DataPrixBillets!P$1:P$1000,DataPrixBillets!$J$1:$J$1000,ROI_Avions!$A85,DataPrixBillets!$K$1:$K$1000,ROI_Avions!$C85)</f>
        <v>0</v>
      </c>
      <c r="AI85" s="26">
        <f>SUMIFS(DataPrixBillets!Q$1:Q$1000,DataPrixBillets!$J$1:$J$1000,ROI_Avions!$A85,DataPrixBillets!$K$1:$K$1000,ROI_Avions!$C85)</f>
        <v>0</v>
      </c>
      <c r="AJ85" s="121"/>
      <c r="AK85" s="8">
        <f t="shared" ref="AK85:AK89" si="361">(((AF85*V85)*2+(AG85*W85)*2+(AH85*X85)*2+(AI85*Y85)*2)*7)</f>
        <v>0</v>
      </c>
      <c r="AL85" s="8" t="e">
        <f t="shared" ref="AL85:AL89" ca="1" si="362">AK85-AM85</f>
        <v>#REF!</v>
      </c>
      <c r="AM85" s="8" t="e">
        <f t="shared" ref="AM85:AM89" ca="1" si="363">AK85*$AM$2</f>
        <v>#REF!</v>
      </c>
      <c r="AN85" s="8" t="e">
        <f t="shared" ref="AN85:AN89" ca="1" si="364">AL85*$AN$2</f>
        <v>#REF!</v>
      </c>
      <c r="AO85" s="8" t="e">
        <f t="shared" ref="AO85:AO89" ca="1" si="365">(AL85-AN85-I85)*$AO$2</f>
        <v>#REF!</v>
      </c>
      <c r="AP85" s="8" t="e">
        <f t="shared" ref="AP85:AP89" ca="1" si="366">AL85-AN85-(I85/7)-(AO85/7)</f>
        <v>#REF!</v>
      </c>
      <c r="AQ85" s="8" t="e">
        <f t="shared" ref="AQ85:AQ89" ca="1" si="367">AP85/7</f>
        <v>#REF!</v>
      </c>
      <c r="AR85" s="7">
        <f t="shared" ca="1" si="277"/>
        <v>0</v>
      </c>
      <c r="AS85" s="120">
        <f t="shared" ca="1" si="278"/>
        <v>0</v>
      </c>
      <c r="AT85" s="8" t="e">
        <f t="shared" ref="AT85:AT89" ca="1" si="368">IF(K85&gt;=1,AP85*K85,AP85*$AT$1)</f>
        <v>#REF!</v>
      </c>
    </row>
    <row r="86" spans="1:55" s="185" customFormat="1" x14ac:dyDescent="0.3">
      <c r="A86" s="143" t="s">
        <v>724</v>
      </c>
      <c r="B86" s="149">
        <v>595891872</v>
      </c>
      <c r="C86" s="143" t="s">
        <v>939</v>
      </c>
      <c r="D86" s="145" t="str">
        <f t="shared" si="280"/>
        <v>DLA/KBV</v>
      </c>
      <c r="E86" s="149">
        <v>47062699</v>
      </c>
      <c r="F86" s="144" t="s">
        <v>947</v>
      </c>
      <c r="G86" s="149">
        <v>204687000</v>
      </c>
      <c r="H86" s="116"/>
      <c r="I86" s="8">
        <v>0</v>
      </c>
      <c r="J86" s="8">
        <v>0</v>
      </c>
      <c r="K86" s="8">
        <v>0</v>
      </c>
      <c r="L86" s="53"/>
      <c r="M86" s="53"/>
      <c r="N86" s="116"/>
      <c r="O86" s="140"/>
      <c r="P86" s="133">
        <f>SUMIFS(GestionLignesDemande!D$4:D$1000,GestionLignesDemande!$B$4:$B$1000,ROI_Avions!$A86,GestionLignesDemande!$C$4:$C$1000,ROI_Avions!$C86)</f>
        <v>0</v>
      </c>
      <c r="Q86" s="133">
        <f>SUMIFS(GestionLignesDemande!E$4:E$1000,GestionLignesDemande!$B$4:$B$1000,ROI_Avions!$A86,GestionLignesDemande!$C$4:$C$1000,ROI_Avions!$C86)</f>
        <v>0</v>
      </c>
      <c r="R86" s="133">
        <f>SUMIFS(GestionLignesDemande!F$4:F$1000,GestionLignesDemande!$B$4:$B$1000,ROI_Avions!$A86,GestionLignesDemande!$C$4:$C$1000,ROI_Avions!$C86)</f>
        <v>0</v>
      </c>
      <c r="S86" s="133">
        <f>SUMIFS(GestionLignesDemande!G$4:G$1000,GestionLignesDemande!$B$4:$B$1000,ROI_Avions!$A86,GestionLignesDemande!$C$4:$C$1000,ROI_Avions!$C86)</f>
        <v>0</v>
      </c>
      <c r="T86" s="116"/>
      <c r="U86" s="8">
        <f t="shared" si="1"/>
        <v>420</v>
      </c>
      <c r="V86" s="8">
        <v>420</v>
      </c>
      <c r="W86" s="8">
        <v>0</v>
      </c>
      <c r="X86" s="8">
        <v>0</v>
      </c>
      <c r="Y86" s="8">
        <v>0</v>
      </c>
      <c r="Z86" s="121"/>
      <c r="AA86" s="132">
        <f t="shared" ref="AA86" si="369">AA85-V86*2</f>
        <v>-2466</v>
      </c>
      <c r="AB86" s="132">
        <f t="shared" ref="AB86" si="370">AB85-W86*2</f>
        <v>-44</v>
      </c>
      <c r="AC86" s="132">
        <f t="shared" ref="AC86" si="371">AC85-X86*2</f>
        <v>0</v>
      </c>
      <c r="AD86" s="132">
        <f t="shared" ref="AD86" si="372">AD85-Y86*2</f>
        <v>0</v>
      </c>
      <c r="AE86" s="121"/>
      <c r="AF86" s="26">
        <f>SUMIFS(DataPrixBillets!N$1:N$1000,DataPrixBillets!$J$1:$J$1000,ROI_Avions!$A86,DataPrixBillets!$K$1:$K$1000,ROI_Avions!$C86)</f>
        <v>0</v>
      </c>
      <c r="AG86" s="26">
        <f>SUMIFS(DataPrixBillets!O$1:O$1000,DataPrixBillets!$J$1:$J$1000,ROI_Avions!$A86,DataPrixBillets!$K$1:$K$1000,ROI_Avions!$C86)</f>
        <v>0</v>
      </c>
      <c r="AH86" s="26">
        <f>SUMIFS(DataPrixBillets!P$1:P$1000,DataPrixBillets!$J$1:$J$1000,ROI_Avions!$A86,DataPrixBillets!$K$1:$K$1000,ROI_Avions!$C86)</f>
        <v>0</v>
      </c>
      <c r="AI86" s="26">
        <f>SUMIFS(DataPrixBillets!Q$1:Q$1000,DataPrixBillets!$J$1:$J$1000,ROI_Avions!$A86,DataPrixBillets!$K$1:$K$1000,ROI_Avions!$C86)</f>
        <v>0</v>
      </c>
      <c r="AJ86" s="121"/>
      <c r="AK86" s="8">
        <f t="shared" si="361"/>
        <v>0</v>
      </c>
      <c r="AL86" s="8" t="e">
        <f t="shared" ca="1" si="362"/>
        <v>#REF!</v>
      </c>
      <c r="AM86" s="8" t="e">
        <f t="shared" ca="1" si="363"/>
        <v>#REF!</v>
      </c>
      <c r="AN86" s="8" t="e">
        <f t="shared" ca="1" si="364"/>
        <v>#REF!</v>
      </c>
      <c r="AO86" s="8" t="e">
        <f t="shared" ca="1" si="365"/>
        <v>#REF!</v>
      </c>
      <c r="AP86" s="8" t="e">
        <f t="shared" ca="1" si="366"/>
        <v>#REF!</v>
      </c>
      <c r="AQ86" s="8" t="e">
        <f t="shared" ca="1" si="367"/>
        <v>#REF!</v>
      </c>
      <c r="AR86" s="7">
        <f t="shared" ca="1" si="277"/>
        <v>0</v>
      </c>
      <c r="AS86" s="120">
        <f t="shared" ca="1" si="278"/>
        <v>0</v>
      </c>
      <c r="AT86" s="8" t="e">
        <f t="shared" ca="1" si="368"/>
        <v>#REF!</v>
      </c>
    </row>
    <row r="87" spans="1:55" s="185" customFormat="1" x14ac:dyDescent="0.3">
      <c r="A87" s="143" t="s">
        <v>724</v>
      </c>
      <c r="B87" s="149">
        <v>595891872</v>
      </c>
      <c r="C87" s="143" t="s">
        <v>940</v>
      </c>
      <c r="D87" s="145" t="str">
        <f t="shared" si="280"/>
        <v>DLA/URT</v>
      </c>
      <c r="E87" s="149">
        <v>55448358</v>
      </c>
      <c r="F87" s="144" t="s">
        <v>943</v>
      </c>
      <c r="G87" s="149">
        <v>362700000</v>
      </c>
      <c r="H87" s="116"/>
      <c r="I87" s="8">
        <v>0</v>
      </c>
      <c r="J87" s="8">
        <v>0</v>
      </c>
      <c r="K87" s="8">
        <v>0</v>
      </c>
      <c r="L87" s="53"/>
      <c r="M87" s="53"/>
      <c r="N87" s="116"/>
      <c r="O87" s="140"/>
      <c r="P87" s="133">
        <f>SUMIFS(GestionLignesDemande!D$4:D$1000,GestionLignesDemande!$B$4:$B$1000,ROI_Avions!$A87,GestionLignesDemande!$C$4:$C$1000,ROI_Avions!$C87)</f>
        <v>0</v>
      </c>
      <c r="Q87" s="133">
        <f>SUMIFS(GestionLignesDemande!E$4:E$1000,GestionLignesDemande!$B$4:$B$1000,ROI_Avions!$A87,GestionLignesDemande!$C$4:$C$1000,ROI_Avions!$C87)</f>
        <v>0</v>
      </c>
      <c r="R87" s="133">
        <f>SUMIFS(GestionLignesDemande!F$4:F$1000,GestionLignesDemande!$B$4:$B$1000,ROI_Avions!$A87,GestionLignesDemande!$C$4:$C$1000,ROI_Avions!$C87)</f>
        <v>0</v>
      </c>
      <c r="S87" s="133">
        <f>SUMIFS(GestionLignesDemande!G$4:G$1000,GestionLignesDemande!$B$4:$B$1000,ROI_Avions!$A87,GestionLignesDemande!$C$4:$C$1000,ROI_Avions!$C87)</f>
        <v>0</v>
      </c>
      <c r="T87" s="116"/>
      <c r="U87" s="8">
        <f t="shared" si="1"/>
        <v>813</v>
      </c>
      <c r="V87" s="8">
        <v>781</v>
      </c>
      <c r="W87" s="8">
        <v>20</v>
      </c>
      <c r="X87" s="8">
        <v>4</v>
      </c>
      <c r="Y87" s="8">
        <v>8</v>
      </c>
      <c r="Z87" s="121"/>
      <c r="AA87" s="132">
        <f t="shared" ref="AA87" si="373">P87-(V87*2)</f>
        <v>-1562</v>
      </c>
      <c r="AB87" s="132">
        <f t="shared" ref="AB87" si="374">Q87-(W87*2)</f>
        <v>-40</v>
      </c>
      <c r="AC87" s="132">
        <f t="shared" ref="AC87" si="375">R87-(X87*2)</f>
        <v>-8</v>
      </c>
      <c r="AD87" s="132">
        <f t="shared" ref="AD87" si="376">S87-(Y87*2)</f>
        <v>-16</v>
      </c>
      <c r="AE87" s="121"/>
      <c r="AF87" s="26">
        <f>SUMIFS(DataPrixBillets!N$1:N$1000,DataPrixBillets!$J$1:$J$1000,ROI_Avions!$A87,DataPrixBillets!$K$1:$K$1000,ROI_Avions!$C87)</f>
        <v>0</v>
      </c>
      <c r="AG87" s="26">
        <f>SUMIFS(DataPrixBillets!O$1:O$1000,DataPrixBillets!$J$1:$J$1000,ROI_Avions!$A87,DataPrixBillets!$K$1:$K$1000,ROI_Avions!$C87)</f>
        <v>0</v>
      </c>
      <c r="AH87" s="26">
        <f>SUMIFS(DataPrixBillets!P$1:P$1000,DataPrixBillets!$J$1:$J$1000,ROI_Avions!$A87,DataPrixBillets!$K$1:$K$1000,ROI_Avions!$C87)</f>
        <v>0</v>
      </c>
      <c r="AI87" s="26">
        <f>SUMIFS(DataPrixBillets!Q$1:Q$1000,DataPrixBillets!$J$1:$J$1000,ROI_Avions!$A87,DataPrixBillets!$K$1:$K$1000,ROI_Avions!$C87)</f>
        <v>0</v>
      </c>
      <c r="AJ87" s="121"/>
      <c r="AK87" s="8">
        <f t="shared" si="361"/>
        <v>0</v>
      </c>
      <c r="AL87" s="8" t="e">
        <f t="shared" ca="1" si="362"/>
        <v>#REF!</v>
      </c>
      <c r="AM87" s="8" t="e">
        <f t="shared" ca="1" si="363"/>
        <v>#REF!</v>
      </c>
      <c r="AN87" s="8" t="e">
        <f t="shared" ca="1" si="364"/>
        <v>#REF!</v>
      </c>
      <c r="AO87" s="8" t="e">
        <f t="shared" ca="1" si="365"/>
        <v>#REF!</v>
      </c>
      <c r="AP87" s="8" t="e">
        <f t="shared" ca="1" si="366"/>
        <v>#REF!</v>
      </c>
      <c r="AQ87" s="8" t="e">
        <f t="shared" ca="1" si="367"/>
        <v>#REF!</v>
      </c>
      <c r="AR87" s="7">
        <f t="shared" ca="1" si="277"/>
        <v>0</v>
      </c>
      <c r="AS87" s="120">
        <f t="shared" ca="1" si="278"/>
        <v>0</v>
      </c>
      <c r="AT87" s="8" t="e">
        <f t="shared" ca="1" si="368"/>
        <v>#REF!</v>
      </c>
    </row>
    <row r="88" spans="1:55" s="185" customFormat="1" x14ac:dyDescent="0.3">
      <c r="A88" s="143" t="s">
        <v>724</v>
      </c>
      <c r="B88" s="149">
        <v>595891872</v>
      </c>
      <c r="C88" s="143" t="s">
        <v>940</v>
      </c>
      <c r="D88" s="145" t="str">
        <f t="shared" si="280"/>
        <v>DLA/URT</v>
      </c>
      <c r="E88" s="149">
        <v>55448358</v>
      </c>
      <c r="F88" s="144" t="s">
        <v>946</v>
      </c>
      <c r="G88" s="149">
        <v>204687000</v>
      </c>
      <c r="H88" s="116"/>
      <c r="I88" s="8">
        <v>0</v>
      </c>
      <c r="J88" s="8">
        <v>0</v>
      </c>
      <c r="K88" s="8">
        <v>0</v>
      </c>
      <c r="L88" s="53"/>
      <c r="M88" s="53"/>
      <c r="N88" s="116"/>
      <c r="O88" s="140"/>
      <c r="P88" s="133">
        <f>SUMIFS(GestionLignesDemande!D$4:D$1000,GestionLignesDemande!$B$4:$B$1000,ROI_Avions!$A88,GestionLignesDemande!$C$4:$C$1000,ROI_Avions!$C88)</f>
        <v>0</v>
      </c>
      <c r="Q88" s="133">
        <f>SUMIFS(GestionLignesDemande!E$4:E$1000,GestionLignesDemande!$B$4:$B$1000,ROI_Avions!$A88,GestionLignesDemande!$C$4:$C$1000,ROI_Avions!$C88)</f>
        <v>0</v>
      </c>
      <c r="R88" s="133">
        <f>SUMIFS(GestionLignesDemande!F$4:F$1000,GestionLignesDemande!$B$4:$B$1000,ROI_Avions!$A88,GestionLignesDemande!$C$4:$C$1000,ROI_Avions!$C88)</f>
        <v>0</v>
      </c>
      <c r="S88" s="133">
        <f>SUMIFS(GestionLignesDemande!G$4:G$1000,GestionLignesDemande!$B$4:$B$1000,ROI_Avions!$A88,GestionLignesDemande!$C$4:$C$1000,ROI_Avions!$C88)</f>
        <v>0</v>
      </c>
      <c r="T88" s="116"/>
      <c r="U88" s="8">
        <f t="shared" si="1"/>
        <v>369</v>
      </c>
      <c r="V88" s="8">
        <v>344</v>
      </c>
      <c r="W88" s="8">
        <v>20</v>
      </c>
      <c r="X88" s="8">
        <v>0</v>
      </c>
      <c r="Y88" s="8">
        <v>5</v>
      </c>
      <c r="Z88" s="121"/>
      <c r="AA88" s="132">
        <f t="shared" ref="AA88" si="377">AA87-V88*2</f>
        <v>-2250</v>
      </c>
      <c r="AB88" s="132">
        <f t="shared" ref="AB88" si="378">AB87-W88*2</f>
        <v>-80</v>
      </c>
      <c r="AC88" s="132">
        <f t="shared" ref="AC88" si="379">AC87-X88*2</f>
        <v>-8</v>
      </c>
      <c r="AD88" s="132">
        <f t="shared" ref="AD88" si="380">AD87-Y88*2</f>
        <v>-26</v>
      </c>
      <c r="AE88" s="121"/>
      <c r="AF88" s="26">
        <f>SUMIFS(DataPrixBillets!N$1:N$1000,DataPrixBillets!$J$1:$J$1000,ROI_Avions!$A88,DataPrixBillets!$K$1:$K$1000,ROI_Avions!$C88)</f>
        <v>0</v>
      </c>
      <c r="AG88" s="26">
        <f>SUMIFS(DataPrixBillets!O$1:O$1000,DataPrixBillets!$J$1:$J$1000,ROI_Avions!$A88,DataPrixBillets!$K$1:$K$1000,ROI_Avions!$C88)</f>
        <v>0</v>
      </c>
      <c r="AH88" s="26">
        <f>SUMIFS(DataPrixBillets!P$1:P$1000,DataPrixBillets!$J$1:$J$1000,ROI_Avions!$A88,DataPrixBillets!$K$1:$K$1000,ROI_Avions!$C88)</f>
        <v>0</v>
      </c>
      <c r="AI88" s="26">
        <f>SUMIFS(DataPrixBillets!Q$1:Q$1000,DataPrixBillets!$J$1:$J$1000,ROI_Avions!$A88,DataPrixBillets!$K$1:$K$1000,ROI_Avions!$C88)</f>
        <v>0</v>
      </c>
      <c r="AJ88" s="121"/>
      <c r="AK88" s="8">
        <f t="shared" si="361"/>
        <v>0</v>
      </c>
      <c r="AL88" s="8" t="e">
        <f t="shared" ca="1" si="362"/>
        <v>#REF!</v>
      </c>
      <c r="AM88" s="8" t="e">
        <f t="shared" ca="1" si="363"/>
        <v>#REF!</v>
      </c>
      <c r="AN88" s="8" t="e">
        <f t="shared" ca="1" si="364"/>
        <v>#REF!</v>
      </c>
      <c r="AO88" s="8" t="e">
        <f t="shared" ca="1" si="365"/>
        <v>#REF!</v>
      </c>
      <c r="AP88" s="8" t="e">
        <f t="shared" ca="1" si="366"/>
        <v>#REF!</v>
      </c>
      <c r="AQ88" s="8" t="e">
        <f t="shared" ca="1" si="367"/>
        <v>#REF!</v>
      </c>
      <c r="AR88" s="7">
        <f t="shared" ca="1" si="277"/>
        <v>0</v>
      </c>
      <c r="AS88" s="120">
        <f t="shared" ca="1" si="278"/>
        <v>0</v>
      </c>
      <c r="AT88" s="8" t="e">
        <f t="shared" ca="1" si="368"/>
        <v>#REF!</v>
      </c>
    </row>
    <row r="89" spans="1:55" s="185" customFormat="1" x14ac:dyDescent="0.3">
      <c r="A89" s="143" t="s">
        <v>724</v>
      </c>
      <c r="B89" s="149">
        <v>595891872</v>
      </c>
      <c r="C89" s="143" t="s">
        <v>941</v>
      </c>
      <c r="D89" s="145" t="str">
        <f t="shared" si="280"/>
        <v>DLA/CEI</v>
      </c>
      <c r="E89" s="149">
        <v>65316148</v>
      </c>
      <c r="F89" s="144" t="s">
        <v>944</v>
      </c>
      <c r="G89" s="149">
        <v>362700000</v>
      </c>
      <c r="H89" s="116"/>
      <c r="I89" s="8">
        <v>0</v>
      </c>
      <c r="J89" s="8">
        <v>0</v>
      </c>
      <c r="K89" s="8">
        <v>0</v>
      </c>
      <c r="L89" s="53"/>
      <c r="M89" s="53"/>
      <c r="N89" s="116"/>
      <c r="O89" s="140"/>
      <c r="P89" s="133">
        <f>SUMIFS(GestionLignesDemande!D$4:D$1000,GestionLignesDemande!$B$4:$B$1000,ROI_Avions!$A89,GestionLignesDemande!$C$4:$C$1000,ROI_Avions!$C89)</f>
        <v>0</v>
      </c>
      <c r="Q89" s="133">
        <f>SUMIFS(GestionLignesDemande!E$4:E$1000,GestionLignesDemande!$B$4:$B$1000,ROI_Avions!$A89,GestionLignesDemande!$C$4:$C$1000,ROI_Avions!$C89)</f>
        <v>0</v>
      </c>
      <c r="R89" s="133">
        <f>SUMIFS(GestionLignesDemande!F$4:F$1000,GestionLignesDemande!$B$4:$B$1000,ROI_Avions!$A89,GestionLignesDemande!$C$4:$C$1000,ROI_Avions!$C89)</f>
        <v>0</v>
      </c>
      <c r="S89" s="133">
        <f>SUMIFS(GestionLignesDemande!G$4:G$1000,GestionLignesDemande!$B$4:$B$1000,ROI_Avions!$A89,GestionLignesDemande!$C$4:$C$1000,ROI_Avions!$C89)</f>
        <v>0</v>
      </c>
      <c r="T89" s="116"/>
      <c r="U89" s="8">
        <f t="shared" si="1"/>
        <v>835</v>
      </c>
      <c r="V89" s="8">
        <v>813</v>
      </c>
      <c r="W89" s="8">
        <v>22</v>
      </c>
      <c r="X89" s="8">
        <v>0</v>
      </c>
      <c r="Y89" s="8">
        <v>0</v>
      </c>
      <c r="Z89" s="121"/>
      <c r="AA89" s="132">
        <f t="shared" ref="AA89" si="381">P89-(V89*2)</f>
        <v>-1626</v>
      </c>
      <c r="AB89" s="132">
        <f t="shared" ref="AB89" si="382">Q89-(W89*2)</f>
        <v>-44</v>
      </c>
      <c r="AC89" s="132">
        <f t="shared" ref="AC89" si="383">R89-(X89*2)</f>
        <v>0</v>
      </c>
      <c r="AD89" s="132">
        <f t="shared" ref="AD89" si="384">S89-(Y89*2)</f>
        <v>0</v>
      </c>
      <c r="AE89" s="121"/>
      <c r="AF89" s="26">
        <f>SUMIFS(DataPrixBillets!N$1:N$1000,DataPrixBillets!$J$1:$J$1000,ROI_Avions!$A89,DataPrixBillets!$K$1:$K$1000,ROI_Avions!$C89)</f>
        <v>0</v>
      </c>
      <c r="AG89" s="26">
        <f>SUMIFS(DataPrixBillets!O$1:O$1000,DataPrixBillets!$J$1:$J$1000,ROI_Avions!$A89,DataPrixBillets!$K$1:$K$1000,ROI_Avions!$C89)</f>
        <v>0</v>
      </c>
      <c r="AH89" s="26">
        <f>SUMIFS(DataPrixBillets!P$1:P$1000,DataPrixBillets!$J$1:$J$1000,ROI_Avions!$A89,DataPrixBillets!$K$1:$K$1000,ROI_Avions!$C89)</f>
        <v>0</v>
      </c>
      <c r="AI89" s="26">
        <f>SUMIFS(DataPrixBillets!Q$1:Q$1000,DataPrixBillets!$J$1:$J$1000,ROI_Avions!$A89,DataPrixBillets!$K$1:$K$1000,ROI_Avions!$C89)</f>
        <v>0</v>
      </c>
      <c r="AJ89" s="121"/>
      <c r="AK89" s="8">
        <f t="shared" si="361"/>
        <v>0</v>
      </c>
      <c r="AL89" s="8" t="e">
        <f t="shared" ca="1" si="362"/>
        <v>#REF!</v>
      </c>
      <c r="AM89" s="8" t="e">
        <f t="shared" ca="1" si="363"/>
        <v>#REF!</v>
      </c>
      <c r="AN89" s="8" t="e">
        <f t="shared" ca="1" si="364"/>
        <v>#REF!</v>
      </c>
      <c r="AO89" s="8" t="e">
        <f t="shared" ca="1" si="365"/>
        <v>#REF!</v>
      </c>
      <c r="AP89" s="8" t="e">
        <f t="shared" ca="1" si="366"/>
        <v>#REF!</v>
      </c>
      <c r="AQ89" s="8" t="e">
        <f t="shared" ca="1" si="367"/>
        <v>#REF!</v>
      </c>
      <c r="AR89" s="7">
        <f t="shared" ca="1" si="277"/>
        <v>0</v>
      </c>
      <c r="AS89" s="120">
        <f t="shared" ca="1" si="278"/>
        <v>0</v>
      </c>
      <c r="AT89" s="8" t="e">
        <f t="shared" ca="1" si="368"/>
        <v>#REF!</v>
      </c>
    </row>
    <row r="90" spans="1:55" x14ac:dyDescent="0.3">
      <c r="A90" s="143" t="s">
        <v>724</v>
      </c>
      <c r="B90" s="149">
        <v>595891872</v>
      </c>
      <c r="C90" s="143" t="s">
        <v>941</v>
      </c>
      <c r="D90" s="145" t="str">
        <f t="shared" si="280"/>
        <v>DLA/CEI</v>
      </c>
      <c r="E90" s="149">
        <v>65316148</v>
      </c>
      <c r="F90" s="144" t="s">
        <v>945</v>
      </c>
      <c r="G90" s="149">
        <v>204687000</v>
      </c>
      <c r="I90" s="8">
        <v>0</v>
      </c>
      <c r="J90" s="8">
        <v>0</v>
      </c>
      <c r="K90" s="8">
        <v>0</v>
      </c>
      <c r="L90" s="53"/>
      <c r="M90" s="53"/>
      <c r="O90" s="140"/>
      <c r="P90" s="133">
        <f>SUMIFS(GestionLignesDemande!D$4:D$1000,GestionLignesDemande!$B$4:$B$1000,ROI_Avions!$A90,GestionLignesDemande!$C$4:$C$1000,ROI_Avions!$C90)</f>
        <v>0</v>
      </c>
      <c r="Q90" s="133">
        <f>SUMIFS(GestionLignesDemande!E$4:E$1000,GestionLignesDemande!$B$4:$B$1000,ROI_Avions!$A90,GestionLignesDemande!$C$4:$C$1000,ROI_Avions!$C90)</f>
        <v>0</v>
      </c>
      <c r="R90" s="133">
        <f>SUMIFS(GestionLignesDemande!F$4:F$1000,GestionLignesDemande!$B$4:$B$1000,ROI_Avions!$A90,GestionLignesDemande!$C$4:$C$1000,ROI_Avions!$C90)</f>
        <v>0</v>
      </c>
      <c r="S90" s="133">
        <f>SUMIFS(GestionLignesDemande!G$4:G$1000,GestionLignesDemande!$B$4:$B$1000,ROI_Avions!$A90,GestionLignesDemande!$C$4:$C$1000,ROI_Avions!$C90)</f>
        <v>0</v>
      </c>
      <c r="U90" s="8">
        <f t="shared" si="1"/>
        <v>420</v>
      </c>
      <c r="V90" s="8">
        <v>420</v>
      </c>
      <c r="W90" s="8">
        <v>0</v>
      </c>
      <c r="X90" s="8">
        <v>0</v>
      </c>
      <c r="Y90" s="8">
        <v>0</v>
      </c>
      <c r="Z90" s="121"/>
      <c r="AA90" s="132">
        <f t="shared" ref="AA90" si="385">AA89-V90*2</f>
        <v>-2466</v>
      </c>
      <c r="AB90" s="132">
        <f t="shared" ref="AB90" si="386">AB89-W90*2</f>
        <v>-44</v>
      </c>
      <c r="AC90" s="132">
        <f t="shared" ref="AC90" si="387">AC89-X90*2</f>
        <v>0</v>
      </c>
      <c r="AD90" s="132">
        <f t="shared" ref="AD90" si="388">AD89-Y90*2</f>
        <v>0</v>
      </c>
      <c r="AE90" s="121"/>
      <c r="AF90" s="26">
        <f>SUMIFS(DataPrixBillets!N$1:N$1000,DataPrixBillets!$J$1:$J$1000,ROI_Avions!$A90,DataPrixBillets!$K$1:$K$1000,ROI_Avions!$C90)</f>
        <v>0</v>
      </c>
      <c r="AG90" s="26">
        <f>SUMIFS(DataPrixBillets!O$1:O$1000,DataPrixBillets!$J$1:$J$1000,ROI_Avions!$A90,DataPrixBillets!$K$1:$K$1000,ROI_Avions!$C90)</f>
        <v>0</v>
      </c>
      <c r="AH90" s="26">
        <f>SUMIFS(DataPrixBillets!P$1:P$1000,DataPrixBillets!$J$1:$J$1000,ROI_Avions!$A90,DataPrixBillets!$K$1:$K$1000,ROI_Avions!$C90)</f>
        <v>0</v>
      </c>
      <c r="AI90" s="26">
        <f>SUMIFS(DataPrixBillets!Q$1:Q$1000,DataPrixBillets!$J$1:$J$1000,ROI_Avions!$A90,DataPrixBillets!$K$1:$K$1000,ROI_Avions!$C90)</f>
        <v>0</v>
      </c>
      <c r="AJ90" s="121"/>
      <c r="AK90" s="8">
        <f t="shared" ref="AK90:AK92" si="389">(((AF90*V90)*2+(AG90*W90)*2+(AH90*X90)*2+(AI90*Y90)*2)*7)</f>
        <v>0</v>
      </c>
      <c r="AL90" s="8" t="e">
        <f t="shared" ref="AL90:AL92" ca="1" si="390">AK90-AM90</f>
        <v>#REF!</v>
      </c>
      <c r="AM90" s="8" t="e">
        <f t="shared" ref="AM90:AM92" ca="1" si="391">AK90*$AM$2</f>
        <v>#REF!</v>
      </c>
      <c r="AN90" s="8" t="e">
        <f t="shared" ref="AN90:AN92" ca="1" si="392">AL90*$AN$2</f>
        <v>#REF!</v>
      </c>
      <c r="AO90" s="8" t="e">
        <f t="shared" ref="AO90:AO92" ca="1" si="393">(AL90-AN90-I90)*$AO$2</f>
        <v>#REF!</v>
      </c>
      <c r="AP90" s="8" t="e">
        <f t="shared" ref="AP90:AP92" ca="1" si="394">AL90-AN90-(I90/7)-(AO90/7)</f>
        <v>#REF!</v>
      </c>
      <c r="AQ90" s="8" t="e">
        <f t="shared" ref="AQ90:AQ92" ca="1" si="395">AP90/7</f>
        <v>#REF!</v>
      </c>
      <c r="AR90" s="7">
        <f t="shared" ca="1" si="277"/>
        <v>0</v>
      </c>
      <c r="AS90" s="120">
        <f t="shared" ca="1" si="278"/>
        <v>0</v>
      </c>
      <c r="AT90" s="8" t="e">
        <f t="shared" ref="AT90:AT92" ca="1" si="396">IF(K90&gt;=1,AP90*K90,AP90*$AT$1)</f>
        <v>#REF!</v>
      </c>
      <c r="AV90" s="185"/>
      <c r="AW90" s="185"/>
      <c r="AX90" s="185"/>
      <c r="AY90" s="185"/>
      <c r="BA90" s="185"/>
      <c r="BB90" s="185"/>
      <c r="BC90" s="185"/>
    </row>
    <row r="91" spans="1:55" x14ac:dyDescent="0.3">
      <c r="A91" s="143" t="s">
        <v>724</v>
      </c>
      <c r="B91" s="149">
        <v>595891872</v>
      </c>
      <c r="C91" s="143" t="s">
        <v>948</v>
      </c>
      <c r="D91" s="145" t="str">
        <f t="shared" si="280"/>
        <v>DLA/PTY</v>
      </c>
      <c r="E91" s="149">
        <v>76506846</v>
      </c>
      <c r="F91" s="144" t="s">
        <v>949</v>
      </c>
      <c r="G91" s="149">
        <v>362700000</v>
      </c>
      <c r="I91" s="8">
        <v>0</v>
      </c>
      <c r="J91" s="8">
        <v>0</v>
      </c>
      <c r="K91" s="8">
        <v>0</v>
      </c>
      <c r="L91" s="53"/>
      <c r="M91" s="53"/>
      <c r="O91" s="140"/>
      <c r="P91" s="133">
        <f>SUMIFS(GestionLignesDemande!D$4:D$1000,GestionLignesDemande!$B$4:$B$1000,ROI_Avions!$A91,GestionLignesDemande!$C$4:$C$1000,ROI_Avions!$C91)</f>
        <v>0</v>
      </c>
      <c r="Q91" s="133">
        <f>SUMIFS(GestionLignesDemande!E$4:E$1000,GestionLignesDemande!$B$4:$B$1000,ROI_Avions!$A91,GestionLignesDemande!$C$4:$C$1000,ROI_Avions!$C91)</f>
        <v>0</v>
      </c>
      <c r="R91" s="133">
        <f>SUMIFS(GestionLignesDemande!F$4:F$1000,GestionLignesDemande!$B$4:$B$1000,ROI_Avions!$A91,GestionLignesDemande!$C$4:$C$1000,ROI_Avions!$C91)</f>
        <v>0</v>
      </c>
      <c r="S91" s="133">
        <f>SUMIFS(GestionLignesDemande!G$4:G$1000,GestionLignesDemande!$B$4:$B$1000,ROI_Avions!$A91,GestionLignesDemande!$C$4:$C$1000,ROI_Avions!$C91)</f>
        <v>0</v>
      </c>
      <c r="U91" s="8">
        <f t="shared" si="1"/>
        <v>781</v>
      </c>
      <c r="V91" s="8">
        <v>728</v>
      </c>
      <c r="W91" s="8">
        <v>37</v>
      </c>
      <c r="X91" s="8">
        <v>5</v>
      </c>
      <c r="Y91" s="8">
        <v>11</v>
      </c>
      <c r="Z91" s="121"/>
      <c r="AA91" s="132">
        <f t="shared" ref="AA91" si="397">P91-(V91*2)</f>
        <v>-1456</v>
      </c>
      <c r="AB91" s="132">
        <f t="shared" ref="AB91" si="398">Q91-(W91*2)</f>
        <v>-74</v>
      </c>
      <c r="AC91" s="132">
        <f t="shared" ref="AC91" si="399">R91-(X91*2)</f>
        <v>-10</v>
      </c>
      <c r="AD91" s="132">
        <f t="shared" ref="AD91" si="400">S91-(Y91*2)</f>
        <v>-22</v>
      </c>
      <c r="AE91" s="121"/>
      <c r="AF91" s="26">
        <f>SUMIFS(DataPrixBillets!N$1:N$1000,DataPrixBillets!$J$1:$J$1000,ROI_Avions!$A91,DataPrixBillets!$K$1:$K$1000,ROI_Avions!$C91)</f>
        <v>0</v>
      </c>
      <c r="AG91" s="26">
        <f>SUMIFS(DataPrixBillets!O$1:O$1000,DataPrixBillets!$J$1:$J$1000,ROI_Avions!$A91,DataPrixBillets!$K$1:$K$1000,ROI_Avions!$C91)</f>
        <v>0</v>
      </c>
      <c r="AH91" s="26">
        <f>SUMIFS(DataPrixBillets!P$1:P$1000,DataPrixBillets!$J$1:$J$1000,ROI_Avions!$A91,DataPrixBillets!$K$1:$K$1000,ROI_Avions!$C91)</f>
        <v>0</v>
      </c>
      <c r="AI91" s="26">
        <f>SUMIFS(DataPrixBillets!Q$1:Q$1000,DataPrixBillets!$J$1:$J$1000,ROI_Avions!$A91,DataPrixBillets!$K$1:$K$1000,ROI_Avions!$C91)</f>
        <v>0</v>
      </c>
      <c r="AJ91" s="121"/>
      <c r="AK91" s="8">
        <f t="shared" si="389"/>
        <v>0</v>
      </c>
      <c r="AL91" s="8" t="e">
        <f t="shared" ca="1" si="390"/>
        <v>#REF!</v>
      </c>
      <c r="AM91" s="8" t="e">
        <f t="shared" ca="1" si="391"/>
        <v>#REF!</v>
      </c>
      <c r="AN91" s="8" t="e">
        <f t="shared" ca="1" si="392"/>
        <v>#REF!</v>
      </c>
      <c r="AO91" s="8" t="e">
        <f t="shared" ca="1" si="393"/>
        <v>#REF!</v>
      </c>
      <c r="AP91" s="8" t="e">
        <f t="shared" ca="1" si="394"/>
        <v>#REF!</v>
      </c>
      <c r="AQ91" s="8" t="e">
        <f t="shared" ca="1" si="395"/>
        <v>#REF!</v>
      </c>
      <c r="AR91" s="7">
        <f t="shared" ca="1" si="277"/>
        <v>0</v>
      </c>
      <c r="AS91" s="120">
        <f t="shared" ca="1" si="278"/>
        <v>0</v>
      </c>
      <c r="AT91" s="8" t="e">
        <f t="shared" ca="1" si="396"/>
        <v>#REF!</v>
      </c>
      <c r="AV91" s="185"/>
      <c r="AW91" s="185"/>
      <c r="AX91" s="185"/>
      <c r="AY91" s="185"/>
      <c r="BA91" s="185"/>
      <c r="BB91" s="185"/>
      <c r="BC91" s="185"/>
    </row>
    <row r="92" spans="1:55" x14ac:dyDescent="0.3">
      <c r="A92" s="143" t="s">
        <v>724</v>
      </c>
      <c r="B92" s="149">
        <v>595891872</v>
      </c>
      <c r="C92" s="143" t="s">
        <v>948</v>
      </c>
      <c r="D92" s="145" t="str">
        <f t="shared" si="280"/>
        <v>DLA/PTY</v>
      </c>
      <c r="E92" s="149">
        <v>76506846</v>
      </c>
      <c r="F92" s="144" t="s">
        <v>950</v>
      </c>
      <c r="G92" s="149">
        <v>362700000</v>
      </c>
      <c r="I92" s="8">
        <v>0</v>
      </c>
      <c r="J92" s="8">
        <v>0</v>
      </c>
      <c r="K92" s="8">
        <v>0</v>
      </c>
      <c r="L92" s="53"/>
      <c r="M92" s="53"/>
      <c r="O92" s="140"/>
      <c r="P92" s="133">
        <f>SUMIFS(GestionLignesDemande!D$4:D$1000,GestionLignesDemande!$B$4:$B$1000,ROI_Avions!$A92,GestionLignesDemande!$C$4:$C$1000,ROI_Avions!$C92)</f>
        <v>0</v>
      </c>
      <c r="Q92" s="133">
        <f>SUMIFS(GestionLignesDemande!E$4:E$1000,GestionLignesDemande!$B$4:$B$1000,ROI_Avions!$A92,GestionLignesDemande!$C$4:$C$1000,ROI_Avions!$C92)</f>
        <v>0</v>
      </c>
      <c r="R92" s="133">
        <f>SUMIFS(GestionLignesDemande!F$4:F$1000,GestionLignesDemande!$B$4:$B$1000,ROI_Avions!$A92,GestionLignesDemande!$C$4:$C$1000,ROI_Avions!$C92)</f>
        <v>0</v>
      </c>
      <c r="S92" s="133">
        <f>SUMIFS(GestionLignesDemande!G$4:G$1000,GestionLignesDemande!$B$4:$B$1000,ROI_Avions!$A92,GestionLignesDemande!$C$4:$C$1000,ROI_Avions!$C92)</f>
        <v>0</v>
      </c>
      <c r="U92" s="8">
        <f t="shared" si="1"/>
        <v>781</v>
      </c>
      <c r="V92" s="8">
        <v>728</v>
      </c>
      <c r="W92" s="8">
        <v>37</v>
      </c>
      <c r="X92" s="8">
        <v>5</v>
      </c>
      <c r="Y92" s="8">
        <v>11</v>
      </c>
      <c r="Z92" s="121"/>
      <c r="AA92" s="132">
        <f t="shared" ref="AA92" si="401">AA91-V92*2</f>
        <v>-2912</v>
      </c>
      <c r="AB92" s="132">
        <f t="shared" ref="AB92" si="402">AB91-W92*2</f>
        <v>-148</v>
      </c>
      <c r="AC92" s="132">
        <f t="shared" ref="AC92" si="403">AC91-X92*2</f>
        <v>-20</v>
      </c>
      <c r="AD92" s="132">
        <f t="shared" ref="AD92" si="404">AD91-Y92*2</f>
        <v>-44</v>
      </c>
      <c r="AE92" s="121"/>
      <c r="AF92" s="26">
        <f>SUMIFS(DataPrixBillets!N$1:N$1000,DataPrixBillets!$J$1:$J$1000,ROI_Avions!$A92,DataPrixBillets!$K$1:$K$1000,ROI_Avions!$C92)</f>
        <v>0</v>
      </c>
      <c r="AG92" s="26">
        <f>SUMIFS(DataPrixBillets!O$1:O$1000,DataPrixBillets!$J$1:$J$1000,ROI_Avions!$A92,DataPrixBillets!$K$1:$K$1000,ROI_Avions!$C92)</f>
        <v>0</v>
      </c>
      <c r="AH92" s="26">
        <f>SUMIFS(DataPrixBillets!P$1:P$1000,DataPrixBillets!$J$1:$J$1000,ROI_Avions!$A92,DataPrixBillets!$K$1:$K$1000,ROI_Avions!$C92)</f>
        <v>0</v>
      </c>
      <c r="AI92" s="26">
        <f>SUMIFS(DataPrixBillets!Q$1:Q$1000,DataPrixBillets!$J$1:$J$1000,ROI_Avions!$A92,DataPrixBillets!$K$1:$K$1000,ROI_Avions!$C92)</f>
        <v>0</v>
      </c>
      <c r="AJ92" s="121"/>
      <c r="AK92" s="8">
        <f t="shared" si="389"/>
        <v>0</v>
      </c>
      <c r="AL92" s="8" t="e">
        <f t="shared" ca="1" si="390"/>
        <v>#REF!</v>
      </c>
      <c r="AM92" s="8" t="e">
        <f t="shared" ca="1" si="391"/>
        <v>#REF!</v>
      </c>
      <c r="AN92" s="8" t="e">
        <f t="shared" ca="1" si="392"/>
        <v>#REF!</v>
      </c>
      <c r="AO92" s="8" t="e">
        <f t="shared" ca="1" si="393"/>
        <v>#REF!</v>
      </c>
      <c r="AP92" s="8" t="e">
        <f t="shared" ca="1" si="394"/>
        <v>#REF!</v>
      </c>
      <c r="AQ92" s="8" t="e">
        <f t="shared" ca="1" si="395"/>
        <v>#REF!</v>
      </c>
      <c r="AR92" s="7">
        <f t="shared" ca="1" si="277"/>
        <v>0</v>
      </c>
      <c r="AS92" s="120">
        <f t="shared" ca="1" si="278"/>
        <v>0</v>
      </c>
      <c r="AT92" s="8" t="e">
        <f t="shared" ca="1" si="396"/>
        <v>#REF!</v>
      </c>
      <c r="AV92" s="185"/>
      <c r="AW92" s="185"/>
      <c r="AX92" s="185"/>
      <c r="AY92" s="185"/>
      <c r="BA92" s="185"/>
      <c r="BB92" s="185"/>
      <c r="BC92" s="185"/>
    </row>
    <row r="93" spans="1:55" x14ac:dyDescent="0.3">
      <c r="A93" s="143" t="s">
        <v>724</v>
      </c>
      <c r="B93" s="149">
        <v>595891872</v>
      </c>
      <c r="C93" s="143" t="s">
        <v>952</v>
      </c>
      <c r="D93" s="145" t="str">
        <f t="shared" si="280"/>
        <v>DLA/MCO</v>
      </c>
      <c r="E93" s="149">
        <v>89447188</v>
      </c>
      <c r="F93" s="144" t="s">
        <v>953</v>
      </c>
      <c r="G93" s="149">
        <v>362700000</v>
      </c>
      <c r="I93" s="8">
        <v>0</v>
      </c>
      <c r="J93" s="8">
        <v>0</v>
      </c>
      <c r="K93" s="8">
        <v>0</v>
      </c>
      <c r="L93" s="53"/>
      <c r="M93" s="53"/>
      <c r="O93" s="140"/>
      <c r="P93" s="133">
        <f>SUMIFS(GestionLignesDemande!D$4:D$1000,GestionLignesDemande!$B$4:$B$1000,ROI_Avions!$A93,GestionLignesDemande!$C$4:$C$1000,ROI_Avions!$C93)</f>
        <v>0</v>
      </c>
      <c r="Q93" s="133">
        <f>SUMIFS(GestionLignesDemande!E$4:E$1000,GestionLignesDemande!$B$4:$B$1000,ROI_Avions!$A93,GestionLignesDemande!$C$4:$C$1000,ROI_Avions!$C93)</f>
        <v>0</v>
      </c>
      <c r="R93" s="133">
        <f>SUMIFS(GestionLignesDemande!F$4:F$1000,GestionLignesDemande!$B$4:$B$1000,ROI_Avions!$A93,GestionLignesDemande!$C$4:$C$1000,ROI_Avions!$C93)</f>
        <v>0</v>
      </c>
      <c r="S93" s="133">
        <f>SUMIFS(GestionLignesDemande!G$4:G$1000,GestionLignesDemande!$B$4:$B$1000,ROI_Avions!$A93,GestionLignesDemande!$C$4:$C$1000,ROI_Avions!$C93)</f>
        <v>0</v>
      </c>
      <c r="U93" s="8">
        <f t="shared" si="1"/>
        <v>730</v>
      </c>
      <c r="V93" s="8">
        <v>625</v>
      </c>
      <c r="W93" s="8">
        <v>75</v>
      </c>
      <c r="X93" s="8">
        <v>15</v>
      </c>
      <c r="Y93" s="8">
        <v>15</v>
      </c>
      <c r="Z93" s="121"/>
      <c r="AA93" s="132">
        <f t="shared" ref="AA93" si="405">P93-(V93*2)</f>
        <v>-1250</v>
      </c>
      <c r="AB93" s="132">
        <f t="shared" ref="AB93" si="406">Q93-(W93*2)</f>
        <v>-150</v>
      </c>
      <c r="AC93" s="132">
        <f t="shared" ref="AC93" si="407">R93-(X93*2)</f>
        <v>-30</v>
      </c>
      <c r="AD93" s="132">
        <f t="shared" ref="AD93" si="408">S93-(Y93*2)</f>
        <v>-30</v>
      </c>
      <c r="AE93" s="121"/>
      <c r="AF93" s="26">
        <f>SUMIFS(DataPrixBillets!N$1:N$1000,DataPrixBillets!$J$1:$J$1000,ROI_Avions!$A93,DataPrixBillets!$K$1:$K$1000,ROI_Avions!$C93)</f>
        <v>0</v>
      </c>
      <c r="AG93" s="26">
        <f>SUMIFS(DataPrixBillets!O$1:O$1000,DataPrixBillets!$J$1:$J$1000,ROI_Avions!$A93,DataPrixBillets!$K$1:$K$1000,ROI_Avions!$C93)</f>
        <v>0</v>
      </c>
      <c r="AH93" s="26">
        <f>SUMIFS(DataPrixBillets!P$1:P$1000,DataPrixBillets!$J$1:$J$1000,ROI_Avions!$A93,DataPrixBillets!$K$1:$K$1000,ROI_Avions!$C93)</f>
        <v>0</v>
      </c>
      <c r="AI93" s="26">
        <f>SUMIFS(DataPrixBillets!Q$1:Q$1000,DataPrixBillets!$J$1:$J$1000,ROI_Avions!$A93,DataPrixBillets!$K$1:$K$1000,ROI_Avions!$C93)</f>
        <v>0</v>
      </c>
      <c r="AJ93" s="121"/>
      <c r="AK93" s="8">
        <f t="shared" ref="AK93:AK94" si="409">(((AF93*V93)*2+(AG93*W93)*2+(AH93*X93)*2+(AI93*Y93)*2)*7)</f>
        <v>0</v>
      </c>
      <c r="AL93" s="8" t="e">
        <f t="shared" ref="AL93:AL94" ca="1" si="410">AK93-AM93</f>
        <v>#REF!</v>
      </c>
      <c r="AM93" s="8" t="e">
        <f t="shared" ref="AM93:AM94" ca="1" si="411">AK93*$AM$2</f>
        <v>#REF!</v>
      </c>
      <c r="AN93" s="8" t="e">
        <f t="shared" ref="AN93:AN94" ca="1" si="412">AL93*$AN$2</f>
        <v>#REF!</v>
      </c>
      <c r="AO93" s="8" t="e">
        <f t="shared" ref="AO93:AO94" ca="1" si="413">(AL93-AN93-I93)*$AO$2</f>
        <v>#REF!</v>
      </c>
      <c r="AP93" s="8" t="e">
        <f t="shared" ref="AP93:AP94" ca="1" si="414">AL93-AN93-(I93/7)-(AO93/7)</f>
        <v>#REF!</v>
      </c>
      <c r="AQ93" s="8" t="e">
        <f t="shared" ref="AQ93:AQ94" ca="1" si="415">AP93/7</f>
        <v>#REF!</v>
      </c>
      <c r="AR93" s="7">
        <f t="shared" ca="1" si="277"/>
        <v>0</v>
      </c>
      <c r="AS93" s="120">
        <f t="shared" ca="1" si="278"/>
        <v>0</v>
      </c>
      <c r="AT93" s="8" t="e">
        <f t="shared" ref="AT93:AT94" ca="1" si="416">IF(K93&gt;=1,AP93*K93,AP93*$AT$1)</f>
        <v>#REF!</v>
      </c>
      <c r="AV93" s="185"/>
      <c r="AW93" s="185"/>
      <c r="AX93" s="185"/>
      <c r="AY93" s="185"/>
    </row>
    <row r="94" spans="1:55" x14ac:dyDescent="0.3">
      <c r="A94" s="143" t="s">
        <v>724</v>
      </c>
      <c r="B94" s="149">
        <v>595891872</v>
      </c>
      <c r="C94" s="143" t="s">
        <v>952</v>
      </c>
      <c r="D94" s="145" t="str">
        <f t="shared" si="280"/>
        <v>DLA/MCO</v>
      </c>
      <c r="E94" s="149">
        <v>89447188</v>
      </c>
      <c r="F94" s="144" t="s">
        <v>954</v>
      </c>
      <c r="G94" s="149">
        <v>362700000</v>
      </c>
      <c r="I94" s="8">
        <v>0</v>
      </c>
      <c r="J94" s="8">
        <v>0</v>
      </c>
      <c r="K94" s="8">
        <v>0</v>
      </c>
      <c r="L94" s="53"/>
      <c r="M94" s="53"/>
      <c r="O94" s="140"/>
      <c r="P94" s="133">
        <f>SUMIFS(GestionLignesDemande!D$4:D$1000,GestionLignesDemande!$B$4:$B$1000,ROI_Avions!$A94,GestionLignesDemande!$C$4:$C$1000,ROI_Avions!$C94)</f>
        <v>0</v>
      </c>
      <c r="Q94" s="133">
        <f>SUMIFS(GestionLignesDemande!E$4:E$1000,GestionLignesDemande!$B$4:$B$1000,ROI_Avions!$A94,GestionLignesDemande!$C$4:$C$1000,ROI_Avions!$C94)</f>
        <v>0</v>
      </c>
      <c r="R94" s="133">
        <f>SUMIFS(GestionLignesDemande!F$4:F$1000,GestionLignesDemande!$B$4:$B$1000,ROI_Avions!$A94,GestionLignesDemande!$C$4:$C$1000,ROI_Avions!$C94)</f>
        <v>0</v>
      </c>
      <c r="S94" s="133">
        <f>SUMIFS(GestionLignesDemande!G$4:G$1000,GestionLignesDemande!$B$4:$B$1000,ROI_Avions!$A94,GestionLignesDemande!$C$4:$C$1000,ROI_Avions!$C94)</f>
        <v>0</v>
      </c>
      <c r="U94" s="8">
        <f t="shared" si="1"/>
        <v>730</v>
      </c>
      <c r="V94" s="8">
        <v>625</v>
      </c>
      <c r="W94" s="8">
        <v>75</v>
      </c>
      <c r="X94" s="8">
        <v>15</v>
      </c>
      <c r="Y94" s="8">
        <v>15</v>
      </c>
      <c r="Z94" s="121"/>
      <c r="AA94" s="132">
        <f t="shared" ref="AA94" si="417">AA93-V94*2</f>
        <v>-2500</v>
      </c>
      <c r="AB94" s="132">
        <f t="shared" ref="AB94" si="418">AB93-W94*2</f>
        <v>-300</v>
      </c>
      <c r="AC94" s="132">
        <f t="shared" ref="AC94" si="419">AC93-X94*2</f>
        <v>-60</v>
      </c>
      <c r="AD94" s="132">
        <f t="shared" ref="AD94" si="420">AD93-Y94*2</f>
        <v>-60</v>
      </c>
      <c r="AE94" s="121"/>
      <c r="AF94" s="26">
        <f>SUMIFS(DataPrixBillets!N$1:N$1000,DataPrixBillets!$J$1:$J$1000,ROI_Avions!$A94,DataPrixBillets!$K$1:$K$1000,ROI_Avions!$C94)</f>
        <v>0</v>
      </c>
      <c r="AG94" s="26">
        <f>SUMIFS(DataPrixBillets!O$1:O$1000,DataPrixBillets!$J$1:$J$1000,ROI_Avions!$A94,DataPrixBillets!$K$1:$K$1000,ROI_Avions!$C94)</f>
        <v>0</v>
      </c>
      <c r="AH94" s="26">
        <f>SUMIFS(DataPrixBillets!P$1:P$1000,DataPrixBillets!$J$1:$J$1000,ROI_Avions!$A94,DataPrixBillets!$K$1:$K$1000,ROI_Avions!$C94)</f>
        <v>0</v>
      </c>
      <c r="AI94" s="26">
        <f>SUMIFS(DataPrixBillets!Q$1:Q$1000,DataPrixBillets!$J$1:$J$1000,ROI_Avions!$A94,DataPrixBillets!$K$1:$K$1000,ROI_Avions!$C94)</f>
        <v>0</v>
      </c>
      <c r="AJ94" s="121"/>
      <c r="AK94" s="8">
        <f t="shared" si="409"/>
        <v>0</v>
      </c>
      <c r="AL94" s="8" t="e">
        <f t="shared" ca="1" si="410"/>
        <v>#REF!</v>
      </c>
      <c r="AM94" s="8" t="e">
        <f t="shared" ca="1" si="411"/>
        <v>#REF!</v>
      </c>
      <c r="AN94" s="8" t="e">
        <f t="shared" ca="1" si="412"/>
        <v>#REF!</v>
      </c>
      <c r="AO94" s="8" t="e">
        <f t="shared" ca="1" si="413"/>
        <v>#REF!</v>
      </c>
      <c r="AP94" s="8" t="e">
        <f t="shared" ca="1" si="414"/>
        <v>#REF!</v>
      </c>
      <c r="AQ94" s="8" t="e">
        <f t="shared" ca="1" si="415"/>
        <v>#REF!</v>
      </c>
      <c r="AR94" s="7">
        <f t="shared" ca="1" si="277"/>
        <v>0</v>
      </c>
      <c r="AS94" s="120">
        <f t="shared" ca="1" si="278"/>
        <v>0</v>
      </c>
      <c r="AT94" s="8" t="e">
        <f t="shared" ca="1" si="416"/>
        <v>#REF!</v>
      </c>
    </row>
    <row r="95" spans="1:55" x14ac:dyDescent="0.3">
      <c r="A95" s="143" t="s">
        <v>724</v>
      </c>
      <c r="B95" s="149">
        <v>595891872</v>
      </c>
      <c r="C95" s="143" t="s">
        <v>952</v>
      </c>
      <c r="D95" s="145" t="str">
        <f t="shared" si="280"/>
        <v>DLA/MCO</v>
      </c>
      <c r="E95" s="149">
        <v>104639084</v>
      </c>
      <c r="F95" s="144" t="s">
        <v>955</v>
      </c>
      <c r="G95" s="149">
        <v>362700000</v>
      </c>
      <c r="I95" s="8">
        <v>0</v>
      </c>
      <c r="J95" s="8">
        <v>0</v>
      </c>
      <c r="K95" s="8">
        <v>0</v>
      </c>
      <c r="L95" s="53"/>
      <c r="M95" s="53"/>
      <c r="O95" s="140"/>
      <c r="P95" s="133">
        <f>SUMIFS(GestionLignesDemande!D$4:D$1000,GestionLignesDemande!$B$4:$B$1000,ROI_Avions!$A95,GestionLignesDemande!$C$4:$C$1000,ROI_Avions!$C95)</f>
        <v>0</v>
      </c>
      <c r="Q95" s="133">
        <f>SUMIFS(GestionLignesDemande!E$4:E$1000,GestionLignesDemande!$B$4:$B$1000,ROI_Avions!$A95,GestionLignesDemande!$C$4:$C$1000,ROI_Avions!$C95)</f>
        <v>0</v>
      </c>
      <c r="R95" s="133">
        <f>SUMIFS(GestionLignesDemande!F$4:F$1000,GestionLignesDemande!$B$4:$B$1000,ROI_Avions!$A95,GestionLignesDemande!$C$4:$C$1000,ROI_Avions!$C95)</f>
        <v>0</v>
      </c>
      <c r="S95" s="133">
        <f>SUMIFS(GestionLignesDemande!G$4:G$1000,GestionLignesDemande!$B$4:$B$1000,ROI_Avions!$A95,GestionLignesDemande!$C$4:$C$1000,ROI_Avions!$C95)</f>
        <v>0</v>
      </c>
      <c r="U95" s="8">
        <f t="shared" ref="U95:U96" si="421">SUM(V95:Y95)</f>
        <v>730</v>
      </c>
      <c r="V95" s="8">
        <v>625</v>
      </c>
      <c r="W95" s="8">
        <v>75</v>
      </c>
      <c r="X95" s="8">
        <v>15</v>
      </c>
      <c r="Y95" s="8">
        <v>15</v>
      </c>
      <c r="Z95" s="121"/>
      <c r="AA95" s="132">
        <f t="shared" ref="AA95" si="422">P95-(V95*2)</f>
        <v>-1250</v>
      </c>
      <c r="AB95" s="132">
        <f t="shared" ref="AB95" si="423">Q95-(W95*2)</f>
        <v>-150</v>
      </c>
      <c r="AC95" s="132">
        <f t="shared" ref="AC95" si="424">R95-(X95*2)</f>
        <v>-30</v>
      </c>
      <c r="AD95" s="132">
        <f t="shared" ref="AD95" si="425">S95-(Y95*2)</f>
        <v>-30</v>
      </c>
      <c r="AE95" s="121"/>
      <c r="AF95" s="26">
        <f>SUMIFS(DataPrixBillets!N$1:N$1000,DataPrixBillets!$J$1:$J$1000,ROI_Avions!$A95,DataPrixBillets!$K$1:$K$1000,ROI_Avions!$C95)</f>
        <v>0</v>
      </c>
      <c r="AG95" s="26">
        <f>SUMIFS(DataPrixBillets!O$1:O$1000,DataPrixBillets!$J$1:$J$1000,ROI_Avions!$A95,DataPrixBillets!$K$1:$K$1000,ROI_Avions!$C95)</f>
        <v>0</v>
      </c>
      <c r="AH95" s="26">
        <f>SUMIFS(DataPrixBillets!P$1:P$1000,DataPrixBillets!$J$1:$J$1000,ROI_Avions!$A95,DataPrixBillets!$K$1:$K$1000,ROI_Avions!$C95)</f>
        <v>0</v>
      </c>
      <c r="AI95" s="26">
        <f>SUMIFS(DataPrixBillets!Q$1:Q$1000,DataPrixBillets!$J$1:$J$1000,ROI_Avions!$A95,DataPrixBillets!$K$1:$K$1000,ROI_Avions!$C95)</f>
        <v>0</v>
      </c>
      <c r="AJ95" s="121"/>
      <c r="AK95" s="8">
        <f t="shared" ref="AK95:AK96" si="426">(((AF95*V95)*2+(AG95*W95)*2+(AH95*X95)*2+(AI95*Y95)*2)*7)</f>
        <v>0</v>
      </c>
      <c r="AL95" s="8" t="e">
        <f t="shared" ref="AL95:AL96" ca="1" si="427">AK95-AM95</f>
        <v>#REF!</v>
      </c>
      <c r="AM95" s="8" t="e">
        <f t="shared" ref="AM95:AM96" ca="1" si="428">AK95*$AM$2</f>
        <v>#REF!</v>
      </c>
      <c r="AN95" s="8" t="e">
        <f t="shared" ref="AN95:AN96" ca="1" si="429">AL95*$AN$2</f>
        <v>#REF!</v>
      </c>
      <c r="AO95" s="8" t="e">
        <f t="shared" ref="AO95:AO96" ca="1" si="430">(AL95-AN95-I95)*$AO$2</f>
        <v>#REF!</v>
      </c>
      <c r="AP95" s="8" t="e">
        <f t="shared" ref="AP95:AP96" ca="1" si="431">AL95-AN95-(I95/7)-(AO95/7)</f>
        <v>#REF!</v>
      </c>
      <c r="AQ95" s="8" t="e">
        <f t="shared" ref="AQ95:AQ96" ca="1" si="432">AP95/7</f>
        <v>#REF!</v>
      </c>
      <c r="AR95" s="7">
        <f t="shared" ca="1" si="277"/>
        <v>0</v>
      </c>
      <c r="AS95" s="120">
        <f t="shared" ca="1" si="278"/>
        <v>0</v>
      </c>
      <c r="AT95" s="8" t="e">
        <f t="shared" ref="AT95:AT96" ca="1" si="433">IF(K95&gt;=1,AP95*K95,AP95*$AT$1)</f>
        <v>#REF!</v>
      </c>
    </row>
    <row r="96" spans="1:55" x14ac:dyDescent="0.3">
      <c r="A96" s="143" t="s">
        <v>724</v>
      </c>
      <c r="B96" s="149">
        <v>595891872</v>
      </c>
      <c r="C96" s="143" t="s">
        <v>952</v>
      </c>
      <c r="D96" s="145" t="str">
        <f t="shared" si="280"/>
        <v>DLA/MCO</v>
      </c>
      <c r="E96" s="149">
        <v>104639084</v>
      </c>
      <c r="F96" s="144" t="s">
        <v>956</v>
      </c>
      <c r="G96" s="149">
        <v>362700000</v>
      </c>
      <c r="I96" s="8">
        <v>0</v>
      </c>
      <c r="J96" s="8">
        <v>0</v>
      </c>
      <c r="K96" s="8">
        <v>0</v>
      </c>
      <c r="L96" s="53"/>
      <c r="M96" s="53"/>
      <c r="O96" s="140"/>
      <c r="P96" s="133">
        <f>SUMIFS(GestionLignesDemande!D$4:D$1000,GestionLignesDemande!$B$4:$B$1000,ROI_Avions!$A96,GestionLignesDemande!$C$4:$C$1000,ROI_Avions!$C96)</f>
        <v>0</v>
      </c>
      <c r="Q96" s="133">
        <f>SUMIFS(GestionLignesDemande!E$4:E$1000,GestionLignesDemande!$B$4:$B$1000,ROI_Avions!$A96,GestionLignesDemande!$C$4:$C$1000,ROI_Avions!$C96)</f>
        <v>0</v>
      </c>
      <c r="R96" s="133">
        <f>SUMIFS(GestionLignesDemande!F$4:F$1000,GestionLignesDemande!$B$4:$B$1000,ROI_Avions!$A96,GestionLignesDemande!$C$4:$C$1000,ROI_Avions!$C96)</f>
        <v>0</v>
      </c>
      <c r="S96" s="133">
        <f>SUMIFS(GestionLignesDemande!G$4:G$1000,GestionLignesDemande!$B$4:$B$1000,ROI_Avions!$A96,GestionLignesDemande!$C$4:$C$1000,ROI_Avions!$C96)</f>
        <v>0</v>
      </c>
      <c r="U96" s="8">
        <f t="shared" si="421"/>
        <v>730</v>
      </c>
      <c r="V96" s="8">
        <v>625</v>
      </c>
      <c r="W96" s="8">
        <v>75</v>
      </c>
      <c r="X96" s="8">
        <v>15</v>
      </c>
      <c r="Y96" s="8">
        <v>15</v>
      </c>
      <c r="Z96" s="121"/>
      <c r="AA96" s="132">
        <f t="shared" ref="AA96" si="434">AA95-V96*2</f>
        <v>-2500</v>
      </c>
      <c r="AB96" s="132">
        <f t="shared" ref="AB96" si="435">AB95-W96*2</f>
        <v>-300</v>
      </c>
      <c r="AC96" s="132">
        <f t="shared" ref="AC96" si="436">AC95-X96*2</f>
        <v>-60</v>
      </c>
      <c r="AD96" s="132">
        <f t="shared" ref="AD96" si="437">AD95-Y96*2</f>
        <v>-60</v>
      </c>
      <c r="AE96" s="121"/>
      <c r="AF96" s="26">
        <f>SUMIFS(DataPrixBillets!N$1:N$1000,DataPrixBillets!$J$1:$J$1000,ROI_Avions!$A96,DataPrixBillets!$K$1:$K$1000,ROI_Avions!$C96)</f>
        <v>0</v>
      </c>
      <c r="AG96" s="26">
        <f>SUMIFS(DataPrixBillets!O$1:O$1000,DataPrixBillets!$J$1:$J$1000,ROI_Avions!$A96,DataPrixBillets!$K$1:$K$1000,ROI_Avions!$C96)</f>
        <v>0</v>
      </c>
      <c r="AH96" s="26">
        <f>SUMIFS(DataPrixBillets!P$1:P$1000,DataPrixBillets!$J$1:$J$1000,ROI_Avions!$A96,DataPrixBillets!$K$1:$K$1000,ROI_Avions!$C96)</f>
        <v>0</v>
      </c>
      <c r="AI96" s="26">
        <f>SUMIFS(DataPrixBillets!Q$1:Q$1000,DataPrixBillets!$J$1:$J$1000,ROI_Avions!$A96,DataPrixBillets!$K$1:$K$1000,ROI_Avions!$C96)</f>
        <v>0</v>
      </c>
      <c r="AJ96" s="121"/>
      <c r="AK96" s="8">
        <f t="shared" si="426"/>
        <v>0</v>
      </c>
      <c r="AL96" s="8" t="e">
        <f t="shared" ca="1" si="427"/>
        <v>#REF!</v>
      </c>
      <c r="AM96" s="8" t="e">
        <f t="shared" ca="1" si="428"/>
        <v>#REF!</v>
      </c>
      <c r="AN96" s="8" t="e">
        <f t="shared" ca="1" si="429"/>
        <v>#REF!</v>
      </c>
      <c r="AO96" s="8" t="e">
        <f t="shared" ca="1" si="430"/>
        <v>#REF!</v>
      </c>
      <c r="AP96" s="8" t="e">
        <f t="shared" ca="1" si="431"/>
        <v>#REF!</v>
      </c>
      <c r="AQ96" s="8" t="e">
        <f t="shared" ca="1" si="432"/>
        <v>#REF!</v>
      </c>
      <c r="AR96" s="7">
        <f t="shared" ca="1" si="277"/>
        <v>0</v>
      </c>
      <c r="AS96" s="120">
        <f t="shared" ca="1" si="278"/>
        <v>0</v>
      </c>
      <c r="AT96" s="8" t="e">
        <f t="shared" ca="1" si="433"/>
        <v>#REF!</v>
      </c>
    </row>
    <row r="97" spans="1:55" x14ac:dyDescent="0.3">
      <c r="A97" s="143" t="s">
        <v>724</v>
      </c>
      <c r="B97" s="149">
        <v>595891872</v>
      </c>
      <c r="C97" s="143" t="s">
        <v>957</v>
      </c>
      <c r="D97" s="145" t="str">
        <f t="shared" si="280"/>
        <v>DLA/CLT</v>
      </c>
      <c r="E97" s="149">
        <v>143723421</v>
      </c>
      <c r="F97" s="144" t="s">
        <v>959</v>
      </c>
      <c r="G97" s="149">
        <v>362700000</v>
      </c>
      <c r="I97" s="8">
        <v>0</v>
      </c>
      <c r="J97" s="8">
        <v>0</v>
      </c>
      <c r="K97" s="8">
        <v>0</v>
      </c>
      <c r="L97" s="53"/>
      <c r="M97" s="53"/>
      <c r="O97" s="140"/>
      <c r="P97" s="133">
        <f>SUMIFS(GestionLignesDemande!D$4:D$1000,GestionLignesDemande!$B$4:$B$1000,ROI_Avions!$A97,GestionLignesDemande!$C$4:$C$1000,ROI_Avions!$C97)</f>
        <v>0</v>
      </c>
      <c r="Q97" s="133">
        <f>SUMIFS(GestionLignesDemande!E$4:E$1000,GestionLignesDemande!$B$4:$B$1000,ROI_Avions!$A97,GestionLignesDemande!$C$4:$C$1000,ROI_Avions!$C97)</f>
        <v>0</v>
      </c>
      <c r="R97" s="133">
        <f>SUMIFS(GestionLignesDemande!F$4:F$1000,GestionLignesDemande!$B$4:$B$1000,ROI_Avions!$A97,GestionLignesDemande!$C$4:$C$1000,ROI_Avions!$C97)</f>
        <v>0</v>
      </c>
      <c r="S97" s="133">
        <f>SUMIFS(GestionLignesDemande!G$4:G$1000,GestionLignesDemande!$B$4:$B$1000,ROI_Avions!$A97,GestionLignesDemande!$C$4:$C$1000,ROI_Avions!$C97)</f>
        <v>0</v>
      </c>
      <c r="U97" s="8">
        <f t="shared" ref="U97:U98" si="438">SUM(V97:Y97)</f>
        <v>750</v>
      </c>
      <c r="V97" s="8">
        <v>655</v>
      </c>
      <c r="W97" s="8">
        <v>75</v>
      </c>
      <c r="X97" s="8">
        <v>15</v>
      </c>
      <c r="Y97" s="8">
        <v>5</v>
      </c>
      <c r="Z97" s="121"/>
      <c r="AA97" s="132">
        <f t="shared" ref="AA97" si="439">P97-(V97*2)</f>
        <v>-1310</v>
      </c>
      <c r="AB97" s="132">
        <f t="shared" ref="AB97" si="440">Q97-(W97*2)</f>
        <v>-150</v>
      </c>
      <c r="AC97" s="132">
        <f t="shared" ref="AC97" si="441">R97-(X97*2)</f>
        <v>-30</v>
      </c>
      <c r="AD97" s="132">
        <f t="shared" ref="AD97" si="442">S97-(Y97*2)</f>
        <v>-10</v>
      </c>
      <c r="AE97" s="121"/>
      <c r="AF97" s="26">
        <f>SUMIFS(DataPrixBillets!N$1:N$1000,DataPrixBillets!$J$1:$J$1000,ROI_Avions!$A97,DataPrixBillets!$K$1:$K$1000,ROI_Avions!$C97)</f>
        <v>0</v>
      </c>
      <c r="AG97" s="26">
        <f>SUMIFS(DataPrixBillets!O$1:O$1000,DataPrixBillets!$J$1:$J$1000,ROI_Avions!$A97,DataPrixBillets!$K$1:$K$1000,ROI_Avions!$C97)</f>
        <v>0</v>
      </c>
      <c r="AH97" s="26">
        <f>SUMIFS(DataPrixBillets!P$1:P$1000,DataPrixBillets!$J$1:$J$1000,ROI_Avions!$A97,DataPrixBillets!$K$1:$K$1000,ROI_Avions!$C97)</f>
        <v>0</v>
      </c>
      <c r="AI97" s="26">
        <f>SUMIFS(DataPrixBillets!Q$1:Q$1000,DataPrixBillets!$J$1:$J$1000,ROI_Avions!$A97,DataPrixBillets!$K$1:$K$1000,ROI_Avions!$C97)</f>
        <v>0</v>
      </c>
      <c r="AJ97" s="121"/>
      <c r="AK97" s="8">
        <f t="shared" ref="AK97:AK100" si="443">(((AF97*V97)*2+(AG97*W97)*2+(AH97*X97)*2+(AI97*Y97)*2)*7)</f>
        <v>0</v>
      </c>
      <c r="AL97" s="8" t="e">
        <f t="shared" ref="AL97:AL100" ca="1" si="444">AK97-AM97</f>
        <v>#REF!</v>
      </c>
      <c r="AM97" s="8" t="e">
        <f t="shared" ref="AM97:AM100" ca="1" si="445">AK97*$AM$2</f>
        <v>#REF!</v>
      </c>
      <c r="AN97" s="8" t="e">
        <f t="shared" ref="AN97:AN100" ca="1" si="446">AL97*$AN$2</f>
        <v>#REF!</v>
      </c>
      <c r="AO97" s="8" t="e">
        <f t="shared" ref="AO97:AO100" ca="1" si="447">(AL97-AN97-I97)*$AO$2</f>
        <v>#REF!</v>
      </c>
      <c r="AP97" s="8" t="e">
        <f t="shared" ref="AP97:AP100" ca="1" si="448">AL97-AN97-(I97/7)-(AO97/7)</f>
        <v>#REF!</v>
      </c>
      <c r="AQ97" s="8" t="e">
        <f t="shared" ref="AQ97:AQ100" ca="1" si="449">AP97/7</f>
        <v>#REF!</v>
      </c>
      <c r="AR97" s="7">
        <f t="shared" ca="1" si="277"/>
        <v>0</v>
      </c>
      <c r="AS97" s="120">
        <f t="shared" ca="1" si="278"/>
        <v>0</v>
      </c>
      <c r="AT97" s="8" t="e">
        <f t="shared" ref="AT97:AT100" ca="1" si="450">IF(K97&gt;=1,AP97*K97,AP97*$AT$1)</f>
        <v>#REF!</v>
      </c>
    </row>
    <row r="98" spans="1:55" x14ac:dyDescent="0.3">
      <c r="A98" s="143" t="s">
        <v>724</v>
      </c>
      <c r="B98" s="149">
        <v>595891872</v>
      </c>
      <c r="C98" s="143" t="s">
        <v>957</v>
      </c>
      <c r="D98" s="145" t="str">
        <f t="shared" si="280"/>
        <v>DLA/CLT</v>
      </c>
      <c r="E98" s="149">
        <v>143723421</v>
      </c>
      <c r="F98" s="144" t="s">
        <v>961</v>
      </c>
      <c r="G98" s="149">
        <v>362700000</v>
      </c>
      <c r="I98" s="8">
        <v>0</v>
      </c>
      <c r="J98" s="8">
        <v>0</v>
      </c>
      <c r="K98" s="8">
        <v>0</v>
      </c>
      <c r="L98" s="53"/>
      <c r="M98" s="53"/>
      <c r="O98" s="140"/>
      <c r="P98" s="133">
        <f>SUMIFS(GestionLignesDemande!D$4:D$1000,GestionLignesDemande!$B$4:$B$1000,ROI_Avions!$A98,GestionLignesDemande!$C$4:$C$1000,ROI_Avions!$C98)</f>
        <v>0</v>
      </c>
      <c r="Q98" s="133">
        <f>SUMIFS(GestionLignesDemande!E$4:E$1000,GestionLignesDemande!$B$4:$B$1000,ROI_Avions!$A98,GestionLignesDemande!$C$4:$C$1000,ROI_Avions!$C98)</f>
        <v>0</v>
      </c>
      <c r="R98" s="133">
        <f>SUMIFS(GestionLignesDemande!F$4:F$1000,GestionLignesDemande!$B$4:$B$1000,ROI_Avions!$A98,GestionLignesDemande!$C$4:$C$1000,ROI_Avions!$C98)</f>
        <v>0</v>
      </c>
      <c r="S98" s="133">
        <f>SUMIFS(GestionLignesDemande!G$4:G$1000,GestionLignesDemande!$B$4:$B$1000,ROI_Avions!$A98,GestionLignesDemande!$C$4:$C$1000,ROI_Avions!$C98)</f>
        <v>0</v>
      </c>
      <c r="U98" s="8">
        <f t="shared" si="438"/>
        <v>750</v>
      </c>
      <c r="V98" s="8">
        <v>655</v>
      </c>
      <c r="W98" s="8">
        <v>75</v>
      </c>
      <c r="X98" s="8">
        <v>15</v>
      </c>
      <c r="Y98" s="8">
        <v>5</v>
      </c>
      <c r="Z98" s="121"/>
      <c r="AA98" s="132">
        <f t="shared" ref="AA98" si="451">AA97-V98*2</f>
        <v>-2620</v>
      </c>
      <c r="AB98" s="132">
        <f t="shared" ref="AB98" si="452">AB97-W98*2</f>
        <v>-300</v>
      </c>
      <c r="AC98" s="132">
        <f t="shared" ref="AC98" si="453">AC97-X98*2</f>
        <v>-60</v>
      </c>
      <c r="AD98" s="132">
        <f t="shared" ref="AD98" si="454">AD97-Y98*2</f>
        <v>-20</v>
      </c>
      <c r="AE98" s="121"/>
      <c r="AF98" s="26">
        <f>SUMIFS(DataPrixBillets!N$1:N$1000,DataPrixBillets!$J$1:$J$1000,ROI_Avions!$A98,DataPrixBillets!$K$1:$K$1000,ROI_Avions!$C98)</f>
        <v>0</v>
      </c>
      <c r="AG98" s="26">
        <f>SUMIFS(DataPrixBillets!O$1:O$1000,DataPrixBillets!$J$1:$J$1000,ROI_Avions!$A98,DataPrixBillets!$K$1:$K$1000,ROI_Avions!$C98)</f>
        <v>0</v>
      </c>
      <c r="AH98" s="26">
        <f>SUMIFS(DataPrixBillets!P$1:P$1000,DataPrixBillets!$J$1:$J$1000,ROI_Avions!$A98,DataPrixBillets!$K$1:$K$1000,ROI_Avions!$C98)</f>
        <v>0</v>
      </c>
      <c r="AI98" s="26">
        <f>SUMIFS(DataPrixBillets!Q$1:Q$1000,DataPrixBillets!$J$1:$J$1000,ROI_Avions!$A98,DataPrixBillets!$K$1:$K$1000,ROI_Avions!$C98)</f>
        <v>0</v>
      </c>
      <c r="AJ98" s="121"/>
      <c r="AK98" s="8">
        <f t="shared" si="443"/>
        <v>0</v>
      </c>
      <c r="AL98" s="8" t="e">
        <f t="shared" ca="1" si="444"/>
        <v>#REF!</v>
      </c>
      <c r="AM98" s="8" t="e">
        <f t="shared" ca="1" si="445"/>
        <v>#REF!</v>
      </c>
      <c r="AN98" s="8" t="e">
        <f t="shared" ca="1" si="446"/>
        <v>#REF!</v>
      </c>
      <c r="AO98" s="8" t="e">
        <f t="shared" ca="1" si="447"/>
        <v>#REF!</v>
      </c>
      <c r="AP98" s="8" t="e">
        <f t="shared" ca="1" si="448"/>
        <v>#REF!</v>
      </c>
      <c r="AQ98" s="8" t="e">
        <f t="shared" ca="1" si="449"/>
        <v>#REF!</v>
      </c>
      <c r="AR98" s="7">
        <f t="shared" ca="1" si="277"/>
        <v>0</v>
      </c>
      <c r="AS98" s="120">
        <f t="shared" ca="1" si="278"/>
        <v>0</v>
      </c>
      <c r="AT98" s="8" t="e">
        <f t="shared" ca="1" si="450"/>
        <v>#REF!</v>
      </c>
    </row>
    <row r="99" spans="1:55" x14ac:dyDescent="0.3">
      <c r="A99" s="143" t="s">
        <v>724</v>
      </c>
      <c r="B99" s="149">
        <v>595891872</v>
      </c>
      <c r="C99" s="143" t="s">
        <v>958</v>
      </c>
      <c r="D99" s="145" t="str">
        <f t="shared" si="280"/>
        <v>DLA/IAD</v>
      </c>
      <c r="E99" s="149">
        <v>121330720</v>
      </c>
      <c r="F99" s="144" t="s">
        <v>960</v>
      </c>
      <c r="G99" s="149">
        <v>362700000</v>
      </c>
      <c r="I99" s="8">
        <v>0</v>
      </c>
      <c r="J99" s="8">
        <v>0</v>
      </c>
      <c r="K99" s="8">
        <v>0</v>
      </c>
      <c r="L99" s="53"/>
      <c r="M99" s="53"/>
      <c r="O99" s="140"/>
      <c r="P99" s="133">
        <f>SUMIFS(GestionLignesDemande!D$4:D$1000,GestionLignesDemande!$B$4:$B$1000,ROI_Avions!$A99,GestionLignesDemande!$C$4:$C$1000,ROI_Avions!$C99)</f>
        <v>0</v>
      </c>
      <c r="Q99" s="133">
        <f>SUMIFS(GestionLignesDemande!E$4:E$1000,GestionLignesDemande!$B$4:$B$1000,ROI_Avions!$A99,GestionLignesDemande!$C$4:$C$1000,ROI_Avions!$C99)</f>
        <v>0</v>
      </c>
      <c r="R99" s="133">
        <f>SUMIFS(GestionLignesDemande!F$4:F$1000,GestionLignesDemande!$B$4:$B$1000,ROI_Avions!$A99,GestionLignesDemande!$C$4:$C$1000,ROI_Avions!$C99)</f>
        <v>0</v>
      </c>
      <c r="S99" s="133">
        <f>SUMIFS(GestionLignesDemande!G$4:G$1000,GestionLignesDemande!$B$4:$B$1000,ROI_Avions!$A99,GestionLignesDemande!$C$4:$C$1000,ROI_Avions!$C99)</f>
        <v>0</v>
      </c>
      <c r="U99" s="8">
        <f t="shared" ref="U99:U106" si="455">SUM(V99:Y99)</f>
        <v>730</v>
      </c>
      <c r="V99" s="8">
        <v>625</v>
      </c>
      <c r="W99" s="8">
        <v>75</v>
      </c>
      <c r="X99" s="8">
        <v>15</v>
      </c>
      <c r="Y99" s="8">
        <v>15</v>
      </c>
      <c r="Z99" s="121"/>
      <c r="AA99" s="132">
        <f t="shared" ref="AA99" si="456">P99-(V99*2)</f>
        <v>-1250</v>
      </c>
      <c r="AB99" s="132">
        <f t="shared" ref="AB99" si="457">Q99-(W99*2)</f>
        <v>-150</v>
      </c>
      <c r="AC99" s="132">
        <f t="shared" ref="AC99" si="458">R99-(X99*2)</f>
        <v>-30</v>
      </c>
      <c r="AD99" s="132">
        <f t="shared" ref="AD99" si="459">S99-(Y99*2)</f>
        <v>-30</v>
      </c>
      <c r="AE99" s="121"/>
      <c r="AF99" s="26">
        <f>SUMIFS(DataPrixBillets!N$1:N$1000,DataPrixBillets!$J$1:$J$1000,ROI_Avions!$A99,DataPrixBillets!$K$1:$K$1000,ROI_Avions!$C99)</f>
        <v>0</v>
      </c>
      <c r="AG99" s="26">
        <f>SUMIFS(DataPrixBillets!O$1:O$1000,DataPrixBillets!$J$1:$J$1000,ROI_Avions!$A99,DataPrixBillets!$K$1:$K$1000,ROI_Avions!$C99)</f>
        <v>0</v>
      </c>
      <c r="AH99" s="26">
        <f>SUMIFS(DataPrixBillets!P$1:P$1000,DataPrixBillets!$J$1:$J$1000,ROI_Avions!$A99,DataPrixBillets!$K$1:$K$1000,ROI_Avions!$C99)</f>
        <v>0</v>
      </c>
      <c r="AI99" s="26">
        <f>SUMIFS(DataPrixBillets!Q$1:Q$1000,DataPrixBillets!$J$1:$J$1000,ROI_Avions!$A99,DataPrixBillets!$K$1:$K$1000,ROI_Avions!$C99)</f>
        <v>0</v>
      </c>
      <c r="AJ99" s="121"/>
      <c r="AK99" s="8">
        <f t="shared" si="443"/>
        <v>0</v>
      </c>
      <c r="AL99" s="8" t="e">
        <f t="shared" ca="1" si="444"/>
        <v>#REF!</v>
      </c>
      <c r="AM99" s="8" t="e">
        <f t="shared" ca="1" si="445"/>
        <v>#REF!</v>
      </c>
      <c r="AN99" s="8" t="e">
        <f t="shared" ca="1" si="446"/>
        <v>#REF!</v>
      </c>
      <c r="AO99" s="8" t="e">
        <f t="shared" ca="1" si="447"/>
        <v>#REF!</v>
      </c>
      <c r="AP99" s="8" t="e">
        <f t="shared" ca="1" si="448"/>
        <v>#REF!</v>
      </c>
      <c r="AQ99" s="8" t="e">
        <f t="shared" ca="1" si="449"/>
        <v>#REF!</v>
      </c>
      <c r="AR99" s="7">
        <f t="shared" ca="1" si="277"/>
        <v>0</v>
      </c>
      <c r="AS99" s="120">
        <f t="shared" ca="1" si="278"/>
        <v>0</v>
      </c>
      <c r="AT99" s="8" t="e">
        <f t="shared" ca="1" si="450"/>
        <v>#REF!</v>
      </c>
    </row>
    <row r="100" spans="1:55" x14ac:dyDescent="0.3">
      <c r="A100" s="143" t="s">
        <v>724</v>
      </c>
      <c r="B100" s="149">
        <v>595891872</v>
      </c>
      <c r="C100" s="143" t="s">
        <v>958</v>
      </c>
      <c r="D100" s="145" t="str">
        <f t="shared" si="280"/>
        <v>DLA/IAD</v>
      </c>
      <c r="E100" s="149">
        <v>121330720</v>
      </c>
      <c r="F100" s="144" t="s">
        <v>962</v>
      </c>
      <c r="G100" s="149">
        <v>362700000</v>
      </c>
      <c r="I100" s="8">
        <v>0</v>
      </c>
      <c r="J100" s="8">
        <v>0</v>
      </c>
      <c r="K100" s="8">
        <v>0</v>
      </c>
      <c r="L100" s="53"/>
      <c r="M100" s="53"/>
      <c r="O100" s="140"/>
      <c r="P100" s="133">
        <f>SUMIFS(GestionLignesDemande!D$4:D$1000,GestionLignesDemande!$B$4:$B$1000,ROI_Avions!$A100,GestionLignesDemande!$C$4:$C$1000,ROI_Avions!$C100)</f>
        <v>0</v>
      </c>
      <c r="Q100" s="133">
        <f>SUMIFS(GestionLignesDemande!E$4:E$1000,GestionLignesDemande!$B$4:$B$1000,ROI_Avions!$A100,GestionLignesDemande!$C$4:$C$1000,ROI_Avions!$C100)</f>
        <v>0</v>
      </c>
      <c r="R100" s="133">
        <f>SUMIFS(GestionLignesDemande!F$4:F$1000,GestionLignesDemande!$B$4:$B$1000,ROI_Avions!$A100,GestionLignesDemande!$C$4:$C$1000,ROI_Avions!$C100)</f>
        <v>0</v>
      </c>
      <c r="S100" s="133">
        <f>SUMIFS(GestionLignesDemande!G$4:G$1000,GestionLignesDemande!$B$4:$B$1000,ROI_Avions!$A100,GestionLignesDemande!$C$4:$C$1000,ROI_Avions!$C100)</f>
        <v>0</v>
      </c>
      <c r="U100" s="8">
        <f t="shared" si="455"/>
        <v>730</v>
      </c>
      <c r="V100" s="8">
        <v>625</v>
      </c>
      <c r="W100" s="8">
        <v>75</v>
      </c>
      <c r="X100" s="8">
        <v>15</v>
      </c>
      <c r="Y100" s="8">
        <v>15</v>
      </c>
      <c r="Z100" s="121"/>
      <c r="AA100" s="132">
        <f t="shared" ref="AA100" si="460">AA99-V100*2</f>
        <v>-2500</v>
      </c>
      <c r="AB100" s="132">
        <f t="shared" ref="AB100" si="461">AB99-W100*2</f>
        <v>-300</v>
      </c>
      <c r="AC100" s="132">
        <f t="shared" ref="AC100" si="462">AC99-X100*2</f>
        <v>-60</v>
      </c>
      <c r="AD100" s="132">
        <f t="shared" ref="AD100" si="463">AD99-Y100*2</f>
        <v>-60</v>
      </c>
      <c r="AE100" s="121"/>
      <c r="AF100" s="26">
        <f>SUMIFS(DataPrixBillets!N$1:N$1000,DataPrixBillets!$J$1:$J$1000,ROI_Avions!$A100,DataPrixBillets!$K$1:$K$1000,ROI_Avions!$C100)</f>
        <v>0</v>
      </c>
      <c r="AG100" s="26">
        <f>SUMIFS(DataPrixBillets!O$1:O$1000,DataPrixBillets!$J$1:$J$1000,ROI_Avions!$A100,DataPrixBillets!$K$1:$K$1000,ROI_Avions!$C100)</f>
        <v>0</v>
      </c>
      <c r="AH100" s="26">
        <f>SUMIFS(DataPrixBillets!P$1:P$1000,DataPrixBillets!$J$1:$J$1000,ROI_Avions!$A100,DataPrixBillets!$K$1:$K$1000,ROI_Avions!$C100)</f>
        <v>0</v>
      </c>
      <c r="AI100" s="26">
        <f>SUMIFS(DataPrixBillets!Q$1:Q$1000,DataPrixBillets!$J$1:$J$1000,ROI_Avions!$A100,DataPrixBillets!$K$1:$K$1000,ROI_Avions!$C100)</f>
        <v>0</v>
      </c>
      <c r="AJ100" s="121"/>
      <c r="AK100" s="8">
        <f t="shared" si="443"/>
        <v>0</v>
      </c>
      <c r="AL100" s="8" t="e">
        <f t="shared" ca="1" si="444"/>
        <v>#REF!</v>
      </c>
      <c r="AM100" s="8" t="e">
        <f t="shared" ca="1" si="445"/>
        <v>#REF!</v>
      </c>
      <c r="AN100" s="8" t="e">
        <f t="shared" ca="1" si="446"/>
        <v>#REF!</v>
      </c>
      <c r="AO100" s="8" t="e">
        <f t="shared" ca="1" si="447"/>
        <v>#REF!</v>
      </c>
      <c r="AP100" s="8" t="e">
        <f t="shared" ca="1" si="448"/>
        <v>#REF!</v>
      </c>
      <c r="AQ100" s="8" t="e">
        <f t="shared" ca="1" si="449"/>
        <v>#REF!</v>
      </c>
      <c r="AR100" s="7">
        <f t="shared" ca="1" si="277"/>
        <v>0</v>
      </c>
      <c r="AS100" s="120">
        <f t="shared" ca="1" si="278"/>
        <v>0</v>
      </c>
      <c r="AT100" s="8" t="e">
        <f t="shared" ca="1" si="450"/>
        <v>#REF!</v>
      </c>
      <c r="AU100" s="21"/>
    </row>
    <row r="101" spans="1:55" x14ac:dyDescent="0.3">
      <c r="A101" s="143" t="s">
        <v>724</v>
      </c>
      <c r="B101" s="149">
        <v>595891872</v>
      </c>
      <c r="C101" s="143" t="s">
        <v>963</v>
      </c>
      <c r="D101" s="145" t="str">
        <f t="shared" si="280"/>
        <v>DLA/PHL</v>
      </c>
      <c r="E101" s="149">
        <v>191875468</v>
      </c>
      <c r="F101" s="144" t="s">
        <v>966</v>
      </c>
      <c r="G101" s="149">
        <v>362700000</v>
      </c>
      <c r="I101" s="8">
        <v>0</v>
      </c>
      <c r="J101" s="8">
        <v>0</v>
      </c>
      <c r="K101" s="8">
        <v>0</v>
      </c>
      <c r="L101" s="53"/>
      <c r="M101" s="53"/>
      <c r="O101" s="140"/>
      <c r="P101" s="133">
        <f>SUMIFS(GestionLignesDemande!D$4:D$1000,GestionLignesDemande!$B$4:$B$1000,ROI_Avions!$A101,GestionLignesDemande!$C$4:$C$1000,ROI_Avions!$C101)</f>
        <v>0</v>
      </c>
      <c r="Q101" s="133">
        <f>SUMIFS(GestionLignesDemande!E$4:E$1000,GestionLignesDemande!$B$4:$B$1000,ROI_Avions!$A101,GestionLignesDemande!$C$4:$C$1000,ROI_Avions!$C101)</f>
        <v>0</v>
      </c>
      <c r="R101" s="133">
        <f>SUMIFS(GestionLignesDemande!F$4:F$1000,GestionLignesDemande!$B$4:$B$1000,ROI_Avions!$A101,GestionLignesDemande!$C$4:$C$1000,ROI_Avions!$C101)</f>
        <v>0</v>
      </c>
      <c r="S101" s="133">
        <f>SUMIFS(GestionLignesDemande!G$4:G$1000,GestionLignesDemande!$B$4:$B$1000,ROI_Avions!$A101,GestionLignesDemande!$C$4:$C$1000,ROI_Avions!$C101)</f>
        <v>0</v>
      </c>
      <c r="U101" s="8">
        <f t="shared" si="455"/>
        <v>732</v>
      </c>
      <c r="V101" s="8">
        <v>634</v>
      </c>
      <c r="W101" s="8">
        <v>68</v>
      </c>
      <c r="X101" s="8">
        <v>15</v>
      </c>
      <c r="Y101" s="8">
        <v>15</v>
      </c>
      <c r="Z101" s="121"/>
      <c r="AA101" s="132">
        <f t="shared" ref="AA101" si="464">P101-(V101*2)</f>
        <v>-1268</v>
      </c>
      <c r="AB101" s="132">
        <f t="shared" ref="AB101" si="465">Q101-(W101*2)</f>
        <v>-136</v>
      </c>
      <c r="AC101" s="132">
        <f t="shared" ref="AC101" si="466">R101-(X101*2)</f>
        <v>-30</v>
      </c>
      <c r="AD101" s="132">
        <f t="shared" ref="AD101" si="467">S101-(Y101*2)</f>
        <v>-30</v>
      </c>
      <c r="AE101" s="121"/>
      <c r="AF101" s="26">
        <f>SUMIFS(DataPrixBillets!N$1:N$1000,DataPrixBillets!$J$1:$J$1000,ROI_Avions!$A101,DataPrixBillets!$K$1:$K$1000,ROI_Avions!$C101)</f>
        <v>0</v>
      </c>
      <c r="AG101" s="26">
        <f>SUMIFS(DataPrixBillets!O$1:O$1000,DataPrixBillets!$J$1:$J$1000,ROI_Avions!$A101,DataPrixBillets!$K$1:$K$1000,ROI_Avions!$C101)</f>
        <v>0</v>
      </c>
      <c r="AH101" s="26">
        <f>SUMIFS(DataPrixBillets!P$1:P$1000,DataPrixBillets!$J$1:$J$1000,ROI_Avions!$A101,DataPrixBillets!$K$1:$K$1000,ROI_Avions!$C101)</f>
        <v>0</v>
      </c>
      <c r="AI101" s="26">
        <f>SUMIFS(DataPrixBillets!Q$1:Q$1000,DataPrixBillets!$J$1:$J$1000,ROI_Avions!$A101,DataPrixBillets!$K$1:$K$1000,ROI_Avions!$C101)</f>
        <v>0</v>
      </c>
      <c r="AJ101" s="121"/>
      <c r="AK101" s="8">
        <f t="shared" ref="AK101:AK106" si="468">(((AF101*V101)*2+(AG101*W101)*2+(AH101*X101)*2+(AI101*Y101)*2)*7)</f>
        <v>0</v>
      </c>
      <c r="AL101" s="8" t="e">
        <f t="shared" ref="AL101:AL106" ca="1" si="469">AK101-AM101</f>
        <v>#REF!</v>
      </c>
      <c r="AM101" s="8" t="e">
        <f t="shared" ref="AM101:AM106" ca="1" si="470">AK101*$AM$2</f>
        <v>#REF!</v>
      </c>
      <c r="AN101" s="8" t="e">
        <f t="shared" ref="AN101:AN106" ca="1" si="471">AL101*$AN$2</f>
        <v>#REF!</v>
      </c>
      <c r="AO101" s="8" t="e">
        <f t="shared" ref="AO101:AO106" ca="1" si="472">(AL101-AN101-I101)*$AO$2</f>
        <v>#REF!</v>
      </c>
      <c r="AP101" s="8" t="e">
        <f t="shared" ref="AP101:AP106" ca="1" si="473">AL101-AN101-(I101/7)-(AO101/7)</f>
        <v>#REF!</v>
      </c>
      <c r="AQ101" s="8" t="e">
        <f t="shared" ref="AQ101:AQ106" ca="1" si="474">AP101/7</f>
        <v>#REF!</v>
      </c>
      <c r="AR101" s="7">
        <f t="shared" ref="AR101:AR132" ca="1" si="475">IFERROR((AP101/7)/((B101/COUNTIFS(A:A,A101))+(E101/COUNTIFS(A:A,A101,C:C,C101))+I101*K101+J101+G101),0)</f>
        <v>0</v>
      </c>
      <c r="AS101" s="120">
        <f t="shared" ref="AS101:AS132" ca="1" si="476">IFERROR(((B101/COUNTIFS(A:A,A101))+(E101/COUNTIFS(A:A,A101,C:C,C101))+I101*K101+J101+G101)/(AP101/7),0)</f>
        <v>0</v>
      </c>
      <c r="AT101" s="8" t="e">
        <f t="shared" ref="AT101:AT106" ca="1" si="477">IF(K101&gt;=1,AP101*K101,AP101*$AT$1)</f>
        <v>#REF!</v>
      </c>
      <c r="AU101" s="38"/>
    </row>
    <row r="102" spans="1:55" x14ac:dyDescent="0.3">
      <c r="A102" s="143" t="s">
        <v>724</v>
      </c>
      <c r="B102" s="149">
        <v>595891872</v>
      </c>
      <c r="C102" s="143" t="s">
        <v>963</v>
      </c>
      <c r="D102" s="145" t="str">
        <f t="shared" si="280"/>
        <v>DLA/PHL</v>
      </c>
      <c r="E102" s="149">
        <v>191875468</v>
      </c>
      <c r="F102" s="144" t="s">
        <v>969</v>
      </c>
      <c r="G102" s="149">
        <v>362700000</v>
      </c>
      <c r="I102" s="8">
        <v>0</v>
      </c>
      <c r="J102" s="8">
        <v>0</v>
      </c>
      <c r="K102" s="8">
        <v>0</v>
      </c>
      <c r="L102" s="53"/>
      <c r="M102" s="53"/>
      <c r="O102" s="140"/>
      <c r="P102" s="133">
        <f>SUMIFS(GestionLignesDemande!D$4:D$1000,GestionLignesDemande!$B$4:$B$1000,ROI_Avions!$A102,GestionLignesDemande!$C$4:$C$1000,ROI_Avions!$C102)</f>
        <v>0</v>
      </c>
      <c r="Q102" s="133">
        <f>SUMIFS(GestionLignesDemande!E$4:E$1000,GestionLignesDemande!$B$4:$B$1000,ROI_Avions!$A102,GestionLignesDemande!$C$4:$C$1000,ROI_Avions!$C102)</f>
        <v>0</v>
      </c>
      <c r="R102" s="133">
        <f>SUMIFS(GestionLignesDemande!F$4:F$1000,GestionLignesDemande!$B$4:$B$1000,ROI_Avions!$A102,GestionLignesDemande!$C$4:$C$1000,ROI_Avions!$C102)</f>
        <v>0</v>
      </c>
      <c r="S102" s="133">
        <f>SUMIFS(GestionLignesDemande!G$4:G$1000,GestionLignesDemande!$B$4:$B$1000,ROI_Avions!$A102,GestionLignesDemande!$C$4:$C$1000,ROI_Avions!$C102)</f>
        <v>0</v>
      </c>
      <c r="U102" s="8">
        <f t="shared" si="455"/>
        <v>732</v>
      </c>
      <c r="V102" s="8">
        <v>634</v>
      </c>
      <c r="W102" s="8">
        <v>68</v>
      </c>
      <c r="X102" s="8">
        <v>15</v>
      </c>
      <c r="Y102" s="8">
        <v>15</v>
      </c>
      <c r="Z102" s="121"/>
      <c r="AA102" s="132">
        <f t="shared" ref="AA102" si="478">AA101-V102*2</f>
        <v>-2536</v>
      </c>
      <c r="AB102" s="132">
        <f t="shared" ref="AB102" si="479">AB101-W102*2</f>
        <v>-272</v>
      </c>
      <c r="AC102" s="132">
        <f t="shared" ref="AC102" si="480">AC101-X102*2</f>
        <v>-60</v>
      </c>
      <c r="AD102" s="132">
        <f t="shared" ref="AD102" si="481">AD101-Y102*2</f>
        <v>-60</v>
      </c>
      <c r="AE102" s="121"/>
      <c r="AF102" s="26">
        <f>SUMIFS(DataPrixBillets!N$1:N$1000,DataPrixBillets!$J$1:$J$1000,ROI_Avions!$A102,DataPrixBillets!$K$1:$K$1000,ROI_Avions!$C102)</f>
        <v>0</v>
      </c>
      <c r="AG102" s="26">
        <f>SUMIFS(DataPrixBillets!O$1:O$1000,DataPrixBillets!$J$1:$J$1000,ROI_Avions!$A102,DataPrixBillets!$K$1:$K$1000,ROI_Avions!$C102)</f>
        <v>0</v>
      </c>
      <c r="AH102" s="26">
        <f>SUMIFS(DataPrixBillets!P$1:P$1000,DataPrixBillets!$J$1:$J$1000,ROI_Avions!$A102,DataPrixBillets!$K$1:$K$1000,ROI_Avions!$C102)</f>
        <v>0</v>
      </c>
      <c r="AI102" s="26">
        <f>SUMIFS(DataPrixBillets!Q$1:Q$1000,DataPrixBillets!$J$1:$J$1000,ROI_Avions!$A102,DataPrixBillets!$K$1:$K$1000,ROI_Avions!$C102)</f>
        <v>0</v>
      </c>
      <c r="AJ102" s="121"/>
      <c r="AK102" s="8">
        <f t="shared" si="468"/>
        <v>0</v>
      </c>
      <c r="AL102" s="8" t="e">
        <f t="shared" ca="1" si="469"/>
        <v>#REF!</v>
      </c>
      <c r="AM102" s="8" t="e">
        <f t="shared" ca="1" si="470"/>
        <v>#REF!</v>
      </c>
      <c r="AN102" s="8" t="e">
        <f t="shared" ca="1" si="471"/>
        <v>#REF!</v>
      </c>
      <c r="AO102" s="8" t="e">
        <f t="shared" ca="1" si="472"/>
        <v>#REF!</v>
      </c>
      <c r="AP102" s="8" t="e">
        <f t="shared" ca="1" si="473"/>
        <v>#REF!</v>
      </c>
      <c r="AQ102" s="8" t="e">
        <f t="shared" ca="1" si="474"/>
        <v>#REF!</v>
      </c>
      <c r="AR102" s="7">
        <f t="shared" ca="1" si="475"/>
        <v>0</v>
      </c>
      <c r="AS102" s="120">
        <f t="shared" ca="1" si="476"/>
        <v>0</v>
      </c>
      <c r="AT102" s="8" t="e">
        <f t="shared" ca="1" si="477"/>
        <v>#REF!</v>
      </c>
      <c r="AU102" s="38"/>
    </row>
    <row r="103" spans="1:55" x14ac:dyDescent="0.3">
      <c r="A103" s="143" t="s">
        <v>724</v>
      </c>
      <c r="B103" s="149">
        <v>595891872</v>
      </c>
      <c r="C103" s="143" t="s">
        <v>964</v>
      </c>
      <c r="D103" s="145" t="str">
        <f t="shared" si="280"/>
        <v>DLA/EWR</v>
      </c>
      <c r="E103" s="149">
        <v>225196103</v>
      </c>
      <c r="F103" s="144" t="s">
        <v>967</v>
      </c>
      <c r="G103" s="149">
        <v>362700000</v>
      </c>
      <c r="I103" s="8">
        <v>0</v>
      </c>
      <c r="J103" s="8">
        <v>0</v>
      </c>
      <c r="K103" s="8">
        <v>0</v>
      </c>
      <c r="L103" s="53"/>
      <c r="M103" s="53"/>
      <c r="O103" s="140"/>
      <c r="P103" s="133">
        <f>SUMIFS(GestionLignesDemande!D$4:D$1000,GestionLignesDemande!$B$4:$B$1000,ROI_Avions!$A103,GestionLignesDemande!$C$4:$C$1000,ROI_Avions!$C103)</f>
        <v>0</v>
      </c>
      <c r="Q103" s="133">
        <f>SUMIFS(GestionLignesDemande!E$4:E$1000,GestionLignesDemande!$B$4:$B$1000,ROI_Avions!$A103,GestionLignesDemande!$C$4:$C$1000,ROI_Avions!$C103)</f>
        <v>0</v>
      </c>
      <c r="R103" s="133">
        <f>SUMIFS(GestionLignesDemande!F$4:F$1000,GestionLignesDemande!$B$4:$B$1000,ROI_Avions!$A103,GestionLignesDemande!$C$4:$C$1000,ROI_Avions!$C103)</f>
        <v>0</v>
      </c>
      <c r="S103" s="133">
        <f>SUMIFS(GestionLignesDemande!G$4:G$1000,GestionLignesDemande!$B$4:$B$1000,ROI_Avions!$A103,GestionLignesDemande!$C$4:$C$1000,ROI_Avions!$C103)</f>
        <v>0</v>
      </c>
      <c r="U103" s="8">
        <f t="shared" si="455"/>
        <v>732</v>
      </c>
      <c r="V103" s="8">
        <v>634</v>
      </c>
      <c r="W103" s="8">
        <v>68</v>
      </c>
      <c r="X103" s="8">
        <v>15</v>
      </c>
      <c r="Y103" s="8">
        <v>15</v>
      </c>
      <c r="Z103" s="121"/>
      <c r="AA103" s="132">
        <f t="shared" ref="AA103" si="482">P103-(V103*2)</f>
        <v>-1268</v>
      </c>
      <c r="AB103" s="132">
        <f t="shared" ref="AB103" si="483">Q103-(W103*2)</f>
        <v>-136</v>
      </c>
      <c r="AC103" s="132">
        <f t="shared" ref="AC103" si="484">R103-(X103*2)</f>
        <v>-30</v>
      </c>
      <c r="AD103" s="132">
        <f t="shared" ref="AD103" si="485">S103-(Y103*2)</f>
        <v>-30</v>
      </c>
      <c r="AE103" s="121"/>
      <c r="AF103" s="26">
        <f>SUMIFS(DataPrixBillets!N$1:N$1000,DataPrixBillets!$J$1:$J$1000,ROI_Avions!$A103,DataPrixBillets!$K$1:$K$1000,ROI_Avions!$C103)</f>
        <v>0</v>
      </c>
      <c r="AG103" s="26">
        <f>SUMIFS(DataPrixBillets!O$1:O$1000,DataPrixBillets!$J$1:$J$1000,ROI_Avions!$A103,DataPrixBillets!$K$1:$K$1000,ROI_Avions!$C103)</f>
        <v>0</v>
      </c>
      <c r="AH103" s="26">
        <f>SUMIFS(DataPrixBillets!P$1:P$1000,DataPrixBillets!$J$1:$J$1000,ROI_Avions!$A103,DataPrixBillets!$K$1:$K$1000,ROI_Avions!$C103)</f>
        <v>0</v>
      </c>
      <c r="AI103" s="26">
        <f>SUMIFS(DataPrixBillets!Q$1:Q$1000,DataPrixBillets!$J$1:$J$1000,ROI_Avions!$A103,DataPrixBillets!$K$1:$K$1000,ROI_Avions!$C103)</f>
        <v>0</v>
      </c>
      <c r="AJ103" s="121"/>
      <c r="AK103" s="8">
        <f t="shared" si="468"/>
        <v>0</v>
      </c>
      <c r="AL103" s="8" t="e">
        <f t="shared" ca="1" si="469"/>
        <v>#REF!</v>
      </c>
      <c r="AM103" s="8" t="e">
        <f t="shared" ca="1" si="470"/>
        <v>#REF!</v>
      </c>
      <c r="AN103" s="8" t="e">
        <f t="shared" ca="1" si="471"/>
        <v>#REF!</v>
      </c>
      <c r="AO103" s="8" t="e">
        <f t="shared" ca="1" si="472"/>
        <v>#REF!</v>
      </c>
      <c r="AP103" s="8" t="e">
        <f t="shared" ca="1" si="473"/>
        <v>#REF!</v>
      </c>
      <c r="AQ103" s="8" t="e">
        <f t="shared" ca="1" si="474"/>
        <v>#REF!</v>
      </c>
      <c r="AR103" s="7">
        <f t="shared" ca="1" si="475"/>
        <v>0</v>
      </c>
      <c r="AS103" s="120">
        <f t="shared" ca="1" si="476"/>
        <v>0</v>
      </c>
      <c r="AT103" s="8" t="e">
        <f t="shared" ca="1" si="477"/>
        <v>#REF!</v>
      </c>
      <c r="AX103" s="38"/>
    </row>
    <row r="104" spans="1:55" ht="14.25" customHeight="1" x14ac:dyDescent="0.3">
      <c r="A104" s="143" t="s">
        <v>724</v>
      </c>
      <c r="B104" s="149">
        <v>595891872</v>
      </c>
      <c r="C104" s="143" t="s">
        <v>964</v>
      </c>
      <c r="D104" s="145" t="str">
        <f t="shared" si="280"/>
        <v>DLA/EWR</v>
      </c>
      <c r="E104" s="149">
        <v>225196103</v>
      </c>
      <c r="F104" s="144" t="s">
        <v>970</v>
      </c>
      <c r="G104" s="149">
        <v>362700000</v>
      </c>
      <c r="I104" s="8">
        <v>0</v>
      </c>
      <c r="J104" s="8">
        <v>0</v>
      </c>
      <c r="K104" s="8">
        <v>0</v>
      </c>
      <c r="L104" s="53"/>
      <c r="M104" s="53"/>
      <c r="O104" s="140"/>
      <c r="P104" s="133">
        <f>SUMIFS(GestionLignesDemande!D$4:D$1000,GestionLignesDemande!$B$4:$B$1000,ROI_Avions!$A104,GestionLignesDemande!$C$4:$C$1000,ROI_Avions!$C104)</f>
        <v>0</v>
      </c>
      <c r="Q104" s="133">
        <f>SUMIFS(GestionLignesDemande!E$4:E$1000,GestionLignesDemande!$B$4:$B$1000,ROI_Avions!$A104,GestionLignesDemande!$C$4:$C$1000,ROI_Avions!$C104)</f>
        <v>0</v>
      </c>
      <c r="R104" s="133">
        <f>SUMIFS(GestionLignesDemande!F$4:F$1000,GestionLignesDemande!$B$4:$B$1000,ROI_Avions!$A104,GestionLignesDemande!$C$4:$C$1000,ROI_Avions!$C104)</f>
        <v>0</v>
      </c>
      <c r="S104" s="133">
        <f>SUMIFS(GestionLignesDemande!G$4:G$1000,GestionLignesDemande!$B$4:$B$1000,ROI_Avions!$A104,GestionLignesDemande!$C$4:$C$1000,ROI_Avions!$C104)</f>
        <v>0</v>
      </c>
      <c r="U104" s="8">
        <f t="shared" si="455"/>
        <v>732</v>
      </c>
      <c r="V104" s="8">
        <v>634</v>
      </c>
      <c r="W104" s="8">
        <v>68</v>
      </c>
      <c r="X104" s="8">
        <v>15</v>
      </c>
      <c r="Y104" s="8">
        <v>15</v>
      </c>
      <c r="Z104" s="121"/>
      <c r="AA104" s="132">
        <f t="shared" ref="AA104" si="486">AA103-V104*2</f>
        <v>-2536</v>
      </c>
      <c r="AB104" s="132">
        <f t="shared" ref="AB104" si="487">AB103-W104*2</f>
        <v>-272</v>
      </c>
      <c r="AC104" s="132">
        <f t="shared" ref="AC104" si="488">AC103-X104*2</f>
        <v>-60</v>
      </c>
      <c r="AD104" s="132">
        <f t="shared" ref="AD104" si="489">AD103-Y104*2</f>
        <v>-60</v>
      </c>
      <c r="AE104" s="121"/>
      <c r="AF104" s="26">
        <f>SUMIFS(DataPrixBillets!N$1:N$1000,DataPrixBillets!$J$1:$J$1000,ROI_Avions!$A104,DataPrixBillets!$K$1:$K$1000,ROI_Avions!$C104)</f>
        <v>0</v>
      </c>
      <c r="AG104" s="26">
        <f>SUMIFS(DataPrixBillets!O$1:O$1000,DataPrixBillets!$J$1:$J$1000,ROI_Avions!$A104,DataPrixBillets!$K$1:$K$1000,ROI_Avions!$C104)</f>
        <v>0</v>
      </c>
      <c r="AH104" s="26">
        <f>SUMIFS(DataPrixBillets!P$1:P$1000,DataPrixBillets!$J$1:$J$1000,ROI_Avions!$A104,DataPrixBillets!$K$1:$K$1000,ROI_Avions!$C104)</f>
        <v>0</v>
      </c>
      <c r="AI104" s="26">
        <f>SUMIFS(DataPrixBillets!Q$1:Q$1000,DataPrixBillets!$J$1:$J$1000,ROI_Avions!$A104,DataPrixBillets!$K$1:$K$1000,ROI_Avions!$C104)</f>
        <v>0</v>
      </c>
      <c r="AJ104" s="121"/>
      <c r="AK104" s="8">
        <f t="shared" si="468"/>
        <v>0</v>
      </c>
      <c r="AL104" s="8" t="e">
        <f t="shared" ca="1" si="469"/>
        <v>#REF!</v>
      </c>
      <c r="AM104" s="8" t="e">
        <f t="shared" ca="1" si="470"/>
        <v>#REF!</v>
      </c>
      <c r="AN104" s="8" t="e">
        <f t="shared" ca="1" si="471"/>
        <v>#REF!</v>
      </c>
      <c r="AO104" s="8" t="e">
        <f t="shared" ca="1" si="472"/>
        <v>#REF!</v>
      </c>
      <c r="AP104" s="8" t="e">
        <f t="shared" ca="1" si="473"/>
        <v>#REF!</v>
      </c>
      <c r="AQ104" s="8" t="e">
        <f t="shared" ca="1" si="474"/>
        <v>#REF!</v>
      </c>
      <c r="AR104" s="7">
        <f t="shared" ca="1" si="475"/>
        <v>0</v>
      </c>
      <c r="AS104" s="120">
        <f t="shared" ca="1" si="476"/>
        <v>0</v>
      </c>
      <c r="AT104" s="8" t="e">
        <f t="shared" ca="1" si="477"/>
        <v>#REF!</v>
      </c>
      <c r="AW104" s="38"/>
    </row>
    <row r="105" spans="1:55" x14ac:dyDescent="0.3">
      <c r="A105" s="143" t="s">
        <v>724</v>
      </c>
      <c r="B105" s="149">
        <v>595891872</v>
      </c>
      <c r="C105" s="143" t="s">
        <v>965</v>
      </c>
      <c r="D105" s="145" t="str">
        <f t="shared" si="280"/>
        <v>DLA/BOS</v>
      </c>
      <c r="E105" s="149">
        <v>162677150</v>
      </c>
      <c r="F105" s="144" t="s">
        <v>968</v>
      </c>
      <c r="G105" s="149">
        <v>362700000</v>
      </c>
      <c r="I105" s="8">
        <v>0</v>
      </c>
      <c r="J105" s="8">
        <v>0</v>
      </c>
      <c r="K105" s="8">
        <v>0</v>
      </c>
      <c r="L105" s="53"/>
      <c r="M105" s="53"/>
      <c r="O105" s="140"/>
      <c r="P105" s="133">
        <f>SUMIFS(GestionLignesDemande!D$4:D$1000,GestionLignesDemande!$B$4:$B$1000,ROI_Avions!$A105,GestionLignesDemande!$C$4:$C$1000,ROI_Avions!$C105)</f>
        <v>0</v>
      </c>
      <c r="Q105" s="133">
        <f>SUMIFS(GestionLignesDemande!E$4:E$1000,GestionLignesDemande!$B$4:$B$1000,ROI_Avions!$A105,GestionLignesDemande!$C$4:$C$1000,ROI_Avions!$C105)</f>
        <v>0</v>
      </c>
      <c r="R105" s="133">
        <f>SUMIFS(GestionLignesDemande!F$4:F$1000,GestionLignesDemande!$B$4:$B$1000,ROI_Avions!$A105,GestionLignesDemande!$C$4:$C$1000,ROI_Avions!$C105)</f>
        <v>0</v>
      </c>
      <c r="S105" s="133">
        <f>SUMIFS(GestionLignesDemande!G$4:G$1000,GestionLignesDemande!$B$4:$B$1000,ROI_Avions!$A105,GestionLignesDemande!$C$4:$C$1000,ROI_Avions!$C105)</f>
        <v>0</v>
      </c>
      <c r="U105" s="8">
        <f t="shared" si="455"/>
        <v>732</v>
      </c>
      <c r="V105" s="8">
        <v>632</v>
      </c>
      <c r="W105" s="8">
        <v>70</v>
      </c>
      <c r="X105" s="8">
        <v>15</v>
      </c>
      <c r="Y105" s="8">
        <v>15</v>
      </c>
      <c r="Z105" s="121"/>
      <c r="AA105" s="132">
        <f t="shared" ref="AA105" si="490">P105-(V105*2)</f>
        <v>-1264</v>
      </c>
      <c r="AB105" s="132">
        <f t="shared" ref="AB105" si="491">Q105-(W105*2)</f>
        <v>-140</v>
      </c>
      <c r="AC105" s="132">
        <f t="shared" ref="AC105" si="492">R105-(X105*2)</f>
        <v>-30</v>
      </c>
      <c r="AD105" s="132">
        <f t="shared" ref="AD105" si="493">S105-(Y105*2)</f>
        <v>-30</v>
      </c>
      <c r="AE105" s="121"/>
      <c r="AF105" s="26">
        <f>SUMIFS(DataPrixBillets!N$1:N$1000,DataPrixBillets!$J$1:$J$1000,ROI_Avions!$A105,DataPrixBillets!$K$1:$K$1000,ROI_Avions!$C105)</f>
        <v>0</v>
      </c>
      <c r="AG105" s="26">
        <f>SUMIFS(DataPrixBillets!O$1:O$1000,DataPrixBillets!$J$1:$J$1000,ROI_Avions!$A105,DataPrixBillets!$K$1:$K$1000,ROI_Avions!$C105)</f>
        <v>0</v>
      </c>
      <c r="AH105" s="26">
        <f>SUMIFS(DataPrixBillets!P$1:P$1000,DataPrixBillets!$J$1:$J$1000,ROI_Avions!$A105,DataPrixBillets!$K$1:$K$1000,ROI_Avions!$C105)</f>
        <v>0</v>
      </c>
      <c r="AI105" s="26">
        <f>SUMIFS(DataPrixBillets!Q$1:Q$1000,DataPrixBillets!$J$1:$J$1000,ROI_Avions!$A105,DataPrixBillets!$K$1:$K$1000,ROI_Avions!$C105)</f>
        <v>0</v>
      </c>
      <c r="AJ105" s="121"/>
      <c r="AK105" s="8">
        <f t="shared" si="468"/>
        <v>0</v>
      </c>
      <c r="AL105" s="8" t="e">
        <f t="shared" ca="1" si="469"/>
        <v>#REF!</v>
      </c>
      <c r="AM105" s="8" t="e">
        <f t="shared" ca="1" si="470"/>
        <v>#REF!</v>
      </c>
      <c r="AN105" s="8" t="e">
        <f t="shared" ca="1" si="471"/>
        <v>#REF!</v>
      </c>
      <c r="AO105" s="8" t="e">
        <f t="shared" ca="1" si="472"/>
        <v>#REF!</v>
      </c>
      <c r="AP105" s="8" t="e">
        <f t="shared" ca="1" si="473"/>
        <v>#REF!</v>
      </c>
      <c r="AQ105" s="8" t="e">
        <f t="shared" ca="1" si="474"/>
        <v>#REF!</v>
      </c>
      <c r="AR105" s="7">
        <f t="shared" ca="1" si="475"/>
        <v>0</v>
      </c>
      <c r="AS105" s="120">
        <f t="shared" ca="1" si="476"/>
        <v>0</v>
      </c>
      <c r="AT105" s="8" t="e">
        <f t="shared" ca="1" si="477"/>
        <v>#REF!</v>
      </c>
      <c r="AU105" s="38">
        <f t="shared" ref="AU105:AU106" ca="1" si="494">AS105/7</f>
        <v>0</v>
      </c>
      <c r="AW105" s="38"/>
    </row>
    <row r="106" spans="1:55" x14ac:dyDescent="0.3">
      <c r="A106" s="143" t="s">
        <v>724</v>
      </c>
      <c r="B106" s="149">
        <v>595891872</v>
      </c>
      <c r="C106" s="143" t="s">
        <v>965</v>
      </c>
      <c r="D106" s="145" t="str">
        <f t="shared" si="280"/>
        <v>DLA/BOS</v>
      </c>
      <c r="E106" s="149">
        <v>162677150</v>
      </c>
      <c r="F106" s="144" t="s">
        <v>971</v>
      </c>
      <c r="G106" s="149">
        <v>362700000</v>
      </c>
      <c r="I106" s="8">
        <v>0</v>
      </c>
      <c r="J106" s="8">
        <v>0</v>
      </c>
      <c r="K106" s="8">
        <v>0</v>
      </c>
      <c r="L106" s="53"/>
      <c r="M106" s="53"/>
      <c r="O106" s="140"/>
      <c r="P106" s="133">
        <f>SUMIFS(GestionLignesDemande!D$4:D$1000,GestionLignesDemande!$B$4:$B$1000,ROI_Avions!$A106,GestionLignesDemande!$C$4:$C$1000,ROI_Avions!$C106)</f>
        <v>0</v>
      </c>
      <c r="Q106" s="133">
        <f>SUMIFS(GestionLignesDemande!E$4:E$1000,GestionLignesDemande!$B$4:$B$1000,ROI_Avions!$A106,GestionLignesDemande!$C$4:$C$1000,ROI_Avions!$C106)</f>
        <v>0</v>
      </c>
      <c r="R106" s="133">
        <f>SUMIFS(GestionLignesDemande!F$4:F$1000,GestionLignesDemande!$B$4:$B$1000,ROI_Avions!$A106,GestionLignesDemande!$C$4:$C$1000,ROI_Avions!$C106)</f>
        <v>0</v>
      </c>
      <c r="S106" s="133">
        <f>SUMIFS(GestionLignesDemande!G$4:G$1000,GestionLignesDemande!$B$4:$B$1000,ROI_Avions!$A106,GestionLignesDemande!$C$4:$C$1000,ROI_Avions!$C106)</f>
        <v>0</v>
      </c>
      <c r="U106" s="8">
        <f t="shared" si="455"/>
        <v>732</v>
      </c>
      <c r="V106" s="8">
        <v>632</v>
      </c>
      <c r="W106" s="8">
        <v>70</v>
      </c>
      <c r="X106" s="8">
        <v>15</v>
      </c>
      <c r="Y106" s="8">
        <v>15</v>
      </c>
      <c r="Z106" s="121"/>
      <c r="AA106" s="132">
        <f t="shared" ref="AA106" si="495">AA105-V106*2</f>
        <v>-2528</v>
      </c>
      <c r="AB106" s="132">
        <f t="shared" ref="AB106" si="496">AB105-W106*2</f>
        <v>-280</v>
      </c>
      <c r="AC106" s="132">
        <f t="shared" ref="AC106" si="497">AC105-X106*2</f>
        <v>-60</v>
      </c>
      <c r="AD106" s="132">
        <f t="shared" ref="AD106" si="498">AD105-Y106*2</f>
        <v>-60</v>
      </c>
      <c r="AE106" s="121"/>
      <c r="AF106" s="26">
        <f>SUMIFS(DataPrixBillets!N$1:N$1000,DataPrixBillets!$J$1:$J$1000,ROI_Avions!$A106,DataPrixBillets!$K$1:$K$1000,ROI_Avions!$C106)</f>
        <v>0</v>
      </c>
      <c r="AG106" s="26">
        <f>SUMIFS(DataPrixBillets!O$1:O$1000,DataPrixBillets!$J$1:$J$1000,ROI_Avions!$A106,DataPrixBillets!$K$1:$K$1000,ROI_Avions!$C106)</f>
        <v>0</v>
      </c>
      <c r="AH106" s="26">
        <f>SUMIFS(DataPrixBillets!P$1:P$1000,DataPrixBillets!$J$1:$J$1000,ROI_Avions!$A106,DataPrixBillets!$K$1:$K$1000,ROI_Avions!$C106)</f>
        <v>0</v>
      </c>
      <c r="AI106" s="26">
        <f>SUMIFS(DataPrixBillets!Q$1:Q$1000,DataPrixBillets!$J$1:$J$1000,ROI_Avions!$A106,DataPrixBillets!$K$1:$K$1000,ROI_Avions!$C106)</f>
        <v>0</v>
      </c>
      <c r="AJ106" s="121"/>
      <c r="AK106" s="8">
        <f t="shared" si="468"/>
        <v>0</v>
      </c>
      <c r="AL106" s="8" t="e">
        <f t="shared" ca="1" si="469"/>
        <v>#REF!</v>
      </c>
      <c r="AM106" s="8" t="e">
        <f t="shared" ca="1" si="470"/>
        <v>#REF!</v>
      </c>
      <c r="AN106" s="8" t="e">
        <f t="shared" ca="1" si="471"/>
        <v>#REF!</v>
      </c>
      <c r="AO106" s="8" t="e">
        <f t="shared" ca="1" si="472"/>
        <v>#REF!</v>
      </c>
      <c r="AP106" s="8" t="e">
        <f t="shared" ca="1" si="473"/>
        <v>#REF!</v>
      </c>
      <c r="AQ106" s="8" t="e">
        <f t="shared" ca="1" si="474"/>
        <v>#REF!</v>
      </c>
      <c r="AR106" s="7">
        <f t="shared" ca="1" si="475"/>
        <v>0</v>
      </c>
      <c r="AS106" s="120">
        <f t="shared" ca="1" si="476"/>
        <v>0</v>
      </c>
      <c r="AT106" s="8" t="e">
        <f t="shared" ca="1" si="477"/>
        <v>#REF!</v>
      </c>
      <c r="AU106" s="38">
        <f t="shared" ca="1" si="494"/>
        <v>0</v>
      </c>
    </row>
    <row r="107" spans="1:55" x14ac:dyDescent="0.3">
      <c r="A107" s="150" t="s">
        <v>729</v>
      </c>
      <c r="B107" s="151">
        <v>444321612</v>
      </c>
      <c r="C107" s="150" t="s">
        <v>995</v>
      </c>
      <c r="D107" s="145" t="str">
        <f t="shared" si="280"/>
        <v>FNA/PEK</v>
      </c>
      <c r="E107" s="151">
        <v>17753420</v>
      </c>
      <c r="F107" s="152" t="str">
        <f>"A380-A-"&amp;A107&amp;"-"&amp;C107&amp;"-"&amp;1</f>
        <v>A380-A-FNA-PEK-1</v>
      </c>
      <c r="G107" s="151">
        <v>362700000</v>
      </c>
      <c r="I107" s="8">
        <v>0</v>
      </c>
      <c r="J107" s="8">
        <v>0</v>
      </c>
      <c r="K107" s="8">
        <v>0</v>
      </c>
      <c r="L107" s="53"/>
      <c r="M107" s="53"/>
      <c r="O107" s="140"/>
      <c r="P107" s="133">
        <f>SUMIFS(GestionLignesDemande!D$4:D$1000,GestionLignesDemande!$B$4:$B$1000,ROI_Avions!$A107,GestionLignesDemande!$C$4:$C$1000,ROI_Avions!$C107)</f>
        <v>0</v>
      </c>
      <c r="Q107" s="133">
        <f>SUMIFS(GestionLignesDemande!E$4:E$1000,GestionLignesDemande!$B$4:$B$1000,ROI_Avions!$A107,GestionLignesDemande!$C$4:$C$1000,ROI_Avions!$C107)</f>
        <v>0</v>
      </c>
      <c r="R107" s="133">
        <f>SUMIFS(GestionLignesDemande!F$4:F$1000,GestionLignesDemande!$B$4:$B$1000,ROI_Avions!$A107,GestionLignesDemande!$C$4:$C$1000,ROI_Avions!$C107)</f>
        <v>0</v>
      </c>
      <c r="S107" s="133">
        <f>SUMIFS(GestionLignesDemande!G$4:G$1000,GestionLignesDemande!$B$4:$B$1000,ROI_Avions!$A107,GestionLignesDemande!$C$4:$C$1000,ROI_Avions!$C107)</f>
        <v>0</v>
      </c>
      <c r="U107" s="8">
        <f t="shared" ref="U107:U121" si="499">SUM(V107:Y107)</f>
        <v>837</v>
      </c>
      <c r="V107" s="8">
        <v>809</v>
      </c>
      <c r="W107" s="8">
        <v>22</v>
      </c>
      <c r="X107" s="8">
        <v>1</v>
      </c>
      <c r="Y107" s="8">
        <v>5</v>
      </c>
      <c r="Z107" s="121"/>
      <c r="AA107" s="132">
        <f t="shared" ref="AA107" si="500">P107-(V107*2)</f>
        <v>-1618</v>
      </c>
      <c r="AB107" s="132">
        <f t="shared" ref="AB107" si="501">Q107-(W107*2)</f>
        <v>-44</v>
      </c>
      <c r="AC107" s="132">
        <f t="shared" ref="AC107" si="502">R107-(X107*2)</f>
        <v>-2</v>
      </c>
      <c r="AD107" s="132">
        <f t="shared" ref="AD107" si="503">S107-(Y107*2)</f>
        <v>-10</v>
      </c>
      <c r="AE107" s="121"/>
      <c r="AF107" s="26">
        <f>SUMIFS(DataPrixBillets!N$1:N$1000,DataPrixBillets!$J$1:$J$1000,ROI_Avions!$A107,DataPrixBillets!$K$1:$K$1000,ROI_Avions!$C107)</f>
        <v>0</v>
      </c>
      <c r="AG107" s="26">
        <f>SUMIFS(DataPrixBillets!O$1:O$1000,DataPrixBillets!$J$1:$J$1000,ROI_Avions!$A107,DataPrixBillets!$K$1:$K$1000,ROI_Avions!$C107)</f>
        <v>0</v>
      </c>
      <c r="AH107" s="26">
        <f>SUMIFS(DataPrixBillets!P$1:P$1000,DataPrixBillets!$J$1:$J$1000,ROI_Avions!$A107,DataPrixBillets!$K$1:$K$1000,ROI_Avions!$C107)</f>
        <v>0</v>
      </c>
      <c r="AI107" s="26">
        <f>SUMIFS(DataPrixBillets!Q$1:Q$1000,DataPrixBillets!$J$1:$J$1000,ROI_Avions!$A107,DataPrixBillets!$K$1:$K$1000,ROI_Avions!$C107)</f>
        <v>0</v>
      </c>
      <c r="AJ107" s="121"/>
      <c r="AK107" s="8">
        <f t="shared" ref="AK107:AK121" si="504">(((AF107*V107)*2+(AG107*W107)*2+(AH107*X107)*2+(AI107*Y107)*2)*7)</f>
        <v>0</v>
      </c>
      <c r="AL107" s="8" t="e">
        <f t="shared" ref="AL107:AL121" ca="1" si="505">AK107-AM107</f>
        <v>#REF!</v>
      </c>
      <c r="AM107" s="8" t="e">
        <f t="shared" ref="AM107:AM121" ca="1" si="506">AK107*$AM$2</f>
        <v>#REF!</v>
      </c>
      <c r="AN107" s="8" t="e">
        <f t="shared" ref="AN107:AN121" ca="1" si="507">AL107*$AN$2</f>
        <v>#REF!</v>
      </c>
      <c r="AO107" s="8" t="e">
        <f t="shared" ref="AO107:AO121" ca="1" si="508">(AL107-AN107-I107)*$AO$2</f>
        <v>#REF!</v>
      </c>
      <c r="AP107" s="8" t="e">
        <f t="shared" ref="AP107:AP121" ca="1" si="509">AL107-AN107-(I107/7)-(AO107/7)</f>
        <v>#REF!</v>
      </c>
      <c r="AQ107" s="8" t="e">
        <f t="shared" ref="AQ107:AQ121" ca="1" si="510">AP107/7</f>
        <v>#REF!</v>
      </c>
      <c r="AR107" s="190">
        <f t="shared" ca="1" si="475"/>
        <v>0</v>
      </c>
      <c r="AS107" s="120">
        <f t="shared" ca="1" si="476"/>
        <v>0</v>
      </c>
      <c r="AT107" s="8" t="e">
        <f t="shared" ref="AT107:AT121" ca="1" si="511">IF(K107&gt;=1,AP107*K107,AP107*$AT$1)</f>
        <v>#REF!</v>
      </c>
    </row>
    <row r="108" spans="1:55" s="188" customFormat="1" x14ac:dyDescent="0.3">
      <c r="A108" s="150" t="s">
        <v>729</v>
      </c>
      <c r="B108" s="151">
        <v>444321612</v>
      </c>
      <c r="C108" s="150" t="s">
        <v>995</v>
      </c>
      <c r="D108" s="145" t="str">
        <f t="shared" si="280"/>
        <v>FNA/PEK</v>
      </c>
      <c r="E108" s="151">
        <v>17753420</v>
      </c>
      <c r="F108" s="152" t="str">
        <f>"A380-A-"&amp;A108&amp;"-"&amp;C108&amp;"-"&amp;2</f>
        <v>A380-A-FNA-PEK-2</v>
      </c>
      <c r="G108" s="151">
        <v>362700000</v>
      </c>
      <c r="H108" s="116"/>
      <c r="I108" s="8">
        <v>0</v>
      </c>
      <c r="J108" s="8">
        <v>0</v>
      </c>
      <c r="K108" s="8">
        <v>0</v>
      </c>
      <c r="L108" s="53"/>
      <c r="M108" s="53"/>
      <c r="N108" s="116"/>
      <c r="O108" s="140"/>
      <c r="P108" s="133">
        <f>SUMIFS(GestionLignesDemande!D$4:D$1000,GestionLignesDemande!$B$4:$B$1000,ROI_Avions!$A108,GestionLignesDemande!$C$4:$C$1000,ROI_Avions!$C108)</f>
        <v>0</v>
      </c>
      <c r="Q108" s="133">
        <f>SUMIFS(GestionLignesDemande!E$4:E$1000,GestionLignesDemande!$B$4:$B$1000,ROI_Avions!$A108,GestionLignesDemande!$C$4:$C$1000,ROI_Avions!$C108)</f>
        <v>0</v>
      </c>
      <c r="R108" s="133">
        <f>SUMIFS(GestionLignesDemande!F$4:F$1000,GestionLignesDemande!$B$4:$B$1000,ROI_Avions!$A108,GestionLignesDemande!$C$4:$C$1000,ROI_Avions!$C108)</f>
        <v>0</v>
      </c>
      <c r="S108" s="133">
        <f>SUMIFS(GestionLignesDemande!G$4:G$1000,GestionLignesDemande!$B$4:$B$1000,ROI_Avions!$A108,GestionLignesDemande!$C$4:$C$1000,ROI_Avions!$C108)</f>
        <v>0</v>
      </c>
      <c r="T108" s="116"/>
      <c r="U108" s="8">
        <f t="shared" si="499"/>
        <v>837</v>
      </c>
      <c r="V108" s="8">
        <v>809</v>
      </c>
      <c r="W108" s="8">
        <v>22</v>
      </c>
      <c r="X108" s="8">
        <v>1</v>
      </c>
      <c r="Y108" s="8">
        <v>5</v>
      </c>
      <c r="Z108" s="121"/>
      <c r="AA108" s="132">
        <f t="shared" ref="AA108" si="512">AA107-V108*2</f>
        <v>-3236</v>
      </c>
      <c r="AB108" s="132">
        <f t="shared" ref="AB108" si="513">AB107-W108*2</f>
        <v>-88</v>
      </c>
      <c r="AC108" s="132">
        <f t="shared" ref="AC108" si="514">AC107-X108*2</f>
        <v>-4</v>
      </c>
      <c r="AD108" s="132">
        <f t="shared" ref="AD108" si="515">AD107-Y108*2</f>
        <v>-20</v>
      </c>
      <c r="AE108" s="121"/>
      <c r="AF108" s="26">
        <f>SUMIFS(DataPrixBillets!N$1:N$1000,DataPrixBillets!$J$1:$J$1000,ROI_Avions!$A108,DataPrixBillets!$K$1:$K$1000,ROI_Avions!$C108)</f>
        <v>0</v>
      </c>
      <c r="AG108" s="26">
        <f>SUMIFS(DataPrixBillets!O$1:O$1000,DataPrixBillets!$J$1:$J$1000,ROI_Avions!$A108,DataPrixBillets!$K$1:$K$1000,ROI_Avions!$C108)</f>
        <v>0</v>
      </c>
      <c r="AH108" s="26">
        <f>SUMIFS(DataPrixBillets!P$1:P$1000,DataPrixBillets!$J$1:$J$1000,ROI_Avions!$A108,DataPrixBillets!$K$1:$K$1000,ROI_Avions!$C108)</f>
        <v>0</v>
      </c>
      <c r="AI108" s="26">
        <f>SUMIFS(DataPrixBillets!Q$1:Q$1000,DataPrixBillets!$J$1:$J$1000,ROI_Avions!$A108,DataPrixBillets!$K$1:$K$1000,ROI_Avions!$C108)</f>
        <v>0</v>
      </c>
      <c r="AJ108" s="121"/>
      <c r="AK108" s="8">
        <f t="shared" si="504"/>
        <v>0</v>
      </c>
      <c r="AL108" s="8" t="e">
        <f t="shared" ca="1" si="505"/>
        <v>#REF!</v>
      </c>
      <c r="AM108" s="8" t="e">
        <f t="shared" ca="1" si="506"/>
        <v>#REF!</v>
      </c>
      <c r="AN108" s="8" t="e">
        <f t="shared" ca="1" si="507"/>
        <v>#REF!</v>
      </c>
      <c r="AO108" s="8" t="e">
        <f t="shared" ca="1" si="508"/>
        <v>#REF!</v>
      </c>
      <c r="AP108" s="8" t="e">
        <f t="shared" ca="1" si="509"/>
        <v>#REF!</v>
      </c>
      <c r="AQ108" s="8" t="e">
        <f t="shared" ca="1" si="510"/>
        <v>#REF!</v>
      </c>
      <c r="AR108" s="190">
        <f t="shared" ca="1" si="475"/>
        <v>0</v>
      </c>
      <c r="AS108" s="120">
        <f t="shared" ca="1" si="476"/>
        <v>0</v>
      </c>
      <c r="AT108" s="8" t="e">
        <f t="shared" ca="1" si="511"/>
        <v>#REF!</v>
      </c>
      <c r="AV108"/>
      <c r="AW108"/>
      <c r="AX108"/>
      <c r="AY108"/>
      <c r="BA108"/>
      <c r="BB108"/>
      <c r="BC108"/>
    </row>
    <row r="109" spans="1:55" s="188" customFormat="1" x14ac:dyDescent="0.3">
      <c r="A109" s="150" t="s">
        <v>729</v>
      </c>
      <c r="B109" s="151">
        <v>444321612</v>
      </c>
      <c r="C109" s="150" t="s">
        <v>995</v>
      </c>
      <c r="D109" s="145" t="str">
        <f t="shared" si="280"/>
        <v>FNA/PEK</v>
      </c>
      <c r="E109" s="151">
        <v>17753420</v>
      </c>
      <c r="F109" s="152" t="str">
        <f>"A380-A-"&amp;A109&amp;"-"&amp;C109&amp;"-"&amp;3</f>
        <v>A380-A-FNA-PEK-3</v>
      </c>
      <c r="G109" s="151">
        <v>362700000</v>
      </c>
      <c r="H109" s="116"/>
      <c r="I109" s="8">
        <v>0</v>
      </c>
      <c r="J109" s="8">
        <v>0</v>
      </c>
      <c r="K109" s="8">
        <v>0</v>
      </c>
      <c r="L109" s="53"/>
      <c r="M109" s="53"/>
      <c r="N109" s="116"/>
      <c r="O109" s="140"/>
      <c r="P109" s="133">
        <f>SUMIFS(GestionLignesDemande!D$4:D$1000,GestionLignesDemande!$B$4:$B$1000,ROI_Avions!$A109,GestionLignesDemande!$C$4:$C$1000,ROI_Avions!$C109)</f>
        <v>0</v>
      </c>
      <c r="Q109" s="133">
        <f>SUMIFS(GestionLignesDemande!E$4:E$1000,GestionLignesDemande!$B$4:$B$1000,ROI_Avions!$A109,GestionLignesDemande!$C$4:$C$1000,ROI_Avions!$C109)</f>
        <v>0</v>
      </c>
      <c r="R109" s="133">
        <f>SUMIFS(GestionLignesDemande!F$4:F$1000,GestionLignesDemande!$B$4:$B$1000,ROI_Avions!$A109,GestionLignesDemande!$C$4:$C$1000,ROI_Avions!$C109)</f>
        <v>0</v>
      </c>
      <c r="S109" s="133">
        <f>SUMIFS(GestionLignesDemande!G$4:G$1000,GestionLignesDemande!$B$4:$B$1000,ROI_Avions!$A109,GestionLignesDemande!$C$4:$C$1000,ROI_Avions!$C109)</f>
        <v>0</v>
      </c>
      <c r="T109" s="116"/>
      <c r="U109" s="8">
        <f t="shared" si="499"/>
        <v>837</v>
      </c>
      <c r="V109" s="8">
        <v>809</v>
      </c>
      <c r="W109" s="8">
        <v>22</v>
      </c>
      <c r="X109" s="8">
        <v>1</v>
      </c>
      <c r="Y109" s="8">
        <v>5</v>
      </c>
      <c r="Z109" s="121"/>
      <c r="AA109" s="132">
        <f t="shared" ref="AA109" si="516">AA108-V109*2</f>
        <v>-4854</v>
      </c>
      <c r="AB109" s="132">
        <f t="shared" ref="AB109" si="517">AB108-W109*2</f>
        <v>-132</v>
      </c>
      <c r="AC109" s="132">
        <f t="shared" ref="AC109" si="518">AC108-X109*2</f>
        <v>-6</v>
      </c>
      <c r="AD109" s="132">
        <f t="shared" ref="AD109" si="519">AD108-Y109*2</f>
        <v>-30</v>
      </c>
      <c r="AE109" s="121"/>
      <c r="AF109" s="26">
        <f>SUMIFS(DataPrixBillets!N$1:N$1000,DataPrixBillets!$J$1:$J$1000,ROI_Avions!$A109,DataPrixBillets!$K$1:$K$1000,ROI_Avions!$C109)</f>
        <v>0</v>
      </c>
      <c r="AG109" s="26">
        <f>SUMIFS(DataPrixBillets!O$1:O$1000,DataPrixBillets!$J$1:$J$1000,ROI_Avions!$A109,DataPrixBillets!$K$1:$K$1000,ROI_Avions!$C109)</f>
        <v>0</v>
      </c>
      <c r="AH109" s="26">
        <f>SUMIFS(DataPrixBillets!P$1:P$1000,DataPrixBillets!$J$1:$J$1000,ROI_Avions!$A109,DataPrixBillets!$K$1:$K$1000,ROI_Avions!$C109)</f>
        <v>0</v>
      </c>
      <c r="AI109" s="26">
        <f>SUMIFS(DataPrixBillets!Q$1:Q$1000,DataPrixBillets!$J$1:$J$1000,ROI_Avions!$A109,DataPrixBillets!$K$1:$K$1000,ROI_Avions!$C109)</f>
        <v>0</v>
      </c>
      <c r="AJ109" s="121"/>
      <c r="AK109" s="8">
        <f t="shared" si="504"/>
        <v>0</v>
      </c>
      <c r="AL109" s="8" t="e">
        <f t="shared" ca="1" si="505"/>
        <v>#REF!</v>
      </c>
      <c r="AM109" s="8" t="e">
        <f t="shared" ca="1" si="506"/>
        <v>#REF!</v>
      </c>
      <c r="AN109" s="8" t="e">
        <f t="shared" ca="1" si="507"/>
        <v>#REF!</v>
      </c>
      <c r="AO109" s="8" t="e">
        <f t="shared" ca="1" si="508"/>
        <v>#REF!</v>
      </c>
      <c r="AP109" s="8" t="e">
        <f t="shared" ca="1" si="509"/>
        <v>#REF!</v>
      </c>
      <c r="AQ109" s="8" t="e">
        <f t="shared" ca="1" si="510"/>
        <v>#REF!</v>
      </c>
      <c r="AR109" s="190">
        <f t="shared" ca="1" si="475"/>
        <v>0</v>
      </c>
      <c r="AS109" s="120">
        <f t="shared" ca="1" si="476"/>
        <v>0</v>
      </c>
      <c r="AT109" s="8" t="e">
        <f t="shared" ca="1" si="511"/>
        <v>#REF!</v>
      </c>
      <c r="AV109"/>
      <c r="AW109"/>
      <c r="AX109"/>
      <c r="AY109"/>
      <c r="BA109"/>
      <c r="BB109"/>
      <c r="BC109"/>
    </row>
    <row r="110" spans="1:55" s="185" customFormat="1" x14ac:dyDescent="0.3">
      <c r="A110" s="150" t="s">
        <v>729</v>
      </c>
      <c r="B110" s="151">
        <v>444321612</v>
      </c>
      <c r="C110" s="150" t="s">
        <v>1006</v>
      </c>
      <c r="D110" s="145" t="str">
        <f t="shared" si="280"/>
        <v>FNA/CAN</v>
      </c>
      <c r="E110" s="151">
        <v>21830426</v>
      </c>
      <c r="F110" s="152" t="str">
        <f>"A380-A-"&amp;A110&amp;"-"&amp;C110&amp;"-"&amp;1</f>
        <v>A380-A-FNA-CAN-1</v>
      </c>
      <c r="G110" s="151">
        <v>362700000</v>
      </c>
      <c r="H110" s="116"/>
      <c r="I110" s="8">
        <v>0</v>
      </c>
      <c r="J110" s="8">
        <v>0</v>
      </c>
      <c r="K110" s="8">
        <v>0</v>
      </c>
      <c r="L110" s="53"/>
      <c r="M110" s="53"/>
      <c r="N110" s="116"/>
      <c r="O110" s="140"/>
      <c r="P110" s="133">
        <f>SUMIFS(GestionLignesDemande!D$4:D$1000,GestionLignesDemande!$B$4:$B$1000,ROI_Avions!$A110,GestionLignesDemande!$C$4:$C$1000,ROI_Avions!$C110)</f>
        <v>0</v>
      </c>
      <c r="Q110" s="133">
        <f>SUMIFS(GestionLignesDemande!E$4:E$1000,GestionLignesDemande!$B$4:$B$1000,ROI_Avions!$A110,GestionLignesDemande!$C$4:$C$1000,ROI_Avions!$C110)</f>
        <v>0</v>
      </c>
      <c r="R110" s="133">
        <f>SUMIFS(GestionLignesDemande!F$4:F$1000,GestionLignesDemande!$B$4:$B$1000,ROI_Avions!$A110,GestionLignesDemande!$C$4:$C$1000,ROI_Avions!$C110)</f>
        <v>0</v>
      </c>
      <c r="S110" s="133">
        <f>SUMIFS(GestionLignesDemande!G$4:G$1000,GestionLignesDemande!$B$4:$B$1000,ROI_Avions!$A110,GestionLignesDemande!$C$4:$C$1000,ROI_Avions!$C110)</f>
        <v>0</v>
      </c>
      <c r="T110" s="116"/>
      <c r="U110" s="8">
        <f t="shared" si="499"/>
        <v>837</v>
      </c>
      <c r="V110" s="8">
        <v>809</v>
      </c>
      <c r="W110" s="8">
        <v>22</v>
      </c>
      <c r="X110" s="8">
        <v>1</v>
      </c>
      <c r="Y110" s="8">
        <v>5</v>
      </c>
      <c r="Z110" s="121"/>
      <c r="AA110" s="132">
        <f t="shared" ref="AA110" si="520">P110-(V110*2)</f>
        <v>-1618</v>
      </c>
      <c r="AB110" s="132">
        <f t="shared" ref="AB110" si="521">Q110-(W110*2)</f>
        <v>-44</v>
      </c>
      <c r="AC110" s="132">
        <f t="shared" ref="AC110" si="522">R110-(X110*2)</f>
        <v>-2</v>
      </c>
      <c r="AD110" s="132">
        <f t="shared" ref="AD110" si="523">S110-(Y110*2)</f>
        <v>-10</v>
      </c>
      <c r="AE110" s="121"/>
      <c r="AF110" s="26">
        <f>SUMIFS(DataPrixBillets!N$1:N$1000,DataPrixBillets!$J$1:$J$1000,ROI_Avions!$A110,DataPrixBillets!$K$1:$K$1000,ROI_Avions!$C110)</f>
        <v>0</v>
      </c>
      <c r="AG110" s="26">
        <f>SUMIFS(DataPrixBillets!O$1:O$1000,DataPrixBillets!$J$1:$J$1000,ROI_Avions!$A110,DataPrixBillets!$K$1:$K$1000,ROI_Avions!$C110)</f>
        <v>0</v>
      </c>
      <c r="AH110" s="26">
        <f>SUMIFS(DataPrixBillets!P$1:P$1000,DataPrixBillets!$J$1:$J$1000,ROI_Avions!$A110,DataPrixBillets!$K$1:$K$1000,ROI_Avions!$C110)</f>
        <v>0</v>
      </c>
      <c r="AI110" s="26">
        <f>SUMIFS(DataPrixBillets!Q$1:Q$1000,DataPrixBillets!$J$1:$J$1000,ROI_Avions!$A110,DataPrixBillets!$K$1:$K$1000,ROI_Avions!$C110)</f>
        <v>0</v>
      </c>
      <c r="AJ110" s="121"/>
      <c r="AK110" s="8">
        <f t="shared" si="504"/>
        <v>0</v>
      </c>
      <c r="AL110" s="8" t="e">
        <f t="shared" ca="1" si="505"/>
        <v>#REF!</v>
      </c>
      <c r="AM110" s="8" t="e">
        <f t="shared" ca="1" si="506"/>
        <v>#REF!</v>
      </c>
      <c r="AN110" s="8" t="e">
        <f t="shared" ca="1" si="507"/>
        <v>#REF!</v>
      </c>
      <c r="AO110" s="8" t="e">
        <f t="shared" ca="1" si="508"/>
        <v>#REF!</v>
      </c>
      <c r="AP110" s="8" t="e">
        <f t="shared" ca="1" si="509"/>
        <v>#REF!</v>
      </c>
      <c r="AQ110" s="8" t="e">
        <f t="shared" ca="1" si="510"/>
        <v>#REF!</v>
      </c>
      <c r="AR110" s="190">
        <f t="shared" ca="1" si="475"/>
        <v>0</v>
      </c>
      <c r="AS110" s="120">
        <f t="shared" ca="1" si="476"/>
        <v>0</v>
      </c>
      <c r="AT110" s="8" t="e">
        <f t="shared" ca="1" si="511"/>
        <v>#REF!</v>
      </c>
      <c r="AV110"/>
      <c r="AW110"/>
      <c r="AX110"/>
      <c r="AY110"/>
      <c r="BA110"/>
      <c r="BB110"/>
      <c r="BC110"/>
    </row>
    <row r="111" spans="1:55" s="188" customFormat="1" x14ac:dyDescent="0.3">
      <c r="A111" s="150" t="s">
        <v>729</v>
      </c>
      <c r="B111" s="151">
        <v>444321612</v>
      </c>
      <c r="C111" s="150" t="s">
        <v>1006</v>
      </c>
      <c r="D111" s="145" t="str">
        <f t="shared" si="280"/>
        <v>FNA/CAN</v>
      </c>
      <c r="E111" s="151">
        <v>21830426</v>
      </c>
      <c r="F111" s="152" t="str">
        <f>"A380-A-"&amp;A111&amp;"-"&amp;C111&amp;"-"&amp;2</f>
        <v>A380-A-FNA-CAN-2</v>
      </c>
      <c r="G111" s="151">
        <v>362700000</v>
      </c>
      <c r="H111" s="116"/>
      <c r="I111" s="8">
        <v>0</v>
      </c>
      <c r="J111" s="8">
        <v>0</v>
      </c>
      <c r="K111" s="8">
        <v>0</v>
      </c>
      <c r="L111" s="53"/>
      <c r="M111" s="53"/>
      <c r="N111" s="116"/>
      <c r="O111" s="140"/>
      <c r="P111" s="133">
        <f>SUMIFS(GestionLignesDemande!D$4:D$1000,GestionLignesDemande!$B$4:$B$1000,ROI_Avions!$A111,GestionLignesDemande!$C$4:$C$1000,ROI_Avions!$C111)</f>
        <v>0</v>
      </c>
      <c r="Q111" s="133">
        <f>SUMIFS(GestionLignesDemande!E$4:E$1000,GestionLignesDemande!$B$4:$B$1000,ROI_Avions!$A111,GestionLignesDemande!$C$4:$C$1000,ROI_Avions!$C111)</f>
        <v>0</v>
      </c>
      <c r="R111" s="133">
        <f>SUMIFS(GestionLignesDemande!F$4:F$1000,GestionLignesDemande!$B$4:$B$1000,ROI_Avions!$A111,GestionLignesDemande!$C$4:$C$1000,ROI_Avions!$C111)</f>
        <v>0</v>
      </c>
      <c r="S111" s="133">
        <f>SUMIFS(GestionLignesDemande!G$4:G$1000,GestionLignesDemande!$B$4:$B$1000,ROI_Avions!$A111,GestionLignesDemande!$C$4:$C$1000,ROI_Avions!$C111)</f>
        <v>0</v>
      </c>
      <c r="T111" s="116"/>
      <c r="U111" s="8">
        <f t="shared" si="499"/>
        <v>837</v>
      </c>
      <c r="V111" s="8">
        <v>809</v>
      </c>
      <c r="W111" s="8">
        <v>22</v>
      </c>
      <c r="X111" s="8">
        <v>1</v>
      </c>
      <c r="Y111" s="8">
        <v>5</v>
      </c>
      <c r="Z111" s="121"/>
      <c r="AA111" s="132">
        <f t="shared" ref="AA111:AA112" si="524">AA110-V111*2</f>
        <v>-3236</v>
      </c>
      <c r="AB111" s="132">
        <f t="shared" ref="AB111:AB112" si="525">AB110-W111*2</f>
        <v>-88</v>
      </c>
      <c r="AC111" s="132">
        <f t="shared" ref="AC111:AC112" si="526">AC110-X111*2</f>
        <v>-4</v>
      </c>
      <c r="AD111" s="132">
        <f t="shared" ref="AD111:AD112" si="527">AD110-Y111*2</f>
        <v>-20</v>
      </c>
      <c r="AE111" s="121"/>
      <c r="AF111" s="26">
        <f>SUMIFS(DataPrixBillets!N$1:N$1000,DataPrixBillets!$J$1:$J$1000,ROI_Avions!$A111,DataPrixBillets!$K$1:$K$1000,ROI_Avions!$C111)</f>
        <v>0</v>
      </c>
      <c r="AG111" s="26">
        <f>SUMIFS(DataPrixBillets!O$1:O$1000,DataPrixBillets!$J$1:$J$1000,ROI_Avions!$A111,DataPrixBillets!$K$1:$K$1000,ROI_Avions!$C111)</f>
        <v>0</v>
      </c>
      <c r="AH111" s="26">
        <f>SUMIFS(DataPrixBillets!P$1:P$1000,DataPrixBillets!$J$1:$J$1000,ROI_Avions!$A111,DataPrixBillets!$K$1:$K$1000,ROI_Avions!$C111)</f>
        <v>0</v>
      </c>
      <c r="AI111" s="26">
        <f>SUMIFS(DataPrixBillets!Q$1:Q$1000,DataPrixBillets!$J$1:$J$1000,ROI_Avions!$A111,DataPrixBillets!$K$1:$K$1000,ROI_Avions!$C111)</f>
        <v>0</v>
      </c>
      <c r="AJ111" s="121"/>
      <c r="AK111" s="8">
        <f t="shared" si="504"/>
        <v>0</v>
      </c>
      <c r="AL111" s="8" t="e">
        <f t="shared" ca="1" si="505"/>
        <v>#REF!</v>
      </c>
      <c r="AM111" s="8" t="e">
        <f t="shared" ca="1" si="506"/>
        <v>#REF!</v>
      </c>
      <c r="AN111" s="8" t="e">
        <f t="shared" ca="1" si="507"/>
        <v>#REF!</v>
      </c>
      <c r="AO111" s="8" t="e">
        <f t="shared" ca="1" si="508"/>
        <v>#REF!</v>
      </c>
      <c r="AP111" s="8" t="e">
        <f t="shared" ca="1" si="509"/>
        <v>#REF!</v>
      </c>
      <c r="AQ111" s="8" t="e">
        <f t="shared" ca="1" si="510"/>
        <v>#REF!</v>
      </c>
      <c r="AR111" s="190">
        <f t="shared" ca="1" si="475"/>
        <v>0</v>
      </c>
      <c r="AS111" s="120">
        <f t="shared" ca="1" si="476"/>
        <v>0</v>
      </c>
      <c r="AT111" s="8" t="e">
        <f t="shared" ca="1" si="511"/>
        <v>#REF!</v>
      </c>
      <c r="AV111"/>
      <c r="AW111"/>
      <c r="AX111"/>
      <c r="AY111"/>
    </row>
    <row r="112" spans="1:55" s="188" customFormat="1" x14ac:dyDescent="0.3">
      <c r="A112" s="150" t="s">
        <v>729</v>
      </c>
      <c r="B112" s="151">
        <v>444321612</v>
      </c>
      <c r="C112" s="150" t="s">
        <v>1006</v>
      </c>
      <c r="D112" s="145" t="str">
        <f t="shared" si="280"/>
        <v>FNA/CAN</v>
      </c>
      <c r="E112" s="151">
        <v>21830426</v>
      </c>
      <c r="F112" s="152" t="str">
        <f>"A380-A-"&amp;A112&amp;"-"&amp;C112&amp;"-"&amp;3</f>
        <v>A380-A-FNA-CAN-3</v>
      </c>
      <c r="G112" s="151">
        <v>362700000</v>
      </c>
      <c r="H112" s="116"/>
      <c r="I112" s="8">
        <v>0</v>
      </c>
      <c r="J112" s="8">
        <v>0</v>
      </c>
      <c r="K112" s="8">
        <v>0</v>
      </c>
      <c r="L112" s="53"/>
      <c r="M112" s="53"/>
      <c r="N112" s="116"/>
      <c r="O112" s="140"/>
      <c r="P112" s="133">
        <f>SUMIFS(GestionLignesDemande!D$4:D$1000,GestionLignesDemande!$B$4:$B$1000,ROI_Avions!$A112,GestionLignesDemande!$C$4:$C$1000,ROI_Avions!$C112)</f>
        <v>0</v>
      </c>
      <c r="Q112" s="133">
        <f>SUMIFS(GestionLignesDemande!E$4:E$1000,GestionLignesDemande!$B$4:$B$1000,ROI_Avions!$A112,GestionLignesDemande!$C$4:$C$1000,ROI_Avions!$C112)</f>
        <v>0</v>
      </c>
      <c r="R112" s="133">
        <f>SUMIFS(GestionLignesDemande!F$4:F$1000,GestionLignesDemande!$B$4:$B$1000,ROI_Avions!$A112,GestionLignesDemande!$C$4:$C$1000,ROI_Avions!$C112)</f>
        <v>0</v>
      </c>
      <c r="S112" s="133">
        <f>SUMIFS(GestionLignesDemande!G$4:G$1000,GestionLignesDemande!$B$4:$B$1000,ROI_Avions!$A112,GestionLignesDemande!$C$4:$C$1000,ROI_Avions!$C112)</f>
        <v>0</v>
      </c>
      <c r="T112" s="116"/>
      <c r="U112" s="8">
        <f t="shared" si="499"/>
        <v>837</v>
      </c>
      <c r="V112" s="8">
        <v>809</v>
      </c>
      <c r="W112" s="8">
        <v>22</v>
      </c>
      <c r="X112" s="8">
        <v>1</v>
      </c>
      <c r="Y112" s="8">
        <v>5</v>
      </c>
      <c r="Z112" s="121"/>
      <c r="AA112" s="132">
        <f t="shared" si="524"/>
        <v>-4854</v>
      </c>
      <c r="AB112" s="132">
        <f t="shared" si="525"/>
        <v>-132</v>
      </c>
      <c r="AC112" s="132">
        <f t="shared" si="526"/>
        <v>-6</v>
      </c>
      <c r="AD112" s="132">
        <f t="shared" si="527"/>
        <v>-30</v>
      </c>
      <c r="AE112" s="121"/>
      <c r="AF112" s="26">
        <f>SUMIFS(DataPrixBillets!N$1:N$1000,DataPrixBillets!$J$1:$J$1000,ROI_Avions!$A112,DataPrixBillets!$K$1:$K$1000,ROI_Avions!$C112)</f>
        <v>0</v>
      </c>
      <c r="AG112" s="26">
        <f>SUMIFS(DataPrixBillets!O$1:O$1000,DataPrixBillets!$J$1:$J$1000,ROI_Avions!$A112,DataPrixBillets!$K$1:$K$1000,ROI_Avions!$C112)</f>
        <v>0</v>
      </c>
      <c r="AH112" s="26">
        <f>SUMIFS(DataPrixBillets!P$1:P$1000,DataPrixBillets!$J$1:$J$1000,ROI_Avions!$A112,DataPrixBillets!$K$1:$K$1000,ROI_Avions!$C112)</f>
        <v>0</v>
      </c>
      <c r="AI112" s="26">
        <f>SUMIFS(DataPrixBillets!Q$1:Q$1000,DataPrixBillets!$J$1:$J$1000,ROI_Avions!$A112,DataPrixBillets!$K$1:$K$1000,ROI_Avions!$C112)</f>
        <v>0</v>
      </c>
      <c r="AJ112" s="121"/>
      <c r="AK112" s="8">
        <f t="shared" si="504"/>
        <v>0</v>
      </c>
      <c r="AL112" s="8" t="e">
        <f t="shared" ca="1" si="505"/>
        <v>#REF!</v>
      </c>
      <c r="AM112" s="8" t="e">
        <f t="shared" ca="1" si="506"/>
        <v>#REF!</v>
      </c>
      <c r="AN112" s="8" t="e">
        <f t="shared" ca="1" si="507"/>
        <v>#REF!</v>
      </c>
      <c r="AO112" s="8" t="e">
        <f t="shared" ca="1" si="508"/>
        <v>#REF!</v>
      </c>
      <c r="AP112" s="8" t="e">
        <f t="shared" ca="1" si="509"/>
        <v>#REF!</v>
      </c>
      <c r="AQ112" s="8" t="e">
        <f t="shared" ca="1" si="510"/>
        <v>#REF!</v>
      </c>
      <c r="AR112" s="190">
        <f t="shared" ca="1" si="475"/>
        <v>0</v>
      </c>
      <c r="AS112" s="120">
        <f t="shared" ca="1" si="476"/>
        <v>0</v>
      </c>
      <c r="AT112" s="8" t="e">
        <f t="shared" ca="1" si="511"/>
        <v>#REF!</v>
      </c>
    </row>
    <row r="113" spans="1:55" s="185" customFormat="1" x14ac:dyDescent="0.3">
      <c r="A113" s="150" t="s">
        <v>729</v>
      </c>
      <c r="B113" s="151">
        <v>444321612</v>
      </c>
      <c r="C113" s="150" t="s">
        <v>1005</v>
      </c>
      <c r="D113" s="145" t="str">
        <f t="shared" si="280"/>
        <v>FNA/HKG</v>
      </c>
      <c r="E113" s="151">
        <v>26205348</v>
      </c>
      <c r="F113" s="152" t="str">
        <f>"A380-A-"&amp;A113&amp;"-"&amp;C113&amp;"-"&amp;1</f>
        <v>A380-A-FNA-HKG-1</v>
      </c>
      <c r="G113" s="151">
        <v>362700000</v>
      </c>
      <c r="H113" s="116"/>
      <c r="I113" s="8">
        <v>0</v>
      </c>
      <c r="J113" s="8">
        <v>0</v>
      </c>
      <c r="K113" s="8">
        <v>0</v>
      </c>
      <c r="L113" s="53"/>
      <c r="M113" s="53"/>
      <c r="N113" s="116"/>
      <c r="O113" s="140"/>
      <c r="P113" s="133">
        <f>SUMIFS(GestionLignesDemande!D$4:D$1000,GestionLignesDemande!$B$4:$B$1000,ROI_Avions!$A113,GestionLignesDemande!$C$4:$C$1000,ROI_Avions!$C113)</f>
        <v>0</v>
      </c>
      <c r="Q113" s="133">
        <f>SUMIFS(GestionLignesDemande!E$4:E$1000,GestionLignesDemande!$B$4:$B$1000,ROI_Avions!$A113,GestionLignesDemande!$C$4:$C$1000,ROI_Avions!$C113)</f>
        <v>0</v>
      </c>
      <c r="R113" s="133">
        <f>SUMIFS(GestionLignesDemande!F$4:F$1000,GestionLignesDemande!$B$4:$B$1000,ROI_Avions!$A113,GestionLignesDemande!$C$4:$C$1000,ROI_Avions!$C113)</f>
        <v>0</v>
      </c>
      <c r="S113" s="133">
        <f>SUMIFS(GestionLignesDemande!G$4:G$1000,GestionLignesDemande!$B$4:$B$1000,ROI_Avions!$A113,GestionLignesDemande!$C$4:$C$1000,ROI_Avions!$C113)</f>
        <v>0</v>
      </c>
      <c r="T113" s="116"/>
      <c r="U113" s="8">
        <f t="shared" si="499"/>
        <v>837</v>
      </c>
      <c r="V113" s="8">
        <v>809</v>
      </c>
      <c r="W113" s="8">
        <v>22</v>
      </c>
      <c r="X113" s="8">
        <v>1</v>
      </c>
      <c r="Y113" s="8">
        <v>5</v>
      </c>
      <c r="Z113" s="121"/>
      <c r="AA113" s="132">
        <f t="shared" ref="AA113" si="528">P113-(V113*2)</f>
        <v>-1618</v>
      </c>
      <c r="AB113" s="132">
        <f t="shared" ref="AB113" si="529">Q113-(W113*2)</f>
        <v>-44</v>
      </c>
      <c r="AC113" s="132">
        <f t="shared" ref="AC113" si="530">R113-(X113*2)</f>
        <v>-2</v>
      </c>
      <c r="AD113" s="132">
        <f t="shared" ref="AD113" si="531">S113-(Y113*2)</f>
        <v>-10</v>
      </c>
      <c r="AE113" s="121"/>
      <c r="AF113" s="26">
        <f>SUMIFS(DataPrixBillets!N$1:N$1000,DataPrixBillets!$J$1:$J$1000,ROI_Avions!$A113,DataPrixBillets!$K$1:$K$1000,ROI_Avions!$C113)</f>
        <v>0</v>
      </c>
      <c r="AG113" s="26">
        <f>SUMIFS(DataPrixBillets!O$1:O$1000,DataPrixBillets!$J$1:$J$1000,ROI_Avions!$A113,DataPrixBillets!$K$1:$K$1000,ROI_Avions!$C113)</f>
        <v>0</v>
      </c>
      <c r="AH113" s="26">
        <f>SUMIFS(DataPrixBillets!P$1:P$1000,DataPrixBillets!$J$1:$J$1000,ROI_Avions!$A113,DataPrixBillets!$K$1:$K$1000,ROI_Avions!$C113)</f>
        <v>0</v>
      </c>
      <c r="AI113" s="26">
        <f>SUMIFS(DataPrixBillets!Q$1:Q$1000,DataPrixBillets!$J$1:$J$1000,ROI_Avions!$A113,DataPrixBillets!$K$1:$K$1000,ROI_Avions!$C113)</f>
        <v>0</v>
      </c>
      <c r="AJ113" s="121"/>
      <c r="AK113" s="8">
        <f t="shared" si="504"/>
        <v>0</v>
      </c>
      <c r="AL113" s="8" t="e">
        <f t="shared" ca="1" si="505"/>
        <v>#REF!</v>
      </c>
      <c r="AM113" s="8" t="e">
        <f t="shared" ca="1" si="506"/>
        <v>#REF!</v>
      </c>
      <c r="AN113" s="8" t="e">
        <f t="shared" ca="1" si="507"/>
        <v>#REF!</v>
      </c>
      <c r="AO113" s="8" t="e">
        <f t="shared" ca="1" si="508"/>
        <v>#REF!</v>
      </c>
      <c r="AP113" s="8" t="e">
        <f t="shared" ca="1" si="509"/>
        <v>#REF!</v>
      </c>
      <c r="AQ113" s="8" t="e">
        <f t="shared" ca="1" si="510"/>
        <v>#REF!</v>
      </c>
      <c r="AR113" s="190">
        <f t="shared" ca="1" si="475"/>
        <v>0</v>
      </c>
      <c r="AS113" s="120">
        <f t="shared" ca="1" si="476"/>
        <v>0</v>
      </c>
      <c r="AT113" s="8" t="e">
        <f t="shared" ca="1" si="511"/>
        <v>#REF!</v>
      </c>
      <c r="AV113" s="188"/>
      <c r="AW113" s="188"/>
      <c r="AX113" s="188"/>
      <c r="AY113" s="188"/>
    </row>
    <row r="114" spans="1:55" s="188" customFormat="1" x14ac:dyDescent="0.3">
      <c r="A114" s="150" t="s">
        <v>729</v>
      </c>
      <c r="B114" s="151">
        <v>444321612</v>
      </c>
      <c r="C114" s="150" t="s">
        <v>1005</v>
      </c>
      <c r="D114" s="145" t="str">
        <f t="shared" si="280"/>
        <v>FNA/HKG</v>
      </c>
      <c r="E114" s="151">
        <v>26205348</v>
      </c>
      <c r="F114" s="152" t="str">
        <f>"A380-A-"&amp;A114&amp;"-"&amp;C114&amp;"-"&amp;2</f>
        <v>A380-A-FNA-HKG-2</v>
      </c>
      <c r="G114" s="151">
        <v>362700000</v>
      </c>
      <c r="H114" s="116"/>
      <c r="I114" s="8">
        <v>0</v>
      </c>
      <c r="J114" s="8">
        <v>0</v>
      </c>
      <c r="K114" s="8">
        <v>0</v>
      </c>
      <c r="L114" s="53"/>
      <c r="M114" s="53"/>
      <c r="N114" s="116"/>
      <c r="O114" s="140"/>
      <c r="P114" s="133">
        <f>SUMIFS(GestionLignesDemande!D$4:D$1000,GestionLignesDemande!$B$4:$B$1000,ROI_Avions!$A114,GestionLignesDemande!$C$4:$C$1000,ROI_Avions!$C114)</f>
        <v>0</v>
      </c>
      <c r="Q114" s="133">
        <f>SUMIFS(GestionLignesDemande!E$4:E$1000,GestionLignesDemande!$B$4:$B$1000,ROI_Avions!$A114,GestionLignesDemande!$C$4:$C$1000,ROI_Avions!$C114)</f>
        <v>0</v>
      </c>
      <c r="R114" s="133">
        <f>SUMIFS(GestionLignesDemande!F$4:F$1000,GestionLignesDemande!$B$4:$B$1000,ROI_Avions!$A114,GestionLignesDemande!$C$4:$C$1000,ROI_Avions!$C114)</f>
        <v>0</v>
      </c>
      <c r="S114" s="133">
        <f>SUMIFS(GestionLignesDemande!G$4:G$1000,GestionLignesDemande!$B$4:$B$1000,ROI_Avions!$A114,GestionLignesDemande!$C$4:$C$1000,ROI_Avions!$C114)</f>
        <v>0</v>
      </c>
      <c r="T114" s="116"/>
      <c r="U114" s="8">
        <f t="shared" si="499"/>
        <v>837</v>
      </c>
      <c r="V114" s="8">
        <v>809</v>
      </c>
      <c r="W114" s="8">
        <v>22</v>
      </c>
      <c r="X114" s="8">
        <v>1</v>
      </c>
      <c r="Y114" s="8">
        <v>5</v>
      </c>
      <c r="Z114" s="121"/>
      <c r="AA114" s="132">
        <f t="shared" ref="AA114:AA115" si="532">AA113-V114*2</f>
        <v>-3236</v>
      </c>
      <c r="AB114" s="132">
        <f t="shared" ref="AB114:AB115" si="533">AB113-W114*2</f>
        <v>-88</v>
      </c>
      <c r="AC114" s="132">
        <f t="shared" ref="AC114:AC115" si="534">AC113-X114*2</f>
        <v>-4</v>
      </c>
      <c r="AD114" s="132">
        <f t="shared" ref="AD114:AD115" si="535">AD113-Y114*2</f>
        <v>-20</v>
      </c>
      <c r="AE114" s="121"/>
      <c r="AF114" s="26">
        <f>SUMIFS(DataPrixBillets!N$1:N$1000,DataPrixBillets!$J$1:$J$1000,ROI_Avions!$A114,DataPrixBillets!$K$1:$K$1000,ROI_Avions!$C114)</f>
        <v>0</v>
      </c>
      <c r="AG114" s="26">
        <f>SUMIFS(DataPrixBillets!O$1:O$1000,DataPrixBillets!$J$1:$J$1000,ROI_Avions!$A114,DataPrixBillets!$K$1:$K$1000,ROI_Avions!$C114)</f>
        <v>0</v>
      </c>
      <c r="AH114" s="26">
        <f>SUMIFS(DataPrixBillets!P$1:P$1000,DataPrixBillets!$J$1:$J$1000,ROI_Avions!$A114,DataPrixBillets!$K$1:$K$1000,ROI_Avions!$C114)</f>
        <v>0</v>
      </c>
      <c r="AI114" s="26">
        <f>SUMIFS(DataPrixBillets!Q$1:Q$1000,DataPrixBillets!$J$1:$J$1000,ROI_Avions!$A114,DataPrixBillets!$K$1:$K$1000,ROI_Avions!$C114)</f>
        <v>0</v>
      </c>
      <c r="AJ114" s="121"/>
      <c r="AK114" s="8">
        <f t="shared" si="504"/>
        <v>0</v>
      </c>
      <c r="AL114" s="8" t="e">
        <f t="shared" ca="1" si="505"/>
        <v>#REF!</v>
      </c>
      <c r="AM114" s="8" t="e">
        <f t="shared" ca="1" si="506"/>
        <v>#REF!</v>
      </c>
      <c r="AN114" s="8" t="e">
        <f t="shared" ca="1" si="507"/>
        <v>#REF!</v>
      </c>
      <c r="AO114" s="8" t="e">
        <f t="shared" ca="1" si="508"/>
        <v>#REF!</v>
      </c>
      <c r="AP114" s="8" t="e">
        <f t="shared" ca="1" si="509"/>
        <v>#REF!</v>
      </c>
      <c r="AQ114" s="8" t="e">
        <f t="shared" ca="1" si="510"/>
        <v>#REF!</v>
      </c>
      <c r="AR114" s="190">
        <f t="shared" ca="1" si="475"/>
        <v>0</v>
      </c>
      <c r="AS114" s="120">
        <f t="shared" ca="1" si="476"/>
        <v>0</v>
      </c>
      <c r="AT114" s="8" t="e">
        <f t="shared" ca="1" si="511"/>
        <v>#REF!</v>
      </c>
      <c r="AV114" s="185"/>
      <c r="AW114" s="185"/>
      <c r="AX114" s="185"/>
      <c r="AY114" s="185"/>
    </row>
    <row r="115" spans="1:55" s="188" customFormat="1" x14ac:dyDescent="0.3">
      <c r="A115" s="150" t="s">
        <v>729</v>
      </c>
      <c r="B115" s="151">
        <v>444321612</v>
      </c>
      <c r="C115" s="150" t="s">
        <v>1005</v>
      </c>
      <c r="D115" s="145" t="str">
        <f t="shared" si="280"/>
        <v>FNA/HKG</v>
      </c>
      <c r="E115" s="151">
        <v>26205348</v>
      </c>
      <c r="F115" s="152" t="str">
        <f>"A380-A-"&amp;A115&amp;"-"&amp;C115&amp;"-"&amp;3</f>
        <v>A380-A-FNA-HKG-3</v>
      </c>
      <c r="G115" s="151">
        <v>362700000</v>
      </c>
      <c r="H115" s="116"/>
      <c r="I115" s="8">
        <v>0</v>
      </c>
      <c r="J115" s="8">
        <v>0</v>
      </c>
      <c r="K115" s="8">
        <v>0</v>
      </c>
      <c r="L115" s="53"/>
      <c r="M115" s="53"/>
      <c r="N115" s="116"/>
      <c r="O115" s="140"/>
      <c r="P115" s="133">
        <f>SUMIFS(GestionLignesDemande!D$4:D$1000,GestionLignesDemande!$B$4:$B$1000,ROI_Avions!$A115,GestionLignesDemande!$C$4:$C$1000,ROI_Avions!$C115)</f>
        <v>0</v>
      </c>
      <c r="Q115" s="133">
        <f>SUMIFS(GestionLignesDemande!E$4:E$1000,GestionLignesDemande!$B$4:$B$1000,ROI_Avions!$A115,GestionLignesDemande!$C$4:$C$1000,ROI_Avions!$C115)</f>
        <v>0</v>
      </c>
      <c r="R115" s="133">
        <f>SUMIFS(GestionLignesDemande!F$4:F$1000,GestionLignesDemande!$B$4:$B$1000,ROI_Avions!$A115,GestionLignesDemande!$C$4:$C$1000,ROI_Avions!$C115)</f>
        <v>0</v>
      </c>
      <c r="S115" s="133">
        <f>SUMIFS(GestionLignesDemande!G$4:G$1000,GestionLignesDemande!$B$4:$B$1000,ROI_Avions!$A115,GestionLignesDemande!$C$4:$C$1000,ROI_Avions!$C115)</f>
        <v>0</v>
      </c>
      <c r="T115" s="116"/>
      <c r="U115" s="8">
        <f t="shared" si="499"/>
        <v>837</v>
      </c>
      <c r="V115" s="8">
        <v>809</v>
      </c>
      <c r="W115" s="8">
        <v>22</v>
      </c>
      <c r="X115" s="8">
        <v>1</v>
      </c>
      <c r="Y115" s="8">
        <v>5</v>
      </c>
      <c r="Z115" s="121"/>
      <c r="AA115" s="132">
        <f t="shared" si="532"/>
        <v>-4854</v>
      </c>
      <c r="AB115" s="132">
        <f t="shared" si="533"/>
        <v>-132</v>
      </c>
      <c r="AC115" s="132">
        <f t="shared" si="534"/>
        <v>-6</v>
      </c>
      <c r="AD115" s="132">
        <f t="shared" si="535"/>
        <v>-30</v>
      </c>
      <c r="AE115" s="121"/>
      <c r="AF115" s="26">
        <f>SUMIFS(DataPrixBillets!N$1:N$1000,DataPrixBillets!$J$1:$J$1000,ROI_Avions!$A115,DataPrixBillets!$K$1:$K$1000,ROI_Avions!$C115)</f>
        <v>0</v>
      </c>
      <c r="AG115" s="26">
        <f>SUMIFS(DataPrixBillets!O$1:O$1000,DataPrixBillets!$J$1:$J$1000,ROI_Avions!$A115,DataPrixBillets!$K$1:$K$1000,ROI_Avions!$C115)</f>
        <v>0</v>
      </c>
      <c r="AH115" s="26">
        <f>SUMIFS(DataPrixBillets!P$1:P$1000,DataPrixBillets!$J$1:$J$1000,ROI_Avions!$A115,DataPrixBillets!$K$1:$K$1000,ROI_Avions!$C115)</f>
        <v>0</v>
      </c>
      <c r="AI115" s="26">
        <f>SUMIFS(DataPrixBillets!Q$1:Q$1000,DataPrixBillets!$J$1:$J$1000,ROI_Avions!$A115,DataPrixBillets!$K$1:$K$1000,ROI_Avions!$C115)</f>
        <v>0</v>
      </c>
      <c r="AJ115" s="121"/>
      <c r="AK115" s="8">
        <f t="shared" si="504"/>
        <v>0</v>
      </c>
      <c r="AL115" s="8" t="e">
        <f t="shared" ca="1" si="505"/>
        <v>#REF!</v>
      </c>
      <c r="AM115" s="8" t="e">
        <f t="shared" ca="1" si="506"/>
        <v>#REF!</v>
      </c>
      <c r="AN115" s="8" t="e">
        <f t="shared" ca="1" si="507"/>
        <v>#REF!</v>
      </c>
      <c r="AO115" s="8" t="e">
        <f t="shared" ca="1" si="508"/>
        <v>#REF!</v>
      </c>
      <c r="AP115" s="8" t="e">
        <f t="shared" ca="1" si="509"/>
        <v>#REF!</v>
      </c>
      <c r="AQ115" s="8" t="e">
        <f t="shared" ca="1" si="510"/>
        <v>#REF!</v>
      </c>
      <c r="AR115" s="190">
        <f t="shared" ca="1" si="475"/>
        <v>0</v>
      </c>
      <c r="AS115" s="120">
        <f t="shared" ca="1" si="476"/>
        <v>0</v>
      </c>
      <c r="AT115" s="8" t="e">
        <f t="shared" ca="1" si="511"/>
        <v>#REF!</v>
      </c>
    </row>
    <row r="116" spans="1:55" s="185" customFormat="1" x14ac:dyDescent="0.3">
      <c r="A116" s="150" t="s">
        <v>729</v>
      </c>
      <c r="B116" s="151">
        <v>444321612</v>
      </c>
      <c r="C116" s="150" t="s">
        <v>1007</v>
      </c>
      <c r="D116" s="145" t="str">
        <f t="shared" si="280"/>
        <v>FNA/CGK</v>
      </c>
      <c r="E116" s="151">
        <v>31619262</v>
      </c>
      <c r="F116" s="152" t="str">
        <f>"A380-A-"&amp;A116&amp;"-"&amp;C116&amp;"-"&amp;1</f>
        <v>A380-A-FNA-CGK-1</v>
      </c>
      <c r="G116" s="151">
        <v>362700000</v>
      </c>
      <c r="H116" s="116"/>
      <c r="I116" s="8">
        <v>0</v>
      </c>
      <c r="J116" s="8">
        <v>0</v>
      </c>
      <c r="K116" s="8">
        <v>0</v>
      </c>
      <c r="L116" s="53"/>
      <c r="M116" s="53"/>
      <c r="N116" s="116"/>
      <c r="O116" s="140"/>
      <c r="P116" s="133">
        <f>SUMIFS(GestionLignesDemande!D$4:D$1000,GestionLignesDemande!$B$4:$B$1000,ROI_Avions!$A116,GestionLignesDemande!$C$4:$C$1000,ROI_Avions!$C116)</f>
        <v>0</v>
      </c>
      <c r="Q116" s="133">
        <f>SUMIFS(GestionLignesDemande!E$4:E$1000,GestionLignesDemande!$B$4:$B$1000,ROI_Avions!$A116,GestionLignesDemande!$C$4:$C$1000,ROI_Avions!$C116)</f>
        <v>0</v>
      </c>
      <c r="R116" s="133">
        <f>SUMIFS(GestionLignesDemande!F$4:F$1000,GestionLignesDemande!$B$4:$B$1000,ROI_Avions!$A116,GestionLignesDemande!$C$4:$C$1000,ROI_Avions!$C116)</f>
        <v>0</v>
      </c>
      <c r="S116" s="133">
        <f>SUMIFS(GestionLignesDemande!G$4:G$1000,GestionLignesDemande!$B$4:$B$1000,ROI_Avions!$A116,GestionLignesDemande!$C$4:$C$1000,ROI_Avions!$C116)</f>
        <v>0</v>
      </c>
      <c r="T116" s="116"/>
      <c r="U116" s="8">
        <f t="shared" si="499"/>
        <v>837</v>
      </c>
      <c r="V116" s="8">
        <v>809</v>
      </c>
      <c r="W116" s="8">
        <v>22</v>
      </c>
      <c r="X116" s="8">
        <v>1</v>
      </c>
      <c r="Y116" s="8">
        <v>5</v>
      </c>
      <c r="Z116" s="121"/>
      <c r="AA116" s="132">
        <f t="shared" ref="AA116" si="536">P116-(V116*2)</f>
        <v>-1618</v>
      </c>
      <c r="AB116" s="132">
        <f t="shared" ref="AB116" si="537">Q116-(W116*2)</f>
        <v>-44</v>
      </c>
      <c r="AC116" s="132">
        <f t="shared" ref="AC116" si="538">R116-(X116*2)</f>
        <v>-2</v>
      </c>
      <c r="AD116" s="132">
        <f t="shared" ref="AD116" si="539">S116-(Y116*2)</f>
        <v>-10</v>
      </c>
      <c r="AE116" s="121"/>
      <c r="AF116" s="26">
        <f>SUMIFS(DataPrixBillets!N$1:N$1000,DataPrixBillets!$J$1:$J$1000,ROI_Avions!$A116,DataPrixBillets!$K$1:$K$1000,ROI_Avions!$C116)</f>
        <v>0</v>
      </c>
      <c r="AG116" s="26">
        <f>SUMIFS(DataPrixBillets!O$1:O$1000,DataPrixBillets!$J$1:$J$1000,ROI_Avions!$A116,DataPrixBillets!$K$1:$K$1000,ROI_Avions!$C116)</f>
        <v>0</v>
      </c>
      <c r="AH116" s="26">
        <f>SUMIFS(DataPrixBillets!P$1:P$1000,DataPrixBillets!$J$1:$J$1000,ROI_Avions!$A116,DataPrixBillets!$K$1:$K$1000,ROI_Avions!$C116)</f>
        <v>0</v>
      </c>
      <c r="AI116" s="26">
        <f>SUMIFS(DataPrixBillets!Q$1:Q$1000,DataPrixBillets!$J$1:$J$1000,ROI_Avions!$A116,DataPrixBillets!$K$1:$K$1000,ROI_Avions!$C116)</f>
        <v>0</v>
      </c>
      <c r="AJ116" s="121"/>
      <c r="AK116" s="8">
        <f t="shared" si="504"/>
        <v>0</v>
      </c>
      <c r="AL116" s="8" t="e">
        <f t="shared" ca="1" si="505"/>
        <v>#REF!</v>
      </c>
      <c r="AM116" s="8" t="e">
        <f t="shared" ca="1" si="506"/>
        <v>#REF!</v>
      </c>
      <c r="AN116" s="8" t="e">
        <f t="shared" ca="1" si="507"/>
        <v>#REF!</v>
      </c>
      <c r="AO116" s="8" t="e">
        <f t="shared" ca="1" si="508"/>
        <v>#REF!</v>
      </c>
      <c r="AP116" s="8" t="e">
        <f t="shared" ca="1" si="509"/>
        <v>#REF!</v>
      </c>
      <c r="AQ116" s="8" t="e">
        <f t="shared" ca="1" si="510"/>
        <v>#REF!</v>
      </c>
      <c r="AR116" s="190">
        <f t="shared" ca="1" si="475"/>
        <v>0</v>
      </c>
      <c r="AS116" s="120">
        <f t="shared" ca="1" si="476"/>
        <v>0</v>
      </c>
      <c r="AT116" s="8" t="e">
        <f t="shared" ca="1" si="511"/>
        <v>#REF!</v>
      </c>
      <c r="AV116" s="188"/>
      <c r="AW116" s="188"/>
      <c r="AX116" s="188"/>
      <c r="AY116" s="188"/>
    </row>
    <row r="117" spans="1:55" s="188" customFormat="1" x14ac:dyDescent="0.3">
      <c r="A117" s="150" t="s">
        <v>729</v>
      </c>
      <c r="B117" s="151">
        <v>444321612</v>
      </c>
      <c r="C117" s="150" t="s">
        <v>1007</v>
      </c>
      <c r="D117" s="145" t="str">
        <f t="shared" si="280"/>
        <v>FNA/CGK</v>
      </c>
      <c r="E117" s="151">
        <v>31619262</v>
      </c>
      <c r="F117" s="152" t="str">
        <f>"A380-A-"&amp;A117&amp;"-"&amp;C117&amp;"-"&amp;2</f>
        <v>A380-A-FNA-CGK-2</v>
      </c>
      <c r="G117" s="151">
        <v>362700000</v>
      </c>
      <c r="H117" s="116"/>
      <c r="I117" s="8">
        <v>0</v>
      </c>
      <c r="J117" s="8">
        <v>0</v>
      </c>
      <c r="K117" s="8">
        <v>0</v>
      </c>
      <c r="L117" s="53"/>
      <c r="M117" s="53"/>
      <c r="N117" s="116"/>
      <c r="O117" s="140"/>
      <c r="P117" s="133">
        <f>SUMIFS(GestionLignesDemande!D$4:D$1000,GestionLignesDemande!$B$4:$B$1000,ROI_Avions!$A117,GestionLignesDemande!$C$4:$C$1000,ROI_Avions!$C117)</f>
        <v>0</v>
      </c>
      <c r="Q117" s="133">
        <f>SUMIFS(GestionLignesDemande!E$4:E$1000,GestionLignesDemande!$B$4:$B$1000,ROI_Avions!$A117,GestionLignesDemande!$C$4:$C$1000,ROI_Avions!$C117)</f>
        <v>0</v>
      </c>
      <c r="R117" s="133">
        <f>SUMIFS(GestionLignesDemande!F$4:F$1000,GestionLignesDemande!$B$4:$B$1000,ROI_Avions!$A117,GestionLignesDemande!$C$4:$C$1000,ROI_Avions!$C117)</f>
        <v>0</v>
      </c>
      <c r="S117" s="133">
        <f>SUMIFS(GestionLignesDemande!G$4:G$1000,GestionLignesDemande!$B$4:$B$1000,ROI_Avions!$A117,GestionLignesDemande!$C$4:$C$1000,ROI_Avions!$C117)</f>
        <v>0</v>
      </c>
      <c r="T117" s="116"/>
      <c r="U117" s="8">
        <f t="shared" si="499"/>
        <v>837</v>
      </c>
      <c r="V117" s="8">
        <v>809</v>
      </c>
      <c r="W117" s="8">
        <v>22</v>
      </c>
      <c r="X117" s="8">
        <v>1</v>
      </c>
      <c r="Y117" s="8">
        <v>5</v>
      </c>
      <c r="Z117" s="121"/>
      <c r="AA117" s="132">
        <f t="shared" ref="AA117:AA118" si="540">AA116-V117*2</f>
        <v>-3236</v>
      </c>
      <c r="AB117" s="132">
        <f t="shared" ref="AB117:AB118" si="541">AB116-W117*2</f>
        <v>-88</v>
      </c>
      <c r="AC117" s="132">
        <f t="shared" ref="AC117:AC118" si="542">AC116-X117*2</f>
        <v>-4</v>
      </c>
      <c r="AD117" s="132">
        <f t="shared" ref="AD117:AD118" si="543">AD116-Y117*2</f>
        <v>-20</v>
      </c>
      <c r="AE117" s="121"/>
      <c r="AF117" s="26">
        <f>SUMIFS(DataPrixBillets!N$1:N$1000,DataPrixBillets!$J$1:$J$1000,ROI_Avions!$A117,DataPrixBillets!$K$1:$K$1000,ROI_Avions!$C117)</f>
        <v>0</v>
      </c>
      <c r="AG117" s="26">
        <f>SUMIFS(DataPrixBillets!O$1:O$1000,DataPrixBillets!$J$1:$J$1000,ROI_Avions!$A117,DataPrixBillets!$K$1:$K$1000,ROI_Avions!$C117)</f>
        <v>0</v>
      </c>
      <c r="AH117" s="26">
        <f>SUMIFS(DataPrixBillets!P$1:P$1000,DataPrixBillets!$J$1:$J$1000,ROI_Avions!$A117,DataPrixBillets!$K$1:$K$1000,ROI_Avions!$C117)</f>
        <v>0</v>
      </c>
      <c r="AI117" s="26">
        <f>SUMIFS(DataPrixBillets!Q$1:Q$1000,DataPrixBillets!$J$1:$J$1000,ROI_Avions!$A117,DataPrixBillets!$K$1:$K$1000,ROI_Avions!$C117)</f>
        <v>0</v>
      </c>
      <c r="AJ117" s="121"/>
      <c r="AK117" s="8">
        <f t="shared" si="504"/>
        <v>0</v>
      </c>
      <c r="AL117" s="8" t="e">
        <f t="shared" ca="1" si="505"/>
        <v>#REF!</v>
      </c>
      <c r="AM117" s="8" t="e">
        <f t="shared" ca="1" si="506"/>
        <v>#REF!</v>
      </c>
      <c r="AN117" s="8" t="e">
        <f t="shared" ca="1" si="507"/>
        <v>#REF!</v>
      </c>
      <c r="AO117" s="8" t="e">
        <f t="shared" ca="1" si="508"/>
        <v>#REF!</v>
      </c>
      <c r="AP117" s="8" t="e">
        <f t="shared" ca="1" si="509"/>
        <v>#REF!</v>
      </c>
      <c r="AQ117" s="8" t="e">
        <f t="shared" ca="1" si="510"/>
        <v>#REF!</v>
      </c>
      <c r="AR117" s="190">
        <f t="shared" ca="1" si="475"/>
        <v>0</v>
      </c>
      <c r="AS117" s="120">
        <f t="shared" ca="1" si="476"/>
        <v>0</v>
      </c>
      <c r="AT117" s="8" t="e">
        <f t="shared" ca="1" si="511"/>
        <v>#REF!</v>
      </c>
      <c r="AV117" s="185"/>
      <c r="AW117" s="185"/>
      <c r="AX117" s="185"/>
      <c r="AY117" s="185"/>
    </row>
    <row r="118" spans="1:55" s="188" customFormat="1" x14ac:dyDescent="0.3">
      <c r="A118" s="150" t="s">
        <v>729</v>
      </c>
      <c r="B118" s="151">
        <v>444321612</v>
      </c>
      <c r="C118" s="150" t="s">
        <v>1007</v>
      </c>
      <c r="D118" s="145" t="str">
        <f t="shared" si="280"/>
        <v>FNA/CGK</v>
      </c>
      <c r="E118" s="151">
        <v>31619262</v>
      </c>
      <c r="F118" s="152" t="str">
        <f>"A380-A-"&amp;A118&amp;"-"&amp;C118&amp;"-"&amp;3</f>
        <v>A380-A-FNA-CGK-3</v>
      </c>
      <c r="G118" s="151">
        <v>362700000</v>
      </c>
      <c r="H118" s="116"/>
      <c r="I118" s="8">
        <v>0</v>
      </c>
      <c r="J118" s="8">
        <v>0</v>
      </c>
      <c r="K118" s="8">
        <v>0</v>
      </c>
      <c r="L118" s="53"/>
      <c r="M118" s="53"/>
      <c r="N118" s="116"/>
      <c r="O118" s="140"/>
      <c r="P118" s="133">
        <f>SUMIFS(GestionLignesDemande!D$4:D$1000,GestionLignesDemande!$B$4:$B$1000,ROI_Avions!$A118,GestionLignesDemande!$C$4:$C$1000,ROI_Avions!$C118)</f>
        <v>0</v>
      </c>
      <c r="Q118" s="133">
        <f>SUMIFS(GestionLignesDemande!E$4:E$1000,GestionLignesDemande!$B$4:$B$1000,ROI_Avions!$A118,GestionLignesDemande!$C$4:$C$1000,ROI_Avions!$C118)</f>
        <v>0</v>
      </c>
      <c r="R118" s="133">
        <f>SUMIFS(GestionLignesDemande!F$4:F$1000,GestionLignesDemande!$B$4:$B$1000,ROI_Avions!$A118,GestionLignesDemande!$C$4:$C$1000,ROI_Avions!$C118)</f>
        <v>0</v>
      </c>
      <c r="S118" s="133">
        <f>SUMIFS(GestionLignesDemande!G$4:G$1000,GestionLignesDemande!$B$4:$B$1000,ROI_Avions!$A118,GestionLignesDemande!$C$4:$C$1000,ROI_Avions!$C118)</f>
        <v>0</v>
      </c>
      <c r="T118" s="116"/>
      <c r="U118" s="8">
        <f t="shared" si="499"/>
        <v>837</v>
      </c>
      <c r="V118" s="8">
        <v>809</v>
      </c>
      <c r="W118" s="8">
        <v>22</v>
      </c>
      <c r="X118" s="8">
        <v>1</v>
      </c>
      <c r="Y118" s="8">
        <v>5</v>
      </c>
      <c r="Z118" s="121"/>
      <c r="AA118" s="132">
        <f t="shared" si="540"/>
        <v>-4854</v>
      </c>
      <c r="AB118" s="132">
        <f t="shared" si="541"/>
        <v>-132</v>
      </c>
      <c r="AC118" s="132">
        <f t="shared" si="542"/>
        <v>-6</v>
      </c>
      <c r="AD118" s="132">
        <f t="shared" si="543"/>
        <v>-30</v>
      </c>
      <c r="AE118" s="121"/>
      <c r="AF118" s="26">
        <f>SUMIFS(DataPrixBillets!N$1:N$1000,DataPrixBillets!$J$1:$J$1000,ROI_Avions!$A118,DataPrixBillets!$K$1:$K$1000,ROI_Avions!$C118)</f>
        <v>0</v>
      </c>
      <c r="AG118" s="26">
        <f>SUMIFS(DataPrixBillets!O$1:O$1000,DataPrixBillets!$J$1:$J$1000,ROI_Avions!$A118,DataPrixBillets!$K$1:$K$1000,ROI_Avions!$C118)</f>
        <v>0</v>
      </c>
      <c r="AH118" s="26">
        <f>SUMIFS(DataPrixBillets!P$1:P$1000,DataPrixBillets!$J$1:$J$1000,ROI_Avions!$A118,DataPrixBillets!$K$1:$K$1000,ROI_Avions!$C118)</f>
        <v>0</v>
      </c>
      <c r="AI118" s="26">
        <f>SUMIFS(DataPrixBillets!Q$1:Q$1000,DataPrixBillets!$J$1:$J$1000,ROI_Avions!$A118,DataPrixBillets!$K$1:$K$1000,ROI_Avions!$C118)</f>
        <v>0</v>
      </c>
      <c r="AJ118" s="121"/>
      <c r="AK118" s="8">
        <f t="shared" si="504"/>
        <v>0</v>
      </c>
      <c r="AL118" s="8" t="e">
        <f t="shared" ca="1" si="505"/>
        <v>#REF!</v>
      </c>
      <c r="AM118" s="8" t="e">
        <f t="shared" ca="1" si="506"/>
        <v>#REF!</v>
      </c>
      <c r="AN118" s="8" t="e">
        <f t="shared" ca="1" si="507"/>
        <v>#REF!</v>
      </c>
      <c r="AO118" s="8" t="e">
        <f t="shared" ca="1" si="508"/>
        <v>#REF!</v>
      </c>
      <c r="AP118" s="8" t="e">
        <f t="shared" ca="1" si="509"/>
        <v>#REF!</v>
      </c>
      <c r="AQ118" s="8" t="e">
        <f t="shared" ca="1" si="510"/>
        <v>#REF!</v>
      </c>
      <c r="AR118" s="190">
        <f t="shared" ca="1" si="475"/>
        <v>0</v>
      </c>
      <c r="AS118" s="120">
        <f t="shared" ca="1" si="476"/>
        <v>0</v>
      </c>
      <c r="AT118" s="8" t="e">
        <f t="shared" ca="1" si="511"/>
        <v>#REF!</v>
      </c>
    </row>
    <row r="119" spans="1:55" s="185" customFormat="1" x14ac:dyDescent="0.3">
      <c r="A119" s="150" t="s">
        <v>729</v>
      </c>
      <c r="B119" s="151">
        <v>444321612</v>
      </c>
      <c r="C119" s="150" t="s">
        <v>988</v>
      </c>
      <c r="D119" s="145" t="str">
        <f t="shared" si="280"/>
        <v>FNA/PVG</v>
      </c>
      <c r="E119" s="151">
        <v>38179612</v>
      </c>
      <c r="F119" s="152" t="str">
        <f>"A380-A-"&amp;A119&amp;"-"&amp;C119&amp;"-"&amp;1</f>
        <v>A380-A-FNA-PVG-1</v>
      </c>
      <c r="G119" s="151">
        <v>362700000</v>
      </c>
      <c r="H119" s="116"/>
      <c r="I119" s="8">
        <v>0</v>
      </c>
      <c r="J119" s="8">
        <v>0</v>
      </c>
      <c r="K119" s="8">
        <v>0</v>
      </c>
      <c r="L119" s="53"/>
      <c r="M119" s="53"/>
      <c r="N119" s="116"/>
      <c r="O119" s="140"/>
      <c r="P119" s="133">
        <f>SUMIFS(GestionLignesDemande!D$4:D$1000,GestionLignesDemande!$B$4:$B$1000,ROI_Avions!$A119,GestionLignesDemande!$C$4:$C$1000,ROI_Avions!$C119)</f>
        <v>0</v>
      </c>
      <c r="Q119" s="133">
        <f>SUMIFS(GestionLignesDemande!E$4:E$1000,GestionLignesDemande!$B$4:$B$1000,ROI_Avions!$A119,GestionLignesDemande!$C$4:$C$1000,ROI_Avions!$C119)</f>
        <v>0</v>
      </c>
      <c r="R119" s="133">
        <f>SUMIFS(GestionLignesDemande!F$4:F$1000,GestionLignesDemande!$B$4:$B$1000,ROI_Avions!$A119,GestionLignesDemande!$C$4:$C$1000,ROI_Avions!$C119)</f>
        <v>0</v>
      </c>
      <c r="S119" s="133">
        <f>SUMIFS(GestionLignesDemande!G$4:G$1000,GestionLignesDemande!$B$4:$B$1000,ROI_Avions!$A119,GestionLignesDemande!$C$4:$C$1000,ROI_Avions!$C119)</f>
        <v>0</v>
      </c>
      <c r="T119" s="116"/>
      <c r="U119" s="8">
        <f t="shared" si="499"/>
        <v>837</v>
      </c>
      <c r="V119" s="8">
        <v>809</v>
      </c>
      <c r="W119" s="8">
        <v>22</v>
      </c>
      <c r="X119" s="8">
        <v>1</v>
      </c>
      <c r="Y119" s="8">
        <v>5</v>
      </c>
      <c r="Z119" s="121"/>
      <c r="AA119" s="132">
        <f t="shared" ref="AA119" si="544">P119-(V119*2)</f>
        <v>-1618</v>
      </c>
      <c r="AB119" s="132">
        <f t="shared" ref="AB119" si="545">Q119-(W119*2)</f>
        <v>-44</v>
      </c>
      <c r="AC119" s="132">
        <f t="shared" ref="AC119" si="546">R119-(X119*2)</f>
        <v>-2</v>
      </c>
      <c r="AD119" s="132">
        <f t="shared" ref="AD119" si="547">S119-(Y119*2)</f>
        <v>-10</v>
      </c>
      <c r="AE119" s="121"/>
      <c r="AF119" s="26">
        <f>SUMIFS(DataPrixBillets!N$1:N$1000,DataPrixBillets!$J$1:$J$1000,ROI_Avions!$A119,DataPrixBillets!$K$1:$K$1000,ROI_Avions!$C119)</f>
        <v>0</v>
      </c>
      <c r="AG119" s="26">
        <f>SUMIFS(DataPrixBillets!O$1:O$1000,DataPrixBillets!$J$1:$J$1000,ROI_Avions!$A119,DataPrixBillets!$K$1:$K$1000,ROI_Avions!$C119)</f>
        <v>0</v>
      </c>
      <c r="AH119" s="26">
        <f>SUMIFS(DataPrixBillets!P$1:P$1000,DataPrixBillets!$J$1:$J$1000,ROI_Avions!$A119,DataPrixBillets!$K$1:$K$1000,ROI_Avions!$C119)</f>
        <v>0</v>
      </c>
      <c r="AI119" s="26">
        <f>SUMIFS(DataPrixBillets!Q$1:Q$1000,DataPrixBillets!$J$1:$J$1000,ROI_Avions!$A119,DataPrixBillets!$K$1:$K$1000,ROI_Avions!$C119)</f>
        <v>0</v>
      </c>
      <c r="AJ119" s="121"/>
      <c r="AK119" s="8">
        <f t="shared" si="504"/>
        <v>0</v>
      </c>
      <c r="AL119" s="8" t="e">
        <f t="shared" ca="1" si="505"/>
        <v>#REF!</v>
      </c>
      <c r="AM119" s="8" t="e">
        <f t="shared" ca="1" si="506"/>
        <v>#REF!</v>
      </c>
      <c r="AN119" s="8" t="e">
        <f t="shared" ca="1" si="507"/>
        <v>#REF!</v>
      </c>
      <c r="AO119" s="8" t="e">
        <f t="shared" ca="1" si="508"/>
        <v>#REF!</v>
      </c>
      <c r="AP119" s="8" t="e">
        <f t="shared" ca="1" si="509"/>
        <v>#REF!</v>
      </c>
      <c r="AQ119" s="8" t="e">
        <f t="shared" ca="1" si="510"/>
        <v>#REF!</v>
      </c>
      <c r="AR119" s="190">
        <f t="shared" ca="1" si="475"/>
        <v>0</v>
      </c>
      <c r="AS119" s="120">
        <f t="shared" ca="1" si="476"/>
        <v>0</v>
      </c>
      <c r="AT119" s="8" t="e">
        <f t="shared" ca="1" si="511"/>
        <v>#REF!</v>
      </c>
      <c r="AV119" s="188"/>
      <c r="AW119" s="188"/>
      <c r="AX119" s="188"/>
      <c r="AY119" s="188"/>
    </row>
    <row r="120" spans="1:55" s="185" customFormat="1" x14ac:dyDescent="0.3">
      <c r="A120" s="150" t="s">
        <v>729</v>
      </c>
      <c r="B120" s="151">
        <v>444321612</v>
      </c>
      <c r="C120" s="150" t="s">
        <v>988</v>
      </c>
      <c r="D120" s="145" t="str">
        <f t="shared" si="280"/>
        <v>FNA/PVG</v>
      </c>
      <c r="E120" s="151">
        <v>38179612</v>
      </c>
      <c r="F120" s="152" t="str">
        <f>"A380-A-"&amp;A120&amp;"-"&amp;C120&amp;"-"&amp;2</f>
        <v>A380-A-FNA-PVG-2</v>
      </c>
      <c r="G120" s="151">
        <v>362700000</v>
      </c>
      <c r="H120" s="116"/>
      <c r="I120" s="8">
        <v>0</v>
      </c>
      <c r="J120" s="8">
        <v>0</v>
      </c>
      <c r="K120" s="8">
        <v>0</v>
      </c>
      <c r="L120" s="53"/>
      <c r="M120" s="53"/>
      <c r="N120" s="116"/>
      <c r="O120" s="140"/>
      <c r="P120" s="133">
        <f>SUMIFS(GestionLignesDemande!D$4:D$1000,GestionLignesDemande!$B$4:$B$1000,ROI_Avions!$A120,GestionLignesDemande!$C$4:$C$1000,ROI_Avions!$C120)</f>
        <v>0</v>
      </c>
      <c r="Q120" s="133">
        <f>SUMIFS(GestionLignesDemande!E$4:E$1000,GestionLignesDemande!$B$4:$B$1000,ROI_Avions!$A120,GestionLignesDemande!$C$4:$C$1000,ROI_Avions!$C120)</f>
        <v>0</v>
      </c>
      <c r="R120" s="133">
        <f>SUMIFS(GestionLignesDemande!F$4:F$1000,GestionLignesDemande!$B$4:$B$1000,ROI_Avions!$A120,GestionLignesDemande!$C$4:$C$1000,ROI_Avions!$C120)</f>
        <v>0</v>
      </c>
      <c r="S120" s="133">
        <f>SUMIFS(GestionLignesDemande!G$4:G$1000,GestionLignesDemande!$B$4:$B$1000,ROI_Avions!$A120,GestionLignesDemande!$C$4:$C$1000,ROI_Avions!$C120)</f>
        <v>0</v>
      </c>
      <c r="T120" s="116"/>
      <c r="U120" s="8">
        <f t="shared" si="499"/>
        <v>837</v>
      </c>
      <c r="V120" s="8">
        <v>809</v>
      </c>
      <c r="W120" s="8">
        <v>22</v>
      </c>
      <c r="X120" s="8">
        <v>1</v>
      </c>
      <c r="Y120" s="8">
        <v>5</v>
      </c>
      <c r="Z120" s="121"/>
      <c r="AA120" s="132">
        <f t="shared" ref="AA120:AA121" si="548">AA119-V120*2</f>
        <v>-3236</v>
      </c>
      <c r="AB120" s="132">
        <f t="shared" ref="AB120:AB121" si="549">AB119-W120*2</f>
        <v>-88</v>
      </c>
      <c r="AC120" s="132">
        <f t="shared" ref="AC120:AC121" si="550">AC119-X120*2</f>
        <v>-4</v>
      </c>
      <c r="AD120" s="132">
        <f t="shared" ref="AD120:AD121" si="551">AD119-Y120*2</f>
        <v>-20</v>
      </c>
      <c r="AE120" s="121"/>
      <c r="AF120" s="26">
        <f>SUMIFS(DataPrixBillets!N$1:N$1000,DataPrixBillets!$J$1:$J$1000,ROI_Avions!$A120,DataPrixBillets!$K$1:$K$1000,ROI_Avions!$C120)</f>
        <v>0</v>
      </c>
      <c r="AG120" s="26">
        <f>SUMIFS(DataPrixBillets!O$1:O$1000,DataPrixBillets!$J$1:$J$1000,ROI_Avions!$A120,DataPrixBillets!$K$1:$K$1000,ROI_Avions!$C120)</f>
        <v>0</v>
      </c>
      <c r="AH120" s="26">
        <f>SUMIFS(DataPrixBillets!P$1:P$1000,DataPrixBillets!$J$1:$J$1000,ROI_Avions!$A120,DataPrixBillets!$K$1:$K$1000,ROI_Avions!$C120)</f>
        <v>0</v>
      </c>
      <c r="AI120" s="26">
        <f>SUMIFS(DataPrixBillets!Q$1:Q$1000,DataPrixBillets!$J$1:$J$1000,ROI_Avions!$A120,DataPrixBillets!$K$1:$K$1000,ROI_Avions!$C120)</f>
        <v>0</v>
      </c>
      <c r="AJ120" s="121"/>
      <c r="AK120" s="8">
        <f t="shared" si="504"/>
        <v>0</v>
      </c>
      <c r="AL120" s="8" t="e">
        <f t="shared" ca="1" si="505"/>
        <v>#REF!</v>
      </c>
      <c r="AM120" s="8" t="e">
        <f t="shared" ca="1" si="506"/>
        <v>#REF!</v>
      </c>
      <c r="AN120" s="8" t="e">
        <f t="shared" ca="1" si="507"/>
        <v>#REF!</v>
      </c>
      <c r="AO120" s="8" t="e">
        <f t="shared" ca="1" si="508"/>
        <v>#REF!</v>
      </c>
      <c r="AP120" s="8" t="e">
        <f t="shared" ca="1" si="509"/>
        <v>#REF!</v>
      </c>
      <c r="AQ120" s="8" t="e">
        <f t="shared" ca="1" si="510"/>
        <v>#REF!</v>
      </c>
      <c r="AR120" s="190">
        <f t="shared" ca="1" si="475"/>
        <v>0</v>
      </c>
      <c r="AS120" s="120">
        <f t="shared" ca="1" si="476"/>
        <v>0</v>
      </c>
      <c r="AT120" s="8" t="e">
        <f t="shared" ca="1" si="511"/>
        <v>#REF!</v>
      </c>
      <c r="BA120" s="188"/>
      <c r="BB120" s="188"/>
      <c r="BC120" s="188"/>
    </row>
    <row r="121" spans="1:55" s="185" customFormat="1" x14ac:dyDescent="0.3">
      <c r="A121" s="150" t="s">
        <v>729</v>
      </c>
      <c r="B121" s="151">
        <v>444321612</v>
      </c>
      <c r="C121" s="150" t="s">
        <v>988</v>
      </c>
      <c r="D121" s="145" t="str">
        <f t="shared" si="280"/>
        <v>FNA/PVG</v>
      </c>
      <c r="E121" s="151">
        <v>38179612</v>
      </c>
      <c r="F121" s="152" t="str">
        <f>"A380-A-"&amp;A121&amp;"-"&amp;C121&amp;"-"&amp;3</f>
        <v>A380-A-FNA-PVG-3</v>
      </c>
      <c r="G121" s="151">
        <v>362700000</v>
      </c>
      <c r="H121" s="116"/>
      <c r="I121" s="8">
        <v>0</v>
      </c>
      <c r="J121" s="8">
        <v>0</v>
      </c>
      <c r="K121" s="8">
        <v>0</v>
      </c>
      <c r="L121" s="53"/>
      <c r="M121" s="53"/>
      <c r="N121" s="116"/>
      <c r="O121" s="140"/>
      <c r="P121" s="133">
        <f>SUMIFS(GestionLignesDemande!D$4:D$1000,GestionLignesDemande!$B$4:$B$1000,ROI_Avions!$A121,GestionLignesDemande!$C$4:$C$1000,ROI_Avions!$C121)</f>
        <v>0</v>
      </c>
      <c r="Q121" s="133">
        <f>SUMIFS(GestionLignesDemande!E$4:E$1000,GestionLignesDemande!$B$4:$B$1000,ROI_Avions!$A121,GestionLignesDemande!$C$4:$C$1000,ROI_Avions!$C121)</f>
        <v>0</v>
      </c>
      <c r="R121" s="133">
        <f>SUMIFS(GestionLignesDemande!F$4:F$1000,GestionLignesDemande!$B$4:$B$1000,ROI_Avions!$A121,GestionLignesDemande!$C$4:$C$1000,ROI_Avions!$C121)</f>
        <v>0</v>
      </c>
      <c r="S121" s="133">
        <f>SUMIFS(GestionLignesDemande!G$4:G$1000,GestionLignesDemande!$B$4:$B$1000,ROI_Avions!$A121,GestionLignesDemande!$C$4:$C$1000,ROI_Avions!$C121)</f>
        <v>0</v>
      </c>
      <c r="T121" s="116"/>
      <c r="U121" s="8">
        <f t="shared" si="499"/>
        <v>837</v>
      </c>
      <c r="V121" s="8">
        <v>809</v>
      </c>
      <c r="W121" s="8">
        <v>22</v>
      </c>
      <c r="X121" s="8">
        <v>1</v>
      </c>
      <c r="Y121" s="8">
        <v>5</v>
      </c>
      <c r="Z121" s="121"/>
      <c r="AA121" s="132">
        <f t="shared" si="548"/>
        <v>-4854</v>
      </c>
      <c r="AB121" s="132">
        <f t="shared" si="549"/>
        <v>-132</v>
      </c>
      <c r="AC121" s="132">
        <f t="shared" si="550"/>
        <v>-6</v>
      </c>
      <c r="AD121" s="132">
        <f t="shared" si="551"/>
        <v>-30</v>
      </c>
      <c r="AE121" s="121"/>
      <c r="AF121" s="26">
        <f>SUMIFS(DataPrixBillets!N$1:N$1000,DataPrixBillets!$J$1:$J$1000,ROI_Avions!$A121,DataPrixBillets!$K$1:$K$1000,ROI_Avions!$C121)</f>
        <v>0</v>
      </c>
      <c r="AG121" s="26">
        <f>SUMIFS(DataPrixBillets!O$1:O$1000,DataPrixBillets!$J$1:$J$1000,ROI_Avions!$A121,DataPrixBillets!$K$1:$K$1000,ROI_Avions!$C121)</f>
        <v>0</v>
      </c>
      <c r="AH121" s="26">
        <f>SUMIFS(DataPrixBillets!P$1:P$1000,DataPrixBillets!$J$1:$J$1000,ROI_Avions!$A121,DataPrixBillets!$K$1:$K$1000,ROI_Avions!$C121)</f>
        <v>0</v>
      </c>
      <c r="AI121" s="26">
        <f>SUMIFS(DataPrixBillets!Q$1:Q$1000,DataPrixBillets!$J$1:$J$1000,ROI_Avions!$A121,DataPrixBillets!$K$1:$K$1000,ROI_Avions!$C121)</f>
        <v>0</v>
      </c>
      <c r="AJ121" s="121"/>
      <c r="AK121" s="8">
        <f t="shared" si="504"/>
        <v>0</v>
      </c>
      <c r="AL121" s="8" t="e">
        <f t="shared" ca="1" si="505"/>
        <v>#REF!</v>
      </c>
      <c r="AM121" s="8" t="e">
        <f t="shared" ca="1" si="506"/>
        <v>#REF!</v>
      </c>
      <c r="AN121" s="8" t="e">
        <f t="shared" ca="1" si="507"/>
        <v>#REF!</v>
      </c>
      <c r="AO121" s="8" t="e">
        <f t="shared" ca="1" si="508"/>
        <v>#REF!</v>
      </c>
      <c r="AP121" s="8" t="e">
        <f t="shared" ca="1" si="509"/>
        <v>#REF!</v>
      </c>
      <c r="AQ121" s="8" t="e">
        <f t="shared" ca="1" si="510"/>
        <v>#REF!</v>
      </c>
      <c r="AR121" s="190">
        <f t="shared" ca="1" si="475"/>
        <v>0</v>
      </c>
      <c r="AS121" s="120">
        <f t="shared" ca="1" si="476"/>
        <v>0</v>
      </c>
      <c r="AT121" s="8" t="e">
        <f t="shared" ca="1" si="511"/>
        <v>#REF!</v>
      </c>
      <c r="AV121" s="188"/>
      <c r="AW121" s="188"/>
      <c r="AX121" s="188"/>
      <c r="AY121" s="188"/>
      <c r="BA121" s="188"/>
      <c r="BB121" s="188"/>
      <c r="BC121" s="188"/>
    </row>
    <row r="122" spans="1:55" s="189" customFormat="1" x14ac:dyDescent="0.3">
      <c r="A122" s="150" t="s">
        <v>729</v>
      </c>
      <c r="B122" s="151">
        <v>444321612</v>
      </c>
      <c r="C122" s="150" t="s">
        <v>988</v>
      </c>
      <c r="D122" s="145" t="str">
        <f t="shared" si="280"/>
        <v>FNA/PVG</v>
      </c>
      <c r="E122" s="151">
        <v>38179612</v>
      </c>
      <c r="F122" s="152" t="str">
        <f>"A380-A-"&amp;A122&amp;"-"&amp;C122&amp;"-"&amp;4</f>
        <v>A380-A-FNA-PVG-4</v>
      </c>
      <c r="G122" s="151">
        <v>362700000</v>
      </c>
      <c r="H122" s="116"/>
      <c r="I122" s="8">
        <v>0</v>
      </c>
      <c r="J122" s="8">
        <v>0</v>
      </c>
      <c r="K122" s="8">
        <v>0</v>
      </c>
      <c r="L122" s="53"/>
      <c r="M122" s="53"/>
      <c r="N122" s="116"/>
      <c r="O122" s="140"/>
      <c r="P122" s="133">
        <f>SUMIFS(GestionLignesDemande!D$4:D$1000,GestionLignesDemande!$B$4:$B$1000,ROI_Avions!$A122,GestionLignesDemande!$C$4:$C$1000,ROI_Avions!$C122)</f>
        <v>0</v>
      </c>
      <c r="Q122" s="133">
        <f>SUMIFS(GestionLignesDemande!E$4:E$1000,GestionLignesDemande!$B$4:$B$1000,ROI_Avions!$A122,GestionLignesDemande!$C$4:$C$1000,ROI_Avions!$C122)</f>
        <v>0</v>
      </c>
      <c r="R122" s="133">
        <f>SUMIFS(GestionLignesDemande!F$4:F$1000,GestionLignesDemande!$B$4:$B$1000,ROI_Avions!$A122,GestionLignesDemande!$C$4:$C$1000,ROI_Avions!$C122)</f>
        <v>0</v>
      </c>
      <c r="S122" s="133">
        <f>SUMIFS(GestionLignesDemande!G$4:G$1000,GestionLignesDemande!$B$4:$B$1000,ROI_Avions!$A122,GestionLignesDemande!$C$4:$C$1000,ROI_Avions!$C122)</f>
        <v>0</v>
      </c>
      <c r="T122" s="116"/>
      <c r="U122" s="8">
        <f t="shared" ref="U122:U145" si="552">SUM(V122:Y122)</f>
        <v>837</v>
      </c>
      <c r="V122" s="8">
        <v>809</v>
      </c>
      <c r="W122" s="8">
        <v>22</v>
      </c>
      <c r="X122" s="8">
        <v>1</v>
      </c>
      <c r="Y122" s="8">
        <v>5</v>
      </c>
      <c r="Z122" s="121"/>
      <c r="AA122" s="132">
        <f t="shared" ref="AA122:AA127" si="553">AA121-V122*2</f>
        <v>-6472</v>
      </c>
      <c r="AB122" s="132">
        <f t="shared" ref="AB122:AB127" si="554">AB121-W122*2</f>
        <v>-176</v>
      </c>
      <c r="AC122" s="132">
        <f t="shared" ref="AC122:AC127" si="555">AC121-X122*2</f>
        <v>-8</v>
      </c>
      <c r="AD122" s="132">
        <f t="shared" ref="AD122:AD127" si="556">AD121-Y122*2</f>
        <v>-40</v>
      </c>
      <c r="AE122" s="121"/>
      <c r="AF122" s="26">
        <f>SUMIFS(DataPrixBillets!N$1:N$1000,DataPrixBillets!$J$1:$J$1000,ROI_Avions!$A122,DataPrixBillets!$K$1:$K$1000,ROI_Avions!$C122)</f>
        <v>0</v>
      </c>
      <c r="AG122" s="26">
        <f>SUMIFS(DataPrixBillets!O$1:O$1000,DataPrixBillets!$J$1:$J$1000,ROI_Avions!$A122,DataPrixBillets!$K$1:$K$1000,ROI_Avions!$C122)</f>
        <v>0</v>
      </c>
      <c r="AH122" s="26">
        <f>SUMIFS(DataPrixBillets!P$1:P$1000,DataPrixBillets!$J$1:$J$1000,ROI_Avions!$A122,DataPrixBillets!$K$1:$K$1000,ROI_Avions!$C122)</f>
        <v>0</v>
      </c>
      <c r="AI122" s="26">
        <f>SUMIFS(DataPrixBillets!Q$1:Q$1000,DataPrixBillets!$J$1:$J$1000,ROI_Avions!$A122,DataPrixBillets!$K$1:$K$1000,ROI_Avions!$C122)</f>
        <v>0</v>
      </c>
      <c r="AJ122" s="121"/>
      <c r="AK122" s="8">
        <f t="shared" ref="AK122:AK127" si="557">(((AF122*V122)*2+(AG122*W122)*2+(AH122*X122)*2+(AI122*Y122)*2)*7)</f>
        <v>0</v>
      </c>
      <c r="AL122" s="8" t="e">
        <f t="shared" ref="AL122:AL127" ca="1" si="558">AK122-AM122</f>
        <v>#REF!</v>
      </c>
      <c r="AM122" s="8" t="e">
        <f t="shared" ref="AM122:AM127" ca="1" si="559">AK122*$AM$2</f>
        <v>#REF!</v>
      </c>
      <c r="AN122" s="8" t="e">
        <f t="shared" ref="AN122:AN127" ca="1" si="560">AL122*$AN$2</f>
        <v>#REF!</v>
      </c>
      <c r="AO122" s="8" t="e">
        <f t="shared" ref="AO122:AO127" ca="1" si="561">(AL122-AN122-I122)*$AO$2</f>
        <v>#REF!</v>
      </c>
      <c r="AP122" s="8" t="e">
        <f t="shared" ref="AP122:AP127" ca="1" si="562">AL122-AN122-(I122/7)-(AO122/7)</f>
        <v>#REF!</v>
      </c>
      <c r="AQ122" s="8" t="e">
        <f t="shared" ref="AQ122:AQ127" ca="1" si="563">AP122/7</f>
        <v>#REF!</v>
      </c>
      <c r="AR122" s="190">
        <f t="shared" ca="1" si="475"/>
        <v>0</v>
      </c>
      <c r="AS122" s="120">
        <f t="shared" ca="1" si="476"/>
        <v>0</v>
      </c>
      <c r="AT122" s="8" t="e">
        <f t="shared" ref="AT122:AT127" ca="1" si="564">IF(K122&gt;=1,AP122*K122,AP122*$AT$1)</f>
        <v>#REF!</v>
      </c>
      <c r="AV122" s="188"/>
      <c r="AW122" s="188"/>
      <c r="AX122" s="188"/>
      <c r="AY122" s="188"/>
      <c r="BA122" s="185"/>
      <c r="BB122" s="185"/>
      <c r="BC122" s="185"/>
    </row>
    <row r="123" spans="1:55" s="189" customFormat="1" x14ac:dyDescent="0.3">
      <c r="A123" s="150" t="s">
        <v>729</v>
      </c>
      <c r="B123" s="151">
        <v>444321612</v>
      </c>
      <c r="C123" s="150" t="s">
        <v>988</v>
      </c>
      <c r="D123" s="145" t="str">
        <f t="shared" si="280"/>
        <v>FNA/PVG</v>
      </c>
      <c r="E123" s="151">
        <v>38179612</v>
      </c>
      <c r="F123" s="152" t="str">
        <f>"A380-A-"&amp;A123&amp;"-"&amp;C123&amp;"-"&amp;5</f>
        <v>A380-A-FNA-PVG-5</v>
      </c>
      <c r="G123" s="151">
        <v>362700000</v>
      </c>
      <c r="H123" s="116"/>
      <c r="I123" s="8">
        <v>0</v>
      </c>
      <c r="J123" s="8">
        <v>0</v>
      </c>
      <c r="K123" s="8">
        <v>0</v>
      </c>
      <c r="L123" s="53"/>
      <c r="M123" s="53"/>
      <c r="N123" s="116"/>
      <c r="O123" s="140"/>
      <c r="P123" s="133">
        <f>SUMIFS(GestionLignesDemande!D$4:D$1000,GestionLignesDemande!$B$4:$B$1000,ROI_Avions!$A123,GestionLignesDemande!$C$4:$C$1000,ROI_Avions!$C123)</f>
        <v>0</v>
      </c>
      <c r="Q123" s="133">
        <f>SUMIFS(GestionLignesDemande!E$4:E$1000,GestionLignesDemande!$B$4:$B$1000,ROI_Avions!$A123,GestionLignesDemande!$C$4:$C$1000,ROI_Avions!$C123)</f>
        <v>0</v>
      </c>
      <c r="R123" s="133">
        <f>SUMIFS(GestionLignesDemande!F$4:F$1000,GestionLignesDemande!$B$4:$B$1000,ROI_Avions!$A123,GestionLignesDemande!$C$4:$C$1000,ROI_Avions!$C123)</f>
        <v>0</v>
      </c>
      <c r="S123" s="133">
        <f>SUMIFS(GestionLignesDemande!G$4:G$1000,GestionLignesDemande!$B$4:$B$1000,ROI_Avions!$A123,GestionLignesDemande!$C$4:$C$1000,ROI_Avions!$C123)</f>
        <v>0</v>
      </c>
      <c r="T123" s="116"/>
      <c r="U123" s="8">
        <f t="shared" si="552"/>
        <v>837</v>
      </c>
      <c r="V123" s="8">
        <v>809</v>
      </c>
      <c r="W123" s="8">
        <v>22</v>
      </c>
      <c r="X123" s="8">
        <v>1</v>
      </c>
      <c r="Y123" s="8">
        <v>5</v>
      </c>
      <c r="Z123" s="121"/>
      <c r="AA123" s="132">
        <f t="shared" si="553"/>
        <v>-8090</v>
      </c>
      <c r="AB123" s="132">
        <f t="shared" si="554"/>
        <v>-220</v>
      </c>
      <c r="AC123" s="132">
        <f t="shared" si="555"/>
        <v>-10</v>
      </c>
      <c r="AD123" s="132">
        <f t="shared" si="556"/>
        <v>-50</v>
      </c>
      <c r="AE123" s="121"/>
      <c r="AF123" s="26">
        <f>SUMIFS(DataPrixBillets!N$1:N$1000,DataPrixBillets!$J$1:$J$1000,ROI_Avions!$A123,DataPrixBillets!$K$1:$K$1000,ROI_Avions!$C123)</f>
        <v>0</v>
      </c>
      <c r="AG123" s="26">
        <f>SUMIFS(DataPrixBillets!O$1:O$1000,DataPrixBillets!$J$1:$J$1000,ROI_Avions!$A123,DataPrixBillets!$K$1:$K$1000,ROI_Avions!$C123)</f>
        <v>0</v>
      </c>
      <c r="AH123" s="26">
        <f>SUMIFS(DataPrixBillets!P$1:P$1000,DataPrixBillets!$J$1:$J$1000,ROI_Avions!$A123,DataPrixBillets!$K$1:$K$1000,ROI_Avions!$C123)</f>
        <v>0</v>
      </c>
      <c r="AI123" s="26">
        <f>SUMIFS(DataPrixBillets!Q$1:Q$1000,DataPrixBillets!$J$1:$J$1000,ROI_Avions!$A123,DataPrixBillets!$K$1:$K$1000,ROI_Avions!$C123)</f>
        <v>0</v>
      </c>
      <c r="AJ123" s="121"/>
      <c r="AK123" s="8">
        <f t="shared" si="557"/>
        <v>0</v>
      </c>
      <c r="AL123" s="8" t="e">
        <f t="shared" ca="1" si="558"/>
        <v>#REF!</v>
      </c>
      <c r="AM123" s="8" t="e">
        <f t="shared" ca="1" si="559"/>
        <v>#REF!</v>
      </c>
      <c r="AN123" s="8" t="e">
        <f t="shared" ca="1" si="560"/>
        <v>#REF!</v>
      </c>
      <c r="AO123" s="8" t="e">
        <f t="shared" ca="1" si="561"/>
        <v>#REF!</v>
      </c>
      <c r="AP123" s="8" t="e">
        <f t="shared" ca="1" si="562"/>
        <v>#REF!</v>
      </c>
      <c r="AQ123" s="8" t="e">
        <f t="shared" ca="1" si="563"/>
        <v>#REF!</v>
      </c>
      <c r="AR123" s="190">
        <f t="shared" ca="1" si="475"/>
        <v>0</v>
      </c>
      <c r="AS123" s="120">
        <f t="shared" ca="1" si="476"/>
        <v>0</v>
      </c>
      <c r="AT123" s="8" t="e">
        <f t="shared" ca="1" si="564"/>
        <v>#REF!</v>
      </c>
      <c r="AV123" s="185"/>
      <c r="AW123" s="185"/>
      <c r="AX123" s="185"/>
      <c r="AY123" s="185"/>
      <c r="BA123" s="185"/>
      <c r="BB123" s="185"/>
      <c r="BC123" s="185"/>
    </row>
    <row r="124" spans="1:55" s="189" customFormat="1" x14ac:dyDescent="0.3">
      <c r="A124" s="150" t="s">
        <v>729</v>
      </c>
      <c r="B124" s="151">
        <v>444321612</v>
      </c>
      <c r="C124" s="150" t="s">
        <v>988</v>
      </c>
      <c r="D124" s="145" t="str">
        <f t="shared" si="280"/>
        <v>FNA/PVG</v>
      </c>
      <c r="E124" s="151">
        <v>38179612</v>
      </c>
      <c r="F124" s="152" t="str">
        <f>"A380-A-"&amp;A124&amp;"-"&amp;C124&amp;"-"&amp;6</f>
        <v>A380-A-FNA-PVG-6</v>
      </c>
      <c r="G124" s="151">
        <v>362700000</v>
      </c>
      <c r="H124" s="116"/>
      <c r="I124" s="8">
        <v>0</v>
      </c>
      <c r="J124" s="8">
        <v>0</v>
      </c>
      <c r="K124" s="8">
        <v>0</v>
      </c>
      <c r="L124" s="53"/>
      <c r="M124" s="53"/>
      <c r="N124" s="116"/>
      <c r="O124" s="140"/>
      <c r="P124" s="133">
        <f>SUMIFS(GestionLignesDemande!D$4:D$1000,GestionLignesDemande!$B$4:$B$1000,ROI_Avions!$A124,GestionLignesDemande!$C$4:$C$1000,ROI_Avions!$C124)</f>
        <v>0</v>
      </c>
      <c r="Q124" s="133">
        <f>SUMIFS(GestionLignesDemande!E$4:E$1000,GestionLignesDemande!$B$4:$B$1000,ROI_Avions!$A124,GestionLignesDemande!$C$4:$C$1000,ROI_Avions!$C124)</f>
        <v>0</v>
      </c>
      <c r="R124" s="133">
        <f>SUMIFS(GestionLignesDemande!F$4:F$1000,GestionLignesDemande!$B$4:$B$1000,ROI_Avions!$A124,GestionLignesDemande!$C$4:$C$1000,ROI_Avions!$C124)</f>
        <v>0</v>
      </c>
      <c r="S124" s="133">
        <f>SUMIFS(GestionLignesDemande!G$4:G$1000,GestionLignesDemande!$B$4:$B$1000,ROI_Avions!$A124,GestionLignesDemande!$C$4:$C$1000,ROI_Avions!$C124)</f>
        <v>0</v>
      </c>
      <c r="T124" s="116"/>
      <c r="U124" s="8">
        <f t="shared" si="552"/>
        <v>837</v>
      </c>
      <c r="V124" s="8">
        <v>809</v>
      </c>
      <c r="W124" s="8">
        <v>22</v>
      </c>
      <c r="X124" s="8">
        <v>1</v>
      </c>
      <c r="Y124" s="8">
        <v>5</v>
      </c>
      <c r="Z124" s="121"/>
      <c r="AA124" s="132">
        <f t="shared" si="553"/>
        <v>-9708</v>
      </c>
      <c r="AB124" s="132">
        <f t="shared" si="554"/>
        <v>-264</v>
      </c>
      <c r="AC124" s="132">
        <f t="shared" si="555"/>
        <v>-12</v>
      </c>
      <c r="AD124" s="132">
        <f t="shared" si="556"/>
        <v>-60</v>
      </c>
      <c r="AE124" s="121"/>
      <c r="AF124" s="26">
        <f>SUMIFS(DataPrixBillets!N$1:N$1000,DataPrixBillets!$J$1:$J$1000,ROI_Avions!$A124,DataPrixBillets!$K$1:$K$1000,ROI_Avions!$C124)</f>
        <v>0</v>
      </c>
      <c r="AG124" s="26">
        <f>SUMIFS(DataPrixBillets!O$1:O$1000,DataPrixBillets!$J$1:$J$1000,ROI_Avions!$A124,DataPrixBillets!$K$1:$K$1000,ROI_Avions!$C124)</f>
        <v>0</v>
      </c>
      <c r="AH124" s="26">
        <f>SUMIFS(DataPrixBillets!P$1:P$1000,DataPrixBillets!$J$1:$J$1000,ROI_Avions!$A124,DataPrixBillets!$K$1:$K$1000,ROI_Avions!$C124)</f>
        <v>0</v>
      </c>
      <c r="AI124" s="26">
        <f>SUMIFS(DataPrixBillets!Q$1:Q$1000,DataPrixBillets!$J$1:$J$1000,ROI_Avions!$A124,DataPrixBillets!$K$1:$K$1000,ROI_Avions!$C124)</f>
        <v>0</v>
      </c>
      <c r="AJ124" s="121"/>
      <c r="AK124" s="8">
        <f t="shared" si="557"/>
        <v>0</v>
      </c>
      <c r="AL124" s="8" t="e">
        <f t="shared" ca="1" si="558"/>
        <v>#REF!</v>
      </c>
      <c r="AM124" s="8" t="e">
        <f t="shared" ca="1" si="559"/>
        <v>#REF!</v>
      </c>
      <c r="AN124" s="8" t="e">
        <f t="shared" ca="1" si="560"/>
        <v>#REF!</v>
      </c>
      <c r="AO124" s="8" t="e">
        <f t="shared" ca="1" si="561"/>
        <v>#REF!</v>
      </c>
      <c r="AP124" s="8" t="e">
        <f t="shared" ca="1" si="562"/>
        <v>#REF!</v>
      </c>
      <c r="AQ124" s="8" t="e">
        <f t="shared" ca="1" si="563"/>
        <v>#REF!</v>
      </c>
      <c r="AR124" s="190">
        <f t="shared" ca="1" si="475"/>
        <v>0</v>
      </c>
      <c r="AS124" s="120">
        <f t="shared" ca="1" si="476"/>
        <v>0</v>
      </c>
      <c r="AT124" s="8" t="e">
        <f t="shared" ca="1" si="564"/>
        <v>#REF!</v>
      </c>
      <c r="AV124" s="185"/>
      <c r="AW124" s="185"/>
      <c r="AX124" s="185"/>
      <c r="AY124" s="185"/>
      <c r="BA124" s="185"/>
      <c r="BB124" s="185"/>
      <c r="BC124" s="185"/>
    </row>
    <row r="125" spans="1:55" s="189" customFormat="1" x14ac:dyDescent="0.3">
      <c r="A125" s="150" t="s">
        <v>729</v>
      </c>
      <c r="B125" s="151">
        <v>444321612</v>
      </c>
      <c r="C125" s="150" t="s">
        <v>988</v>
      </c>
      <c r="D125" s="145" t="str">
        <f t="shared" si="280"/>
        <v>FNA/PVG</v>
      </c>
      <c r="E125" s="151">
        <v>38179612</v>
      </c>
      <c r="F125" s="152" t="str">
        <f>"A380-A-"&amp;A125&amp;"-"&amp;C125&amp;"-"&amp;7</f>
        <v>A380-A-FNA-PVG-7</v>
      </c>
      <c r="G125" s="151">
        <v>362700000</v>
      </c>
      <c r="H125" s="116"/>
      <c r="I125" s="8">
        <v>0</v>
      </c>
      <c r="J125" s="8">
        <v>0</v>
      </c>
      <c r="K125" s="8">
        <v>0</v>
      </c>
      <c r="L125" s="53"/>
      <c r="M125" s="53"/>
      <c r="N125" s="116"/>
      <c r="O125" s="140"/>
      <c r="P125" s="133">
        <f>SUMIFS(GestionLignesDemande!D$4:D$1000,GestionLignesDemande!$B$4:$B$1000,ROI_Avions!$A125,GestionLignesDemande!$C$4:$C$1000,ROI_Avions!$C125)</f>
        <v>0</v>
      </c>
      <c r="Q125" s="133">
        <f>SUMIFS(GestionLignesDemande!E$4:E$1000,GestionLignesDemande!$B$4:$B$1000,ROI_Avions!$A125,GestionLignesDemande!$C$4:$C$1000,ROI_Avions!$C125)</f>
        <v>0</v>
      </c>
      <c r="R125" s="133">
        <f>SUMIFS(GestionLignesDemande!F$4:F$1000,GestionLignesDemande!$B$4:$B$1000,ROI_Avions!$A125,GestionLignesDemande!$C$4:$C$1000,ROI_Avions!$C125)</f>
        <v>0</v>
      </c>
      <c r="S125" s="133">
        <f>SUMIFS(GestionLignesDemande!G$4:G$1000,GestionLignesDemande!$B$4:$B$1000,ROI_Avions!$A125,GestionLignesDemande!$C$4:$C$1000,ROI_Avions!$C125)</f>
        <v>0</v>
      </c>
      <c r="T125" s="116"/>
      <c r="U125" s="8">
        <f t="shared" si="552"/>
        <v>837</v>
      </c>
      <c r="V125" s="8">
        <v>809</v>
      </c>
      <c r="W125" s="8">
        <v>22</v>
      </c>
      <c r="X125" s="8">
        <v>1</v>
      </c>
      <c r="Y125" s="8">
        <v>5</v>
      </c>
      <c r="Z125" s="121"/>
      <c r="AA125" s="132">
        <f t="shared" si="553"/>
        <v>-11326</v>
      </c>
      <c r="AB125" s="132">
        <f t="shared" si="554"/>
        <v>-308</v>
      </c>
      <c r="AC125" s="132">
        <f t="shared" si="555"/>
        <v>-14</v>
      </c>
      <c r="AD125" s="132">
        <f t="shared" si="556"/>
        <v>-70</v>
      </c>
      <c r="AE125" s="121"/>
      <c r="AF125" s="26">
        <f>SUMIFS(DataPrixBillets!N$1:N$1000,DataPrixBillets!$J$1:$J$1000,ROI_Avions!$A125,DataPrixBillets!$K$1:$K$1000,ROI_Avions!$C125)</f>
        <v>0</v>
      </c>
      <c r="AG125" s="26">
        <f>SUMIFS(DataPrixBillets!O$1:O$1000,DataPrixBillets!$J$1:$J$1000,ROI_Avions!$A125,DataPrixBillets!$K$1:$K$1000,ROI_Avions!$C125)</f>
        <v>0</v>
      </c>
      <c r="AH125" s="26">
        <f>SUMIFS(DataPrixBillets!P$1:P$1000,DataPrixBillets!$J$1:$J$1000,ROI_Avions!$A125,DataPrixBillets!$K$1:$K$1000,ROI_Avions!$C125)</f>
        <v>0</v>
      </c>
      <c r="AI125" s="26">
        <f>SUMIFS(DataPrixBillets!Q$1:Q$1000,DataPrixBillets!$J$1:$J$1000,ROI_Avions!$A125,DataPrixBillets!$K$1:$K$1000,ROI_Avions!$C125)</f>
        <v>0</v>
      </c>
      <c r="AJ125" s="121"/>
      <c r="AK125" s="8">
        <f t="shared" si="557"/>
        <v>0</v>
      </c>
      <c r="AL125" s="8" t="e">
        <f t="shared" ca="1" si="558"/>
        <v>#REF!</v>
      </c>
      <c r="AM125" s="8" t="e">
        <f t="shared" ca="1" si="559"/>
        <v>#REF!</v>
      </c>
      <c r="AN125" s="8" t="e">
        <f t="shared" ca="1" si="560"/>
        <v>#REF!</v>
      </c>
      <c r="AO125" s="8" t="e">
        <f t="shared" ca="1" si="561"/>
        <v>#REF!</v>
      </c>
      <c r="AP125" s="8" t="e">
        <f t="shared" ca="1" si="562"/>
        <v>#REF!</v>
      </c>
      <c r="AQ125" s="8" t="e">
        <f t="shared" ca="1" si="563"/>
        <v>#REF!</v>
      </c>
      <c r="AR125" s="190">
        <f t="shared" ca="1" si="475"/>
        <v>0</v>
      </c>
      <c r="AS125" s="120">
        <f t="shared" ca="1" si="476"/>
        <v>0</v>
      </c>
      <c r="AT125" s="8" t="e">
        <f t="shared" ca="1" si="564"/>
        <v>#REF!</v>
      </c>
      <c r="AV125" s="185"/>
      <c r="AW125" s="185"/>
      <c r="AX125" s="185"/>
      <c r="AY125" s="185"/>
    </row>
    <row r="126" spans="1:55" s="189" customFormat="1" x14ac:dyDescent="0.3">
      <c r="A126" s="150" t="s">
        <v>729</v>
      </c>
      <c r="B126" s="151">
        <v>444321612</v>
      </c>
      <c r="C126" s="150" t="s">
        <v>988</v>
      </c>
      <c r="D126" s="145" t="str">
        <f t="shared" si="280"/>
        <v>FNA/PVG</v>
      </c>
      <c r="E126" s="151">
        <v>38179612</v>
      </c>
      <c r="F126" s="152" t="str">
        <f>"A380-A-"&amp;A126&amp;"-"&amp;C126&amp;"-"&amp;8</f>
        <v>A380-A-FNA-PVG-8</v>
      </c>
      <c r="G126" s="151">
        <v>362700000</v>
      </c>
      <c r="H126" s="116"/>
      <c r="I126" s="8">
        <v>0</v>
      </c>
      <c r="J126" s="8">
        <v>0</v>
      </c>
      <c r="K126" s="8">
        <v>0</v>
      </c>
      <c r="L126" s="53"/>
      <c r="M126" s="53"/>
      <c r="N126" s="116"/>
      <c r="O126" s="140"/>
      <c r="P126" s="133">
        <f>SUMIFS(GestionLignesDemande!D$4:D$1000,GestionLignesDemande!$B$4:$B$1000,ROI_Avions!$A126,GestionLignesDemande!$C$4:$C$1000,ROI_Avions!$C126)</f>
        <v>0</v>
      </c>
      <c r="Q126" s="133">
        <f>SUMIFS(GestionLignesDemande!E$4:E$1000,GestionLignesDemande!$B$4:$B$1000,ROI_Avions!$A126,GestionLignesDemande!$C$4:$C$1000,ROI_Avions!$C126)</f>
        <v>0</v>
      </c>
      <c r="R126" s="133">
        <f>SUMIFS(GestionLignesDemande!F$4:F$1000,GestionLignesDemande!$B$4:$B$1000,ROI_Avions!$A126,GestionLignesDemande!$C$4:$C$1000,ROI_Avions!$C126)</f>
        <v>0</v>
      </c>
      <c r="S126" s="133">
        <f>SUMIFS(GestionLignesDemande!G$4:G$1000,GestionLignesDemande!$B$4:$B$1000,ROI_Avions!$A126,GestionLignesDemande!$C$4:$C$1000,ROI_Avions!$C126)</f>
        <v>0</v>
      </c>
      <c r="T126" s="116"/>
      <c r="U126" s="8">
        <f t="shared" si="552"/>
        <v>837</v>
      </c>
      <c r="V126" s="8">
        <v>809</v>
      </c>
      <c r="W126" s="8">
        <v>22</v>
      </c>
      <c r="X126" s="8">
        <v>1</v>
      </c>
      <c r="Y126" s="8">
        <v>5</v>
      </c>
      <c r="Z126" s="121"/>
      <c r="AA126" s="132">
        <f t="shared" si="553"/>
        <v>-12944</v>
      </c>
      <c r="AB126" s="132">
        <f t="shared" si="554"/>
        <v>-352</v>
      </c>
      <c r="AC126" s="132">
        <f t="shared" si="555"/>
        <v>-16</v>
      </c>
      <c r="AD126" s="132">
        <f t="shared" si="556"/>
        <v>-80</v>
      </c>
      <c r="AE126" s="121"/>
      <c r="AF126" s="26">
        <f>SUMIFS(DataPrixBillets!N$1:N$1000,DataPrixBillets!$J$1:$J$1000,ROI_Avions!$A126,DataPrixBillets!$K$1:$K$1000,ROI_Avions!$C126)</f>
        <v>0</v>
      </c>
      <c r="AG126" s="26">
        <f>SUMIFS(DataPrixBillets!O$1:O$1000,DataPrixBillets!$J$1:$J$1000,ROI_Avions!$A126,DataPrixBillets!$K$1:$K$1000,ROI_Avions!$C126)</f>
        <v>0</v>
      </c>
      <c r="AH126" s="26">
        <f>SUMIFS(DataPrixBillets!P$1:P$1000,DataPrixBillets!$J$1:$J$1000,ROI_Avions!$A126,DataPrixBillets!$K$1:$K$1000,ROI_Avions!$C126)</f>
        <v>0</v>
      </c>
      <c r="AI126" s="26">
        <f>SUMIFS(DataPrixBillets!Q$1:Q$1000,DataPrixBillets!$J$1:$J$1000,ROI_Avions!$A126,DataPrixBillets!$K$1:$K$1000,ROI_Avions!$C126)</f>
        <v>0</v>
      </c>
      <c r="AJ126" s="121"/>
      <c r="AK126" s="8">
        <f t="shared" si="557"/>
        <v>0</v>
      </c>
      <c r="AL126" s="8" t="e">
        <f t="shared" ca="1" si="558"/>
        <v>#REF!</v>
      </c>
      <c r="AM126" s="8" t="e">
        <f t="shared" ca="1" si="559"/>
        <v>#REF!</v>
      </c>
      <c r="AN126" s="8" t="e">
        <f t="shared" ca="1" si="560"/>
        <v>#REF!</v>
      </c>
      <c r="AO126" s="8" t="e">
        <f t="shared" ca="1" si="561"/>
        <v>#REF!</v>
      </c>
      <c r="AP126" s="8" t="e">
        <f t="shared" ca="1" si="562"/>
        <v>#REF!</v>
      </c>
      <c r="AQ126" s="8" t="e">
        <f t="shared" ca="1" si="563"/>
        <v>#REF!</v>
      </c>
      <c r="AR126" s="190">
        <f t="shared" ca="1" si="475"/>
        <v>0</v>
      </c>
      <c r="AS126" s="120">
        <f t="shared" ca="1" si="476"/>
        <v>0</v>
      </c>
      <c r="AT126" s="8" t="e">
        <f t="shared" ca="1" si="564"/>
        <v>#REF!</v>
      </c>
    </row>
    <row r="127" spans="1:55" s="189" customFormat="1" x14ac:dyDescent="0.3">
      <c r="A127" s="150" t="s">
        <v>729</v>
      </c>
      <c r="B127" s="151">
        <v>444321612</v>
      </c>
      <c r="C127" s="150" t="s">
        <v>988</v>
      </c>
      <c r="D127" s="145" t="str">
        <f t="shared" si="280"/>
        <v>FNA/PVG</v>
      </c>
      <c r="E127" s="151">
        <v>38179612</v>
      </c>
      <c r="F127" s="152" t="str">
        <f>"A380-A-"&amp;A127&amp;"-"&amp;C127&amp;"-"&amp;9</f>
        <v>A380-A-FNA-PVG-9</v>
      </c>
      <c r="G127" s="151">
        <v>362700000</v>
      </c>
      <c r="H127" s="116"/>
      <c r="I127" s="8">
        <v>0</v>
      </c>
      <c r="J127" s="8">
        <v>0</v>
      </c>
      <c r="K127" s="8">
        <v>0</v>
      </c>
      <c r="L127" s="53"/>
      <c r="M127" s="53"/>
      <c r="N127" s="116"/>
      <c r="O127" s="140"/>
      <c r="P127" s="133">
        <f>SUMIFS(GestionLignesDemande!D$4:D$1000,GestionLignesDemande!$B$4:$B$1000,ROI_Avions!$A127,GestionLignesDemande!$C$4:$C$1000,ROI_Avions!$C127)</f>
        <v>0</v>
      </c>
      <c r="Q127" s="133">
        <f>SUMIFS(GestionLignesDemande!E$4:E$1000,GestionLignesDemande!$B$4:$B$1000,ROI_Avions!$A127,GestionLignesDemande!$C$4:$C$1000,ROI_Avions!$C127)</f>
        <v>0</v>
      </c>
      <c r="R127" s="133">
        <f>SUMIFS(GestionLignesDemande!F$4:F$1000,GestionLignesDemande!$B$4:$B$1000,ROI_Avions!$A127,GestionLignesDemande!$C$4:$C$1000,ROI_Avions!$C127)</f>
        <v>0</v>
      </c>
      <c r="S127" s="133">
        <f>SUMIFS(GestionLignesDemande!G$4:G$1000,GestionLignesDemande!$B$4:$B$1000,ROI_Avions!$A127,GestionLignesDemande!$C$4:$C$1000,ROI_Avions!$C127)</f>
        <v>0</v>
      </c>
      <c r="T127" s="116"/>
      <c r="U127" s="8">
        <f t="shared" si="552"/>
        <v>837</v>
      </c>
      <c r="V127" s="8">
        <v>809</v>
      </c>
      <c r="W127" s="8">
        <v>22</v>
      </c>
      <c r="X127" s="8">
        <v>1</v>
      </c>
      <c r="Y127" s="8">
        <v>5</v>
      </c>
      <c r="Z127" s="121"/>
      <c r="AA127" s="132">
        <f t="shared" si="553"/>
        <v>-14562</v>
      </c>
      <c r="AB127" s="132">
        <f t="shared" si="554"/>
        <v>-396</v>
      </c>
      <c r="AC127" s="132">
        <f t="shared" si="555"/>
        <v>-18</v>
      </c>
      <c r="AD127" s="132">
        <f t="shared" si="556"/>
        <v>-90</v>
      </c>
      <c r="AE127" s="121"/>
      <c r="AF127" s="26">
        <f>SUMIFS(DataPrixBillets!N$1:N$1000,DataPrixBillets!$J$1:$J$1000,ROI_Avions!$A127,DataPrixBillets!$K$1:$K$1000,ROI_Avions!$C127)</f>
        <v>0</v>
      </c>
      <c r="AG127" s="26">
        <f>SUMIFS(DataPrixBillets!O$1:O$1000,DataPrixBillets!$J$1:$J$1000,ROI_Avions!$A127,DataPrixBillets!$K$1:$K$1000,ROI_Avions!$C127)</f>
        <v>0</v>
      </c>
      <c r="AH127" s="26">
        <f>SUMIFS(DataPrixBillets!P$1:P$1000,DataPrixBillets!$J$1:$J$1000,ROI_Avions!$A127,DataPrixBillets!$K$1:$K$1000,ROI_Avions!$C127)</f>
        <v>0</v>
      </c>
      <c r="AI127" s="26">
        <f>SUMIFS(DataPrixBillets!Q$1:Q$1000,DataPrixBillets!$J$1:$J$1000,ROI_Avions!$A127,DataPrixBillets!$K$1:$K$1000,ROI_Avions!$C127)</f>
        <v>0</v>
      </c>
      <c r="AJ127" s="121"/>
      <c r="AK127" s="8">
        <f t="shared" si="557"/>
        <v>0</v>
      </c>
      <c r="AL127" s="8" t="e">
        <f t="shared" ca="1" si="558"/>
        <v>#REF!</v>
      </c>
      <c r="AM127" s="8" t="e">
        <f t="shared" ca="1" si="559"/>
        <v>#REF!</v>
      </c>
      <c r="AN127" s="8" t="e">
        <f t="shared" ca="1" si="560"/>
        <v>#REF!</v>
      </c>
      <c r="AO127" s="8" t="e">
        <f t="shared" ca="1" si="561"/>
        <v>#REF!</v>
      </c>
      <c r="AP127" s="8" t="e">
        <f t="shared" ca="1" si="562"/>
        <v>#REF!</v>
      </c>
      <c r="AQ127" s="8" t="e">
        <f t="shared" ca="1" si="563"/>
        <v>#REF!</v>
      </c>
      <c r="AR127" s="190">
        <f t="shared" ca="1" si="475"/>
        <v>0</v>
      </c>
      <c r="AS127" s="120">
        <f t="shared" ca="1" si="476"/>
        <v>0</v>
      </c>
      <c r="AT127" s="8" t="e">
        <f t="shared" ca="1" si="564"/>
        <v>#REF!</v>
      </c>
    </row>
    <row r="128" spans="1:55" s="189" customFormat="1" x14ac:dyDescent="0.3">
      <c r="A128" s="150" t="s">
        <v>729</v>
      </c>
      <c r="B128" s="151">
        <v>444321612</v>
      </c>
      <c r="C128" s="150" t="s">
        <v>342</v>
      </c>
      <c r="D128" s="145" t="str">
        <f t="shared" si="280"/>
        <v>FNA/DME</v>
      </c>
      <c r="E128" s="151">
        <v>34150489</v>
      </c>
      <c r="F128" s="152" t="str">
        <f>"A380-A-"&amp;A128&amp;"-"&amp;C128&amp;"-"&amp;1</f>
        <v>A380-A-FNA-DME-1</v>
      </c>
      <c r="G128" s="151">
        <v>362700000</v>
      </c>
      <c r="H128" s="116"/>
      <c r="I128" s="8">
        <v>0</v>
      </c>
      <c r="J128" s="8">
        <v>0</v>
      </c>
      <c r="K128" s="8">
        <v>0</v>
      </c>
      <c r="L128" s="53"/>
      <c r="M128" s="53"/>
      <c r="N128" s="116"/>
      <c r="O128" s="140"/>
      <c r="P128" s="133">
        <f>SUMIFS(GestionLignesDemande!D$4:D$1000,GestionLignesDemande!$B$4:$B$1000,ROI_Avions!$A128,GestionLignesDemande!$C$4:$C$1000,ROI_Avions!$C128)</f>
        <v>0</v>
      </c>
      <c r="Q128" s="133">
        <f>SUMIFS(GestionLignesDemande!E$4:E$1000,GestionLignesDemande!$B$4:$B$1000,ROI_Avions!$A128,GestionLignesDemande!$C$4:$C$1000,ROI_Avions!$C128)</f>
        <v>0</v>
      </c>
      <c r="R128" s="133">
        <f>SUMIFS(GestionLignesDemande!F$4:F$1000,GestionLignesDemande!$B$4:$B$1000,ROI_Avions!$A128,GestionLignesDemande!$C$4:$C$1000,ROI_Avions!$C128)</f>
        <v>0</v>
      </c>
      <c r="S128" s="133">
        <f>SUMIFS(GestionLignesDemande!G$4:G$1000,GestionLignesDemande!$B$4:$B$1000,ROI_Avions!$A128,GestionLignesDemande!$C$4:$C$1000,ROI_Avions!$C128)</f>
        <v>0</v>
      </c>
      <c r="T128" s="116"/>
      <c r="U128" s="8">
        <f t="shared" si="552"/>
        <v>837</v>
      </c>
      <c r="V128" s="8">
        <v>809</v>
      </c>
      <c r="W128" s="8">
        <v>22</v>
      </c>
      <c r="X128" s="8">
        <v>1</v>
      </c>
      <c r="Y128" s="8">
        <v>5</v>
      </c>
      <c r="Z128" s="121"/>
      <c r="AA128" s="132">
        <f t="shared" ref="AA128" si="565">P128-(V128*2)</f>
        <v>-1618</v>
      </c>
      <c r="AB128" s="132">
        <f t="shared" ref="AB128" si="566">Q128-(W128*2)</f>
        <v>-44</v>
      </c>
      <c r="AC128" s="132">
        <f t="shared" ref="AC128" si="567">R128-(X128*2)</f>
        <v>-2</v>
      </c>
      <c r="AD128" s="132">
        <f t="shared" ref="AD128" si="568">S128-(Y128*2)</f>
        <v>-10</v>
      </c>
      <c r="AE128" s="121"/>
      <c r="AF128" s="26">
        <f>SUMIFS(DataPrixBillets!N$1:N$1000,DataPrixBillets!$J$1:$J$1000,ROI_Avions!$A128,DataPrixBillets!$K$1:$K$1000,ROI_Avions!$C128)</f>
        <v>0</v>
      </c>
      <c r="AG128" s="26">
        <f>SUMIFS(DataPrixBillets!O$1:O$1000,DataPrixBillets!$J$1:$J$1000,ROI_Avions!$A128,DataPrixBillets!$K$1:$K$1000,ROI_Avions!$C128)</f>
        <v>0</v>
      </c>
      <c r="AH128" s="26">
        <f>SUMIFS(DataPrixBillets!P$1:P$1000,DataPrixBillets!$J$1:$J$1000,ROI_Avions!$A128,DataPrixBillets!$K$1:$K$1000,ROI_Avions!$C128)</f>
        <v>0</v>
      </c>
      <c r="AI128" s="26">
        <f>SUMIFS(DataPrixBillets!Q$1:Q$1000,DataPrixBillets!$J$1:$J$1000,ROI_Avions!$A128,DataPrixBillets!$K$1:$K$1000,ROI_Avions!$C128)</f>
        <v>0</v>
      </c>
      <c r="AJ128" s="121"/>
      <c r="AK128" s="8">
        <f t="shared" ref="AK128:AK145" si="569">(((AF128*V128)*2+(AG128*W128)*2+(AH128*X128)*2+(AI128*Y128)*2)*7)</f>
        <v>0</v>
      </c>
      <c r="AL128" s="8" t="e">
        <f t="shared" ref="AL128:AL145" ca="1" si="570">AK128-AM128</f>
        <v>#REF!</v>
      </c>
      <c r="AM128" s="8" t="e">
        <f t="shared" ref="AM128:AM145" ca="1" si="571">AK128*$AM$2</f>
        <v>#REF!</v>
      </c>
      <c r="AN128" s="8" t="e">
        <f t="shared" ref="AN128:AN145" ca="1" si="572">AL128*$AN$2</f>
        <v>#REF!</v>
      </c>
      <c r="AO128" s="8" t="e">
        <f t="shared" ref="AO128:AO145" ca="1" si="573">(AL128-AN128-I128)*$AO$2</f>
        <v>#REF!</v>
      </c>
      <c r="AP128" s="8" t="e">
        <f t="shared" ref="AP128:AP145" ca="1" si="574">AL128-AN128-(I128/7)-(AO128/7)</f>
        <v>#REF!</v>
      </c>
      <c r="AQ128" s="8" t="e">
        <f t="shared" ref="AQ128:AQ145" ca="1" si="575">AP128/7</f>
        <v>#REF!</v>
      </c>
      <c r="AR128" s="190">
        <f t="shared" ca="1" si="475"/>
        <v>0</v>
      </c>
      <c r="AS128" s="120">
        <f t="shared" ca="1" si="476"/>
        <v>0</v>
      </c>
      <c r="AT128" s="8" t="e">
        <f t="shared" ref="AT128:AT145" ca="1" si="576">IF(K128&gt;=1,AP128*K128,AP128*$AT$1)</f>
        <v>#REF!</v>
      </c>
    </row>
    <row r="129" spans="1:46" s="189" customFormat="1" x14ac:dyDescent="0.3">
      <c r="A129" s="150" t="s">
        <v>729</v>
      </c>
      <c r="B129" s="151">
        <v>444321612</v>
      </c>
      <c r="C129" s="150" t="s">
        <v>342</v>
      </c>
      <c r="D129" s="145" t="str">
        <f t="shared" si="280"/>
        <v>FNA/DME</v>
      </c>
      <c r="E129" s="151">
        <v>34150489</v>
      </c>
      <c r="F129" s="152" t="str">
        <f>"A380-A-"&amp;A129&amp;"-"&amp;C129&amp;"-"&amp;2</f>
        <v>A380-A-FNA-DME-2</v>
      </c>
      <c r="G129" s="151">
        <v>362700000</v>
      </c>
      <c r="H129" s="116"/>
      <c r="I129" s="8">
        <v>0</v>
      </c>
      <c r="J129" s="8">
        <v>0</v>
      </c>
      <c r="K129" s="8">
        <v>0</v>
      </c>
      <c r="L129" s="53"/>
      <c r="M129" s="53"/>
      <c r="N129" s="116"/>
      <c r="O129" s="140"/>
      <c r="P129" s="133">
        <f>SUMIFS(GestionLignesDemande!D$4:D$1000,GestionLignesDemande!$B$4:$B$1000,ROI_Avions!$A129,GestionLignesDemande!$C$4:$C$1000,ROI_Avions!$C129)</f>
        <v>0</v>
      </c>
      <c r="Q129" s="133">
        <f>SUMIFS(GestionLignesDemande!E$4:E$1000,GestionLignesDemande!$B$4:$B$1000,ROI_Avions!$A129,GestionLignesDemande!$C$4:$C$1000,ROI_Avions!$C129)</f>
        <v>0</v>
      </c>
      <c r="R129" s="133">
        <f>SUMIFS(GestionLignesDemande!F$4:F$1000,GestionLignesDemande!$B$4:$B$1000,ROI_Avions!$A129,GestionLignesDemande!$C$4:$C$1000,ROI_Avions!$C129)</f>
        <v>0</v>
      </c>
      <c r="S129" s="133">
        <f>SUMIFS(GestionLignesDemande!G$4:G$1000,GestionLignesDemande!$B$4:$B$1000,ROI_Avions!$A129,GestionLignesDemande!$C$4:$C$1000,ROI_Avions!$C129)</f>
        <v>0</v>
      </c>
      <c r="T129" s="116"/>
      <c r="U129" s="8">
        <f t="shared" si="552"/>
        <v>837</v>
      </c>
      <c r="V129" s="8">
        <v>809</v>
      </c>
      <c r="W129" s="8">
        <v>22</v>
      </c>
      <c r="X129" s="8">
        <v>1</v>
      </c>
      <c r="Y129" s="8">
        <v>5</v>
      </c>
      <c r="Z129" s="121"/>
      <c r="AA129" s="132">
        <f t="shared" ref="AA129:AA130" si="577">AA128-V129*2</f>
        <v>-3236</v>
      </c>
      <c r="AB129" s="132">
        <f t="shared" ref="AB129:AB130" si="578">AB128-W129*2</f>
        <v>-88</v>
      </c>
      <c r="AC129" s="132">
        <f t="shared" ref="AC129:AC130" si="579">AC128-X129*2</f>
        <v>-4</v>
      </c>
      <c r="AD129" s="132">
        <f t="shared" ref="AD129:AD130" si="580">AD128-Y129*2</f>
        <v>-20</v>
      </c>
      <c r="AE129" s="121"/>
      <c r="AF129" s="26">
        <f>SUMIFS(DataPrixBillets!N$1:N$1000,DataPrixBillets!$J$1:$J$1000,ROI_Avions!$A129,DataPrixBillets!$K$1:$K$1000,ROI_Avions!$C129)</f>
        <v>0</v>
      </c>
      <c r="AG129" s="26">
        <f>SUMIFS(DataPrixBillets!O$1:O$1000,DataPrixBillets!$J$1:$J$1000,ROI_Avions!$A129,DataPrixBillets!$K$1:$K$1000,ROI_Avions!$C129)</f>
        <v>0</v>
      </c>
      <c r="AH129" s="26">
        <f>SUMIFS(DataPrixBillets!P$1:P$1000,DataPrixBillets!$J$1:$J$1000,ROI_Avions!$A129,DataPrixBillets!$K$1:$K$1000,ROI_Avions!$C129)</f>
        <v>0</v>
      </c>
      <c r="AI129" s="26">
        <f>SUMIFS(DataPrixBillets!Q$1:Q$1000,DataPrixBillets!$J$1:$J$1000,ROI_Avions!$A129,DataPrixBillets!$K$1:$K$1000,ROI_Avions!$C129)</f>
        <v>0</v>
      </c>
      <c r="AJ129" s="121"/>
      <c r="AK129" s="8">
        <f t="shared" si="569"/>
        <v>0</v>
      </c>
      <c r="AL129" s="8" t="e">
        <f t="shared" ca="1" si="570"/>
        <v>#REF!</v>
      </c>
      <c r="AM129" s="8" t="e">
        <f t="shared" ca="1" si="571"/>
        <v>#REF!</v>
      </c>
      <c r="AN129" s="8" t="e">
        <f t="shared" ca="1" si="572"/>
        <v>#REF!</v>
      </c>
      <c r="AO129" s="8" t="e">
        <f t="shared" ca="1" si="573"/>
        <v>#REF!</v>
      </c>
      <c r="AP129" s="8" t="e">
        <f t="shared" ca="1" si="574"/>
        <v>#REF!</v>
      </c>
      <c r="AQ129" s="8" t="e">
        <f t="shared" ca="1" si="575"/>
        <v>#REF!</v>
      </c>
      <c r="AR129" s="190">
        <f t="shared" ca="1" si="475"/>
        <v>0</v>
      </c>
      <c r="AS129" s="120">
        <f t="shared" ca="1" si="476"/>
        <v>0</v>
      </c>
      <c r="AT129" s="8" t="e">
        <f t="shared" ca="1" si="576"/>
        <v>#REF!</v>
      </c>
    </row>
    <row r="130" spans="1:46" s="189" customFormat="1" x14ac:dyDescent="0.3">
      <c r="A130" s="150" t="s">
        <v>729</v>
      </c>
      <c r="B130" s="151">
        <v>444321612</v>
      </c>
      <c r="C130" s="150" t="s">
        <v>342</v>
      </c>
      <c r="D130" s="145" t="str">
        <f t="shared" si="280"/>
        <v>FNA/DME</v>
      </c>
      <c r="E130" s="151">
        <v>34150489</v>
      </c>
      <c r="F130" s="152" t="str">
        <f>"B789-A-"&amp;A130&amp;"-"&amp;C130&amp;"-"&amp;3</f>
        <v>B789-A-FNA-DME-3</v>
      </c>
      <c r="G130" s="151">
        <v>204687000</v>
      </c>
      <c r="H130" s="116"/>
      <c r="I130" s="8">
        <v>0</v>
      </c>
      <c r="J130" s="8">
        <v>0</v>
      </c>
      <c r="K130" s="8">
        <v>0</v>
      </c>
      <c r="L130" s="53"/>
      <c r="M130" s="53"/>
      <c r="N130" s="116"/>
      <c r="O130" s="140"/>
      <c r="P130" s="133">
        <f>SUMIFS(GestionLignesDemande!D$4:D$1000,GestionLignesDemande!$B$4:$B$1000,ROI_Avions!$A130,GestionLignesDemande!$C$4:$C$1000,ROI_Avions!$C130)</f>
        <v>0</v>
      </c>
      <c r="Q130" s="133">
        <f>SUMIFS(GestionLignesDemande!E$4:E$1000,GestionLignesDemande!$B$4:$B$1000,ROI_Avions!$A130,GestionLignesDemande!$C$4:$C$1000,ROI_Avions!$C130)</f>
        <v>0</v>
      </c>
      <c r="R130" s="133">
        <f>SUMIFS(GestionLignesDemande!F$4:F$1000,GestionLignesDemande!$B$4:$B$1000,ROI_Avions!$A130,GestionLignesDemande!$C$4:$C$1000,ROI_Avions!$C130)</f>
        <v>0</v>
      </c>
      <c r="S130" s="133">
        <f>SUMIFS(GestionLignesDemande!G$4:G$1000,GestionLignesDemande!$B$4:$B$1000,ROI_Avions!$A130,GestionLignesDemande!$C$4:$C$1000,ROI_Avions!$C130)</f>
        <v>0</v>
      </c>
      <c r="T130" s="116"/>
      <c r="U130" s="8">
        <f t="shared" si="552"/>
        <v>420</v>
      </c>
      <c r="V130" s="8">
        <v>420</v>
      </c>
      <c r="W130" s="8">
        <v>0</v>
      </c>
      <c r="X130" s="8">
        <v>0</v>
      </c>
      <c r="Y130" s="8">
        <v>0</v>
      </c>
      <c r="Z130" s="121"/>
      <c r="AA130" s="132">
        <f t="shared" si="577"/>
        <v>-4076</v>
      </c>
      <c r="AB130" s="132">
        <f t="shared" si="578"/>
        <v>-88</v>
      </c>
      <c r="AC130" s="132">
        <f t="shared" si="579"/>
        <v>-4</v>
      </c>
      <c r="AD130" s="132">
        <f t="shared" si="580"/>
        <v>-20</v>
      </c>
      <c r="AE130" s="121"/>
      <c r="AF130" s="26">
        <f>SUMIFS(DataPrixBillets!N$1:N$1000,DataPrixBillets!$J$1:$J$1000,ROI_Avions!$A130,DataPrixBillets!$K$1:$K$1000,ROI_Avions!$C130)</f>
        <v>0</v>
      </c>
      <c r="AG130" s="26">
        <f>SUMIFS(DataPrixBillets!O$1:O$1000,DataPrixBillets!$J$1:$J$1000,ROI_Avions!$A130,DataPrixBillets!$K$1:$K$1000,ROI_Avions!$C130)</f>
        <v>0</v>
      </c>
      <c r="AH130" s="26">
        <f>SUMIFS(DataPrixBillets!P$1:P$1000,DataPrixBillets!$J$1:$J$1000,ROI_Avions!$A130,DataPrixBillets!$K$1:$K$1000,ROI_Avions!$C130)</f>
        <v>0</v>
      </c>
      <c r="AI130" s="26">
        <f>SUMIFS(DataPrixBillets!Q$1:Q$1000,DataPrixBillets!$J$1:$J$1000,ROI_Avions!$A130,DataPrixBillets!$K$1:$K$1000,ROI_Avions!$C130)</f>
        <v>0</v>
      </c>
      <c r="AJ130" s="121"/>
      <c r="AK130" s="8">
        <f t="shared" si="569"/>
        <v>0</v>
      </c>
      <c r="AL130" s="8" t="e">
        <f t="shared" ca="1" si="570"/>
        <v>#REF!</v>
      </c>
      <c r="AM130" s="8" t="e">
        <f t="shared" ca="1" si="571"/>
        <v>#REF!</v>
      </c>
      <c r="AN130" s="8" t="e">
        <f t="shared" ca="1" si="572"/>
        <v>#REF!</v>
      </c>
      <c r="AO130" s="8" t="e">
        <f t="shared" ca="1" si="573"/>
        <v>#REF!</v>
      </c>
      <c r="AP130" s="8" t="e">
        <f t="shared" ca="1" si="574"/>
        <v>#REF!</v>
      </c>
      <c r="AQ130" s="8" t="e">
        <f t="shared" ca="1" si="575"/>
        <v>#REF!</v>
      </c>
      <c r="AR130" s="190">
        <f t="shared" ca="1" si="475"/>
        <v>0</v>
      </c>
      <c r="AS130" s="120">
        <f t="shared" ca="1" si="476"/>
        <v>0</v>
      </c>
      <c r="AT130" s="8" t="e">
        <f t="shared" ca="1" si="576"/>
        <v>#REF!</v>
      </c>
    </row>
    <row r="131" spans="1:46" s="189" customFormat="1" x14ac:dyDescent="0.3">
      <c r="A131" s="150" t="s">
        <v>729</v>
      </c>
      <c r="B131" s="151">
        <v>444321612</v>
      </c>
      <c r="C131" s="150" t="s">
        <v>1009</v>
      </c>
      <c r="D131" s="145" t="str">
        <f t="shared" si="280"/>
        <v>FNA/CTU</v>
      </c>
      <c r="E131" s="151">
        <v>50170703</v>
      </c>
      <c r="F131" s="152" t="str">
        <f>"A380-A-"&amp;A131&amp;"-"&amp;C131&amp;"-"&amp;1</f>
        <v>A380-A-FNA-CTU-1</v>
      </c>
      <c r="G131" s="151">
        <v>362700000</v>
      </c>
      <c r="H131" s="116"/>
      <c r="I131" s="8">
        <v>0</v>
      </c>
      <c r="J131" s="8">
        <v>0</v>
      </c>
      <c r="K131" s="8">
        <v>0</v>
      </c>
      <c r="L131" s="53"/>
      <c r="M131" s="53"/>
      <c r="N131" s="116"/>
      <c r="O131" s="140"/>
      <c r="P131" s="133">
        <f>SUMIFS(GestionLignesDemande!D$4:D$1000,GestionLignesDemande!$B$4:$B$1000,ROI_Avions!$A131,GestionLignesDemande!$C$4:$C$1000,ROI_Avions!$C131)</f>
        <v>0</v>
      </c>
      <c r="Q131" s="133">
        <f>SUMIFS(GestionLignesDemande!E$4:E$1000,GestionLignesDemande!$B$4:$B$1000,ROI_Avions!$A131,GestionLignesDemande!$C$4:$C$1000,ROI_Avions!$C131)</f>
        <v>0</v>
      </c>
      <c r="R131" s="133">
        <f>SUMIFS(GestionLignesDemande!F$4:F$1000,GestionLignesDemande!$B$4:$B$1000,ROI_Avions!$A131,GestionLignesDemande!$C$4:$C$1000,ROI_Avions!$C131)</f>
        <v>0</v>
      </c>
      <c r="S131" s="133">
        <f>SUMIFS(GestionLignesDemande!G$4:G$1000,GestionLignesDemande!$B$4:$B$1000,ROI_Avions!$A131,GestionLignesDemande!$C$4:$C$1000,ROI_Avions!$C131)</f>
        <v>0</v>
      </c>
      <c r="T131" s="116"/>
      <c r="U131" s="8">
        <f t="shared" si="552"/>
        <v>837</v>
      </c>
      <c r="V131" s="8">
        <v>809</v>
      </c>
      <c r="W131" s="8">
        <v>22</v>
      </c>
      <c r="X131" s="8">
        <v>1</v>
      </c>
      <c r="Y131" s="8">
        <v>5</v>
      </c>
      <c r="Z131" s="121"/>
      <c r="AA131" s="132">
        <f t="shared" ref="AA131" si="581">P131-(V131*2)</f>
        <v>-1618</v>
      </c>
      <c r="AB131" s="132">
        <f t="shared" ref="AB131" si="582">Q131-(W131*2)</f>
        <v>-44</v>
      </c>
      <c r="AC131" s="132">
        <f t="shared" ref="AC131" si="583">R131-(X131*2)</f>
        <v>-2</v>
      </c>
      <c r="AD131" s="132">
        <f t="shared" ref="AD131" si="584">S131-(Y131*2)</f>
        <v>-10</v>
      </c>
      <c r="AE131" s="121"/>
      <c r="AF131" s="26">
        <f>SUMIFS(DataPrixBillets!N$1:N$1000,DataPrixBillets!$J$1:$J$1000,ROI_Avions!$A131,DataPrixBillets!$K$1:$K$1000,ROI_Avions!$C131)</f>
        <v>0</v>
      </c>
      <c r="AG131" s="26">
        <f>SUMIFS(DataPrixBillets!O$1:O$1000,DataPrixBillets!$J$1:$J$1000,ROI_Avions!$A131,DataPrixBillets!$K$1:$K$1000,ROI_Avions!$C131)</f>
        <v>0</v>
      </c>
      <c r="AH131" s="26">
        <f>SUMIFS(DataPrixBillets!P$1:P$1000,DataPrixBillets!$J$1:$J$1000,ROI_Avions!$A131,DataPrixBillets!$K$1:$K$1000,ROI_Avions!$C131)</f>
        <v>0</v>
      </c>
      <c r="AI131" s="26">
        <f>SUMIFS(DataPrixBillets!Q$1:Q$1000,DataPrixBillets!$J$1:$J$1000,ROI_Avions!$A131,DataPrixBillets!$K$1:$K$1000,ROI_Avions!$C131)</f>
        <v>0</v>
      </c>
      <c r="AJ131" s="121"/>
      <c r="AK131" s="8">
        <f t="shared" si="569"/>
        <v>0</v>
      </c>
      <c r="AL131" s="8" t="e">
        <f t="shared" ca="1" si="570"/>
        <v>#REF!</v>
      </c>
      <c r="AM131" s="8" t="e">
        <f t="shared" ca="1" si="571"/>
        <v>#REF!</v>
      </c>
      <c r="AN131" s="8" t="e">
        <f t="shared" ca="1" si="572"/>
        <v>#REF!</v>
      </c>
      <c r="AO131" s="8" t="e">
        <f t="shared" ca="1" si="573"/>
        <v>#REF!</v>
      </c>
      <c r="AP131" s="8" t="e">
        <f t="shared" ca="1" si="574"/>
        <v>#REF!</v>
      </c>
      <c r="AQ131" s="8" t="e">
        <f t="shared" ca="1" si="575"/>
        <v>#REF!</v>
      </c>
      <c r="AR131" s="190">
        <f t="shared" ca="1" si="475"/>
        <v>0</v>
      </c>
      <c r="AS131" s="120">
        <f t="shared" ca="1" si="476"/>
        <v>0</v>
      </c>
      <c r="AT131" s="8" t="e">
        <f t="shared" ca="1" si="576"/>
        <v>#REF!</v>
      </c>
    </row>
    <row r="132" spans="1:46" s="189" customFormat="1" x14ac:dyDescent="0.3">
      <c r="A132" s="150" t="s">
        <v>729</v>
      </c>
      <c r="B132" s="151">
        <v>444321612</v>
      </c>
      <c r="C132" s="150" t="s">
        <v>1009</v>
      </c>
      <c r="D132" s="145" t="str">
        <f t="shared" si="280"/>
        <v>FNA/CTU</v>
      </c>
      <c r="E132" s="151">
        <v>50170703</v>
      </c>
      <c r="F132" s="152" t="str">
        <f>"A380-A-"&amp;A132&amp;"-"&amp;C132&amp;"-"&amp;2</f>
        <v>A380-A-FNA-CTU-2</v>
      </c>
      <c r="G132" s="151">
        <v>362700000</v>
      </c>
      <c r="H132" s="116"/>
      <c r="I132" s="8">
        <v>0</v>
      </c>
      <c r="J132" s="8">
        <v>0</v>
      </c>
      <c r="K132" s="8">
        <v>0</v>
      </c>
      <c r="L132" s="53"/>
      <c r="M132" s="53"/>
      <c r="N132" s="116"/>
      <c r="O132" s="140"/>
      <c r="P132" s="133">
        <f>SUMIFS(GestionLignesDemande!D$4:D$1000,GestionLignesDemande!$B$4:$B$1000,ROI_Avions!$A132,GestionLignesDemande!$C$4:$C$1000,ROI_Avions!$C132)</f>
        <v>0</v>
      </c>
      <c r="Q132" s="133">
        <f>SUMIFS(GestionLignesDemande!E$4:E$1000,GestionLignesDemande!$B$4:$B$1000,ROI_Avions!$A132,GestionLignesDemande!$C$4:$C$1000,ROI_Avions!$C132)</f>
        <v>0</v>
      </c>
      <c r="R132" s="133">
        <f>SUMIFS(GestionLignesDemande!F$4:F$1000,GestionLignesDemande!$B$4:$B$1000,ROI_Avions!$A132,GestionLignesDemande!$C$4:$C$1000,ROI_Avions!$C132)</f>
        <v>0</v>
      </c>
      <c r="S132" s="133">
        <f>SUMIFS(GestionLignesDemande!G$4:G$1000,GestionLignesDemande!$B$4:$B$1000,ROI_Avions!$A132,GestionLignesDemande!$C$4:$C$1000,ROI_Avions!$C132)</f>
        <v>0</v>
      </c>
      <c r="T132" s="116"/>
      <c r="U132" s="8">
        <f t="shared" si="552"/>
        <v>837</v>
      </c>
      <c r="V132" s="8">
        <v>809</v>
      </c>
      <c r="W132" s="8">
        <v>22</v>
      </c>
      <c r="X132" s="8">
        <v>1</v>
      </c>
      <c r="Y132" s="8">
        <v>5</v>
      </c>
      <c r="Z132" s="121"/>
      <c r="AA132" s="132">
        <f t="shared" ref="AA132:AA133" si="585">AA131-V132*2</f>
        <v>-3236</v>
      </c>
      <c r="AB132" s="132">
        <f t="shared" ref="AB132:AB133" si="586">AB131-W132*2</f>
        <v>-88</v>
      </c>
      <c r="AC132" s="132">
        <f t="shared" ref="AC132:AC133" si="587">AC131-X132*2</f>
        <v>-4</v>
      </c>
      <c r="AD132" s="132">
        <f t="shared" ref="AD132:AD133" si="588">AD131-Y132*2</f>
        <v>-20</v>
      </c>
      <c r="AE132" s="121"/>
      <c r="AF132" s="26">
        <f>SUMIFS(DataPrixBillets!N$1:N$1000,DataPrixBillets!$J$1:$J$1000,ROI_Avions!$A132,DataPrixBillets!$K$1:$K$1000,ROI_Avions!$C132)</f>
        <v>0</v>
      </c>
      <c r="AG132" s="26">
        <f>SUMIFS(DataPrixBillets!O$1:O$1000,DataPrixBillets!$J$1:$J$1000,ROI_Avions!$A132,DataPrixBillets!$K$1:$K$1000,ROI_Avions!$C132)</f>
        <v>0</v>
      </c>
      <c r="AH132" s="26">
        <f>SUMIFS(DataPrixBillets!P$1:P$1000,DataPrixBillets!$J$1:$J$1000,ROI_Avions!$A132,DataPrixBillets!$K$1:$K$1000,ROI_Avions!$C132)</f>
        <v>0</v>
      </c>
      <c r="AI132" s="26">
        <f>SUMIFS(DataPrixBillets!Q$1:Q$1000,DataPrixBillets!$J$1:$J$1000,ROI_Avions!$A132,DataPrixBillets!$K$1:$K$1000,ROI_Avions!$C132)</f>
        <v>0</v>
      </c>
      <c r="AJ132" s="121"/>
      <c r="AK132" s="8">
        <f t="shared" si="569"/>
        <v>0</v>
      </c>
      <c r="AL132" s="8" t="e">
        <f t="shared" ca="1" si="570"/>
        <v>#REF!</v>
      </c>
      <c r="AM132" s="8" t="e">
        <f t="shared" ca="1" si="571"/>
        <v>#REF!</v>
      </c>
      <c r="AN132" s="8" t="e">
        <f t="shared" ca="1" si="572"/>
        <v>#REF!</v>
      </c>
      <c r="AO132" s="8" t="e">
        <f t="shared" ca="1" si="573"/>
        <v>#REF!</v>
      </c>
      <c r="AP132" s="8" t="e">
        <f t="shared" ca="1" si="574"/>
        <v>#REF!</v>
      </c>
      <c r="AQ132" s="8" t="e">
        <f t="shared" ca="1" si="575"/>
        <v>#REF!</v>
      </c>
      <c r="AR132" s="190">
        <f t="shared" ca="1" si="475"/>
        <v>0</v>
      </c>
      <c r="AS132" s="120">
        <f t="shared" ca="1" si="476"/>
        <v>0</v>
      </c>
      <c r="AT132" s="8" t="e">
        <f t="shared" ca="1" si="576"/>
        <v>#REF!</v>
      </c>
    </row>
    <row r="133" spans="1:46" s="189" customFormat="1" x14ac:dyDescent="0.3">
      <c r="A133" s="150" t="s">
        <v>729</v>
      </c>
      <c r="B133" s="151">
        <v>444321612</v>
      </c>
      <c r="C133" s="150" t="s">
        <v>1009</v>
      </c>
      <c r="D133" s="145" t="str">
        <f t="shared" si="280"/>
        <v>FNA/CTU</v>
      </c>
      <c r="E133" s="151">
        <v>50170703</v>
      </c>
      <c r="F133" s="152" t="str">
        <f>"B789-A-"&amp;A133&amp;"-"&amp;C133&amp;"-"&amp;3</f>
        <v>B789-A-FNA-CTU-3</v>
      </c>
      <c r="G133" s="151">
        <v>204687000</v>
      </c>
      <c r="H133" s="116"/>
      <c r="I133" s="8">
        <v>0</v>
      </c>
      <c r="J133" s="8">
        <v>0</v>
      </c>
      <c r="K133" s="8">
        <v>0</v>
      </c>
      <c r="L133" s="53"/>
      <c r="M133" s="53"/>
      <c r="N133" s="116"/>
      <c r="O133" s="140"/>
      <c r="P133" s="133">
        <f>SUMIFS(GestionLignesDemande!D$4:D$1000,GestionLignesDemande!$B$4:$B$1000,ROI_Avions!$A133,GestionLignesDemande!$C$4:$C$1000,ROI_Avions!$C133)</f>
        <v>0</v>
      </c>
      <c r="Q133" s="133">
        <f>SUMIFS(GestionLignesDemande!E$4:E$1000,GestionLignesDemande!$B$4:$B$1000,ROI_Avions!$A133,GestionLignesDemande!$C$4:$C$1000,ROI_Avions!$C133)</f>
        <v>0</v>
      </c>
      <c r="R133" s="133">
        <f>SUMIFS(GestionLignesDemande!F$4:F$1000,GestionLignesDemande!$B$4:$B$1000,ROI_Avions!$A133,GestionLignesDemande!$C$4:$C$1000,ROI_Avions!$C133)</f>
        <v>0</v>
      </c>
      <c r="S133" s="133">
        <f>SUMIFS(GestionLignesDemande!G$4:G$1000,GestionLignesDemande!$B$4:$B$1000,ROI_Avions!$A133,GestionLignesDemande!$C$4:$C$1000,ROI_Avions!$C133)</f>
        <v>0</v>
      </c>
      <c r="T133" s="116"/>
      <c r="U133" s="8">
        <f t="shared" si="552"/>
        <v>420</v>
      </c>
      <c r="V133" s="8">
        <v>420</v>
      </c>
      <c r="W133" s="8">
        <v>0</v>
      </c>
      <c r="X133" s="8">
        <v>0</v>
      </c>
      <c r="Y133" s="8">
        <v>0</v>
      </c>
      <c r="Z133" s="121"/>
      <c r="AA133" s="132">
        <f t="shared" si="585"/>
        <v>-4076</v>
      </c>
      <c r="AB133" s="132">
        <f t="shared" si="586"/>
        <v>-88</v>
      </c>
      <c r="AC133" s="132">
        <f t="shared" si="587"/>
        <v>-4</v>
      </c>
      <c r="AD133" s="132">
        <f t="shared" si="588"/>
        <v>-20</v>
      </c>
      <c r="AE133" s="121"/>
      <c r="AF133" s="26">
        <f>SUMIFS(DataPrixBillets!N$1:N$1000,DataPrixBillets!$J$1:$J$1000,ROI_Avions!$A133,DataPrixBillets!$K$1:$K$1000,ROI_Avions!$C133)</f>
        <v>0</v>
      </c>
      <c r="AG133" s="26">
        <f>SUMIFS(DataPrixBillets!O$1:O$1000,DataPrixBillets!$J$1:$J$1000,ROI_Avions!$A133,DataPrixBillets!$K$1:$K$1000,ROI_Avions!$C133)</f>
        <v>0</v>
      </c>
      <c r="AH133" s="26">
        <f>SUMIFS(DataPrixBillets!P$1:P$1000,DataPrixBillets!$J$1:$J$1000,ROI_Avions!$A133,DataPrixBillets!$K$1:$K$1000,ROI_Avions!$C133)</f>
        <v>0</v>
      </c>
      <c r="AI133" s="26">
        <f>SUMIFS(DataPrixBillets!Q$1:Q$1000,DataPrixBillets!$J$1:$J$1000,ROI_Avions!$A133,DataPrixBillets!$K$1:$K$1000,ROI_Avions!$C133)</f>
        <v>0</v>
      </c>
      <c r="AJ133" s="121"/>
      <c r="AK133" s="8">
        <f t="shared" si="569"/>
        <v>0</v>
      </c>
      <c r="AL133" s="8" t="e">
        <f t="shared" ca="1" si="570"/>
        <v>#REF!</v>
      </c>
      <c r="AM133" s="8" t="e">
        <f t="shared" ca="1" si="571"/>
        <v>#REF!</v>
      </c>
      <c r="AN133" s="8" t="e">
        <f t="shared" ca="1" si="572"/>
        <v>#REF!</v>
      </c>
      <c r="AO133" s="8" t="e">
        <f t="shared" ca="1" si="573"/>
        <v>#REF!</v>
      </c>
      <c r="AP133" s="8" t="e">
        <f t="shared" ca="1" si="574"/>
        <v>#REF!</v>
      </c>
      <c r="AQ133" s="8" t="e">
        <f t="shared" ca="1" si="575"/>
        <v>#REF!</v>
      </c>
      <c r="AR133" s="190">
        <f t="shared" ref="AR133:AR164" ca="1" si="589">IFERROR((AP133/7)/((B133/COUNTIFS(A:A,A133))+(E133/COUNTIFS(A:A,A133,C:C,C133))+I133*K133+J133+G133),0)</f>
        <v>0</v>
      </c>
      <c r="AS133" s="120">
        <f t="shared" ref="AS133:AS164" ca="1" si="590">IFERROR(((B133/COUNTIFS(A:A,A133))+(E133/COUNTIFS(A:A,A133,C:C,C133))+I133*K133+J133+G133)/(AP133/7),0)</f>
        <v>0</v>
      </c>
      <c r="AT133" s="8" t="e">
        <f t="shared" ca="1" si="576"/>
        <v>#REF!</v>
      </c>
    </row>
    <row r="134" spans="1:46" s="189" customFormat="1" x14ac:dyDescent="0.3">
      <c r="A134" s="150" t="s">
        <v>729</v>
      </c>
      <c r="B134" s="151">
        <v>444321612</v>
      </c>
      <c r="C134" s="150" t="s">
        <v>1010</v>
      </c>
      <c r="D134" s="145" t="str">
        <f t="shared" ref="D134:D197" si="591">A134&amp;"/"&amp;C134</f>
        <v>FNA/KMG</v>
      </c>
      <c r="E134" s="151">
        <v>60236567</v>
      </c>
      <c r="F134" s="152" t="str">
        <f>"A380-A-"&amp;A134&amp;"-"&amp;C134&amp;"-"&amp;1</f>
        <v>A380-A-FNA-KMG-1</v>
      </c>
      <c r="G134" s="151">
        <v>362700000</v>
      </c>
      <c r="H134" s="116"/>
      <c r="I134" s="8">
        <v>0</v>
      </c>
      <c r="J134" s="8">
        <v>0</v>
      </c>
      <c r="K134" s="8">
        <v>0</v>
      </c>
      <c r="L134" s="53"/>
      <c r="M134" s="53"/>
      <c r="N134" s="116"/>
      <c r="O134" s="140"/>
      <c r="P134" s="133">
        <f>SUMIFS(GestionLignesDemande!D$4:D$1000,GestionLignesDemande!$B$4:$B$1000,ROI_Avions!$A134,GestionLignesDemande!$C$4:$C$1000,ROI_Avions!$C134)</f>
        <v>0</v>
      </c>
      <c r="Q134" s="133">
        <f>SUMIFS(GestionLignesDemande!E$4:E$1000,GestionLignesDemande!$B$4:$B$1000,ROI_Avions!$A134,GestionLignesDemande!$C$4:$C$1000,ROI_Avions!$C134)</f>
        <v>0</v>
      </c>
      <c r="R134" s="133">
        <f>SUMIFS(GestionLignesDemande!F$4:F$1000,GestionLignesDemande!$B$4:$B$1000,ROI_Avions!$A134,GestionLignesDemande!$C$4:$C$1000,ROI_Avions!$C134)</f>
        <v>0</v>
      </c>
      <c r="S134" s="133">
        <f>SUMIFS(GestionLignesDemande!G$4:G$1000,GestionLignesDemande!$B$4:$B$1000,ROI_Avions!$A134,GestionLignesDemande!$C$4:$C$1000,ROI_Avions!$C134)</f>
        <v>0</v>
      </c>
      <c r="T134" s="116"/>
      <c r="U134" s="8">
        <f t="shared" si="552"/>
        <v>837</v>
      </c>
      <c r="V134" s="8">
        <v>809</v>
      </c>
      <c r="W134" s="8">
        <v>22</v>
      </c>
      <c r="X134" s="8">
        <v>1</v>
      </c>
      <c r="Y134" s="8">
        <v>5</v>
      </c>
      <c r="Z134" s="121"/>
      <c r="AA134" s="132">
        <f t="shared" ref="AA134" si="592">P134-(V134*2)</f>
        <v>-1618</v>
      </c>
      <c r="AB134" s="132">
        <f t="shared" ref="AB134" si="593">Q134-(W134*2)</f>
        <v>-44</v>
      </c>
      <c r="AC134" s="132">
        <f t="shared" ref="AC134" si="594">R134-(X134*2)</f>
        <v>-2</v>
      </c>
      <c r="AD134" s="132">
        <f t="shared" ref="AD134" si="595">S134-(Y134*2)</f>
        <v>-10</v>
      </c>
      <c r="AE134" s="121"/>
      <c r="AF134" s="26">
        <f>SUMIFS(DataPrixBillets!N$1:N$1000,DataPrixBillets!$J$1:$J$1000,ROI_Avions!$A134,DataPrixBillets!$K$1:$K$1000,ROI_Avions!$C134)</f>
        <v>0</v>
      </c>
      <c r="AG134" s="26">
        <f>SUMIFS(DataPrixBillets!O$1:O$1000,DataPrixBillets!$J$1:$J$1000,ROI_Avions!$A134,DataPrixBillets!$K$1:$K$1000,ROI_Avions!$C134)</f>
        <v>0</v>
      </c>
      <c r="AH134" s="26">
        <f>SUMIFS(DataPrixBillets!P$1:P$1000,DataPrixBillets!$J$1:$J$1000,ROI_Avions!$A134,DataPrixBillets!$K$1:$K$1000,ROI_Avions!$C134)</f>
        <v>0</v>
      </c>
      <c r="AI134" s="26">
        <f>SUMIFS(DataPrixBillets!Q$1:Q$1000,DataPrixBillets!$J$1:$J$1000,ROI_Avions!$A134,DataPrixBillets!$K$1:$K$1000,ROI_Avions!$C134)</f>
        <v>0</v>
      </c>
      <c r="AJ134" s="121"/>
      <c r="AK134" s="8">
        <f t="shared" si="569"/>
        <v>0</v>
      </c>
      <c r="AL134" s="8" t="e">
        <f t="shared" ca="1" si="570"/>
        <v>#REF!</v>
      </c>
      <c r="AM134" s="8" t="e">
        <f t="shared" ca="1" si="571"/>
        <v>#REF!</v>
      </c>
      <c r="AN134" s="8" t="e">
        <f t="shared" ca="1" si="572"/>
        <v>#REF!</v>
      </c>
      <c r="AO134" s="8" t="e">
        <f t="shared" ca="1" si="573"/>
        <v>#REF!</v>
      </c>
      <c r="AP134" s="8" t="e">
        <f t="shared" ca="1" si="574"/>
        <v>#REF!</v>
      </c>
      <c r="AQ134" s="8" t="e">
        <f t="shared" ca="1" si="575"/>
        <v>#REF!</v>
      </c>
      <c r="AR134" s="190">
        <f t="shared" ca="1" si="589"/>
        <v>0</v>
      </c>
      <c r="AS134" s="120">
        <f t="shared" ca="1" si="590"/>
        <v>0</v>
      </c>
      <c r="AT134" s="8" t="e">
        <f t="shared" ca="1" si="576"/>
        <v>#REF!</v>
      </c>
    </row>
    <row r="135" spans="1:46" s="189" customFormat="1" x14ac:dyDescent="0.3">
      <c r="A135" s="150" t="s">
        <v>729</v>
      </c>
      <c r="B135" s="151">
        <v>444321612</v>
      </c>
      <c r="C135" s="150" t="s">
        <v>1010</v>
      </c>
      <c r="D135" s="145" t="str">
        <f t="shared" si="591"/>
        <v>FNA/KMG</v>
      </c>
      <c r="E135" s="151">
        <v>60236567</v>
      </c>
      <c r="F135" s="152" t="str">
        <f>"A380-A-"&amp;A135&amp;"-"&amp;C135&amp;"-"&amp;2</f>
        <v>A380-A-FNA-KMG-2</v>
      </c>
      <c r="G135" s="151">
        <v>362700000</v>
      </c>
      <c r="H135" s="116"/>
      <c r="I135" s="8">
        <v>0</v>
      </c>
      <c r="J135" s="8">
        <v>0</v>
      </c>
      <c r="K135" s="8">
        <v>0</v>
      </c>
      <c r="L135" s="53"/>
      <c r="M135" s="53"/>
      <c r="N135" s="116"/>
      <c r="O135" s="140"/>
      <c r="P135" s="133">
        <f>SUMIFS(GestionLignesDemande!D$4:D$1000,GestionLignesDemande!$B$4:$B$1000,ROI_Avions!$A135,GestionLignesDemande!$C$4:$C$1000,ROI_Avions!$C135)</f>
        <v>0</v>
      </c>
      <c r="Q135" s="133">
        <f>SUMIFS(GestionLignesDemande!E$4:E$1000,GestionLignesDemande!$B$4:$B$1000,ROI_Avions!$A135,GestionLignesDemande!$C$4:$C$1000,ROI_Avions!$C135)</f>
        <v>0</v>
      </c>
      <c r="R135" s="133">
        <f>SUMIFS(GestionLignesDemande!F$4:F$1000,GestionLignesDemande!$B$4:$B$1000,ROI_Avions!$A135,GestionLignesDemande!$C$4:$C$1000,ROI_Avions!$C135)</f>
        <v>0</v>
      </c>
      <c r="S135" s="133">
        <f>SUMIFS(GestionLignesDemande!G$4:G$1000,GestionLignesDemande!$B$4:$B$1000,ROI_Avions!$A135,GestionLignesDemande!$C$4:$C$1000,ROI_Avions!$C135)</f>
        <v>0</v>
      </c>
      <c r="T135" s="116"/>
      <c r="U135" s="8">
        <f t="shared" si="552"/>
        <v>837</v>
      </c>
      <c r="V135" s="8">
        <v>809</v>
      </c>
      <c r="W135" s="8">
        <v>22</v>
      </c>
      <c r="X135" s="8">
        <v>1</v>
      </c>
      <c r="Y135" s="8">
        <v>5</v>
      </c>
      <c r="Z135" s="121"/>
      <c r="AA135" s="132">
        <f t="shared" ref="AA135:AA136" si="596">AA134-V135*2</f>
        <v>-3236</v>
      </c>
      <c r="AB135" s="132">
        <f t="shared" ref="AB135:AB136" si="597">AB134-W135*2</f>
        <v>-88</v>
      </c>
      <c r="AC135" s="132">
        <f t="shared" ref="AC135:AC136" si="598">AC134-X135*2</f>
        <v>-4</v>
      </c>
      <c r="AD135" s="132">
        <f t="shared" ref="AD135:AD136" si="599">AD134-Y135*2</f>
        <v>-20</v>
      </c>
      <c r="AE135" s="121"/>
      <c r="AF135" s="26">
        <f>SUMIFS(DataPrixBillets!N$1:N$1000,DataPrixBillets!$J$1:$J$1000,ROI_Avions!$A135,DataPrixBillets!$K$1:$K$1000,ROI_Avions!$C135)</f>
        <v>0</v>
      </c>
      <c r="AG135" s="26">
        <f>SUMIFS(DataPrixBillets!O$1:O$1000,DataPrixBillets!$J$1:$J$1000,ROI_Avions!$A135,DataPrixBillets!$K$1:$K$1000,ROI_Avions!$C135)</f>
        <v>0</v>
      </c>
      <c r="AH135" s="26">
        <f>SUMIFS(DataPrixBillets!P$1:P$1000,DataPrixBillets!$J$1:$J$1000,ROI_Avions!$A135,DataPrixBillets!$K$1:$K$1000,ROI_Avions!$C135)</f>
        <v>0</v>
      </c>
      <c r="AI135" s="26">
        <f>SUMIFS(DataPrixBillets!Q$1:Q$1000,DataPrixBillets!$J$1:$J$1000,ROI_Avions!$A135,DataPrixBillets!$K$1:$K$1000,ROI_Avions!$C135)</f>
        <v>0</v>
      </c>
      <c r="AJ135" s="121"/>
      <c r="AK135" s="8">
        <f t="shared" si="569"/>
        <v>0</v>
      </c>
      <c r="AL135" s="8" t="e">
        <f t="shared" ca="1" si="570"/>
        <v>#REF!</v>
      </c>
      <c r="AM135" s="8" t="e">
        <f t="shared" ca="1" si="571"/>
        <v>#REF!</v>
      </c>
      <c r="AN135" s="8" t="e">
        <f t="shared" ca="1" si="572"/>
        <v>#REF!</v>
      </c>
      <c r="AO135" s="8" t="e">
        <f t="shared" ca="1" si="573"/>
        <v>#REF!</v>
      </c>
      <c r="AP135" s="8" t="e">
        <f t="shared" ca="1" si="574"/>
        <v>#REF!</v>
      </c>
      <c r="AQ135" s="8" t="e">
        <f t="shared" ca="1" si="575"/>
        <v>#REF!</v>
      </c>
      <c r="AR135" s="190">
        <f t="shared" ca="1" si="589"/>
        <v>0</v>
      </c>
      <c r="AS135" s="120">
        <f t="shared" ca="1" si="590"/>
        <v>0</v>
      </c>
      <c r="AT135" s="8" t="e">
        <f t="shared" ca="1" si="576"/>
        <v>#REF!</v>
      </c>
    </row>
    <row r="136" spans="1:46" s="189" customFormat="1" x14ac:dyDescent="0.3">
      <c r="A136" s="150" t="s">
        <v>729</v>
      </c>
      <c r="B136" s="151">
        <v>444321612</v>
      </c>
      <c r="C136" s="150" t="s">
        <v>1010</v>
      </c>
      <c r="D136" s="145" t="str">
        <f t="shared" si="591"/>
        <v>FNA/KMG</v>
      </c>
      <c r="E136" s="151">
        <v>60236567</v>
      </c>
      <c r="F136" s="152" t="str">
        <f>"B789-A-"&amp;A136&amp;"-"&amp;C136&amp;"-"&amp;3</f>
        <v>B789-A-FNA-KMG-3</v>
      </c>
      <c r="G136" s="151">
        <v>204687000</v>
      </c>
      <c r="H136" s="116"/>
      <c r="I136" s="8">
        <v>0</v>
      </c>
      <c r="J136" s="8">
        <v>0</v>
      </c>
      <c r="K136" s="8">
        <v>0</v>
      </c>
      <c r="L136" s="53"/>
      <c r="M136" s="53"/>
      <c r="N136" s="116"/>
      <c r="O136" s="140"/>
      <c r="P136" s="133">
        <f>SUMIFS(GestionLignesDemande!D$4:D$1000,GestionLignesDemande!$B$4:$B$1000,ROI_Avions!$A136,GestionLignesDemande!$C$4:$C$1000,ROI_Avions!$C136)</f>
        <v>0</v>
      </c>
      <c r="Q136" s="133">
        <f>SUMIFS(GestionLignesDemande!E$4:E$1000,GestionLignesDemande!$B$4:$B$1000,ROI_Avions!$A136,GestionLignesDemande!$C$4:$C$1000,ROI_Avions!$C136)</f>
        <v>0</v>
      </c>
      <c r="R136" s="133">
        <f>SUMIFS(GestionLignesDemande!F$4:F$1000,GestionLignesDemande!$B$4:$B$1000,ROI_Avions!$A136,GestionLignesDemande!$C$4:$C$1000,ROI_Avions!$C136)</f>
        <v>0</v>
      </c>
      <c r="S136" s="133">
        <f>SUMIFS(GestionLignesDemande!G$4:G$1000,GestionLignesDemande!$B$4:$B$1000,ROI_Avions!$A136,GestionLignesDemande!$C$4:$C$1000,ROI_Avions!$C136)</f>
        <v>0</v>
      </c>
      <c r="T136" s="116"/>
      <c r="U136" s="8">
        <f t="shared" si="552"/>
        <v>420</v>
      </c>
      <c r="V136" s="8">
        <v>420</v>
      </c>
      <c r="W136" s="8">
        <v>0</v>
      </c>
      <c r="X136" s="8">
        <v>0</v>
      </c>
      <c r="Y136" s="8">
        <v>0</v>
      </c>
      <c r="Z136" s="121"/>
      <c r="AA136" s="132">
        <f t="shared" si="596"/>
        <v>-4076</v>
      </c>
      <c r="AB136" s="132">
        <f t="shared" si="597"/>
        <v>-88</v>
      </c>
      <c r="AC136" s="132">
        <f t="shared" si="598"/>
        <v>-4</v>
      </c>
      <c r="AD136" s="132">
        <f t="shared" si="599"/>
        <v>-20</v>
      </c>
      <c r="AE136" s="121"/>
      <c r="AF136" s="26">
        <f>SUMIFS(DataPrixBillets!N$1:N$1000,DataPrixBillets!$J$1:$J$1000,ROI_Avions!$A136,DataPrixBillets!$K$1:$K$1000,ROI_Avions!$C136)</f>
        <v>0</v>
      </c>
      <c r="AG136" s="26">
        <f>SUMIFS(DataPrixBillets!O$1:O$1000,DataPrixBillets!$J$1:$J$1000,ROI_Avions!$A136,DataPrixBillets!$K$1:$K$1000,ROI_Avions!$C136)</f>
        <v>0</v>
      </c>
      <c r="AH136" s="26">
        <f>SUMIFS(DataPrixBillets!P$1:P$1000,DataPrixBillets!$J$1:$J$1000,ROI_Avions!$A136,DataPrixBillets!$K$1:$K$1000,ROI_Avions!$C136)</f>
        <v>0</v>
      </c>
      <c r="AI136" s="26">
        <f>SUMIFS(DataPrixBillets!Q$1:Q$1000,DataPrixBillets!$J$1:$J$1000,ROI_Avions!$A136,DataPrixBillets!$K$1:$K$1000,ROI_Avions!$C136)</f>
        <v>0</v>
      </c>
      <c r="AJ136" s="121"/>
      <c r="AK136" s="8">
        <f t="shared" si="569"/>
        <v>0</v>
      </c>
      <c r="AL136" s="8" t="e">
        <f t="shared" ca="1" si="570"/>
        <v>#REF!</v>
      </c>
      <c r="AM136" s="8" t="e">
        <f t="shared" ca="1" si="571"/>
        <v>#REF!</v>
      </c>
      <c r="AN136" s="8" t="e">
        <f t="shared" ca="1" si="572"/>
        <v>#REF!</v>
      </c>
      <c r="AO136" s="8" t="e">
        <f t="shared" ca="1" si="573"/>
        <v>#REF!</v>
      </c>
      <c r="AP136" s="8" t="e">
        <f t="shared" ca="1" si="574"/>
        <v>#REF!</v>
      </c>
      <c r="AQ136" s="8" t="e">
        <f t="shared" ca="1" si="575"/>
        <v>#REF!</v>
      </c>
      <c r="AR136" s="190">
        <f t="shared" ca="1" si="589"/>
        <v>0</v>
      </c>
      <c r="AS136" s="120">
        <f t="shared" ca="1" si="590"/>
        <v>0</v>
      </c>
      <c r="AT136" s="8" t="e">
        <f t="shared" ca="1" si="576"/>
        <v>#REF!</v>
      </c>
    </row>
    <row r="137" spans="1:46" s="189" customFormat="1" x14ac:dyDescent="0.3">
      <c r="A137" s="150" t="s">
        <v>729</v>
      </c>
      <c r="B137" s="151">
        <v>444321612</v>
      </c>
      <c r="C137" s="150" t="s">
        <v>1011</v>
      </c>
      <c r="D137" s="145" t="str">
        <f t="shared" si="591"/>
        <v>FNA/XIY</v>
      </c>
      <c r="E137" s="151">
        <v>72441168</v>
      </c>
      <c r="F137" s="152" t="str">
        <f>"A380-A-"&amp;A137&amp;"-"&amp;C137&amp;"-"&amp;1</f>
        <v>A380-A-FNA-XIY-1</v>
      </c>
      <c r="G137" s="151">
        <v>362700000</v>
      </c>
      <c r="H137" s="116"/>
      <c r="I137" s="8">
        <v>0</v>
      </c>
      <c r="J137" s="8">
        <v>0</v>
      </c>
      <c r="K137" s="8">
        <v>0</v>
      </c>
      <c r="L137" s="53"/>
      <c r="M137" s="53"/>
      <c r="N137" s="116"/>
      <c r="O137" s="140"/>
      <c r="P137" s="133">
        <f>SUMIFS(GestionLignesDemande!D$4:D$1000,GestionLignesDemande!$B$4:$B$1000,ROI_Avions!$A137,GestionLignesDemande!$C$4:$C$1000,ROI_Avions!$C137)</f>
        <v>0</v>
      </c>
      <c r="Q137" s="133">
        <f>SUMIFS(GestionLignesDemande!E$4:E$1000,GestionLignesDemande!$B$4:$B$1000,ROI_Avions!$A137,GestionLignesDemande!$C$4:$C$1000,ROI_Avions!$C137)</f>
        <v>0</v>
      </c>
      <c r="R137" s="133">
        <f>SUMIFS(GestionLignesDemande!F$4:F$1000,GestionLignesDemande!$B$4:$B$1000,ROI_Avions!$A137,GestionLignesDemande!$C$4:$C$1000,ROI_Avions!$C137)</f>
        <v>0</v>
      </c>
      <c r="S137" s="133">
        <f>SUMIFS(GestionLignesDemande!G$4:G$1000,GestionLignesDemande!$B$4:$B$1000,ROI_Avions!$A137,GestionLignesDemande!$C$4:$C$1000,ROI_Avions!$C137)</f>
        <v>0</v>
      </c>
      <c r="T137" s="116"/>
      <c r="U137" s="8">
        <f t="shared" si="552"/>
        <v>837</v>
      </c>
      <c r="V137" s="8">
        <v>809</v>
      </c>
      <c r="W137" s="8">
        <v>22</v>
      </c>
      <c r="X137" s="8">
        <v>1</v>
      </c>
      <c r="Y137" s="8">
        <v>5</v>
      </c>
      <c r="Z137" s="121"/>
      <c r="AA137" s="132">
        <f t="shared" ref="AA137" si="600">P137-(V137*2)</f>
        <v>-1618</v>
      </c>
      <c r="AB137" s="132">
        <f t="shared" ref="AB137" si="601">Q137-(W137*2)</f>
        <v>-44</v>
      </c>
      <c r="AC137" s="132">
        <f t="shared" ref="AC137" si="602">R137-(X137*2)</f>
        <v>-2</v>
      </c>
      <c r="AD137" s="132">
        <f t="shared" ref="AD137" si="603">S137-(Y137*2)</f>
        <v>-10</v>
      </c>
      <c r="AE137" s="121"/>
      <c r="AF137" s="26">
        <f>SUMIFS(DataPrixBillets!N$1:N$1000,DataPrixBillets!$J$1:$J$1000,ROI_Avions!$A137,DataPrixBillets!$K$1:$K$1000,ROI_Avions!$C137)</f>
        <v>0</v>
      </c>
      <c r="AG137" s="26">
        <f>SUMIFS(DataPrixBillets!O$1:O$1000,DataPrixBillets!$J$1:$J$1000,ROI_Avions!$A137,DataPrixBillets!$K$1:$K$1000,ROI_Avions!$C137)</f>
        <v>0</v>
      </c>
      <c r="AH137" s="26">
        <f>SUMIFS(DataPrixBillets!P$1:P$1000,DataPrixBillets!$J$1:$J$1000,ROI_Avions!$A137,DataPrixBillets!$K$1:$K$1000,ROI_Avions!$C137)</f>
        <v>0</v>
      </c>
      <c r="AI137" s="26">
        <f>SUMIFS(DataPrixBillets!Q$1:Q$1000,DataPrixBillets!$J$1:$J$1000,ROI_Avions!$A137,DataPrixBillets!$K$1:$K$1000,ROI_Avions!$C137)</f>
        <v>0</v>
      </c>
      <c r="AJ137" s="121"/>
      <c r="AK137" s="8">
        <f t="shared" si="569"/>
        <v>0</v>
      </c>
      <c r="AL137" s="8" t="e">
        <f t="shared" ca="1" si="570"/>
        <v>#REF!</v>
      </c>
      <c r="AM137" s="8" t="e">
        <f t="shared" ca="1" si="571"/>
        <v>#REF!</v>
      </c>
      <c r="AN137" s="8" t="e">
        <f t="shared" ca="1" si="572"/>
        <v>#REF!</v>
      </c>
      <c r="AO137" s="8" t="e">
        <f t="shared" ca="1" si="573"/>
        <v>#REF!</v>
      </c>
      <c r="AP137" s="8" t="e">
        <f t="shared" ca="1" si="574"/>
        <v>#REF!</v>
      </c>
      <c r="AQ137" s="8" t="e">
        <f t="shared" ca="1" si="575"/>
        <v>#REF!</v>
      </c>
      <c r="AR137" s="190">
        <f t="shared" ca="1" si="589"/>
        <v>0</v>
      </c>
      <c r="AS137" s="120">
        <f t="shared" ca="1" si="590"/>
        <v>0</v>
      </c>
      <c r="AT137" s="8" t="e">
        <f t="shared" ca="1" si="576"/>
        <v>#REF!</v>
      </c>
    </row>
    <row r="138" spans="1:46" s="189" customFormat="1" x14ac:dyDescent="0.3">
      <c r="A138" s="150" t="s">
        <v>729</v>
      </c>
      <c r="B138" s="151">
        <v>444321612</v>
      </c>
      <c r="C138" s="150" t="s">
        <v>1011</v>
      </c>
      <c r="D138" s="145" t="str">
        <f t="shared" si="591"/>
        <v>FNA/XIY</v>
      </c>
      <c r="E138" s="151">
        <v>72441168</v>
      </c>
      <c r="F138" s="152" t="str">
        <f>"A380-A-"&amp;A138&amp;"-"&amp;C138&amp;"-"&amp;2</f>
        <v>A380-A-FNA-XIY-2</v>
      </c>
      <c r="G138" s="151">
        <v>362700000</v>
      </c>
      <c r="H138" s="116"/>
      <c r="I138" s="8">
        <v>0</v>
      </c>
      <c r="J138" s="8">
        <v>0</v>
      </c>
      <c r="K138" s="8">
        <v>0</v>
      </c>
      <c r="L138" s="53"/>
      <c r="M138" s="53"/>
      <c r="N138" s="116"/>
      <c r="O138" s="140"/>
      <c r="P138" s="133">
        <f>SUMIFS(GestionLignesDemande!D$4:D$1000,GestionLignesDemande!$B$4:$B$1000,ROI_Avions!$A138,GestionLignesDemande!$C$4:$C$1000,ROI_Avions!$C138)</f>
        <v>0</v>
      </c>
      <c r="Q138" s="133">
        <f>SUMIFS(GestionLignesDemande!E$4:E$1000,GestionLignesDemande!$B$4:$B$1000,ROI_Avions!$A138,GestionLignesDemande!$C$4:$C$1000,ROI_Avions!$C138)</f>
        <v>0</v>
      </c>
      <c r="R138" s="133">
        <f>SUMIFS(GestionLignesDemande!F$4:F$1000,GestionLignesDemande!$B$4:$B$1000,ROI_Avions!$A138,GestionLignesDemande!$C$4:$C$1000,ROI_Avions!$C138)</f>
        <v>0</v>
      </c>
      <c r="S138" s="133">
        <f>SUMIFS(GestionLignesDemande!G$4:G$1000,GestionLignesDemande!$B$4:$B$1000,ROI_Avions!$A138,GestionLignesDemande!$C$4:$C$1000,ROI_Avions!$C138)</f>
        <v>0</v>
      </c>
      <c r="T138" s="116"/>
      <c r="U138" s="8">
        <f t="shared" si="552"/>
        <v>837</v>
      </c>
      <c r="V138" s="8">
        <v>809</v>
      </c>
      <c r="W138" s="8">
        <v>22</v>
      </c>
      <c r="X138" s="8">
        <v>1</v>
      </c>
      <c r="Y138" s="8">
        <v>5</v>
      </c>
      <c r="Z138" s="121"/>
      <c r="AA138" s="132">
        <f t="shared" ref="AA138:AA139" si="604">AA137-V138*2</f>
        <v>-3236</v>
      </c>
      <c r="AB138" s="132">
        <f t="shared" ref="AB138:AB139" si="605">AB137-W138*2</f>
        <v>-88</v>
      </c>
      <c r="AC138" s="132">
        <f t="shared" ref="AC138:AC139" si="606">AC137-X138*2</f>
        <v>-4</v>
      </c>
      <c r="AD138" s="132">
        <f t="shared" ref="AD138:AD139" si="607">AD137-Y138*2</f>
        <v>-20</v>
      </c>
      <c r="AE138" s="121"/>
      <c r="AF138" s="26">
        <f>SUMIFS(DataPrixBillets!N$1:N$1000,DataPrixBillets!$J$1:$J$1000,ROI_Avions!$A138,DataPrixBillets!$K$1:$K$1000,ROI_Avions!$C138)</f>
        <v>0</v>
      </c>
      <c r="AG138" s="26">
        <f>SUMIFS(DataPrixBillets!O$1:O$1000,DataPrixBillets!$J$1:$J$1000,ROI_Avions!$A138,DataPrixBillets!$K$1:$K$1000,ROI_Avions!$C138)</f>
        <v>0</v>
      </c>
      <c r="AH138" s="26">
        <f>SUMIFS(DataPrixBillets!P$1:P$1000,DataPrixBillets!$J$1:$J$1000,ROI_Avions!$A138,DataPrixBillets!$K$1:$K$1000,ROI_Avions!$C138)</f>
        <v>0</v>
      </c>
      <c r="AI138" s="26">
        <f>SUMIFS(DataPrixBillets!Q$1:Q$1000,DataPrixBillets!$J$1:$J$1000,ROI_Avions!$A138,DataPrixBillets!$K$1:$K$1000,ROI_Avions!$C138)</f>
        <v>0</v>
      </c>
      <c r="AJ138" s="121"/>
      <c r="AK138" s="8">
        <f t="shared" si="569"/>
        <v>0</v>
      </c>
      <c r="AL138" s="8" t="e">
        <f t="shared" ca="1" si="570"/>
        <v>#REF!</v>
      </c>
      <c r="AM138" s="8" t="e">
        <f t="shared" ca="1" si="571"/>
        <v>#REF!</v>
      </c>
      <c r="AN138" s="8" t="e">
        <f t="shared" ca="1" si="572"/>
        <v>#REF!</v>
      </c>
      <c r="AO138" s="8" t="e">
        <f t="shared" ca="1" si="573"/>
        <v>#REF!</v>
      </c>
      <c r="AP138" s="8" t="e">
        <f t="shared" ca="1" si="574"/>
        <v>#REF!</v>
      </c>
      <c r="AQ138" s="8" t="e">
        <f t="shared" ca="1" si="575"/>
        <v>#REF!</v>
      </c>
      <c r="AR138" s="190">
        <f t="shared" ca="1" si="589"/>
        <v>0</v>
      </c>
      <c r="AS138" s="120">
        <f t="shared" ca="1" si="590"/>
        <v>0</v>
      </c>
      <c r="AT138" s="8" t="e">
        <f t="shared" ca="1" si="576"/>
        <v>#REF!</v>
      </c>
    </row>
    <row r="139" spans="1:46" s="189" customFormat="1" x14ac:dyDescent="0.3">
      <c r="A139" s="150" t="s">
        <v>729</v>
      </c>
      <c r="B139" s="151">
        <v>444321612</v>
      </c>
      <c r="C139" s="150" t="s">
        <v>1011</v>
      </c>
      <c r="D139" s="145" t="str">
        <f t="shared" si="591"/>
        <v>FNA/XIY</v>
      </c>
      <c r="E139" s="151">
        <v>72441168</v>
      </c>
      <c r="F139" s="152" t="str">
        <f>"B789-A-"&amp;A139&amp;"-"&amp;C139&amp;"-"&amp;3</f>
        <v>B789-A-FNA-XIY-3</v>
      </c>
      <c r="G139" s="151">
        <v>204687000</v>
      </c>
      <c r="H139" s="116"/>
      <c r="I139" s="8">
        <v>0</v>
      </c>
      <c r="J139" s="8">
        <v>0</v>
      </c>
      <c r="K139" s="8">
        <v>0</v>
      </c>
      <c r="L139" s="53"/>
      <c r="M139" s="53"/>
      <c r="N139" s="116"/>
      <c r="O139" s="140"/>
      <c r="P139" s="133">
        <f>SUMIFS(GestionLignesDemande!D$4:D$1000,GestionLignesDemande!$B$4:$B$1000,ROI_Avions!$A139,GestionLignesDemande!$C$4:$C$1000,ROI_Avions!$C139)</f>
        <v>0</v>
      </c>
      <c r="Q139" s="133">
        <f>SUMIFS(GestionLignesDemande!E$4:E$1000,GestionLignesDemande!$B$4:$B$1000,ROI_Avions!$A139,GestionLignesDemande!$C$4:$C$1000,ROI_Avions!$C139)</f>
        <v>0</v>
      </c>
      <c r="R139" s="133">
        <f>SUMIFS(GestionLignesDemande!F$4:F$1000,GestionLignesDemande!$B$4:$B$1000,ROI_Avions!$A139,GestionLignesDemande!$C$4:$C$1000,ROI_Avions!$C139)</f>
        <v>0</v>
      </c>
      <c r="S139" s="133">
        <f>SUMIFS(GestionLignesDemande!G$4:G$1000,GestionLignesDemande!$B$4:$B$1000,ROI_Avions!$A139,GestionLignesDemande!$C$4:$C$1000,ROI_Avions!$C139)</f>
        <v>0</v>
      </c>
      <c r="T139" s="116"/>
      <c r="U139" s="8">
        <f t="shared" si="552"/>
        <v>420</v>
      </c>
      <c r="V139" s="8">
        <v>420</v>
      </c>
      <c r="W139" s="8">
        <v>0</v>
      </c>
      <c r="X139" s="8">
        <v>0</v>
      </c>
      <c r="Y139" s="8">
        <v>0</v>
      </c>
      <c r="Z139" s="121"/>
      <c r="AA139" s="132">
        <f t="shared" si="604"/>
        <v>-4076</v>
      </c>
      <c r="AB139" s="132">
        <f t="shared" si="605"/>
        <v>-88</v>
      </c>
      <c r="AC139" s="132">
        <f t="shared" si="606"/>
        <v>-4</v>
      </c>
      <c r="AD139" s="132">
        <f t="shared" si="607"/>
        <v>-20</v>
      </c>
      <c r="AE139" s="121"/>
      <c r="AF139" s="26">
        <f>SUMIFS(DataPrixBillets!N$1:N$1000,DataPrixBillets!$J$1:$J$1000,ROI_Avions!$A139,DataPrixBillets!$K$1:$K$1000,ROI_Avions!$C139)</f>
        <v>0</v>
      </c>
      <c r="AG139" s="26">
        <f>SUMIFS(DataPrixBillets!O$1:O$1000,DataPrixBillets!$J$1:$J$1000,ROI_Avions!$A139,DataPrixBillets!$K$1:$K$1000,ROI_Avions!$C139)</f>
        <v>0</v>
      </c>
      <c r="AH139" s="26">
        <f>SUMIFS(DataPrixBillets!P$1:P$1000,DataPrixBillets!$J$1:$J$1000,ROI_Avions!$A139,DataPrixBillets!$K$1:$K$1000,ROI_Avions!$C139)</f>
        <v>0</v>
      </c>
      <c r="AI139" s="26">
        <f>SUMIFS(DataPrixBillets!Q$1:Q$1000,DataPrixBillets!$J$1:$J$1000,ROI_Avions!$A139,DataPrixBillets!$K$1:$K$1000,ROI_Avions!$C139)</f>
        <v>0</v>
      </c>
      <c r="AJ139" s="121"/>
      <c r="AK139" s="8">
        <f t="shared" si="569"/>
        <v>0</v>
      </c>
      <c r="AL139" s="8" t="e">
        <f t="shared" ca="1" si="570"/>
        <v>#REF!</v>
      </c>
      <c r="AM139" s="8" t="e">
        <f t="shared" ca="1" si="571"/>
        <v>#REF!</v>
      </c>
      <c r="AN139" s="8" t="e">
        <f t="shared" ca="1" si="572"/>
        <v>#REF!</v>
      </c>
      <c r="AO139" s="8" t="e">
        <f t="shared" ca="1" si="573"/>
        <v>#REF!</v>
      </c>
      <c r="AP139" s="8" t="e">
        <f t="shared" ca="1" si="574"/>
        <v>#REF!</v>
      </c>
      <c r="AQ139" s="8" t="e">
        <f t="shared" ca="1" si="575"/>
        <v>#REF!</v>
      </c>
      <c r="AR139" s="190">
        <f t="shared" ca="1" si="589"/>
        <v>0</v>
      </c>
      <c r="AS139" s="120">
        <f t="shared" ca="1" si="590"/>
        <v>0</v>
      </c>
      <c r="AT139" s="8" t="e">
        <f t="shared" ca="1" si="576"/>
        <v>#REF!</v>
      </c>
    </row>
    <row r="140" spans="1:46" s="189" customFormat="1" x14ac:dyDescent="0.3">
      <c r="A140" s="150" t="s">
        <v>729</v>
      </c>
      <c r="B140" s="151">
        <v>444321612</v>
      </c>
      <c r="C140" s="150" t="s">
        <v>1008</v>
      </c>
      <c r="D140" s="145" t="str">
        <f t="shared" si="591"/>
        <v>FNA/SZX</v>
      </c>
      <c r="E140" s="151">
        <v>89736286</v>
      </c>
      <c r="F140" s="152" t="str">
        <f>"A380-A-"&amp;A140&amp;"-"&amp;C140&amp;"-"&amp;1</f>
        <v>A380-A-FNA-SZX-1</v>
      </c>
      <c r="G140" s="151">
        <v>362700000</v>
      </c>
      <c r="H140" s="116"/>
      <c r="I140" s="8">
        <v>0</v>
      </c>
      <c r="J140" s="8">
        <v>0</v>
      </c>
      <c r="K140" s="8">
        <v>0</v>
      </c>
      <c r="L140" s="53"/>
      <c r="M140" s="53"/>
      <c r="N140" s="116"/>
      <c r="O140" s="140"/>
      <c r="P140" s="133">
        <f>SUMIFS(GestionLignesDemande!D$4:D$1000,GestionLignesDemande!$B$4:$B$1000,ROI_Avions!$A140,GestionLignesDemande!$C$4:$C$1000,ROI_Avions!$C140)</f>
        <v>0</v>
      </c>
      <c r="Q140" s="133">
        <f>SUMIFS(GestionLignesDemande!E$4:E$1000,GestionLignesDemande!$B$4:$B$1000,ROI_Avions!$A140,GestionLignesDemande!$C$4:$C$1000,ROI_Avions!$C140)</f>
        <v>0</v>
      </c>
      <c r="R140" s="133">
        <f>SUMIFS(GestionLignesDemande!F$4:F$1000,GestionLignesDemande!$B$4:$B$1000,ROI_Avions!$A140,GestionLignesDemande!$C$4:$C$1000,ROI_Avions!$C140)</f>
        <v>0</v>
      </c>
      <c r="S140" s="133">
        <f>SUMIFS(GestionLignesDemande!G$4:G$1000,GestionLignesDemande!$B$4:$B$1000,ROI_Avions!$A140,GestionLignesDemande!$C$4:$C$1000,ROI_Avions!$C140)</f>
        <v>0</v>
      </c>
      <c r="T140" s="116"/>
      <c r="U140" s="8">
        <f t="shared" si="552"/>
        <v>837</v>
      </c>
      <c r="V140" s="8">
        <v>809</v>
      </c>
      <c r="W140" s="8">
        <v>22</v>
      </c>
      <c r="X140" s="8">
        <v>1</v>
      </c>
      <c r="Y140" s="8">
        <v>5</v>
      </c>
      <c r="Z140" s="121"/>
      <c r="AA140" s="132">
        <f t="shared" ref="AA140" si="608">P140-(V140*2)</f>
        <v>-1618</v>
      </c>
      <c r="AB140" s="132">
        <f t="shared" ref="AB140" si="609">Q140-(W140*2)</f>
        <v>-44</v>
      </c>
      <c r="AC140" s="132">
        <f t="shared" ref="AC140" si="610">R140-(X140*2)</f>
        <v>-2</v>
      </c>
      <c r="AD140" s="132">
        <f t="shared" ref="AD140" si="611">S140-(Y140*2)</f>
        <v>-10</v>
      </c>
      <c r="AE140" s="121"/>
      <c r="AF140" s="26">
        <f>SUMIFS(DataPrixBillets!N$1:N$1000,DataPrixBillets!$J$1:$J$1000,ROI_Avions!$A140,DataPrixBillets!$K$1:$K$1000,ROI_Avions!$C140)</f>
        <v>0</v>
      </c>
      <c r="AG140" s="26">
        <f>SUMIFS(DataPrixBillets!O$1:O$1000,DataPrixBillets!$J$1:$J$1000,ROI_Avions!$A140,DataPrixBillets!$K$1:$K$1000,ROI_Avions!$C140)</f>
        <v>0</v>
      </c>
      <c r="AH140" s="26">
        <f>SUMIFS(DataPrixBillets!P$1:P$1000,DataPrixBillets!$J$1:$J$1000,ROI_Avions!$A140,DataPrixBillets!$K$1:$K$1000,ROI_Avions!$C140)</f>
        <v>0</v>
      </c>
      <c r="AI140" s="26">
        <f>SUMIFS(DataPrixBillets!Q$1:Q$1000,DataPrixBillets!$J$1:$J$1000,ROI_Avions!$A140,DataPrixBillets!$K$1:$K$1000,ROI_Avions!$C140)</f>
        <v>0</v>
      </c>
      <c r="AJ140" s="121"/>
      <c r="AK140" s="8">
        <f t="shared" si="569"/>
        <v>0</v>
      </c>
      <c r="AL140" s="8" t="e">
        <f t="shared" ca="1" si="570"/>
        <v>#REF!</v>
      </c>
      <c r="AM140" s="8" t="e">
        <f t="shared" ca="1" si="571"/>
        <v>#REF!</v>
      </c>
      <c r="AN140" s="8" t="e">
        <f t="shared" ca="1" si="572"/>
        <v>#REF!</v>
      </c>
      <c r="AO140" s="8" t="e">
        <f t="shared" ca="1" si="573"/>
        <v>#REF!</v>
      </c>
      <c r="AP140" s="8" t="e">
        <f t="shared" ca="1" si="574"/>
        <v>#REF!</v>
      </c>
      <c r="AQ140" s="8" t="e">
        <f t="shared" ca="1" si="575"/>
        <v>#REF!</v>
      </c>
      <c r="AR140" s="190">
        <f t="shared" ca="1" si="589"/>
        <v>0</v>
      </c>
      <c r="AS140" s="120">
        <f t="shared" ca="1" si="590"/>
        <v>0</v>
      </c>
      <c r="AT140" s="8" t="e">
        <f t="shared" ca="1" si="576"/>
        <v>#REF!</v>
      </c>
    </row>
    <row r="141" spans="1:46" s="189" customFormat="1" x14ac:dyDescent="0.3">
      <c r="A141" s="150" t="s">
        <v>729</v>
      </c>
      <c r="B141" s="151">
        <v>444321612</v>
      </c>
      <c r="C141" s="150" t="s">
        <v>1008</v>
      </c>
      <c r="D141" s="145" t="str">
        <f t="shared" si="591"/>
        <v>FNA/SZX</v>
      </c>
      <c r="E141" s="151">
        <v>89736286</v>
      </c>
      <c r="F141" s="152" t="str">
        <f>"A380-A-"&amp;A141&amp;"-"&amp;C141&amp;"-"&amp;2</f>
        <v>A380-A-FNA-SZX-2</v>
      </c>
      <c r="G141" s="151">
        <v>362700000</v>
      </c>
      <c r="H141" s="116"/>
      <c r="I141" s="8">
        <v>0</v>
      </c>
      <c r="J141" s="8">
        <v>0</v>
      </c>
      <c r="K141" s="8">
        <v>0</v>
      </c>
      <c r="L141" s="53"/>
      <c r="M141" s="53"/>
      <c r="N141" s="116"/>
      <c r="O141" s="140"/>
      <c r="P141" s="133">
        <f>SUMIFS(GestionLignesDemande!D$4:D$1000,GestionLignesDemande!$B$4:$B$1000,ROI_Avions!$A141,GestionLignesDemande!$C$4:$C$1000,ROI_Avions!$C141)</f>
        <v>0</v>
      </c>
      <c r="Q141" s="133">
        <f>SUMIFS(GestionLignesDemande!E$4:E$1000,GestionLignesDemande!$B$4:$B$1000,ROI_Avions!$A141,GestionLignesDemande!$C$4:$C$1000,ROI_Avions!$C141)</f>
        <v>0</v>
      </c>
      <c r="R141" s="133">
        <f>SUMIFS(GestionLignesDemande!F$4:F$1000,GestionLignesDemande!$B$4:$B$1000,ROI_Avions!$A141,GestionLignesDemande!$C$4:$C$1000,ROI_Avions!$C141)</f>
        <v>0</v>
      </c>
      <c r="S141" s="133">
        <f>SUMIFS(GestionLignesDemande!G$4:G$1000,GestionLignesDemande!$B$4:$B$1000,ROI_Avions!$A141,GestionLignesDemande!$C$4:$C$1000,ROI_Avions!$C141)</f>
        <v>0</v>
      </c>
      <c r="T141" s="116"/>
      <c r="U141" s="8">
        <f t="shared" si="552"/>
        <v>837</v>
      </c>
      <c r="V141" s="8">
        <v>809</v>
      </c>
      <c r="W141" s="8">
        <v>22</v>
      </c>
      <c r="X141" s="8">
        <v>1</v>
      </c>
      <c r="Y141" s="8">
        <v>5</v>
      </c>
      <c r="Z141" s="121"/>
      <c r="AA141" s="132">
        <f t="shared" ref="AA141:AA142" si="612">AA140-V141*2</f>
        <v>-3236</v>
      </c>
      <c r="AB141" s="132">
        <f t="shared" ref="AB141:AB142" si="613">AB140-W141*2</f>
        <v>-88</v>
      </c>
      <c r="AC141" s="132">
        <f t="shared" ref="AC141:AC142" si="614">AC140-X141*2</f>
        <v>-4</v>
      </c>
      <c r="AD141" s="132">
        <f t="shared" ref="AD141:AD142" si="615">AD140-Y141*2</f>
        <v>-20</v>
      </c>
      <c r="AE141" s="121"/>
      <c r="AF141" s="26">
        <f>SUMIFS(DataPrixBillets!N$1:N$1000,DataPrixBillets!$J$1:$J$1000,ROI_Avions!$A141,DataPrixBillets!$K$1:$K$1000,ROI_Avions!$C141)</f>
        <v>0</v>
      </c>
      <c r="AG141" s="26">
        <f>SUMIFS(DataPrixBillets!O$1:O$1000,DataPrixBillets!$J$1:$J$1000,ROI_Avions!$A141,DataPrixBillets!$K$1:$K$1000,ROI_Avions!$C141)</f>
        <v>0</v>
      </c>
      <c r="AH141" s="26">
        <f>SUMIFS(DataPrixBillets!P$1:P$1000,DataPrixBillets!$J$1:$J$1000,ROI_Avions!$A141,DataPrixBillets!$K$1:$K$1000,ROI_Avions!$C141)</f>
        <v>0</v>
      </c>
      <c r="AI141" s="26">
        <f>SUMIFS(DataPrixBillets!Q$1:Q$1000,DataPrixBillets!$J$1:$J$1000,ROI_Avions!$A141,DataPrixBillets!$K$1:$K$1000,ROI_Avions!$C141)</f>
        <v>0</v>
      </c>
      <c r="AJ141" s="121"/>
      <c r="AK141" s="8">
        <f t="shared" si="569"/>
        <v>0</v>
      </c>
      <c r="AL141" s="8" t="e">
        <f t="shared" ca="1" si="570"/>
        <v>#REF!</v>
      </c>
      <c r="AM141" s="8" t="e">
        <f t="shared" ca="1" si="571"/>
        <v>#REF!</v>
      </c>
      <c r="AN141" s="8" t="e">
        <f t="shared" ca="1" si="572"/>
        <v>#REF!</v>
      </c>
      <c r="AO141" s="8" t="e">
        <f t="shared" ca="1" si="573"/>
        <v>#REF!</v>
      </c>
      <c r="AP141" s="8" t="e">
        <f t="shared" ca="1" si="574"/>
        <v>#REF!</v>
      </c>
      <c r="AQ141" s="8" t="e">
        <f t="shared" ca="1" si="575"/>
        <v>#REF!</v>
      </c>
      <c r="AR141" s="190">
        <f t="shared" ca="1" si="589"/>
        <v>0</v>
      </c>
      <c r="AS141" s="120">
        <f t="shared" ca="1" si="590"/>
        <v>0</v>
      </c>
      <c r="AT141" s="8" t="e">
        <f t="shared" ca="1" si="576"/>
        <v>#REF!</v>
      </c>
    </row>
    <row r="142" spans="1:46" s="189" customFormat="1" x14ac:dyDescent="0.3">
      <c r="A142" s="150" t="s">
        <v>729</v>
      </c>
      <c r="B142" s="151">
        <v>444321612</v>
      </c>
      <c r="C142" s="150" t="s">
        <v>1008</v>
      </c>
      <c r="D142" s="145" t="str">
        <f t="shared" si="591"/>
        <v>FNA/SZX</v>
      </c>
      <c r="E142" s="151">
        <v>89736286</v>
      </c>
      <c r="F142" s="152" t="str">
        <f>"B789-A-"&amp;A142&amp;"-"&amp;C142&amp;"-"&amp;3</f>
        <v>B789-A-FNA-SZX-3</v>
      </c>
      <c r="G142" s="151">
        <v>204687000</v>
      </c>
      <c r="H142" s="116"/>
      <c r="I142" s="8">
        <v>0</v>
      </c>
      <c r="J142" s="8">
        <v>0</v>
      </c>
      <c r="K142" s="8">
        <v>0</v>
      </c>
      <c r="L142" s="53"/>
      <c r="M142" s="53"/>
      <c r="N142" s="116"/>
      <c r="O142" s="140"/>
      <c r="P142" s="133">
        <f>SUMIFS(GestionLignesDemande!D$4:D$1000,GestionLignesDemande!$B$4:$B$1000,ROI_Avions!$A142,GestionLignesDemande!$C$4:$C$1000,ROI_Avions!$C142)</f>
        <v>0</v>
      </c>
      <c r="Q142" s="133">
        <f>SUMIFS(GestionLignesDemande!E$4:E$1000,GestionLignesDemande!$B$4:$B$1000,ROI_Avions!$A142,GestionLignesDemande!$C$4:$C$1000,ROI_Avions!$C142)</f>
        <v>0</v>
      </c>
      <c r="R142" s="133">
        <f>SUMIFS(GestionLignesDemande!F$4:F$1000,GestionLignesDemande!$B$4:$B$1000,ROI_Avions!$A142,GestionLignesDemande!$C$4:$C$1000,ROI_Avions!$C142)</f>
        <v>0</v>
      </c>
      <c r="S142" s="133">
        <f>SUMIFS(GestionLignesDemande!G$4:G$1000,GestionLignesDemande!$B$4:$B$1000,ROI_Avions!$A142,GestionLignesDemande!$C$4:$C$1000,ROI_Avions!$C142)</f>
        <v>0</v>
      </c>
      <c r="T142" s="116"/>
      <c r="U142" s="8">
        <f t="shared" si="552"/>
        <v>420</v>
      </c>
      <c r="V142" s="8">
        <v>420</v>
      </c>
      <c r="W142" s="8">
        <v>0</v>
      </c>
      <c r="X142" s="8">
        <v>0</v>
      </c>
      <c r="Y142" s="8">
        <v>0</v>
      </c>
      <c r="Z142" s="121"/>
      <c r="AA142" s="132">
        <f t="shared" si="612"/>
        <v>-4076</v>
      </c>
      <c r="AB142" s="132">
        <f t="shared" si="613"/>
        <v>-88</v>
      </c>
      <c r="AC142" s="132">
        <f t="shared" si="614"/>
        <v>-4</v>
      </c>
      <c r="AD142" s="132">
        <f t="shared" si="615"/>
        <v>-20</v>
      </c>
      <c r="AE142" s="121"/>
      <c r="AF142" s="26">
        <f>SUMIFS(DataPrixBillets!N$1:N$1000,DataPrixBillets!$J$1:$J$1000,ROI_Avions!$A142,DataPrixBillets!$K$1:$K$1000,ROI_Avions!$C142)</f>
        <v>0</v>
      </c>
      <c r="AG142" s="26">
        <f>SUMIFS(DataPrixBillets!O$1:O$1000,DataPrixBillets!$J$1:$J$1000,ROI_Avions!$A142,DataPrixBillets!$K$1:$K$1000,ROI_Avions!$C142)</f>
        <v>0</v>
      </c>
      <c r="AH142" s="26">
        <f>SUMIFS(DataPrixBillets!P$1:P$1000,DataPrixBillets!$J$1:$J$1000,ROI_Avions!$A142,DataPrixBillets!$K$1:$K$1000,ROI_Avions!$C142)</f>
        <v>0</v>
      </c>
      <c r="AI142" s="26">
        <f>SUMIFS(DataPrixBillets!Q$1:Q$1000,DataPrixBillets!$J$1:$J$1000,ROI_Avions!$A142,DataPrixBillets!$K$1:$K$1000,ROI_Avions!$C142)</f>
        <v>0</v>
      </c>
      <c r="AJ142" s="121"/>
      <c r="AK142" s="8">
        <f t="shared" si="569"/>
        <v>0</v>
      </c>
      <c r="AL142" s="8" t="e">
        <f t="shared" ca="1" si="570"/>
        <v>#REF!</v>
      </c>
      <c r="AM142" s="8" t="e">
        <f t="shared" ca="1" si="571"/>
        <v>#REF!</v>
      </c>
      <c r="AN142" s="8" t="e">
        <f t="shared" ca="1" si="572"/>
        <v>#REF!</v>
      </c>
      <c r="AO142" s="8" t="e">
        <f t="shared" ca="1" si="573"/>
        <v>#REF!</v>
      </c>
      <c r="AP142" s="8" t="e">
        <f t="shared" ca="1" si="574"/>
        <v>#REF!</v>
      </c>
      <c r="AQ142" s="8" t="e">
        <f t="shared" ca="1" si="575"/>
        <v>#REF!</v>
      </c>
      <c r="AR142" s="190">
        <f t="shared" ca="1" si="589"/>
        <v>0</v>
      </c>
      <c r="AS142" s="120">
        <f t="shared" ca="1" si="590"/>
        <v>0</v>
      </c>
      <c r="AT142" s="8" t="e">
        <f t="shared" ca="1" si="576"/>
        <v>#REF!</v>
      </c>
    </row>
    <row r="143" spans="1:46" s="189" customFormat="1" x14ac:dyDescent="0.3">
      <c r="A143" s="150" t="s">
        <v>729</v>
      </c>
      <c r="B143" s="151">
        <v>444321612</v>
      </c>
      <c r="C143" s="150" t="s">
        <v>984</v>
      </c>
      <c r="D143" s="145" t="str">
        <f t="shared" si="591"/>
        <v>FNA/SHA</v>
      </c>
      <c r="E143" s="151">
        <v>108589534</v>
      </c>
      <c r="F143" s="152" t="str">
        <f>"A380-A-"&amp;A143&amp;"-"&amp;C143&amp;"-"&amp;1</f>
        <v>A380-A-FNA-SHA-1</v>
      </c>
      <c r="G143" s="151">
        <v>362700000</v>
      </c>
      <c r="H143" s="116"/>
      <c r="I143" s="8">
        <v>0</v>
      </c>
      <c r="J143" s="8">
        <v>0</v>
      </c>
      <c r="K143" s="8">
        <v>0</v>
      </c>
      <c r="L143" s="53"/>
      <c r="M143" s="53"/>
      <c r="N143" s="116"/>
      <c r="O143" s="140"/>
      <c r="P143" s="133">
        <f>SUMIFS(GestionLignesDemande!D$4:D$1000,GestionLignesDemande!$B$4:$B$1000,ROI_Avions!$A143,GestionLignesDemande!$C$4:$C$1000,ROI_Avions!$C143)</f>
        <v>0</v>
      </c>
      <c r="Q143" s="133">
        <f>SUMIFS(GestionLignesDemande!E$4:E$1000,GestionLignesDemande!$B$4:$B$1000,ROI_Avions!$A143,GestionLignesDemande!$C$4:$C$1000,ROI_Avions!$C143)</f>
        <v>0</v>
      </c>
      <c r="R143" s="133">
        <f>SUMIFS(GestionLignesDemande!F$4:F$1000,GestionLignesDemande!$B$4:$B$1000,ROI_Avions!$A143,GestionLignesDemande!$C$4:$C$1000,ROI_Avions!$C143)</f>
        <v>0</v>
      </c>
      <c r="S143" s="133">
        <f>SUMIFS(GestionLignesDemande!G$4:G$1000,GestionLignesDemande!$B$4:$B$1000,ROI_Avions!$A143,GestionLignesDemande!$C$4:$C$1000,ROI_Avions!$C143)</f>
        <v>0</v>
      </c>
      <c r="T143" s="116"/>
      <c r="U143" s="8">
        <f t="shared" si="552"/>
        <v>837</v>
      </c>
      <c r="V143" s="8">
        <v>809</v>
      </c>
      <c r="W143" s="8">
        <v>22</v>
      </c>
      <c r="X143" s="8">
        <v>1</v>
      </c>
      <c r="Y143" s="8">
        <v>5</v>
      </c>
      <c r="Z143" s="121"/>
      <c r="AA143" s="132">
        <f t="shared" ref="AA143" si="616">P143-(V143*2)</f>
        <v>-1618</v>
      </c>
      <c r="AB143" s="132">
        <f t="shared" ref="AB143" si="617">Q143-(W143*2)</f>
        <v>-44</v>
      </c>
      <c r="AC143" s="132">
        <f t="shared" ref="AC143" si="618">R143-(X143*2)</f>
        <v>-2</v>
      </c>
      <c r="AD143" s="132">
        <f t="shared" ref="AD143" si="619">S143-(Y143*2)</f>
        <v>-10</v>
      </c>
      <c r="AE143" s="121"/>
      <c r="AF143" s="26">
        <f>SUMIFS(DataPrixBillets!N$1:N$1000,DataPrixBillets!$J$1:$J$1000,ROI_Avions!$A143,DataPrixBillets!$K$1:$K$1000,ROI_Avions!$C143)</f>
        <v>0</v>
      </c>
      <c r="AG143" s="26">
        <f>SUMIFS(DataPrixBillets!O$1:O$1000,DataPrixBillets!$J$1:$J$1000,ROI_Avions!$A143,DataPrixBillets!$K$1:$K$1000,ROI_Avions!$C143)</f>
        <v>0</v>
      </c>
      <c r="AH143" s="26">
        <f>SUMIFS(DataPrixBillets!P$1:P$1000,DataPrixBillets!$J$1:$J$1000,ROI_Avions!$A143,DataPrixBillets!$K$1:$K$1000,ROI_Avions!$C143)</f>
        <v>0</v>
      </c>
      <c r="AI143" s="26">
        <f>SUMIFS(DataPrixBillets!Q$1:Q$1000,DataPrixBillets!$J$1:$J$1000,ROI_Avions!$A143,DataPrixBillets!$K$1:$K$1000,ROI_Avions!$C143)</f>
        <v>0</v>
      </c>
      <c r="AJ143" s="121"/>
      <c r="AK143" s="8">
        <f t="shared" si="569"/>
        <v>0</v>
      </c>
      <c r="AL143" s="8" t="e">
        <f t="shared" ca="1" si="570"/>
        <v>#REF!</v>
      </c>
      <c r="AM143" s="8" t="e">
        <f t="shared" ca="1" si="571"/>
        <v>#REF!</v>
      </c>
      <c r="AN143" s="8" t="e">
        <f t="shared" ca="1" si="572"/>
        <v>#REF!</v>
      </c>
      <c r="AO143" s="8" t="e">
        <f t="shared" ca="1" si="573"/>
        <v>#REF!</v>
      </c>
      <c r="AP143" s="8" t="e">
        <f t="shared" ca="1" si="574"/>
        <v>#REF!</v>
      </c>
      <c r="AQ143" s="8" t="e">
        <f t="shared" ca="1" si="575"/>
        <v>#REF!</v>
      </c>
      <c r="AR143" s="190">
        <f t="shared" ca="1" si="589"/>
        <v>0</v>
      </c>
      <c r="AS143" s="120">
        <f t="shared" ca="1" si="590"/>
        <v>0</v>
      </c>
      <c r="AT143" s="8" t="e">
        <f t="shared" ca="1" si="576"/>
        <v>#REF!</v>
      </c>
    </row>
    <row r="144" spans="1:46" s="189" customFormat="1" x14ac:dyDescent="0.3">
      <c r="A144" s="150" t="s">
        <v>729</v>
      </c>
      <c r="B144" s="151">
        <v>444321612</v>
      </c>
      <c r="C144" s="150" t="s">
        <v>984</v>
      </c>
      <c r="D144" s="145" t="str">
        <f t="shared" si="591"/>
        <v>FNA/SHA</v>
      </c>
      <c r="E144" s="151">
        <v>108589534</v>
      </c>
      <c r="F144" s="152" t="str">
        <f>"A380-A-"&amp;A144&amp;"-"&amp;C144&amp;"-"&amp;2</f>
        <v>A380-A-FNA-SHA-2</v>
      </c>
      <c r="G144" s="151">
        <v>362700000</v>
      </c>
      <c r="H144" s="116"/>
      <c r="I144" s="8">
        <v>0</v>
      </c>
      <c r="J144" s="8">
        <v>0</v>
      </c>
      <c r="K144" s="8">
        <v>0</v>
      </c>
      <c r="L144" s="53"/>
      <c r="M144" s="53"/>
      <c r="N144" s="116"/>
      <c r="O144" s="140"/>
      <c r="P144" s="133">
        <f>SUMIFS(GestionLignesDemande!D$4:D$1000,GestionLignesDemande!$B$4:$B$1000,ROI_Avions!$A144,GestionLignesDemande!$C$4:$C$1000,ROI_Avions!$C144)</f>
        <v>0</v>
      </c>
      <c r="Q144" s="133">
        <f>SUMIFS(GestionLignesDemande!E$4:E$1000,GestionLignesDemande!$B$4:$B$1000,ROI_Avions!$A144,GestionLignesDemande!$C$4:$C$1000,ROI_Avions!$C144)</f>
        <v>0</v>
      </c>
      <c r="R144" s="133">
        <f>SUMIFS(GestionLignesDemande!F$4:F$1000,GestionLignesDemande!$B$4:$B$1000,ROI_Avions!$A144,GestionLignesDemande!$C$4:$C$1000,ROI_Avions!$C144)</f>
        <v>0</v>
      </c>
      <c r="S144" s="133">
        <f>SUMIFS(GestionLignesDemande!G$4:G$1000,GestionLignesDemande!$B$4:$B$1000,ROI_Avions!$A144,GestionLignesDemande!$C$4:$C$1000,ROI_Avions!$C144)</f>
        <v>0</v>
      </c>
      <c r="T144" s="116"/>
      <c r="U144" s="8">
        <f t="shared" si="552"/>
        <v>837</v>
      </c>
      <c r="V144" s="8">
        <v>809</v>
      </c>
      <c r="W144" s="8">
        <v>22</v>
      </c>
      <c r="X144" s="8">
        <v>1</v>
      </c>
      <c r="Y144" s="8">
        <v>5</v>
      </c>
      <c r="Z144" s="121"/>
      <c r="AA144" s="132">
        <f t="shared" ref="AA144:AA145" si="620">AA143-V144*2</f>
        <v>-3236</v>
      </c>
      <c r="AB144" s="132">
        <f t="shared" ref="AB144:AB145" si="621">AB143-W144*2</f>
        <v>-88</v>
      </c>
      <c r="AC144" s="132">
        <f t="shared" ref="AC144:AC145" si="622">AC143-X144*2</f>
        <v>-4</v>
      </c>
      <c r="AD144" s="132">
        <f t="shared" ref="AD144:AD145" si="623">AD143-Y144*2</f>
        <v>-20</v>
      </c>
      <c r="AE144" s="121"/>
      <c r="AF144" s="26">
        <f>SUMIFS(DataPrixBillets!N$1:N$1000,DataPrixBillets!$J$1:$J$1000,ROI_Avions!$A144,DataPrixBillets!$K$1:$K$1000,ROI_Avions!$C144)</f>
        <v>0</v>
      </c>
      <c r="AG144" s="26">
        <f>SUMIFS(DataPrixBillets!O$1:O$1000,DataPrixBillets!$J$1:$J$1000,ROI_Avions!$A144,DataPrixBillets!$K$1:$K$1000,ROI_Avions!$C144)</f>
        <v>0</v>
      </c>
      <c r="AH144" s="26">
        <f>SUMIFS(DataPrixBillets!P$1:P$1000,DataPrixBillets!$J$1:$J$1000,ROI_Avions!$A144,DataPrixBillets!$K$1:$K$1000,ROI_Avions!$C144)</f>
        <v>0</v>
      </c>
      <c r="AI144" s="26">
        <f>SUMIFS(DataPrixBillets!Q$1:Q$1000,DataPrixBillets!$J$1:$J$1000,ROI_Avions!$A144,DataPrixBillets!$K$1:$K$1000,ROI_Avions!$C144)</f>
        <v>0</v>
      </c>
      <c r="AJ144" s="121"/>
      <c r="AK144" s="8">
        <f t="shared" si="569"/>
        <v>0</v>
      </c>
      <c r="AL144" s="8" t="e">
        <f t="shared" ca="1" si="570"/>
        <v>#REF!</v>
      </c>
      <c r="AM144" s="8" t="e">
        <f t="shared" ca="1" si="571"/>
        <v>#REF!</v>
      </c>
      <c r="AN144" s="8" t="e">
        <f t="shared" ca="1" si="572"/>
        <v>#REF!</v>
      </c>
      <c r="AO144" s="8" t="e">
        <f t="shared" ca="1" si="573"/>
        <v>#REF!</v>
      </c>
      <c r="AP144" s="8" t="e">
        <f t="shared" ca="1" si="574"/>
        <v>#REF!</v>
      </c>
      <c r="AQ144" s="8" t="e">
        <f t="shared" ca="1" si="575"/>
        <v>#REF!</v>
      </c>
      <c r="AR144" s="190">
        <f t="shared" ca="1" si="589"/>
        <v>0</v>
      </c>
      <c r="AS144" s="120">
        <f t="shared" ca="1" si="590"/>
        <v>0</v>
      </c>
      <c r="AT144" s="8" t="e">
        <f t="shared" ca="1" si="576"/>
        <v>#REF!</v>
      </c>
    </row>
    <row r="145" spans="1:55" s="189" customFormat="1" x14ac:dyDescent="0.3">
      <c r="A145" s="150" t="s">
        <v>729</v>
      </c>
      <c r="B145" s="151">
        <v>444321612</v>
      </c>
      <c r="C145" s="150" t="s">
        <v>984</v>
      </c>
      <c r="D145" s="145" t="str">
        <f t="shared" si="591"/>
        <v>FNA/SHA</v>
      </c>
      <c r="E145" s="151">
        <v>108589534</v>
      </c>
      <c r="F145" s="152" t="str">
        <f>"B789-A-"&amp;A145&amp;"-"&amp;C145&amp;"-"&amp;3</f>
        <v>B789-A-FNA-SHA-3</v>
      </c>
      <c r="G145" s="151">
        <v>204687000</v>
      </c>
      <c r="H145" s="116"/>
      <c r="I145" s="8">
        <v>0</v>
      </c>
      <c r="J145" s="8">
        <v>0</v>
      </c>
      <c r="K145" s="8">
        <v>0</v>
      </c>
      <c r="L145" s="53"/>
      <c r="M145" s="53"/>
      <c r="N145" s="116"/>
      <c r="O145" s="140"/>
      <c r="P145" s="133">
        <f>SUMIFS(GestionLignesDemande!D$4:D$1000,GestionLignesDemande!$B$4:$B$1000,ROI_Avions!$A145,GestionLignesDemande!$C$4:$C$1000,ROI_Avions!$C145)</f>
        <v>0</v>
      </c>
      <c r="Q145" s="133">
        <f>SUMIFS(GestionLignesDemande!E$4:E$1000,GestionLignesDemande!$B$4:$B$1000,ROI_Avions!$A145,GestionLignesDemande!$C$4:$C$1000,ROI_Avions!$C145)</f>
        <v>0</v>
      </c>
      <c r="R145" s="133">
        <f>SUMIFS(GestionLignesDemande!F$4:F$1000,GestionLignesDemande!$B$4:$B$1000,ROI_Avions!$A145,GestionLignesDemande!$C$4:$C$1000,ROI_Avions!$C145)</f>
        <v>0</v>
      </c>
      <c r="S145" s="133">
        <f>SUMIFS(GestionLignesDemande!G$4:G$1000,GestionLignesDemande!$B$4:$B$1000,ROI_Avions!$A145,GestionLignesDemande!$C$4:$C$1000,ROI_Avions!$C145)</f>
        <v>0</v>
      </c>
      <c r="T145" s="116"/>
      <c r="U145" s="8">
        <f t="shared" si="552"/>
        <v>420</v>
      </c>
      <c r="V145" s="8">
        <v>420</v>
      </c>
      <c r="W145" s="8">
        <v>0</v>
      </c>
      <c r="X145" s="8">
        <v>0</v>
      </c>
      <c r="Y145" s="8">
        <v>0</v>
      </c>
      <c r="Z145" s="121"/>
      <c r="AA145" s="132">
        <f t="shared" si="620"/>
        <v>-4076</v>
      </c>
      <c r="AB145" s="132">
        <f t="shared" si="621"/>
        <v>-88</v>
      </c>
      <c r="AC145" s="132">
        <f t="shared" si="622"/>
        <v>-4</v>
      </c>
      <c r="AD145" s="132">
        <f t="shared" si="623"/>
        <v>-20</v>
      </c>
      <c r="AE145" s="121"/>
      <c r="AF145" s="26">
        <f>SUMIFS(DataPrixBillets!N$1:N$1000,DataPrixBillets!$J$1:$J$1000,ROI_Avions!$A145,DataPrixBillets!$K$1:$K$1000,ROI_Avions!$C145)</f>
        <v>0</v>
      </c>
      <c r="AG145" s="26">
        <f>SUMIFS(DataPrixBillets!O$1:O$1000,DataPrixBillets!$J$1:$J$1000,ROI_Avions!$A145,DataPrixBillets!$K$1:$K$1000,ROI_Avions!$C145)</f>
        <v>0</v>
      </c>
      <c r="AH145" s="26">
        <f>SUMIFS(DataPrixBillets!P$1:P$1000,DataPrixBillets!$J$1:$J$1000,ROI_Avions!$A145,DataPrixBillets!$K$1:$K$1000,ROI_Avions!$C145)</f>
        <v>0</v>
      </c>
      <c r="AI145" s="26">
        <f>SUMIFS(DataPrixBillets!Q$1:Q$1000,DataPrixBillets!$J$1:$J$1000,ROI_Avions!$A145,DataPrixBillets!$K$1:$K$1000,ROI_Avions!$C145)</f>
        <v>0</v>
      </c>
      <c r="AJ145" s="121"/>
      <c r="AK145" s="8">
        <f t="shared" si="569"/>
        <v>0</v>
      </c>
      <c r="AL145" s="8" t="e">
        <f t="shared" ca="1" si="570"/>
        <v>#REF!</v>
      </c>
      <c r="AM145" s="8" t="e">
        <f t="shared" ca="1" si="571"/>
        <v>#REF!</v>
      </c>
      <c r="AN145" s="8" t="e">
        <f t="shared" ca="1" si="572"/>
        <v>#REF!</v>
      </c>
      <c r="AO145" s="8" t="e">
        <f t="shared" ca="1" si="573"/>
        <v>#REF!</v>
      </c>
      <c r="AP145" s="8" t="e">
        <f t="shared" ca="1" si="574"/>
        <v>#REF!</v>
      </c>
      <c r="AQ145" s="8" t="e">
        <f t="shared" ca="1" si="575"/>
        <v>#REF!</v>
      </c>
      <c r="AR145" s="190">
        <f t="shared" ca="1" si="589"/>
        <v>0</v>
      </c>
      <c r="AS145" s="120">
        <f t="shared" ca="1" si="590"/>
        <v>0</v>
      </c>
      <c r="AT145" s="8" t="e">
        <f t="shared" ca="1" si="576"/>
        <v>#REF!</v>
      </c>
    </row>
    <row r="146" spans="1:55" x14ac:dyDescent="0.3">
      <c r="A146" s="153" t="s">
        <v>726</v>
      </c>
      <c r="B146" s="154">
        <v>636004377</v>
      </c>
      <c r="C146" s="153" t="s">
        <v>322</v>
      </c>
      <c r="D146" s="145" t="str">
        <f t="shared" si="591"/>
        <v>LAD/AMS</v>
      </c>
      <c r="E146" s="154">
        <v>13797241</v>
      </c>
      <c r="F146" s="155" t="s">
        <v>870</v>
      </c>
      <c r="G146" s="154">
        <v>301644000</v>
      </c>
      <c r="I146" s="8">
        <v>0</v>
      </c>
      <c r="J146" s="8">
        <v>0</v>
      </c>
      <c r="K146" s="8">
        <v>0</v>
      </c>
      <c r="L146" s="53"/>
      <c r="M146" s="53"/>
      <c r="O146" s="140"/>
      <c r="P146" s="133">
        <f>SUMIFS(GestionLignesDemande!D$4:D$1000,GestionLignesDemande!$B$4:$B$1000,ROI_Avions!$A146,GestionLignesDemande!$C$4:$C$1000,ROI_Avions!$C146)</f>
        <v>0</v>
      </c>
      <c r="Q146" s="133">
        <f>SUMIFS(GestionLignesDemande!E$4:E$1000,GestionLignesDemande!$B$4:$B$1000,ROI_Avions!$A146,GestionLignesDemande!$C$4:$C$1000,ROI_Avions!$C146)</f>
        <v>0</v>
      </c>
      <c r="R146" s="133">
        <f>SUMIFS(GestionLignesDemande!F$4:F$1000,GestionLignesDemande!$B$4:$B$1000,ROI_Avions!$A146,GestionLignesDemande!$C$4:$C$1000,ROI_Avions!$C146)</f>
        <v>0</v>
      </c>
      <c r="S146" s="133">
        <f>SUMIFS(GestionLignesDemande!G$4:G$1000,GestionLignesDemande!$B$4:$B$1000,ROI_Avions!$A146,GestionLignesDemande!$C$4:$C$1000,ROI_Avions!$C146)</f>
        <v>0</v>
      </c>
      <c r="U146" s="8">
        <f t="shared" si="1"/>
        <v>634</v>
      </c>
      <c r="V146" s="8">
        <v>563</v>
      </c>
      <c r="W146" s="8">
        <v>49</v>
      </c>
      <c r="X146" s="8">
        <v>10</v>
      </c>
      <c r="Y146" s="8">
        <v>12</v>
      </c>
      <c r="AA146" s="132">
        <f t="shared" ref="AA146:AA196" si="624">P146-(V146*2)</f>
        <v>-1126</v>
      </c>
      <c r="AB146" s="132">
        <f t="shared" ref="AB146:AB196" si="625">Q146-(W146*2)</f>
        <v>-98</v>
      </c>
      <c r="AC146" s="132">
        <f t="shared" ref="AC146:AC196" si="626">R146-(X146*2)</f>
        <v>-20</v>
      </c>
      <c r="AD146" s="132">
        <f t="shared" ref="AD146:AD196" si="627">S146-(Y146*2)</f>
        <v>-24</v>
      </c>
      <c r="AF146" s="26">
        <f>SUMIFS(DataPrixBillets!N$1:N$1000,DataPrixBillets!$J$1:$J$1000,ROI_Avions!$A146,DataPrixBillets!$K$1:$K$1000,ROI_Avions!$C146)</f>
        <v>0</v>
      </c>
      <c r="AG146" s="26">
        <f>SUMIFS(DataPrixBillets!O$1:O$1000,DataPrixBillets!$J$1:$J$1000,ROI_Avions!$A146,DataPrixBillets!$K$1:$K$1000,ROI_Avions!$C146)</f>
        <v>0</v>
      </c>
      <c r="AH146" s="26">
        <f>SUMIFS(DataPrixBillets!P$1:P$1000,DataPrixBillets!$J$1:$J$1000,ROI_Avions!$A146,DataPrixBillets!$K$1:$K$1000,ROI_Avions!$C146)</f>
        <v>0</v>
      </c>
      <c r="AI146" s="26">
        <f>SUMIFS(DataPrixBillets!Q$1:Q$1000,DataPrixBillets!$J$1:$J$1000,ROI_Avions!$A146,DataPrixBillets!$K$1:$K$1000,ROI_Avions!$C146)</f>
        <v>0</v>
      </c>
      <c r="AK146" s="8">
        <f t="shared" si="20"/>
        <v>0</v>
      </c>
      <c r="AL146" s="8" t="e">
        <f t="shared" ca="1" si="21"/>
        <v>#REF!</v>
      </c>
      <c r="AM146" s="8" t="e">
        <f t="shared" ca="1" si="22"/>
        <v>#REF!</v>
      </c>
      <c r="AN146" s="8" t="e">
        <f t="shared" ca="1" si="23"/>
        <v>#REF!</v>
      </c>
      <c r="AO146" s="8" t="e">
        <f t="shared" ca="1" si="24"/>
        <v>#REF!</v>
      </c>
      <c r="AP146" s="8" t="e">
        <f t="shared" ca="1" si="25"/>
        <v>#REF!</v>
      </c>
      <c r="AQ146" s="8" t="e">
        <f t="shared" ca="1" si="26"/>
        <v>#REF!</v>
      </c>
      <c r="AR146" s="7">
        <f t="shared" ca="1" si="589"/>
        <v>0</v>
      </c>
      <c r="AS146" s="120">
        <f t="shared" ca="1" si="590"/>
        <v>0</v>
      </c>
      <c r="AT146" s="8" t="e">
        <f t="shared" ca="1" si="28"/>
        <v>#REF!</v>
      </c>
      <c r="AV146" s="189"/>
      <c r="AW146" s="189"/>
      <c r="AX146" s="189"/>
      <c r="AY146" s="189"/>
      <c r="BA146" s="189"/>
      <c r="BB146" s="189"/>
      <c r="BC146" s="189"/>
    </row>
    <row r="147" spans="1:55" x14ac:dyDescent="0.3">
      <c r="A147" s="153" t="s">
        <v>726</v>
      </c>
      <c r="B147" s="154">
        <v>636004377</v>
      </c>
      <c r="C147" s="153" t="s">
        <v>322</v>
      </c>
      <c r="D147" s="145" t="str">
        <f t="shared" si="591"/>
        <v>LAD/AMS</v>
      </c>
      <c r="E147" s="154">
        <v>13797241</v>
      </c>
      <c r="F147" s="155" t="s">
        <v>871</v>
      </c>
      <c r="G147" s="154">
        <v>301644000</v>
      </c>
      <c r="I147" s="8">
        <v>0</v>
      </c>
      <c r="J147" s="8">
        <v>0</v>
      </c>
      <c r="K147" s="8">
        <v>0</v>
      </c>
      <c r="L147" s="53"/>
      <c r="M147" s="53"/>
      <c r="O147" s="140"/>
      <c r="P147" s="133">
        <f>SUMIFS(GestionLignesDemande!D$4:D$1000,GestionLignesDemande!$B$4:$B$1000,ROI_Avions!$A147,GestionLignesDemande!$C$4:$C$1000,ROI_Avions!$C147)</f>
        <v>0</v>
      </c>
      <c r="Q147" s="133">
        <f>SUMIFS(GestionLignesDemande!E$4:E$1000,GestionLignesDemande!$B$4:$B$1000,ROI_Avions!$A147,GestionLignesDemande!$C$4:$C$1000,ROI_Avions!$C147)</f>
        <v>0</v>
      </c>
      <c r="R147" s="133">
        <f>SUMIFS(GestionLignesDemande!F$4:F$1000,GestionLignesDemande!$B$4:$B$1000,ROI_Avions!$A147,GestionLignesDemande!$C$4:$C$1000,ROI_Avions!$C147)</f>
        <v>0</v>
      </c>
      <c r="S147" s="133">
        <f>SUMIFS(GestionLignesDemande!G$4:G$1000,GestionLignesDemande!$B$4:$B$1000,ROI_Avions!$A147,GestionLignesDemande!$C$4:$C$1000,ROI_Avions!$C147)</f>
        <v>0</v>
      </c>
      <c r="U147" s="8">
        <f t="shared" si="1"/>
        <v>634</v>
      </c>
      <c r="V147" s="8">
        <v>563</v>
      </c>
      <c r="W147" s="8">
        <v>49</v>
      </c>
      <c r="X147" s="8">
        <v>10</v>
      </c>
      <c r="Y147" s="8">
        <v>12</v>
      </c>
      <c r="AA147" s="132">
        <f t="shared" ref="AA147" si="628">AA146-V147*2</f>
        <v>-2252</v>
      </c>
      <c r="AB147" s="132">
        <f t="shared" ref="AB147" si="629">AB146-W147*2</f>
        <v>-196</v>
      </c>
      <c r="AC147" s="132">
        <f t="shared" ref="AC147" si="630">AC146-X147*2</f>
        <v>-40</v>
      </c>
      <c r="AD147" s="132">
        <f t="shared" ref="AD147" si="631">AD146-Y147*2</f>
        <v>-48</v>
      </c>
      <c r="AF147" s="26">
        <f>SUMIFS(DataPrixBillets!N$1:N$1000,DataPrixBillets!$J$1:$J$1000,ROI_Avions!$A147,DataPrixBillets!$K$1:$K$1000,ROI_Avions!$C147)</f>
        <v>0</v>
      </c>
      <c r="AG147" s="26">
        <f>SUMIFS(DataPrixBillets!O$1:O$1000,DataPrixBillets!$J$1:$J$1000,ROI_Avions!$A147,DataPrixBillets!$K$1:$K$1000,ROI_Avions!$C147)</f>
        <v>0</v>
      </c>
      <c r="AH147" s="26">
        <f>SUMIFS(DataPrixBillets!P$1:P$1000,DataPrixBillets!$J$1:$J$1000,ROI_Avions!$A147,DataPrixBillets!$K$1:$K$1000,ROI_Avions!$C147)</f>
        <v>0</v>
      </c>
      <c r="AI147" s="26">
        <f>SUMIFS(DataPrixBillets!Q$1:Q$1000,DataPrixBillets!$J$1:$J$1000,ROI_Avions!$A147,DataPrixBillets!$K$1:$K$1000,ROI_Avions!$C147)</f>
        <v>0</v>
      </c>
      <c r="AK147" s="8">
        <f t="shared" ref="AK147" si="632">(((AF147*V147)*2+(AG147*W147)*2+(AH147*X147)*2+(AI147*Y147)*2)*7)</f>
        <v>0</v>
      </c>
      <c r="AL147" s="8" t="e">
        <f t="shared" ref="AL147" ca="1" si="633">AK147-AM147</f>
        <v>#REF!</v>
      </c>
      <c r="AM147" s="8" t="e">
        <f t="shared" ref="AM147" ca="1" si="634">AK147*$AM$2</f>
        <v>#REF!</v>
      </c>
      <c r="AN147" s="8" t="e">
        <f t="shared" ref="AN147" ca="1" si="635">AL147*$AN$2</f>
        <v>#REF!</v>
      </c>
      <c r="AO147" s="8" t="e">
        <f t="shared" ref="AO147" ca="1" si="636">(AL147-AN147-I147)*$AO$2</f>
        <v>#REF!</v>
      </c>
      <c r="AP147" s="8" t="e">
        <f t="shared" ref="AP147" ca="1" si="637">AL147-AN147-(I147/7)-(AO147/7)</f>
        <v>#REF!</v>
      </c>
      <c r="AQ147" s="8" t="e">
        <f t="shared" ref="AQ147" ca="1" si="638">AP147/7</f>
        <v>#REF!</v>
      </c>
      <c r="AR147" s="7">
        <f t="shared" ca="1" si="589"/>
        <v>0</v>
      </c>
      <c r="AS147" s="120">
        <f t="shared" ca="1" si="590"/>
        <v>0</v>
      </c>
      <c r="AT147" s="8" t="e">
        <f t="shared" ref="AT147" ca="1" si="639">IF(K147&gt;=1,AP147*K147,AP147*$AT$1)</f>
        <v>#REF!</v>
      </c>
      <c r="AV147" s="189"/>
      <c r="AW147" s="189"/>
      <c r="AX147" s="189"/>
      <c r="AY147" s="189"/>
      <c r="BA147" s="189"/>
      <c r="BB147" s="189"/>
      <c r="BC147" s="189"/>
    </row>
    <row r="148" spans="1:55" x14ac:dyDescent="0.3">
      <c r="A148" s="153" t="s">
        <v>726</v>
      </c>
      <c r="B148" s="154">
        <v>636004377</v>
      </c>
      <c r="C148" s="153" t="s">
        <v>322</v>
      </c>
      <c r="D148" s="145" t="str">
        <f t="shared" si="591"/>
        <v>LAD/AMS</v>
      </c>
      <c r="E148" s="154">
        <v>13797241</v>
      </c>
      <c r="F148" s="155" t="s">
        <v>872</v>
      </c>
      <c r="G148" s="154">
        <v>301644000</v>
      </c>
      <c r="I148" s="8">
        <v>0</v>
      </c>
      <c r="J148" s="8">
        <v>0</v>
      </c>
      <c r="K148" s="8">
        <v>0</v>
      </c>
      <c r="L148" s="53"/>
      <c r="M148" s="53"/>
      <c r="O148" s="140"/>
      <c r="P148" s="133">
        <f>SUMIFS(GestionLignesDemande!D$4:D$1000,GestionLignesDemande!$B$4:$B$1000,ROI_Avions!$A148,GestionLignesDemande!$C$4:$C$1000,ROI_Avions!$C148)</f>
        <v>0</v>
      </c>
      <c r="Q148" s="133">
        <f>SUMIFS(GestionLignesDemande!E$4:E$1000,GestionLignesDemande!$B$4:$B$1000,ROI_Avions!$A148,GestionLignesDemande!$C$4:$C$1000,ROI_Avions!$C148)</f>
        <v>0</v>
      </c>
      <c r="R148" s="133">
        <f>SUMIFS(GestionLignesDemande!F$4:F$1000,GestionLignesDemande!$B$4:$B$1000,ROI_Avions!$A148,GestionLignesDemande!$C$4:$C$1000,ROI_Avions!$C148)</f>
        <v>0</v>
      </c>
      <c r="S148" s="133">
        <f>SUMIFS(GestionLignesDemande!G$4:G$1000,GestionLignesDemande!$B$4:$B$1000,ROI_Avions!$A148,GestionLignesDemande!$C$4:$C$1000,ROI_Avions!$C148)</f>
        <v>0</v>
      </c>
      <c r="U148" s="8">
        <f t="shared" si="1"/>
        <v>634</v>
      </c>
      <c r="V148" s="8">
        <v>563</v>
      </c>
      <c r="W148" s="8">
        <v>49</v>
      </c>
      <c r="X148" s="8">
        <v>10</v>
      </c>
      <c r="Y148" s="8">
        <v>12</v>
      </c>
      <c r="AA148" s="132">
        <f t="shared" ref="AA148" si="640">AA147-V148*2</f>
        <v>-3378</v>
      </c>
      <c r="AB148" s="132">
        <f t="shared" ref="AB148" si="641">AB147-W148*2</f>
        <v>-294</v>
      </c>
      <c r="AC148" s="132">
        <f t="shared" ref="AC148" si="642">AC147-X148*2</f>
        <v>-60</v>
      </c>
      <c r="AD148" s="132">
        <f t="shared" ref="AD148" si="643">AD147-Y148*2</f>
        <v>-72</v>
      </c>
      <c r="AF148" s="26">
        <f>SUMIFS(DataPrixBillets!N$1:N$1000,DataPrixBillets!$J$1:$J$1000,ROI_Avions!$A148,DataPrixBillets!$K$1:$K$1000,ROI_Avions!$C148)</f>
        <v>0</v>
      </c>
      <c r="AG148" s="26">
        <f>SUMIFS(DataPrixBillets!O$1:O$1000,DataPrixBillets!$J$1:$J$1000,ROI_Avions!$A148,DataPrixBillets!$K$1:$K$1000,ROI_Avions!$C148)</f>
        <v>0</v>
      </c>
      <c r="AH148" s="26">
        <f>SUMIFS(DataPrixBillets!P$1:P$1000,DataPrixBillets!$J$1:$J$1000,ROI_Avions!$A148,DataPrixBillets!$K$1:$K$1000,ROI_Avions!$C148)</f>
        <v>0</v>
      </c>
      <c r="AI148" s="26">
        <f>SUMIFS(DataPrixBillets!Q$1:Q$1000,DataPrixBillets!$J$1:$J$1000,ROI_Avions!$A148,DataPrixBillets!$K$1:$K$1000,ROI_Avions!$C148)</f>
        <v>0</v>
      </c>
      <c r="AK148" s="8">
        <f t="shared" ref="AK148" si="644">(((AF148*V148)*2+(AG148*W148)*2+(AH148*X148)*2+(AI148*Y148)*2)*7)</f>
        <v>0</v>
      </c>
      <c r="AL148" s="8" t="e">
        <f t="shared" ref="AL148" ca="1" si="645">AK148-AM148</f>
        <v>#REF!</v>
      </c>
      <c r="AM148" s="8" t="e">
        <f t="shared" ref="AM148" ca="1" si="646">AK148*$AM$2</f>
        <v>#REF!</v>
      </c>
      <c r="AN148" s="8" t="e">
        <f t="shared" ref="AN148" ca="1" si="647">AL148*$AN$2</f>
        <v>#REF!</v>
      </c>
      <c r="AO148" s="8" t="e">
        <f t="shared" ref="AO148" ca="1" si="648">(AL148-AN148-I148)*$AO$2</f>
        <v>#REF!</v>
      </c>
      <c r="AP148" s="8" t="e">
        <f t="shared" ref="AP148" ca="1" si="649">AL148-AN148-(I148/7)-(AO148/7)</f>
        <v>#REF!</v>
      </c>
      <c r="AQ148" s="8" t="e">
        <f t="shared" ref="AQ148" ca="1" si="650">AP148/7</f>
        <v>#REF!</v>
      </c>
      <c r="AR148" s="7">
        <f t="shared" ca="1" si="589"/>
        <v>0</v>
      </c>
      <c r="AS148" s="120">
        <f t="shared" ca="1" si="590"/>
        <v>0</v>
      </c>
      <c r="AT148" s="8" t="e">
        <f t="shared" ref="AT148" ca="1" si="651">IF(K148&gt;=1,AP148*K148,AP148*$AT$1)</f>
        <v>#REF!</v>
      </c>
      <c r="AV148" s="189"/>
      <c r="AW148" s="189"/>
      <c r="AX148" s="189"/>
      <c r="AY148" s="189"/>
      <c r="BA148" s="189"/>
      <c r="BB148" s="189"/>
      <c r="BC148" s="189"/>
    </row>
    <row r="149" spans="1:55" s="189" customFormat="1" x14ac:dyDescent="0.3">
      <c r="A149" s="153" t="s">
        <v>726</v>
      </c>
      <c r="B149" s="154">
        <v>636004377</v>
      </c>
      <c r="C149" s="153" t="s">
        <v>733</v>
      </c>
      <c r="D149" s="145" t="str">
        <f t="shared" si="591"/>
        <v>LAD/BOM</v>
      </c>
      <c r="E149" s="154">
        <v>16191616</v>
      </c>
      <c r="F149" s="155" t="str">
        <f>"MD11-A-"&amp;A149&amp;"-"&amp;C149&amp;"-"&amp;1</f>
        <v>MD11-A-LAD-BOM-1</v>
      </c>
      <c r="G149" s="154">
        <v>146160000</v>
      </c>
      <c r="H149" s="116"/>
      <c r="I149" s="8">
        <v>0</v>
      </c>
      <c r="J149" s="8">
        <v>0</v>
      </c>
      <c r="K149" s="8">
        <v>0</v>
      </c>
      <c r="L149" s="53"/>
      <c r="M149" s="53"/>
      <c r="N149" s="116"/>
      <c r="O149" s="140"/>
      <c r="P149" s="133">
        <f>SUMIFS(GestionLignesDemande!D$4:D$1000,GestionLignesDemande!$B$4:$B$1000,ROI_Avions!$A149,GestionLignesDemande!$C$4:$C$1000,ROI_Avions!$C149)</f>
        <v>0</v>
      </c>
      <c r="Q149" s="133">
        <f>SUMIFS(GestionLignesDemande!E$4:E$1000,GestionLignesDemande!$B$4:$B$1000,ROI_Avions!$A149,GestionLignesDemande!$C$4:$C$1000,ROI_Avions!$C149)</f>
        <v>0</v>
      </c>
      <c r="R149" s="133">
        <f>SUMIFS(GestionLignesDemande!F$4:F$1000,GestionLignesDemande!$B$4:$B$1000,ROI_Avions!$A149,GestionLignesDemande!$C$4:$C$1000,ROI_Avions!$C149)</f>
        <v>0</v>
      </c>
      <c r="S149" s="133">
        <f>SUMIFS(GestionLignesDemande!G$4:G$1000,GestionLignesDemande!$B$4:$B$1000,ROI_Avions!$A149,GestionLignesDemande!$C$4:$C$1000,ROI_Avions!$C149)</f>
        <v>0</v>
      </c>
      <c r="T149" s="116"/>
      <c r="U149" s="8">
        <f t="shared" si="1"/>
        <v>401</v>
      </c>
      <c r="V149" s="8">
        <v>382</v>
      </c>
      <c r="W149" s="8">
        <v>13</v>
      </c>
      <c r="X149" s="8">
        <v>1</v>
      </c>
      <c r="Y149" s="8">
        <v>5</v>
      </c>
      <c r="Z149" s="116"/>
      <c r="AA149" s="132">
        <f t="shared" ref="AA149" si="652">P149-(V149*2)</f>
        <v>-764</v>
      </c>
      <c r="AB149" s="132">
        <f t="shared" ref="AB149" si="653">Q149-(W149*2)</f>
        <v>-26</v>
      </c>
      <c r="AC149" s="132">
        <f t="shared" ref="AC149" si="654">R149-(X149*2)</f>
        <v>-2</v>
      </c>
      <c r="AD149" s="132">
        <f t="shared" ref="AD149" si="655">S149-(Y149*2)</f>
        <v>-10</v>
      </c>
      <c r="AE149" s="116"/>
      <c r="AF149" s="26">
        <f>SUMIFS(DataPrixBillets!N$1:N$1000,DataPrixBillets!$J$1:$J$1000,ROI_Avions!$A149,DataPrixBillets!$K$1:$K$1000,ROI_Avions!$C149)</f>
        <v>0</v>
      </c>
      <c r="AG149" s="26">
        <f>SUMIFS(DataPrixBillets!O$1:O$1000,DataPrixBillets!$J$1:$J$1000,ROI_Avions!$A149,DataPrixBillets!$K$1:$K$1000,ROI_Avions!$C149)</f>
        <v>0</v>
      </c>
      <c r="AH149" s="26">
        <f>SUMIFS(DataPrixBillets!P$1:P$1000,DataPrixBillets!$J$1:$J$1000,ROI_Avions!$A149,DataPrixBillets!$K$1:$K$1000,ROI_Avions!$C149)</f>
        <v>0</v>
      </c>
      <c r="AI149" s="26">
        <f>SUMIFS(DataPrixBillets!Q$1:Q$1000,DataPrixBillets!$J$1:$J$1000,ROI_Avions!$A149,DataPrixBillets!$K$1:$K$1000,ROI_Avions!$C149)</f>
        <v>0</v>
      </c>
      <c r="AJ149" s="116"/>
      <c r="AK149" s="8">
        <f t="shared" ref="AK149:AK165" si="656">(((AF149*V149)*2+(AG149*W149)*2+(AH149*X149)*2+(AI149*Y149)*2)*7)</f>
        <v>0</v>
      </c>
      <c r="AL149" s="8" t="e">
        <f t="shared" ref="AL149:AL165" ca="1" si="657">AK149-AM149</f>
        <v>#REF!</v>
      </c>
      <c r="AM149" s="8" t="e">
        <f t="shared" ref="AM149:AM165" ca="1" si="658">AK149*$AM$2</f>
        <v>#REF!</v>
      </c>
      <c r="AN149" s="8" t="e">
        <f t="shared" ref="AN149:AN165" ca="1" si="659">AL149*$AN$2</f>
        <v>#REF!</v>
      </c>
      <c r="AO149" s="8" t="e">
        <f t="shared" ref="AO149:AO165" ca="1" si="660">(AL149-AN149-I149)*$AO$2</f>
        <v>#REF!</v>
      </c>
      <c r="AP149" s="8" t="e">
        <f t="shared" ref="AP149:AP165" ca="1" si="661">AL149-AN149-(I149/7)-(AO149/7)</f>
        <v>#REF!</v>
      </c>
      <c r="AQ149" s="8" t="e">
        <f t="shared" ref="AQ149:AQ165" ca="1" si="662">AP149/7</f>
        <v>#REF!</v>
      </c>
      <c r="AR149" s="190">
        <f t="shared" ca="1" si="589"/>
        <v>0</v>
      </c>
      <c r="AS149" s="120">
        <f t="shared" ca="1" si="590"/>
        <v>0</v>
      </c>
      <c r="AT149" s="8" t="e">
        <f t="shared" ref="AT149:AT165" ca="1" si="663">IF(K149&gt;=1,AP149*K149,AP149*$AT$1)</f>
        <v>#REF!</v>
      </c>
      <c r="BA149"/>
      <c r="BB149"/>
      <c r="BC149"/>
    </row>
    <row r="150" spans="1:55" s="189" customFormat="1" x14ac:dyDescent="0.3">
      <c r="A150" s="153" t="s">
        <v>726</v>
      </c>
      <c r="B150" s="154">
        <v>636004377</v>
      </c>
      <c r="C150" s="153" t="s">
        <v>733</v>
      </c>
      <c r="D150" s="145" t="str">
        <f t="shared" si="591"/>
        <v>LAD/BOM</v>
      </c>
      <c r="E150" s="154">
        <v>16191616</v>
      </c>
      <c r="F150" s="155" t="str">
        <f>"MD11-A-"&amp;A150&amp;"-"&amp;C150&amp;"-"&amp;2</f>
        <v>MD11-A-LAD-BOM-2</v>
      </c>
      <c r="G150" s="154">
        <v>146160000</v>
      </c>
      <c r="H150" s="116"/>
      <c r="I150" s="8">
        <v>0</v>
      </c>
      <c r="J150" s="8">
        <v>0</v>
      </c>
      <c r="K150" s="8">
        <v>0</v>
      </c>
      <c r="L150" s="53"/>
      <c r="M150" s="53"/>
      <c r="N150" s="116"/>
      <c r="O150" s="140"/>
      <c r="P150" s="133">
        <f>SUMIFS(GestionLignesDemande!D$4:D$1000,GestionLignesDemande!$B$4:$B$1000,ROI_Avions!$A150,GestionLignesDemande!$C$4:$C$1000,ROI_Avions!$C150)</f>
        <v>0</v>
      </c>
      <c r="Q150" s="133">
        <f>SUMIFS(GestionLignesDemande!E$4:E$1000,GestionLignesDemande!$B$4:$B$1000,ROI_Avions!$A150,GestionLignesDemande!$C$4:$C$1000,ROI_Avions!$C150)</f>
        <v>0</v>
      </c>
      <c r="R150" s="133">
        <f>SUMIFS(GestionLignesDemande!F$4:F$1000,GestionLignesDemande!$B$4:$B$1000,ROI_Avions!$A150,GestionLignesDemande!$C$4:$C$1000,ROI_Avions!$C150)</f>
        <v>0</v>
      </c>
      <c r="S150" s="133">
        <f>SUMIFS(GestionLignesDemande!G$4:G$1000,GestionLignesDemande!$B$4:$B$1000,ROI_Avions!$A150,GestionLignesDemande!$C$4:$C$1000,ROI_Avions!$C150)</f>
        <v>0</v>
      </c>
      <c r="T150" s="116"/>
      <c r="U150" s="8">
        <f t="shared" si="1"/>
        <v>401</v>
      </c>
      <c r="V150" s="8">
        <v>382</v>
      </c>
      <c r="W150" s="8">
        <v>13</v>
      </c>
      <c r="X150" s="8">
        <v>1</v>
      </c>
      <c r="Y150" s="8">
        <v>5</v>
      </c>
      <c r="Z150" s="116"/>
      <c r="AA150" s="132">
        <f t="shared" ref="AA150" si="664">AA149-V150*2</f>
        <v>-1528</v>
      </c>
      <c r="AB150" s="132">
        <f t="shared" ref="AB150" si="665">AB149-W150*2</f>
        <v>-52</v>
      </c>
      <c r="AC150" s="132">
        <f t="shared" ref="AC150" si="666">AC149-X150*2</f>
        <v>-4</v>
      </c>
      <c r="AD150" s="132">
        <f t="shared" ref="AD150" si="667">AD149-Y150*2</f>
        <v>-20</v>
      </c>
      <c r="AE150" s="116"/>
      <c r="AF150" s="26">
        <f>SUMIFS(DataPrixBillets!N$1:N$1000,DataPrixBillets!$J$1:$J$1000,ROI_Avions!$A150,DataPrixBillets!$K$1:$K$1000,ROI_Avions!$C150)</f>
        <v>0</v>
      </c>
      <c r="AG150" s="26">
        <f>SUMIFS(DataPrixBillets!O$1:O$1000,DataPrixBillets!$J$1:$J$1000,ROI_Avions!$A150,DataPrixBillets!$K$1:$K$1000,ROI_Avions!$C150)</f>
        <v>0</v>
      </c>
      <c r="AH150" s="26">
        <f>SUMIFS(DataPrixBillets!P$1:P$1000,DataPrixBillets!$J$1:$J$1000,ROI_Avions!$A150,DataPrixBillets!$K$1:$K$1000,ROI_Avions!$C150)</f>
        <v>0</v>
      </c>
      <c r="AI150" s="26">
        <f>SUMIFS(DataPrixBillets!Q$1:Q$1000,DataPrixBillets!$J$1:$J$1000,ROI_Avions!$A150,DataPrixBillets!$K$1:$K$1000,ROI_Avions!$C150)</f>
        <v>0</v>
      </c>
      <c r="AJ150" s="116"/>
      <c r="AK150" s="8">
        <f t="shared" si="656"/>
        <v>0</v>
      </c>
      <c r="AL150" s="8" t="e">
        <f t="shared" ca="1" si="657"/>
        <v>#REF!</v>
      </c>
      <c r="AM150" s="8" t="e">
        <f t="shared" ca="1" si="658"/>
        <v>#REF!</v>
      </c>
      <c r="AN150" s="8" t="e">
        <f t="shared" ca="1" si="659"/>
        <v>#REF!</v>
      </c>
      <c r="AO150" s="8" t="e">
        <f t="shared" ca="1" si="660"/>
        <v>#REF!</v>
      </c>
      <c r="AP150" s="8" t="e">
        <f t="shared" ca="1" si="661"/>
        <v>#REF!</v>
      </c>
      <c r="AQ150" s="8" t="e">
        <f t="shared" ca="1" si="662"/>
        <v>#REF!</v>
      </c>
      <c r="AR150" s="190">
        <f t="shared" ca="1" si="589"/>
        <v>0</v>
      </c>
      <c r="AS150" s="120">
        <f t="shared" ca="1" si="590"/>
        <v>0</v>
      </c>
      <c r="AT150" s="8" t="e">
        <f t="shared" ca="1" si="663"/>
        <v>#REF!</v>
      </c>
      <c r="AV150"/>
      <c r="AW150"/>
      <c r="AX150"/>
      <c r="AY150"/>
      <c r="BA150"/>
      <c r="BB150"/>
      <c r="BC150"/>
    </row>
    <row r="151" spans="1:55" s="189" customFormat="1" x14ac:dyDescent="0.3">
      <c r="A151" s="153" t="s">
        <v>726</v>
      </c>
      <c r="B151" s="154">
        <v>636004377</v>
      </c>
      <c r="C151" s="153" t="s">
        <v>733</v>
      </c>
      <c r="D151" s="145" t="str">
        <f t="shared" si="591"/>
        <v>LAD/BOM</v>
      </c>
      <c r="E151" s="154">
        <v>16191616</v>
      </c>
      <c r="F151" s="155" t="str">
        <f>"MD11-A-"&amp;A151&amp;"-"&amp;C151&amp;"-"&amp;3</f>
        <v>MD11-A-LAD-BOM-3</v>
      </c>
      <c r="G151" s="154">
        <v>146160000</v>
      </c>
      <c r="H151" s="116"/>
      <c r="I151" s="8">
        <v>0</v>
      </c>
      <c r="J151" s="8">
        <v>0</v>
      </c>
      <c r="K151" s="8">
        <v>0</v>
      </c>
      <c r="L151" s="53"/>
      <c r="M151" s="53"/>
      <c r="N151" s="116"/>
      <c r="O151" s="140"/>
      <c r="P151" s="133">
        <f>SUMIFS(GestionLignesDemande!D$4:D$1000,GestionLignesDemande!$B$4:$B$1000,ROI_Avions!$A151,GestionLignesDemande!$C$4:$C$1000,ROI_Avions!$C151)</f>
        <v>0</v>
      </c>
      <c r="Q151" s="133">
        <f>SUMIFS(GestionLignesDemande!E$4:E$1000,GestionLignesDemande!$B$4:$B$1000,ROI_Avions!$A151,GestionLignesDemande!$C$4:$C$1000,ROI_Avions!$C151)</f>
        <v>0</v>
      </c>
      <c r="R151" s="133">
        <f>SUMIFS(GestionLignesDemande!F$4:F$1000,GestionLignesDemande!$B$4:$B$1000,ROI_Avions!$A151,GestionLignesDemande!$C$4:$C$1000,ROI_Avions!$C151)</f>
        <v>0</v>
      </c>
      <c r="S151" s="133">
        <f>SUMIFS(GestionLignesDemande!G$4:G$1000,GestionLignesDemande!$B$4:$B$1000,ROI_Avions!$A151,GestionLignesDemande!$C$4:$C$1000,ROI_Avions!$C151)</f>
        <v>0</v>
      </c>
      <c r="T151" s="116"/>
      <c r="U151" s="8">
        <f t="shared" si="1"/>
        <v>401</v>
      </c>
      <c r="V151" s="8">
        <v>382</v>
      </c>
      <c r="W151" s="8">
        <v>13</v>
      </c>
      <c r="X151" s="8">
        <v>1</v>
      </c>
      <c r="Y151" s="8">
        <v>5</v>
      </c>
      <c r="Z151" s="116"/>
      <c r="AA151" s="132">
        <f t="shared" ref="AA151:AA154" si="668">AA150-V151*2</f>
        <v>-2292</v>
      </c>
      <c r="AB151" s="132">
        <f t="shared" ref="AB151:AB154" si="669">AB150-W151*2</f>
        <v>-78</v>
      </c>
      <c r="AC151" s="132">
        <f t="shared" ref="AC151:AC154" si="670">AC150-X151*2</f>
        <v>-6</v>
      </c>
      <c r="AD151" s="132">
        <f t="shared" ref="AD151:AD154" si="671">AD150-Y151*2</f>
        <v>-30</v>
      </c>
      <c r="AE151" s="116"/>
      <c r="AF151" s="26">
        <f>SUMIFS(DataPrixBillets!N$1:N$1000,DataPrixBillets!$J$1:$J$1000,ROI_Avions!$A151,DataPrixBillets!$K$1:$K$1000,ROI_Avions!$C151)</f>
        <v>0</v>
      </c>
      <c r="AG151" s="26">
        <f>SUMIFS(DataPrixBillets!O$1:O$1000,DataPrixBillets!$J$1:$J$1000,ROI_Avions!$A151,DataPrixBillets!$K$1:$K$1000,ROI_Avions!$C151)</f>
        <v>0</v>
      </c>
      <c r="AH151" s="26">
        <f>SUMIFS(DataPrixBillets!P$1:P$1000,DataPrixBillets!$J$1:$J$1000,ROI_Avions!$A151,DataPrixBillets!$K$1:$K$1000,ROI_Avions!$C151)</f>
        <v>0</v>
      </c>
      <c r="AI151" s="26">
        <f>SUMIFS(DataPrixBillets!Q$1:Q$1000,DataPrixBillets!$J$1:$J$1000,ROI_Avions!$A151,DataPrixBillets!$K$1:$K$1000,ROI_Avions!$C151)</f>
        <v>0</v>
      </c>
      <c r="AJ151" s="116"/>
      <c r="AK151" s="8">
        <f t="shared" si="656"/>
        <v>0</v>
      </c>
      <c r="AL151" s="8" t="e">
        <f t="shared" ca="1" si="657"/>
        <v>#REF!</v>
      </c>
      <c r="AM151" s="8" t="e">
        <f t="shared" ca="1" si="658"/>
        <v>#REF!</v>
      </c>
      <c r="AN151" s="8" t="e">
        <f t="shared" ca="1" si="659"/>
        <v>#REF!</v>
      </c>
      <c r="AO151" s="8" t="e">
        <f t="shared" ca="1" si="660"/>
        <v>#REF!</v>
      </c>
      <c r="AP151" s="8" t="e">
        <f t="shared" ca="1" si="661"/>
        <v>#REF!</v>
      </c>
      <c r="AQ151" s="8" t="e">
        <f t="shared" ca="1" si="662"/>
        <v>#REF!</v>
      </c>
      <c r="AR151" s="190">
        <f t="shared" ca="1" si="589"/>
        <v>0</v>
      </c>
      <c r="AS151" s="120">
        <f t="shared" ca="1" si="590"/>
        <v>0</v>
      </c>
      <c r="AT151" s="8" t="e">
        <f t="shared" ca="1" si="663"/>
        <v>#REF!</v>
      </c>
      <c r="AV151"/>
      <c r="AW151"/>
      <c r="AX151"/>
      <c r="AY151"/>
      <c r="BA151"/>
      <c r="BB151"/>
      <c r="BC151"/>
    </row>
    <row r="152" spans="1:55" s="189" customFormat="1" x14ac:dyDescent="0.3">
      <c r="A152" s="153" t="s">
        <v>726</v>
      </c>
      <c r="B152" s="154">
        <v>636004377</v>
      </c>
      <c r="C152" s="153" t="s">
        <v>733</v>
      </c>
      <c r="D152" s="145" t="str">
        <f t="shared" si="591"/>
        <v>LAD/BOM</v>
      </c>
      <c r="E152" s="154">
        <v>16191616</v>
      </c>
      <c r="F152" s="155" t="str">
        <f>"MD11-A-"&amp;A152&amp;"-"&amp;C152&amp;"-"&amp;4</f>
        <v>MD11-A-LAD-BOM-4</v>
      </c>
      <c r="G152" s="154">
        <v>146160000</v>
      </c>
      <c r="H152" s="116"/>
      <c r="I152" s="8">
        <v>0</v>
      </c>
      <c r="J152" s="8">
        <v>0</v>
      </c>
      <c r="K152" s="8">
        <v>0</v>
      </c>
      <c r="L152" s="53"/>
      <c r="M152" s="53"/>
      <c r="N152" s="116"/>
      <c r="O152" s="140"/>
      <c r="P152" s="133">
        <f>SUMIFS(GestionLignesDemande!D$4:D$1000,GestionLignesDemande!$B$4:$B$1000,ROI_Avions!$A152,GestionLignesDemande!$C$4:$C$1000,ROI_Avions!$C152)</f>
        <v>0</v>
      </c>
      <c r="Q152" s="133">
        <f>SUMIFS(GestionLignesDemande!E$4:E$1000,GestionLignesDemande!$B$4:$B$1000,ROI_Avions!$A152,GestionLignesDemande!$C$4:$C$1000,ROI_Avions!$C152)</f>
        <v>0</v>
      </c>
      <c r="R152" s="133">
        <f>SUMIFS(GestionLignesDemande!F$4:F$1000,GestionLignesDemande!$B$4:$B$1000,ROI_Avions!$A152,GestionLignesDemande!$C$4:$C$1000,ROI_Avions!$C152)</f>
        <v>0</v>
      </c>
      <c r="S152" s="133">
        <f>SUMIFS(GestionLignesDemande!G$4:G$1000,GestionLignesDemande!$B$4:$B$1000,ROI_Avions!$A152,GestionLignesDemande!$C$4:$C$1000,ROI_Avions!$C152)</f>
        <v>0</v>
      </c>
      <c r="T152" s="116"/>
      <c r="U152" s="8">
        <f t="shared" si="1"/>
        <v>401</v>
      </c>
      <c r="V152" s="8">
        <v>382</v>
      </c>
      <c r="W152" s="8">
        <v>13</v>
      </c>
      <c r="X152" s="8">
        <v>1</v>
      </c>
      <c r="Y152" s="8">
        <v>5</v>
      </c>
      <c r="Z152" s="116"/>
      <c r="AA152" s="132">
        <f t="shared" si="668"/>
        <v>-3056</v>
      </c>
      <c r="AB152" s="132">
        <f t="shared" si="669"/>
        <v>-104</v>
      </c>
      <c r="AC152" s="132">
        <f t="shared" si="670"/>
        <v>-8</v>
      </c>
      <c r="AD152" s="132">
        <f t="shared" si="671"/>
        <v>-40</v>
      </c>
      <c r="AE152" s="116"/>
      <c r="AF152" s="26">
        <f>SUMIFS(DataPrixBillets!N$1:N$1000,DataPrixBillets!$J$1:$J$1000,ROI_Avions!$A152,DataPrixBillets!$K$1:$K$1000,ROI_Avions!$C152)</f>
        <v>0</v>
      </c>
      <c r="AG152" s="26">
        <f>SUMIFS(DataPrixBillets!O$1:O$1000,DataPrixBillets!$J$1:$J$1000,ROI_Avions!$A152,DataPrixBillets!$K$1:$K$1000,ROI_Avions!$C152)</f>
        <v>0</v>
      </c>
      <c r="AH152" s="26">
        <f>SUMIFS(DataPrixBillets!P$1:P$1000,DataPrixBillets!$J$1:$J$1000,ROI_Avions!$A152,DataPrixBillets!$K$1:$K$1000,ROI_Avions!$C152)</f>
        <v>0</v>
      </c>
      <c r="AI152" s="26">
        <f>SUMIFS(DataPrixBillets!Q$1:Q$1000,DataPrixBillets!$J$1:$J$1000,ROI_Avions!$A152,DataPrixBillets!$K$1:$K$1000,ROI_Avions!$C152)</f>
        <v>0</v>
      </c>
      <c r="AJ152" s="116"/>
      <c r="AK152" s="8">
        <f t="shared" si="656"/>
        <v>0</v>
      </c>
      <c r="AL152" s="8" t="e">
        <f t="shared" ca="1" si="657"/>
        <v>#REF!</v>
      </c>
      <c r="AM152" s="8" t="e">
        <f t="shared" ca="1" si="658"/>
        <v>#REF!</v>
      </c>
      <c r="AN152" s="8" t="e">
        <f t="shared" ca="1" si="659"/>
        <v>#REF!</v>
      </c>
      <c r="AO152" s="8" t="e">
        <f t="shared" ca="1" si="660"/>
        <v>#REF!</v>
      </c>
      <c r="AP152" s="8" t="e">
        <f t="shared" ca="1" si="661"/>
        <v>#REF!</v>
      </c>
      <c r="AQ152" s="8" t="e">
        <f t="shared" ca="1" si="662"/>
        <v>#REF!</v>
      </c>
      <c r="AR152" s="190">
        <f t="shared" ca="1" si="589"/>
        <v>0</v>
      </c>
      <c r="AS152" s="120">
        <f t="shared" ca="1" si="590"/>
        <v>0</v>
      </c>
      <c r="AT152" s="8" t="e">
        <f t="shared" ca="1" si="663"/>
        <v>#REF!</v>
      </c>
    </row>
    <row r="153" spans="1:55" s="189" customFormat="1" x14ac:dyDescent="0.3">
      <c r="A153" s="153" t="s">
        <v>726</v>
      </c>
      <c r="B153" s="154">
        <v>636004377</v>
      </c>
      <c r="C153" s="153" t="s">
        <v>733</v>
      </c>
      <c r="D153" s="145" t="str">
        <f t="shared" si="591"/>
        <v>LAD/BOM</v>
      </c>
      <c r="E153" s="154">
        <v>16191616</v>
      </c>
      <c r="F153" s="155" t="str">
        <f>"MD11-A-"&amp;A153&amp;"-"&amp;C153&amp;"-"&amp;5</f>
        <v>MD11-A-LAD-BOM-5</v>
      </c>
      <c r="G153" s="154">
        <v>146160000</v>
      </c>
      <c r="H153" s="116"/>
      <c r="I153" s="8">
        <v>0</v>
      </c>
      <c r="J153" s="8">
        <v>0</v>
      </c>
      <c r="K153" s="8">
        <v>0</v>
      </c>
      <c r="L153" s="53"/>
      <c r="M153" s="53"/>
      <c r="N153" s="116"/>
      <c r="O153" s="140"/>
      <c r="P153" s="133">
        <f>SUMIFS(GestionLignesDemande!D$4:D$1000,GestionLignesDemande!$B$4:$B$1000,ROI_Avions!$A153,GestionLignesDemande!$C$4:$C$1000,ROI_Avions!$C153)</f>
        <v>0</v>
      </c>
      <c r="Q153" s="133">
        <f>SUMIFS(GestionLignesDemande!E$4:E$1000,GestionLignesDemande!$B$4:$B$1000,ROI_Avions!$A153,GestionLignesDemande!$C$4:$C$1000,ROI_Avions!$C153)</f>
        <v>0</v>
      </c>
      <c r="R153" s="133">
        <f>SUMIFS(GestionLignesDemande!F$4:F$1000,GestionLignesDemande!$B$4:$B$1000,ROI_Avions!$A153,GestionLignesDemande!$C$4:$C$1000,ROI_Avions!$C153)</f>
        <v>0</v>
      </c>
      <c r="S153" s="133">
        <f>SUMIFS(GestionLignesDemande!G$4:G$1000,GestionLignesDemande!$B$4:$B$1000,ROI_Avions!$A153,GestionLignesDemande!$C$4:$C$1000,ROI_Avions!$C153)</f>
        <v>0</v>
      </c>
      <c r="T153" s="116"/>
      <c r="U153" s="8">
        <f t="shared" si="1"/>
        <v>398</v>
      </c>
      <c r="V153" s="8">
        <v>376</v>
      </c>
      <c r="W153" s="8">
        <v>14</v>
      </c>
      <c r="X153" s="8">
        <v>2</v>
      </c>
      <c r="Y153" s="8">
        <v>6</v>
      </c>
      <c r="Z153" s="116"/>
      <c r="AA153" s="132">
        <f t="shared" si="668"/>
        <v>-3808</v>
      </c>
      <c r="AB153" s="132">
        <f t="shared" si="669"/>
        <v>-132</v>
      </c>
      <c r="AC153" s="132">
        <f t="shared" si="670"/>
        <v>-12</v>
      </c>
      <c r="AD153" s="132">
        <f t="shared" si="671"/>
        <v>-52</v>
      </c>
      <c r="AE153" s="116"/>
      <c r="AF153" s="26">
        <f>SUMIFS(DataPrixBillets!N$1:N$1000,DataPrixBillets!$J$1:$J$1000,ROI_Avions!$A153,DataPrixBillets!$K$1:$K$1000,ROI_Avions!$C153)</f>
        <v>0</v>
      </c>
      <c r="AG153" s="26">
        <f>SUMIFS(DataPrixBillets!O$1:O$1000,DataPrixBillets!$J$1:$J$1000,ROI_Avions!$A153,DataPrixBillets!$K$1:$K$1000,ROI_Avions!$C153)</f>
        <v>0</v>
      </c>
      <c r="AH153" s="26">
        <f>SUMIFS(DataPrixBillets!P$1:P$1000,DataPrixBillets!$J$1:$J$1000,ROI_Avions!$A153,DataPrixBillets!$K$1:$K$1000,ROI_Avions!$C153)</f>
        <v>0</v>
      </c>
      <c r="AI153" s="26">
        <f>SUMIFS(DataPrixBillets!Q$1:Q$1000,DataPrixBillets!$J$1:$J$1000,ROI_Avions!$A153,DataPrixBillets!$K$1:$K$1000,ROI_Avions!$C153)</f>
        <v>0</v>
      </c>
      <c r="AJ153" s="116"/>
      <c r="AK153" s="8">
        <f t="shared" si="656"/>
        <v>0</v>
      </c>
      <c r="AL153" s="8" t="e">
        <f t="shared" ca="1" si="657"/>
        <v>#REF!</v>
      </c>
      <c r="AM153" s="8" t="e">
        <f t="shared" ca="1" si="658"/>
        <v>#REF!</v>
      </c>
      <c r="AN153" s="8" t="e">
        <f t="shared" ca="1" si="659"/>
        <v>#REF!</v>
      </c>
      <c r="AO153" s="8" t="e">
        <f t="shared" ca="1" si="660"/>
        <v>#REF!</v>
      </c>
      <c r="AP153" s="8" t="e">
        <f t="shared" ca="1" si="661"/>
        <v>#REF!</v>
      </c>
      <c r="AQ153" s="8" t="e">
        <f t="shared" ca="1" si="662"/>
        <v>#REF!</v>
      </c>
      <c r="AR153" s="190">
        <f t="shared" ca="1" si="589"/>
        <v>0</v>
      </c>
      <c r="AS153" s="120">
        <f t="shared" ca="1" si="590"/>
        <v>0</v>
      </c>
      <c r="AT153" s="8" t="e">
        <f t="shared" ca="1" si="663"/>
        <v>#REF!</v>
      </c>
    </row>
    <row r="154" spans="1:55" s="189" customFormat="1" x14ac:dyDescent="0.3">
      <c r="A154" s="153" t="s">
        <v>726</v>
      </c>
      <c r="B154" s="154">
        <v>636004377</v>
      </c>
      <c r="C154" s="153" t="s">
        <v>733</v>
      </c>
      <c r="D154" s="145" t="str">
        <f t="shared" si="591"/>
        <v>LAD/BOM</v>
      </c>
      <c r="E154" s="154">
        <v>16191616</v>
      </c>
      <c r="F154" s="155" t="str">
        <f>"MD11-A-"&amp;A154&amp;"-"&amp;C154&amp;"-"&amp;6</f>
        <v>MD11-A-LAD-BOM-6</v>
      </c>
      <c r="G154" s="154">
        <v>146160000</v>
      </c>
      <c r="H154" s="116"/>
      <c r="I154" s="8">
        <v>0</v>
      </c>
      <c r="J154" s="8">
        <v>0</v>
      </c>
      <c r="K154" s="8">
        <v>0</v>
      </c>
      <c r="L154" s="53"/>
      <c r="M154" s="53"/>
      <c r="N154" s="116"/>
      <c r="O154" s="140"/>
      <c r="P154" s="133">
        <f>SUMIFS(GestionLignesDemande!D$4:D$1000,GestionLignesDemande!$B$4:$B$1000,ROI_Avions!$A154,GestionLignesDemande!$C$4:$C$1000,ROI_Avions!$C154)</f>
        <v>0</v>
      </c>
      <c r="Q154" s="133">
        <f>SUMIFS(GestionLignesDemande!E$4:E$1000,GestionLignesDemande!$B$4:$B$1000,ROI_Avions!$A154,GestionLignesDemande!$C$4:$C$1000,ROI_Avions!$C154)</f>
        <v>0</v>
      </c>
      <c r="R154" s="133">
        <f>SUMIFS(GestionLignesDemande!F$4:F$1000,GestionLignesDemande!$B$4:$B$1000,ROI_Avions!$A154,GestionLignesDemande!$C$4:$C$1000,ROI_Avions!$C154)</f>
        <v>0</v>
      </c>
      <c r="S154" s="133">
        <f>SUMIFS(GestionLignesDemande!G$4:G$1000,GestionLignesDemande!$B$4:$B$1000,ROI_Avions!$A154,GestionLignesDemande!$C$4:$C$1000,ROI_Avions!$C154)</f>
        <v>0</v>
      </c>
      <c r="T154" s="116"/>
      <c r="U154" s="8">
        <f t="shared" si="1"/>
        <v>398</v>
      </c>
      <c r="V154" s="8">
        <v>376</v>
      </c>
      <c r="W154" s="8">
        <v>14</v>
      </c>
      <c r="X154" s="8">
        <v>2</v>
      </c>
      <c r="Y154" s="8">
        <v>6</v>
      </c>
      <c r="Z154" s="116"/>
      <c r="AA154" s="132">
        <f t="shared" si="668"/>
        <v>-4560</v>
      </c>
      <c r="AB154" s="132">
        <f t="shared" si="669"/>
        <v>-160</v>
      </c>
      <c r="AC154" s="132">
        <f t="shared" si="670"/>
        <v>-16</v>
      </c>
      <c r="AD154" s="132">
        <f t="shared" si="671"/>
        <v>-64</v>
      </c>
      <c r="AE154" s="116"/>
      <c r="AF154" s="26">
        <f>SUMIFS(DataPrixBillets!N$1:N$1000,DataPrixBillets!$J$1:$J$1000,ROI_Avions!$A154,DataPrixBillets!$K$1:$K$1000,ROI_Avions!$C154)</f>
        <v>0</v>
      </c>
      <c r="AG154" s="26">
        <f>SUMIFS(DataPrixBillets!O$1:O$1000,DataPrixBillets!$J$1:$J$1000,ROI_Avions!$A154,DataPrixBillets!$K$1:$K$1000,ROI_Avions!$C154)</f>
        <v>0</v>
      </c>
      <c r="AH154" s="26">
        <f>SUMIFS(DataPrixBillets!P$1:P$1000,DataPrixBillets!$J$1:$J$1000,ROI_Avions!$A154,DataPrixBillets!$K$1:$K$1000,ROI_Avions!$C154)</f>
        <v>0</v>
      </c>
      <c r="AI154" s="26">
        <f>SUMIFS(DataPrixBillets!Q$1:Q$1000,DataPrixBillets!$J$1:$J$1000,ROI_Avions!$A154,DataPrixBillets!$K$1:$K$1000,ROI_Avions!$C154)</f>
        <v>0</v>
      </c>
      <c r="AJ154" s="116"/>
      <c r="AK154" s="8">
        <f t="shared" si="656"/>
        <v>0</v>
      </c>
      <c r="AL154" s="8" t="e">
        <f t="shared" ca="1" si="657"/>
        <v>#REF!</v>
      </c>
      <c r="AM154" s="8" t="e">
        <f t="shared" ca="1" si="658"/>
        <v>#REF!</v>
      </c>
      <c r="AN154" s="8" t="e">
        <f t="shared" ca="1" si="659"/>
        <v>#REF!</v>
      </c>
      <c r="AO154" s="8" t="e">
        <f t="shared" ca="1" si="660"/>
        <v>#REF!</v>
      </c>
      <c r="AP154" s="8" t="e">
        <f t="shared" ca="1" si="661"/>
        <v>#REF!</v>
      </c>
      <c r="AQ154" s="8" t="e">
        <f t="shared" ca="1" si="662"/>
        <v>#REF!</v>
      </c>
      <c r="AR154" s="190">
        <f t="shared" ca="1" si="589"/>
        <v>0</v>
      </c>
      <c r="AS154" s="120">
        <f t="shared" ca="1" si="590"/>
        <v>0</v>
      </c>
      <c r="AT154" s="8" t="e">
        <f t="shared" ca="1" si="663"/>
        <v>#REF!</v>
      </c>
    </row>
    <row r="155" spans="1:55" s="189" customFormat="1" x14ac:dyDescent="0.3">
      <c r="A155" s="153" t="s">
        <v>726</v>
      </c>
      <c r="B155" s="154">
        <v>636004377</v>
      </c>
      <c r="C155" s="153" t="s">
        <v>732</v>
      </c>
      <c r="D155" s="145" t="str">
        <f t="shared" si="591"/>
        <v>LAD/DEL</v>
      </c>
      <c r="E155" s="154">
        <v>19425891</v>
      </c>
      <c r="F155" s="155" t="str">
        <f>"MD11-A-"&amp;A155&amp;"-"&amp;C155&amp;"-"&amp;1</f>
        <v>MD11-A-LAD-DEL-1</v>
      </c>
      <c r="G155" s="154">
        <v>146160000</v>
      </c>
      <c r="H155" s="116"/>
      <c r="I155" s="8">
        <v>0</v>
      </c>
      <c r="J155" s="8">
        <v>0</v>
      </c>
      <c r="K155" s="8">
        <v>0</v>
      </c>
      <c r="L155" s="53"/>
      <c r="M155" s="53"/>
      <c r="N155" s="116"/>
      <c r="O155" s="140"/>
      <c r="P155" s="133">
        <f>SUMIFS(GestionLignesDemande!D$4:D$1000,GestionLignesDemande!$B$4:$B$1000,ROI_Avions!$A155,GestionLignesDemande!$C$4:$C$1000,ROI_Avions!$C155)</f>
        <v>0</v>
      </c>
      <c r="Q155" s="133">
        <f>SUMIFS(GestionLignesDemande!E$4:E$1000,GestionLignesDemande!$B$4:$B$1000,ROI_Avions!$A155,GestionLignesDemande!$C$4:$C$1000,ROI_Avions!$C155)</f>
        <v>0</v>
      </c>
      <c r="R155" s="133">
        <f>SUMIFS(GestionLignesDemande!F$4:F$1000,GestionLignesDemande!$B$4:$B$1000,ROI_Avions!$A155,GestionLignesDemande!$C$4:$C$1000,ROI_Avions!$C155)</f>
        <v>0</v>
      </c>
      <c r="S155" s="133">
        <f>SUMIFS(GestionLignesDemande!G$4:G$1000,GestionLignesDemande!$B$4:$B$1000,ROI_Avions!$A155,GestionLignesDemande!$C$4:$C$1000,ROI_Avions!$C155)</f>
        <v>0</v>
      </c>
      <c r="T155" s="116"/>
      <c r="U155" s="8">
        <f t="shared" si="1"/>
        <v>401</v>
      </c>
      <c r="V155" s="8">
        <v>382</v>
      </c>
      <c r="W155" s="8">
        <v>13</v>
      </c>
      <c r="X155" s="8">
        <v>1</v>
      </c>
      <c r="Y155" s="8">
        <v>5</v>
      </c>
      <c r="Z155" s="116"/>
      <c r="AA155" s="132">
        <f t="shared" ref="AA155" si="672">P155-(V155*2)</f>
        <v>-764</v>
      </c>
      <c r="AB155" s="132">
        <f t="shared" ref="AB155" si="673">Q155-(W155*2)</f>
        <v>-26</v>
      </c>
      <c r="AC155" s="132">
        <f t="shared" ref="AC155" si="674">R155-(X155*2)</f>
        <v>-2</v>
      </c>
      <c r="AD155" s="132">
        <f t="shared" ref="AD155" si="675">S155-(Y155*2)</f>
        <v>-10</v>
      </c>
      <c r="AE155" s="116"/>
      <c r="AF155" s="26">
        <f>SUMIFS(DataPrixBillets!N$1:N$1000,DataPrixBillets!$J$1:$J$1000,ROI_Avions!$A155,DataPrixBillets!$K$1:$K$1000,ROI_Avions!$C155)</f>
        <v>0</v>
      </c>
      <c r="AG155" s="26">
        <f>SUMIFS(DataPrixBillets!O$1:O$1000,DataPrixBillets!$J$1:$J$1000,ROI_Avions!$A155,DataPrixBillets!$K$1:$K$1000,ROI_Avions!$C155)</f>
        <v>0</v>
      </c>
      <c r="AH155" s="26">
        <f>SUMIFS(DataPrixBillets!P$1:P$1000,DataPrixBillets!$J$1:$J$1000,ROI_Avions!$A155,DataPrixBillets!$K$1:$K$1000,ROI_Avions!$C155)</f>
        <v>0</v>
      </c>
      <c r="AI155" s="26">
        <f>SUMIFS(DataPrixBillets!Q$1:Q$1000,DataPrixBillets!$J$1:$J$1000,ROI_Avions!$A155,DataPrixBillets!$K$1:$K$1000,ROI_Avions!$C155)</f>
        <v>0</v>
      </c>
      <c r="AJ155" s="116"/>
      <c r="AK155" s="8">
        <f t="shared" si="656"/>
        <v>0</v>
      </c>
      <c r="AL155" s="8" t="e">
        <f t="shared" ca="1" si="657"/>
        <v>#REF!</v>
      </c>
      <c r="AM155" s="8" t="e">
        <f t="shared" ca="1" si="658"/>
        <v>#REF!</v>
      </c>
      <c r="AN155" s="8" t="e">
        <f t="shared" ca="1" si="659"/>
        <v>#REF!</v>
      </c>
      <c r="AO155" s="8" t="e">
        <f t="shared" ca="1" si="660"/>
        <v>#REF!</v>
      </c>
      <c r="AP155" s="8" t="e">
        <f t="shared" ca="1" si="661"/>
        <v>#REF!</v>
      </c>
      <c r="AQ155" s="8" t="e">
        <f t="shared" ca="1" si="662"/>
        <v>#REF!</v>
      </c>
      <c r="AR155" s="190">
        <f t="shared" ca="1" si="589"/>
        <v>0</v>
      </c>
      <c r="AS155" s="120">
        <f t="shared" ca="1" si="590"/>
        <v>0</v>
      </c>
      <c r="AT155" s="8" t="e">
        <f t="shared" ca="1" si="663"/>
        <v>#REF!</v>
      </c>
    </row>
    <row r="156" spans="1:55" s="189" customFormat="1" x14ac:dyDescent="0.3">
      <c r="A156" s="153" t="s">
        <v>726</v>
      </c>
      <c r="B156" s="154">
        <v>636004377</v>
      </c>
      <c r="C156" s="153" t="s">
        <v>732</v>
      </c>
      <c r="D156" s="145" t="str">
        <f t="shared" si="591"/>
        <v>LAD/DEL</v>
      </c>
      <c r="E156" s="154">
        <v>19425891</v>
      </c>
      <c r="F156" s="155" t="str">
        <f>"MD11-A-"&amp;A156&amp;"-"&amp;C156&amp;"-"&amp;2</f>
        <v>MD11-A-LAD-DEL-2</v>
      </c>
      <c r="G156" s="154">
        <v>146160000</v>
      </c>
      <c r="H156" s="116"/>
      <c r="I156" s="8">
        <v>0</v>
      </c>
      <c r="J156" s="8">
        <v>0</v>
      </c>
      <c r="K156" s="8">
        <v>0</v>
      </c>
      <c r="L156" s="53"/>
      <c r="M156" s="53"/>
      <c r="N156" s="116"/>
      <c r="O156" s="140"/>
      <c r="P156" s="133">
        <f>SUMIFS(GestionLignesDemande!D$4:D$1000,GestionLignesDemande!$B$4:$B$1000,ROI_Avions!$A156,GestionLignesDemande!$C$4:$C$1000,ROI_Avions!$C156)</f>
        <v>0</v>
      </c>
      <c r="Q156" s="133">
        <f>SUMIFS(GestionLignesDemande!E$4:E$1000,GestionLignesDemande!$B$4:$B$1000,ROI_Avions!$A156,GestionLignesDemande!$C$4:$C$1000,ROI_Avions!$C156)</f>
        <v>0</v>
      </c>
      <c r="R156" s="133">
        <f>SUMIFS(GestionLignesDemande!F$4:F$1000,GestionLignesDemande!$B$4:$B$1000,ROI_Avions!$A156,GestionLignesDemande!$C$4:$C$1000,ROI_Avions!$C156)</f>
        <v>0</v>
      </c>
      <c r="S156" s="133">
        <f>SUMIFS(GestionLignesDemande!G$4:G$1000,GestionLignesDemande!$B$4:$B$1000,ROI_Avions!$A156,GestionLignesDemande!$C$4:$C$1000,ROI_Avions!$C156)</f>
        <v>0</v>
      </c>
      <c r="T156" s="116"/>
      <c r="U156" s="8">
        <f t="shared" si="1"/>
        <v>401</v>
      </c>
      <c r="V156" s="8">
        <v>382</v>
      </c>
      <c r="W156" s="8">
        <v>13</v>
      </c>
      <c r="X156" s="8">
        <v>1</v>
      </c>
      <c r="Y156" s="8">
        <v>5</v>
      </c>
      <c r="Z156" s="116"/>
      <c r="AA156" s="132">
        <f t="shared" ref="AA156:AA160" si="676">AA155-V156*2</f>
        <v>-1528</v>
      </c>
      <c r="AB156" s="132">
        <f t="shared" ref="AB156:AB160" si="677">AB155-W156*2</f>
        <v>-52</v>
      </c>
      <c r="AC156" s="132">
        <f t="shared" ref="AC156:AC160" si="678">AC155-X156*2</f>
        <v>-4</v>
      </c>
      <c r="AD156" s="132">
        <f t="shared" ref="AD156:AD160" si="679">AD155-Y156*2</f>
        <v>-20</v>
      </c>
      <c r="AE156" s="116"/>
      <c r="AF156" s="26">
        <f>SUMIFS(DataPrixBillets!N$1:N$1000,DataPrixBillets!$J$1:$J$1000,ROI_Avions!$A156,DataPrixBillets!$K$1:$K$1000,ROI_Avions!$C156)</f>
        <v>0</v>
      </c>
      <c r="AG156" s="26">
        <f>SUMIFS(DataPrixBillets!O$1:O$1000,DataPrixBillets!$J$1:$J$1000,ROI_Avions!$A156,DataPrixBillets!$K$1:$K$1000,ROI_Avions!$C156)</f>
        <v>0</v>
      </c>
      <c r="AH156" s="26">
        <f>SUMIFS(DataPrixBillets!P$1:P$1000,DataPrixBillets!$J$1:$J$1000,ROI_Avions!$A156,DataPrixBillets!$K$1:$K$1000,ROI_Avions!$C156)</f>
        <v>0</v>
      </c>
      <c r="AI156" s="26">
        <f>SUMIFS(DataPrixBillets!Q$1:Q$1000,DataPrixBillets!$J$1:$J$1000,ROI_Avions!$A156,DataPrixBillets!$K$1:$K$1000,ROI_Avions!$C156)</f>
        <v>0</v>
      </c>
      <c r="AJ156" s="116"/>
      <c r="AK156" s="8">
        <f t="shared" si="656"/>
        <v>0</v>
      </c>
      <c r="AL156" s="8" t="e">
        <f t="shared" ca="1" si="657"/>
        <v>#REF!</v>
      </c>
      <c r="AM156" s="8" t="e">
        <f t="shared" ca="1" si="658"/>
        <v>#REF!</v>
      </c>
      <c r="AN156" s="8" t="e">
        <f t="shared" ca="1" si="659"/>
        <v>#REF!</v>
      </c>
      <c r="AO156" s="8" t="e">
        <f t="shared" ca="1" si="660"/>
        <v>#REF!</v>
      </c>
      <c r="AP156" s="8" t="e">
        <f t="shared" ca="1" si="661"/>
        <v>#REF!</v>
      </c>
      <c r="AQ156" s="8" t="e">
        <f t="shared" ca="1" si="662"/>
        <v>#REF!</v>
      </c>
      <c r="AR156" s="190">
        <f t="shared" ca="1" si="589"/>
        <v>0</v>
      </c>
      <c r="AS156" s="120">
        <f t="shared" ca="1" si="590"/>
        <v>0</v>
      </c>
      <c r="AT156" s="8" t="e">
        <f t="shared" ca="1" si="663"/>
        <v>#REF!</v>
      </c>
    </row>
    <row r="157" spans="1:55" s="189" customFormat="1" x14ac:dyDescent="0.3">
      <c r="A157" s="153" t="s">
        <v>726</v>
      </c>
      <c r="B157" s="154">
        <v>636004377</v>
      </c>
      <c r="C157" s="153" t="s">
        <v>732</v>
      </c>
      <c r="D157" s="145" t="str">
        <f t="shared" si="591"/>
        <v>LAD/DEL</v>
      </c>
      <c r="E157" s="154">
        <v>19425891</v>
      </c>
      <c r="F157" s="155" t="str">
        <f>"MD11-A-"&amp;A157&amp;"-"&amp;C157&amp;"-"&amp;3</f>
        <v>MD11-A-LAD-DEL-3</v>
      </c>
      <c r="G157" s="154">
        <v>146160000</v>
      </c>
      <c r="H157" s="116"/>
      <c r="I157" s="8">
        <v>0</v>
      </c>
      <c r="J157" s="8">
        <v>0</v>
      </c>
      <c r="K157" s="8">
        <v>0</v>
      </c>
      <c r="L157" s="53"/>
      <c r="M157" s="53"/>
      <c r="N157" s="116"/>
      <c r="O157" s="140"/>
      <c r="P157" s="133">
        <f>SUMIFS(GestionLignesDemande!D$4:D$1000,GestionLignesDemande!$B$4:$B$1000,ROI_Avions!$A157,GestionLignesDemande!$C$4:$C$1000,ROI_Avions!$C157)</f>
        <v>0</v>
      </c>
      <c r="Q157" s="133">
        <f>SUMIFS(GestionLignesDemande!E$4:E$1000,GestionLignesDemande!$B$4:$B$1000,ROI_Avions!$A157,GestionLignesDemande!$C$4:$C$1000,ROI_Avions!$C157)</f>
        <v>0</v>
      </c>
      <c r="R157" s="133">
        <f>SUMIFS(GestionLignesDemande!F$4:F$1000,GestionLignesDemande!$B$4:$B$1000,ROI_Avions!$A157,GestionLignesDemande!$C$4:$C$1000,ROI_Avions!$C157)</f>
        <v>0</v>
      </c>
      <c r="S157" s="133">
        <f>SUMIFS(GestionLignesDemande!G$4:G$1000,GestionLignesDemande!$B$4:$B$1000,ROI_Avions!$A157,GestionLignesDemande!$C$4:$C$1000,ROI_Avions!$C157)</f>
        <v>0</v>
      </c>
      <c r="T157" s="116"/>
      <c r="U157" s="8">
        <f t="shared" si="1"/>
        <v>401</v>
      </c>
      <c r="V157" s="8">
        <v>382</v>
      </c>
      <c r="W157" s="8">
        <v>13</v>
      </c>
      <c r="X157" s="8">
        <v>1</v>
      </c>
      <c r="Y157" s="8">
        <v>5</v>
      </c>
      <c r="Z157" s="116"/>
      <c r="AA157" s="132">
        <f t="shared" si="676"/>
        <v>-2292</v>
      </c>
      <c r="AB157" s="132">
        <f t="shared" si="677"/>
        <v>-78</v>
      </c>
      <c r="AC157" s="132">
        <f t="shared" si="678"/>
        <v>-6</v>
      </c>
      <c r="AD157" s="132">
        <f t="shared" si="679"/>
        <v>-30</v>
      </c>
      <c r="AE157" s="116"/>
      <c r="AF157" s="26">
        <f>SUMIFS(DataPrixBillets!N$1:N$1000,DataPrixBillets!$J$1:$J$1000,ROI_Avions!$A157,DataPrixBillets!$K$1:$K$1000,ROI_Avions!$C157)</f>
        <v>0</v>
      </c>
      <c r="AG157" s="26">
        <f>SUMIFS(DataPrixBillets!O$1:O$1000,DataPrixBillets!$J$1:$J$1000,ROI_Avions!$A157,DataPrixBillets!$K$1:$K$1000,ROI_Avions!$C157)</f>
        <v>0</v>
      </c>
      <c r="AH157" s="26">
        <f>SUMIFS(DataPrixBillets!P$1:P$1000,DataPrixBillets!$J$1:$J$1000,ROI_Avions!$A157,DataPrixBillets!$K$1:$K$1000,ROI_Avions!$C157)</f>
        <v>0</v>
      </c>
      <c r="AI157" s="26">
        <f>SUMIFS(DataPrixBillets!Q$1:Q$1000,DataPrixBillets!$J$1:$J$1000,ROI_Avions!$A157,DataPrixBillets!$K$1:$K$1000,ROI_Avions!$C157)</f>
        <v>0</v>
      </c>
      <c r="AJ157" s="116"/>
      <c r="AK157" s="8">
        <f t="shared" si="656"/>
        <v>0</v>
      </c>
      <c r="AL157" s="8" t="e">
        <f t="shared" ca="1" si="657"/>
        <v>#REF!</v>
      </c>
      <c r="AM157" s="8" t="e">
        <f t="shared" ca="1" si="658"/>
        <v>#REF!</v>
      </c>
      <c r="AN157" s="8" t="e">
        <f t="shared" ca="1" si="659"/>
        <v>#REF!</v>
      </c>
      <c r="AO157" s="8" t="e">
        <f t="shared" ca="1" si="660"/>
        <v>#REF!</v>
      </c>
      <c r="AP157" s="8" t="e">
        <f t="shared" ca="1" si="661"/>
        <v>#REF!</v>
      </c>
      <c r="AQ157" s="8" t="e">
        <f t="shared" ca="1" si="662"/>
        <v>#REF!</v>
      </c>
      <c r="AR157" s="190">
        <f t="shared" ca="1" si="589"/>
        <v>0</v>
      </c>
      <c r="AS157" s="120">
        <f t="shared" ca="1" si="590"/>
        <v>0</v>
      </c>
      <c r="AT157" s="8" t="e">
        <f t="shared" ca="1" si="663"/>
        <v>#REF!</v>
      </c>
    </row>
    <row r="158" spans="1:55" s="189" customFormat="1" x14ac:dyDescent="0.3">
      <c r="A158" s="153" t="s">
        <v>726</v>
      </c>
      <c r="B158" s="154">
        <v>636004377</v>
      </c>
      <c r="C158" s="153" t="s">
        <v>732</v>
      </c>
      <c r="D158" s="145" t="str">
        <f t="shared" si="591"/>
        <v>LAD/DEL</v>
      </c>
      <c r="E158" s="154">
        <v>19425891</v>
      </c>
      <c r="F158" s="155" t="str">
        <f>"MD11-A-"&amp;A158&amp;"-"&amp;C158&amp;"-"&amp;4</f>
        <v>MD11-A-LAD-DEL-4</v>
      </c>
      <c r="G158" s="154">
        <v>146160000</v>
      </c>
      <c r="H158" s="116"/>
      <c r="I158" s="8">
        <v>0</v>
      </c>
      <c r="J158" s="8">
        <v>0</v>
      </c>
      <c r="K158" s="8">
        <v>0</v>
      </c>
      <c r="L158" s="53"/>
      <c r="M158" s="53"/>
      <c r="N158" s="116"/>
      <c r="O158" s="140"/>
      <c r="P158" s="133">
        <f>SUMIFS(GestionLignesDemande!D$4:D$1000,GestionLignesDemande!$B$4:$B$1000,ROI_Avions!$A158,GestionLignesDemande!$C$4:$C$1000,ROI_Avions!$C158)</f>
        <v>0</v>
      </c>
      <c r="Q158" s="133">
        <f>SUMIFS(GestionLignesDemande!E$4:E$1000,GestionLignesDemande!$B$4:$B$1000,ROI_Avions!$A158,GestionLignesDemande!$C$4:$C$1000,ROI_Avions!$C158)</f>
        <v>0</v>
      </c>
      <c r="R158" s="133">
        <f>SUMIFS(GestionLignesDemande!F$4:F$1000,GestionLignesDemande!$B$4:$B$1000,ROI_Avions!$A158,GestionLignesDemande!$C$4:$C$1000,ROI_Avions!$C158)</f>
        <v>0</v>
      </c>
      <c r="S158" s="133">
        <f>SUMIFS(GestionLignesDemande!G$4:G$1000,GestionLignesDemande!$B$4:$B$1000,ROI_Avions!$A158,GestionLignesDemande!$C$4:$C$1000,ROI_Avions!$C158)</f>
        <v>0</v>
      </c>
      <c r="T158" s="116"/>
      <c r="U158" s="8">
        <f t="shared" si="1"/>
        <v>401</v>
      </c>
      <c r="V158" s="8">
        <v>382</v>
      </c>
      <c r="W158" s="8">
        <v>13</v>
      </c>
      <c r="X158" s="8">
        <v>1</v>
      </c>
      <c r="Y158" s="8">
        <v>5</v>
      </c>
      <c r="Z158" s="116"/>
      <c r="AA158" s="132">
        <f t="shared" si="676"/>
        <v>-3056</v>
      </c>
      <c r="AB158" s="132">
        <f t="shared" si="677"/>
        <v>-104</v>
      </c>
      <c r="AC158" s="132">
        <f t="shared" si="678"/>
        <v>-8</v>
      </c>
      <c r="AD158" s="132">
        <f t="shared" si="679"/>
        <v>-40</v>
      </c>
      <c r="AE158" s="116"/>
      <c r="AF158" s="26">
        <f>SUMIFS(DataPrixBillets!N$1:N$1000,DataPrixBillets!$J$1:$J$1000,ROI_Avions!$A158,DataPrixBillets!$K$1:$K$1000,ROI_Avions!$C158)</f>
        <v>0</v>
      </c>
      <c r="AG158" s="26">
        <f>SUMIFS(DataPrixBillets!O$1:O$1000,DataPrixBillets!$J$1:$J$1000,ROI_Avions!$A158,DataPrixBillets!$K$1:$K$1000,ROI_Avions!$C158)</f>
        <v>0</v>
      </c>
      <c r="AH158" s="26">
        <f>SUMIFS(DataPrixBillets!P$1:P$1000,DataPrixBillets!$J$1:$J$1000,ROI_Avions!$A158,DataPrixBillets!$K$1:$K$1000,ROI_Avions!$C158)</f>
        <v>0</v>
      </c>
      <c r="AI158" s="26">
        <f>SUMIFS(DataPrixBillets!Q$1:Q$1000,DataPrixBillets!$J$1:$J$1000,ROI_Avions!$A158,DataPrixBillets!$K$1:$K$1000,ROI_Avions!$C158)</f>
        <v>0</v>
      </c>
      <c r="AJ158" s="116"/>
      <c r="AK158" s="8">
        <f t="shared" si="656"/>
        <v>0</v>
      </c>
      <c r="AL158" s="8" t="e">
        <f t="shared" ca="1" si="657"/>
        <v>#REF!</v>
      </c>
      <c r="AM158" s="8" t="e">
        <f t="shared" ca="1" si="658"/>
        <v>#REF!</v>
      </c>
      <c r="AN158" s="8" t="e">
        <f t="shared" ca="1" si="659"/>
        <v>#REF!</v>
      </c>
      <c r="AO158" s="8" t="e">
        <f t="shared" ca="1" si="660"/>
        <v>#REF!</v>
      </c>
      <c r="AP158" s="8" t="e">
        <f t="shared" ca="1" si="661"/>
        <v>#REF!</v>
      </c>
      <c r="AQ158" s="8" t="e">
        <f t="shared" ca="1" si="662"/>
        <v>#REF!</v>
      </c>
      <c r="AR158" s="190">
        <f t="shared" ca="1" si="589"/>
        <v>0</v>
      </c>
      <c r="AS158" s="120">
        <f t="shared" ca="1" si="590"/>
        <v>0</v>
      </c>
      <c r="AT158" s="8" t="e">
        <f t="shared" ca="1" si="663"/>
        <v>#REF!</v>
      </c>
    </row>
    <row r="159" spans="1:55" s="189" customFormat="1" x14ac:dyDescent="0.3">
      <c r="A159" s="153" t="s">
        <v>726</v>
      </c>
      <c r="B159" s="154">
        <v>636004377</v>
      </c>
      <c r="C159" s="153" t="s">
        <v>732</v>
      </c>
      <c r="D159" s="145" t="str">
        <f t="shared" si="591"/>
        <v>LAD/DEL</v>
      </c>
      <c r="E159" s="154">
        <v>19425891</v>
      </c>
      <c r="F159" s="155" t="str">
        <f>"MD11-A-"&amp;A159&amp;"-"&amp;C159&amp;"-"&amp;5</f>
        <v>MD11-A-LAD-DEL-5</v>
      </c>
      <c r="G159" s="154">
        <v>146160000</v>
      </c>
      <c r="H159" s="116"/>
      <c r="I159" s="8">
        <v>0</v>
      </c>
      <c r="J159" s="8">
        <v>0</v>
      </c>
      <c r="K159" s="8">
        <v>0</v>
      </c>
      <c r="L159" s="53"/>
      <c r="M159" s="53"/>
      <c r="N159" s="116"/>
      <c r="O159" s="140"/>
      <c r="P159" s="133">
        <f>SUMIFS(GestionLignesDemande!D$4:D$1000,GestionLignesDemande!$B$4:$B$1000,ROI_Avions!$A159,GestionLignesDemande!$C$4:$C$1000,ROI_Avions!$C159)</f>
        <v>0</v>
      </c>
      <c r="Q159" s="133">
        <f>SUMIFS(GestionLignesDemande!E$4:E$1000,GestionLignesDemande!$B$4:$B$1000,ROI_Avions!$A159,GestionLignesDemande!$C$4:$C$1000,ROI_Avions!$C159)</f>
        <v>0</v>
      </c>
      <c r="R159" s="133">
        <f>SUMIFS(GestionLignesDemande!F$4:F$1000,GestionLignesDemande!$B$4:$B$1000,ROI_Avions!$A159,GestionLignesDemande!$C$4:$C$1000,ROI_Avions!$C159)</f>
        <v>0</v>
      </c>
      <c r="S159" s="133">
        <f>SUMIFS(GestionLignesDemande!G$4:G$1000,GestionLignesDemande!$B$4:$B$1000,ROI_Avions!$A159,GestionLignesDemande!$C$4:$C$1000,ROI_Avions!$C159)</f>
        <v>0</v>
      </c>
      <c r="T159" s="116"/>
      <c r="U159" s="8">
        <f t="shared" si="1"/>
        <v>398</v>
      </c>
      <c r="V159" s="8">
        <v>376</v>
      </c>
      <c r="W159" s="8">
        <v>14</v>
      </c>
      <c r="X159" s="8">
        <v>2</v>
      </c>
      <c r="Y159" s="8">
        <v>6</v>
      </c>
      <c r="Z159" s="116"/>
      <c r="AA159" s="132">
        <f t="shared" si="676"/>
        <v>-3808</v>
      </c>
      <c r="AB159" s="132">
        <f t="shared" si="677"/>
        <v>-132</v>
      </c>
      <c r="AC159" s="132">
        <f t="shared" si="678"/>
        <v>-12</v>
      </c>
      <c r="AD159" s="132">
        <f t="shared" si="679"/>
        <v>-52</v>
      </c>
      <c r="AE159" s="116"/>
      <c r="AF159" s="26">
        <f>SUMIFS(DataPrixBillets!N$1:N$1000,DataPrixBillets!$J$1:$J$1000,ROI_Avions!$A159,DataPrixBillets!$K$1:$K$1000,ROI_Avions!$C159)</f>
        <v>0</v>
      </c>
      <c r="AG159" s="26">
        <f>SUMIFS(DataPrixBillets!O$1:O$1000,DataPrixBillets!$J$1:$J$1000,ROI_Avions!$A159,DataPrixBillets!$K$1:$K$1000,ROI_Avions!$C159)</f>
        <v>0</v>
      </c>
      <c r="AH159" s="26">
        <f>SUMIFS(DataPrixBillets!P$1:P$1000,DataPrixBillets!$J$1:$J$1000,ROI_Avions!$A159,DataPrixBillets!$K$1:$K$1000,ROI_Avions!$C159)</f>
        <v>0</v>
      </c>
      <c r="AI159" s="26">
        <f>SUMIFS(DataPrixBillets!Q$1:Q$1000,DataPrixBillets!$J$1:$J$1000,ROI_Avions!$A159,DataPrixBillets!$K$1:$K$1000,ROI_Avions!$C159)</f>
        <v>0</v>
      </c>
      <c r="AJ159" s="116"/>
      <c r="AK159" s="8">
        <f t="shared" si="656"/>
        <v>0</v>
      </c>
      <c r="AL159" s="8" t="e">
        <f t="shared" ca="1" si="657"/>
        <v>#REF!</v>
      </c>
      <c r="AM159" s="8" t="e">
        <f t="shared" ca="1" si="658"/>
        <v>#REF!</v>
      </c>
      <c r="AN159" s="8" t="e">
        <f t="shared" ca="1" si="659"/>
        <v>#REF!</v>
      </c>
      <c r="AO159" s="8" t="e">
        <f t="shared" ca="1" si="660"/>
        <v>#REF!</v>
      </c>
      <c r="AP159" s="8" t="e">
        <f t="shared" ca="1" si="661"/>
        <v>#REF!</v>
      </c>
      <c r="AQ159" s="8" t="e">
        <f t="shared" ca="1" si="662"/>
        <v>#REF!</v>
      </c>
      <c r="AR159" s="190">
        <f t="shared" ca="1" si="589"/>
        <v>0</v>
      </c>
      <c r="AS159" s="120">
        <f t="shared" ca="1" si="590"/>
        <v>0</v>
      </c>
      <c r="AT159" s="8" t="e">
        <f t="shared" ca="1" si="663"/>
        <v>#REF!</v>
      </c>
    </row>
    <row r="160" spans="1:55" s="189" customFormat="1" x14ac:dyDescent="0.3">
      <c r="A160" s="153" t="s">
        <v>726</v>
      </c>
      <c r="B160" s="154">
        <v>636004377</v>
      </c>
      <c r="C160" s="153" t="s">
        <v>732</v>
      </c>
      <c r="D160" s="145" t="str">
        <f t="shared" si="591"/>
        <v>LAD/DEL</v>
      </c>
      <c r="E160" s="154">
        <v>19425891</v>
      </c>
      <c r="F160" s="155" t="str">
        <f>"MD11-A-"&amp;A160&amp;"-"&amp;C160&amp;"-"&amp;6</f>
        <v>MD11-A-LAD-DEL-6</v>
      </c>
      <c r="G160" s="154">
        <v>146160000</v>
      </c>
      <c r="H160" s="116"/>
      <c r="I160" s="8">
        <v>0</v>
      </c>
      <c r="J160" s="8">
        <v>0</v>
      </c>
      <c r="K160" s="8">
        <v>0</v>
      </c>
      <c r="L160" s="53"/>
      <c r="M160" s="53"/>
      <c r="N160" s="116"/>
      <c r="O160" s="140"/>
      <c r="P160" s="133">
        <f>SUMIFS(GestionLignesDemande!D$4:D$1000,GestionLignesDemande!$B$4:$B$1000,ROI_Avions!$A160,GestionLignesDemande!$C$4:$C$1000,ROI_Avions!$C160)</f>
        <v>0</v>
      </c>
      <c r="Q160" s="133">
        <f>SUMIFS(GestionLignesDemande!E$4:E$1000,GestionLignesDemande!$B$4:$B$1000,ROI_Avions!$A160,GestionLignesDemande!$C$4:$C$1000,ROI_Avions!$C160)</f>
        <v>0</v>
      </c>
      <c r="R160" s="133">
        <f>SUMIFS(GestionLignesDemande!F$4:F$1000,GestionLignesDemande!$B$4:$B$1000,ROI_Avions!$A160,GestionLignesDemande!$C$4:$C$1000,ROI_Avions!$C160)</f>
        <v>0</v>
      </c>
      <c r="S160" s="133">
        <f>SUMIFS(GestionLignesDemande!G$4:G$1000,GestionLignesDemande!$B$4:$B$1000,ROI_Avions!$A160,GestionLignesDemande!$C$4:$C$1000,ROI_Avions!$C160)</f>
        <v>0</v>
      </c>
      <c r="T160" s="116"/>
      <c r="U160" s="8">
        <f t="shared" si="1"/>
        <v>398</v>
      </c>
      <c r="V160" s="8">
        <v>376</v>
      </c>
      <c r="W160" s="8">
        <v>14</v>
      </c>
      <c r="X160" s="8">
        <v>2</v>
      </c>
      <c r="Y160" s="8">
        <v>6</v>
      </c>
      <c r="Z160" s="116"/>
      <c r="AA160" s="132">
        <f t="shared" si="676"/>
        <v>-4560</v>
      </c>
      <c r="AB160" s="132">
        <f t="shared" si="677"/>
        <v>-160</v>
      </c>
      <c r="AC160" s="132">
        <f t="shared" si="678"/>
        <v>-16</v>
      </c>
      <c r="AD160" s="132">
        <f t="shared" si="679"/>
        <v>-64</v>
      </c>
      <c r="AE160" s="116"/>
      <c r="AF160" s="26">
        <f>SUMIFS(DataPrixBillets!N$1:N$1000,DataPrixBillets!$J$1:$J$1000,ROI_Avions!$A160,DataPrixBillets!$K$1:$K$1000,ROI_Avions!$C160)</f>
        <v>0</v>
      </c>
      <c r="AG160" s="26">
        <f>SUMIFS(DataPrixBillets!O$1:O$1000,DataPrixBillets!$J$1:$J$1000,ROI_Avions!$A160,DataPrixBillets!$K$1:$K$1000,ROI_Avions!$C160)</f>
        <v>0</v>
      </c>
      <c r="AH160" s="26">
        <f>SUMIFS(DataPrixBillets!P$1:P$1000,DataPrixBillets!$J$1:$J$1000,ROI_Avions!$A160,DataPrixBillets!$K$1:$K$1000,ROI_Avions!$C160)</f>
        <v>0</v>
      </c>
      <c r="AI160" s="26">
        <f>SUMIFS(DataPrixBillets!Q$1:Q$1000,DataPrixBillets!$J$1:$J$1000,ROI_Avions!$A160,DataPrixBillets!$K$1:$K$1000,ROI_Avions!$C160)</f>
        <v>0</v>
      </c>
      <c r="AJ160" s="116"/>
      <c r="AK160" s="8">
        <f t="shared" si="656"/>
        <v>0</v>
      </c>
      <c r="AL160" s="8" t="e">
        <f t="shared" ca="1" si="657"/>
        <v>#REF!</v>
      </c>
      <c r="AM160" s="8" t="e">
        <f t="shared" ca="1" si="658"/>
        <v>#REF!</v>
      </c>
      <c r="AN160" s="8" t="e">
        <f t="shared" ca="1" si="659"/>
        <v>#REF!</v>
      </c>
      <c r="AO160" s="8" t="e">
        <f t="shared" ca="1" si="660"/>
        <v>#REF!</v>
      </c>
      <c r="AP160" s="8" t="e">
        <f t="shared" ca="1" si="661"/>
        <v>#REF!</v>
      </c>
      <c r="AQ160" s="8" t="e">
        <f t="shared" ca="1" si="662"/>
        <v>#REF!</v>
      </c>
      <c r="AR160" s="190">
        <f t="shared" ca="1" si="589"/>
        <v>0</v>
      </c>
      <c r="AS160" s="120">
        <f t="shared" ca="1" si="590"/>
        <v>0</v>
      </c>
      <c r="AT160" s="8" t="e">
        <f t="shared" ca="1" si="663"/>
        <v>#REF!</v>
      </c>
    </row>
    <row r="161" spans="1:49" s="189" customFormat="1" x14ac:dyDescent="0.3">
      <c r="A161" s="153" t="s">
        <v>726</v>
      </c>
      <c r="B161" s="154">
        <v>636004377</v>
      </c>
      <c r="C161" s="153" t="s">
        <v>1100</v>
      </c>
      <c r="D161" s="145" t="str">
        <f t="shared" si="591"/>
        <v>LAD/CCU</v>
      </c>
      <c r="E161" s="154">
        <v>23520093</v>
      </c>
      <c r="F161" s="155" t="str">
        <f>"MD11-A-"&amp;A161&amp;"-"&amp;C161&amp;"-"&amp;1</f>
        <v>MD11-A-LAD-CCU-1</v>
      </c>
      <c r="G161" s="154">
        <v>146160000</v>
      </c>
      <c r="H161" s="116"/>
      <c r="I161" s="8">
        <v>0</v>
      </c>
      <c r="J161" s="8">
        <v>0</v>
      </c>
      <c r="K161" s="8">
        <v>0</v>
      </c>
      <c r="L161" s="186"/>
      <c r="M161" s="53"/>
      <c r="N161" s="116"/>
      <c r="O161" s="140"/>
      <c r="P161" s="133">
        <f>SUMIFS(GestionLignesDemande!D$4:D$1000,GestionLignesDemande!$B$4:$B$1000,ROI_Avions!$A161,GestionLignesDemande!$C$4:$C$1000,ROI_Avions!$C161)</f>
        <v>0</v>
      </c>
      <c r="Q161" s="133">
        <f>SUMIFS(GestionLignesDemande!E$4:E$1000,GestionLignesDemande!$B$4:$B$1000,ROI_Avions!$A161,GestionLignesDemande!$C$4:$C$1000,ROI_Avions!$C161)</f>
        <v>0</v>
      </c>
      <c r="R161" s="133">
        <f>SUMIFS(GestionLignesDemande!F$4:F$1000,GestionLignesDemande!$B$4:$B$1000,ROI_Avions!$A161,GestionLignesDemande!$C$4:$C$1000,ROI_Avions!$C161)</f>
        <v>0</v>
      </c>
      <c r="S161" s="133">
        <f>SUMIFS(GestionLignesDemande!G$4:G$1000,GestionLignesDemande!$B$4:$B$1000,ROI_Avions!$A161,GestionLignesDemande!$C$4:$C$1000,ROI_Avions!$C161)</f>
        <v>0</v>
      </c>
      <c r="T161" s="116"/>
      <c r="U161" s="8">
        <f t="shared" si="1"/>
        <v>403</v>
      </c>
      <c r="V161" s="8">
        <v>386</v>
      </c>
      <c r="W161" s="8">
        <v>11</v>
      </c>
      <c r="X161" s="8">
        <v>1</v>
      </c>
      <c r="Y161" s="8">
        <v>5</v>
      </c>
      <c r="Z161" s="116"/>
      <c r="AA161" s="132">
        <f t="shared" ref="AA161" si="680">P161-(V161*2)</f>
        <v>-772</v>
      </c>
      <c r="AB161" s="132">
        <f t="shared" ref="AB161" si="681">Q161-(W161*2)</f>
        <v>-22</v>
      </c>
      <c r="AC161" s="132">
        <f t="shared" ref="AC161" si="682">R161-(X161*2)</f>
        <v>-2</v>
      </c>
      <c r="AD161" s="132">
        <f t="shared" ref="AD161" si="683">S161-(Y161*2)</f>
        <v>-10</v>
      </c>
      <c r="AE161" s="116"/>
      <c r="AF161" s="26">
        <f>SUMIFS(DataPrixBillets!N$1:N$1000,DataPrixBillets!$J$1:$J$1000,ROI_Avions!$A161,DataPrixBillets!$K$1:$K$1000,ROI_Avions!$C161)</f>
        <v>0</v>
      </c>
      <c r="AG161" s="26">
        <f>SUMIFS(DataPrixBillets!O$1:O$1000,DataPrixBillets!$J$1:$J$1000,ROI_Avions!$A161,DataPrixBillets!$K$1:$K$1000,ROI_Avions!$C161)</f>
        <v>0</v>
      </c>
      <c r="AH161" s="26">
        <f>SUMIFS(DataPrixBillets!P$1:P$1000,DataPrixBillets!$J$1:$J$1000,ROI_Avions!$A161,DataPrixBillets!$K$1:$K$1000,ROI_Avions!$C161)</f>
        <v>0</v>
      </c>
      <c r="AI161" s="26">
        <f>SUMIFS(DataPrixBillets!Q$1:Q$1000,DataPrixBillets!$J$1:$J$1000,ROI_Avions!$A161,DataPrixBillets!$K$1:$K$1000,ROI_Avions!$C161)</f>
        <v>0</v>
      </c>
      <c r="AJ161" s="116"/>
      <c r="AK161" s="8">
        <f t="shared" si="656"/>
        <v>0</v>
      </c>
      <c r="AL161" s="8" t="e">
        <f t="shared" ca="1" si="657"/>
        <v>#REF!</v>
      </c>
      <c r="AM161" s="8" t="e">
        <f t="shared" ca="1" si="658"/>
        <v>#REF!</v>
      </c>
      <c r="AN161" s="8" t="e">
        <f t="shared" ca="1" si="659"/>
        <v>#REF!</v>
      </c>
      <c r="AO161" s="8" t="e">
        <f t="shared" ca="1" si="660"/>
        <v>#REF!</v>
      </c>
      <c r="AP161" s="8" t="e">
        <f t="shared" ca="1" si="661"/>
        <v>#REF!</v>
      </c>
      <c r="AQ161" s="8" t="e">
        <f t="shared" ca="1" si="662"/>
        <v>#REF!</v>
      </c>
      <c r="AR161" s="190">
        <f t="shared" ca="1" si="589"/>
        <v>0</v>
      </c>
      <c r="AS161" s="120">
        <f t="shared" ca="1" si="590"/>
        <v>0</v>
      </c>
      <c r="AT161" s="8" t="e">
        <f t="shared" ca="1" si="663"/>
        <v>#REF!</v>
      </c>
    </row>
    <row r="162" spans="1:49" s="189" customFormat="1" x14ac:dyDescent="0.3">
      <c r="A162" s="153" t="s">
        <v>726</v>
      </c>
      <c r="B162" s="154">
        <v>636004377</v>
      </c>
      <c r="C162" s="153" t="s">
        <v>1100</v>
      </c>
      <c r="D162" s="145" t="str">
        <f t="shared" si="591"/>
        <v>LAD/CCU</v>
      </c>
      <c r="E162" s="154">
        <v>23520093</v>
      </c>
      <c r="F162" s="155" t="str">
        <f>"MD11-A-"&amp;A162&amp;"-"&amp;C162&amp;"-"&amp;2</f>
        <v>MD11-A-LAD-CCU-2</v>
      </c>
      <c r="G162" s="154">
        <v>146160000</v>
      </c>
      <c r="H162" s="116"/>
      <c r="I162" s="8">
        <v>0</v>
      </c>
      <c r="J162" s="8">
        <v>0</v>
      </c>
      <c r="K162" s="8">
        <v>0</v>
      </c>
      <c r="L162" s="53"/>
      <c r="M162" s="53"/>
      <c r="N162" s="116"/>
      <c r="O162" s="140"/>
      <c r="P162" s="133">
        <f>SUMIFS(GestionLignesDemande!D$4:D$1000,GestionLignesDemande!$B$4:$B$1000,ROI_Avions!$A162,GestionLignesDemande!$C$4:$C$1000,ROI_Avions!$C162)</f>
        <v>0</v>
      </c>
      <c r="Q162" s="133">
        <f>SUMIFS(GestionLignesDemande!E$4:E$1000,GestionLignesDemande!$B$4:$B$1000,ROI_Avions!$A162,GestionLignesDemande!$C$4:$C$1000,ROI_Avions!$C162)</f>
        <v>0</v>
      </c>
      <c r="R162" s="133">
        <f>SUMIFS(GestionLignesDemande!F$4:F$1000,GestionLignesDemande!$B$4:$B$1000,ROI_Avions!$A162,GestionLignesDemande!$C$4:$C$1000,ROI_Avions!$C162)</f>
        <v>0</v>
      </c>
      <c r="S162" s="133">
        <f>SUMIFS(GestionLignesDemande!G$4:G$1000,GestionLignesDemande!$B$4:$B$1000,ROI_Avions!$A162,GestionLignesDemande!$C$4:$C$1000,ROI_Avions!$C162)</f>
        <v>0</v>
      </c>
      <c r="T162" s="116"/>
      <c r="U162" s="8">
        <f t="shared" si="1"/>
        <v>403</v>
      </c>
      <c r="V162" s="8">
        <v>386</v>
      </c>
      <c r="W162" s="8">
        <v>11</v>
      </c>
      <c r="X162" s="8">
        <v>1</v>
      </c>
      <c r="Y162" s="8">
        <v>5</v>
      </c>
      <c r="Z162" s="116"/>
      <c r="AA162" s="132">
        <f t="shared" ref="AA162:AA166" si="684">AA161-V162*2</f>
        <v>-1544</v>
      </c>
      <c r="AB162" s="132">
        <f t="shared" ref="AB162:AB166" si="685">AB161-W162*2</f>
        <v>-44</v>
      </c>
      <c r="AC162" s="132">
        <f t="shared" ref="AC162:AC166" si="686">AC161-X162*2</f>
        <v>-4</v>
      </c>
      <c r="AD162" s="132">
        <f t="shared" ref="AD162:AD166" si="687">AD161-Y162*2</f>
        <v>-20</v>
      </c>
      <c r="AE162" s="116"/>
      <c r="AF162" s="26">
        <f>SUMIFS(DataPrixBillets!N$1:N$1000,DataPrixBillets!$J$1:$J$1000,ROI_Avions!$A162,DataPrixBillets!$K$1:$K$1000,ROI_Avions!$C162)</f>
        <v>0</v>
      </c>
      <c r="AG162" s="26">
        <f>SUMIFS(DataPrixBillets!O$1:O$1000,DataPrixBillets!$J$1:$J$1000,ROI_Avions!$A162,DataPrixBillets!$K$1:$K$1000,ROI_Avions!$C162)</f>
        <v>0</v>
      </c>
      <c r="AH162" s="26">
        <f>SUMIFS(DataPrixBillets!P$1:P$1000,DataPrixBillets!$J$1:$J$1000,ROI_Avions!$A162,DataPrixBillets!$K$1:$K$1000,ROI_Avions!$C162)</f>
        <v>0</v>
      </c>
      <c r="AI162" s="26">
        <f>SUMIFS(DataPrixBillets!Q$1:Q$1000,DataPrixBillets!$J$1:$J$1000,ROI_Avions!$A162,DataPrixBillets!$K$1:$K$1000,ROI_Avions!$C162)</f>
        <v>0</v>
      </c>
      <c r="AJ162" s="116"/>
      <c r="AK162" s="8">
        <f t="shared" si="656"/>
        <v>0</v>
      </c>
      <c r="AL162" s="8" t="e">
        <f t="shared" ca="1" si="657"/>
        <v>#REF!</v>
      </c>
      <c r="AM162" s="8" t="e">
        <f t="shared" ca="1" si="658"/>
        <v>#REF!</v>
      </c>
      <c r="AN162" s="8" t="e">
        <f t="shared" ca="1" si="659"/>
        <v>#REF!</v>
      </c>
      <c r="AO162" s="8" t="e">
        <f t="shared" ca="1" si="660"/>
        <v>#REF!</v>
      </c>
      <c r="AP162" s="8" t="e">
        <f t="shared" ca="1" si="661"/>
        <v>#REF!</v>
      </c>
      <c r="AQ162" s="8" t="e">
        <f t="shared" ca="1" si="662"/>
        <v>#REF!</v>
      </c>
      <c r="AR162" s="190">
        <f t="shared" ca="1" si="589"/>
        <v>0</v>
      </c>
      <c r="AS162" s="120">
        <f t="shared" ca="1" si="590"/>
        <v>0</v>
      </c>
      <c r="AT162" s="8" t="e">
        <f t="shared" ca="1" si="663"/>
        <v>#REF!</v>
      </c>
    </row>
    <row r="163" spans="1:49" s="189" customFormat="1" x14ac:dyDescent="0.3">
      <c r="A163" s="153" t="s">
        <v>726</v>
      </c>
      <c r="B163" s="154">
        <v>636004377</v>
      </c>
      <c r="C163" s="153" t="s">
        <v>1100</v>
      </c>
      <c r="D163" s="145" t="str">
        <f t="shared" si="591"/>
        <v>LAD/CCU</v>
      </c>
      <c r="E163" s="154">
        <v>23520093</v>
      </c>
      <c r="F163" s="155" t="str">
        <f>"MD11-A-"&amp;A163&amp;"-"&amp;C163&amp;"-"&amp;3</f>
        <v>MD11-A-LAD-CCU-3</v>
      </c>
      <c r="G163" s="154">
        <v>146160000</v>
      </c>
      <c r="H163" s="116"/>
      <c r="I163" s="8">
        <v>0</v>
      </c>
      <c r="J163" s="8">
        <v>0</v>
      </c>
      <c r="K163" s="8">
        <v>0</v>
      </c>
      <c r="L163" s="53"/>
      <c r="M163" s="53"/>
      <c r="N163" s="116"/>
      <c r="O163" s="140"/>
      <c r="P163" s="133">
        <f>SUMIFS(GestionLignesDemande!D$4:D$1000,GestionLignesDemande!$B$4:$B$1000,ROI_Avions!$A163,GestionLignesDemande!$C$4:$C$1000,ROI_Avions!$C163)</f>
        <v>0</v>
      </c>
      <c r="Q163" s="133">
        <f>SUMIFS(GestionLignesDemande!E$4:E$1000,GestionLignesDemande!$B$4:$B$1000,ROI_Avions!$A163,GestionLignesDemande!$C$4:$C$1000,ROI_Avions!$C163)</f>
        <v>0</v>
      </c>
      <c r="R163" s="133">
        <f>SUMIFS(GestionLignesDemande!F$4:F$1000,GestionLignesDemande!$B$4:$B$1000,ROI_Avions!$A163,GestionLignesDemande!$C$4:$C$1000,ROI_Avions!$C163)</f>
        <v>0</v>
      </c>
      <c r="S163" s="133">
        <f>SUMIFS(GestionLignesDemande!G$4:G$1000,GestionLignesDemande!$B$4:$B$1000,ROI_Avions!$A163,GestionLignesDemande!$C$4:$C$1000,ROI_Avions!$C163)</f>
        <v>0</v>
      </c>
      <c r="T163" s="116"/>
      <c r="U163" s="8">
        <f t="shared" si="1"/>
        <v>403</v>
      </c>
      <c r="V163" s="8">
        <v>386</v>
      </c>
      <c r="W163" s="8">
        <v>11</v>
      </c>
      <c r="X163" s="8">
        <v>1</v>
      </c>
      <c r="Y163" s="8">
        <v>5</v>
      </c>
      <c r="Z163" s="116"/>
      <c r="AA163" s="132">
        <f t="shared" si="684"/>
        <v>-2316</v>
      </c>
      <c r="AB163" s="132">
        <f t="shared" si="685"/>
        <v>-66</v>
      </c>
      <c r="AC163" s="132">
        <f t="shared" si="686"/>
        <v>-6</v>
      </c>
      <c r="AD163" s="132">
        <f t="shared" si="687"/>
        <v>-30</v>
      </c>
      <c r="AE163" s="116"/>
      <c r="AF163" s="26">
        <f>SUMIFS(DataPrixBillets!N$1:N$1000,DataPrixBillets!$J$1:$J$1000,ROI_Avions!$A163,DataPrixBillets!$K$1:$K$1000,ROI_Avions!$C163)</f>
        <v>0</v>
      </c>
      <c r="AG163" s="26">
        <f>SUMIFS(DataPrixBillets!O$1:O$1000,DataPrixBillets!$J$1:$J$1000,ROI_Avions!$A163,DataPrixBillets!$K$1:$K$1000,ROI_Avions!$C163)</f>
        <v>0</v>
      </c>
      <c r="AH163" s="26">
        <f>SUMIFS(DataPrixBillets!P$1:P$1000,DataPrixBillets!$J$1:$J$1000,ROI_Avions!$A163,DataPrixBillets!$K$1:$K$1000,ROI_Avions!$C163)</f>
        <v>0</v>
      </c>
      <c r="AI163" s="26">
        <f>SUMIFS(DataPrixBillets!Q$1:Q$1000,DataPrixBillets!$J$1:$J$1000,ROI_Avions!$A163,DataPrixBillets!$K$1:$K$1000,ROI_Avions!$C163)</f>
        <v>0</v>
      </c>
      <c r="AJ163" s="116"/>
      <c r="AK163" s="8">
        <f t="shared" si="656"/>
        <v>0</v>
      </c>
      <c r="AL163" s="8" t="e">
        <f t="shared" ca="1" si="657"/>
        <v>#REF!</v>
      </c>
      <c r="AM163" s="8" t="e">
        <f t="shared" ca="1" si="658"/>
        <v>#REF!</v>
      </c>
      <c r="AN163" s="8" t="e">
        <f t="shared" ca="1" si="659"/>
        <v>#REF!</v>
      </c>
      <c r="AO163" s="8" t="e">
        <f t="shared" ca="1" si="660"/>
        <v>#REF!</v>
      </c>
      <c r="AP163" s="8" t="e">
        <f t="shared" ca="1" si="661"/>
        <v>#REF!</v>
      </c>
      <c r="AQ163" s="8" t="e">
        <f t="shared" ca="1" si="662"/>
        <v>#REF!</v>
      </c>
      <c r="AR163" s="190">
        <f t="shared" ca="1" si="589"/>
        <v>0</v>
      </c>
      <c r="AS163" s="120">
        <f t="shared" ca="1" si="590"/>
        <v>0</v>
      </c>
      <c r="AT163" s="8" t="e">
        <f t="shared" ca="1" si="663"/>
        <v>#REF!</v>
      </c>
    </row>
    <row r="164" spans="1:49" s="189" customFormat="1" x14ac:dyDescent="0.3">
      <c r="A164" s="153" t="s">
        <v>726</v>
      </c>
      <c r="B164" s="154">
        <v>636004377</v>
      </c>
      <c r="C164" s="153" t="s">
        <v>1100</v>
      </c>
      <c r="D164" s="145" t="str">
        <f t="shared" si="591"/>
        <v>LAD/CCU</v>
      </c>
      <c r="E164" s="154">
        <v>23520093</v>
      </c>
      <c r="F164" s="155" t="str">
        <f>"MD11-A-"&amp;A164&amp;"-"&amp;C164&amp;"-"&amp;4</f>
        <v>MD11-A-LAD-CCU-4</v>
      </c>
      <c r="G164" s="154">
        <v>146160000</v>
      </c>
      <c r="H164" s="116"/>
      <c r="I164" s="8">
        <v>0</v>
      </c>
      <c r="J164" s="8">
        <v>0</v>
      </c>
      <c r="K164" s="8">
        <v>0</v>
      </c>
      <c r="L164" s="53"/>
      <c r="M164" s="53"/>
      <c r="N164" s="116"/>
      <c r="O164" s="140"/>
      <c r="P164" s="133">
        <f>SUMIFS(GestionLignesDemande!D$4:D$1000,GestionLignesDemande!$B$4:$B$1000,ROI_Avions!$A164,GestionLignesDemande!$C$4:$C$1000,ROI_Avions!$C164)</f>
        <v>0</v>
      </c>
      <c r="Q164" s="133">
        <f>SUMIFS(GestionLignesDemande!E$4:E$1000,GestionLignesDemande!$B$4:$B$1000,ROI_Avions!$A164,GestionLignesDemande!$C$4:$C$1000,ROI_Avions!$C164)</f>
        <v>0</v>
      </c>
      <c r="R164" s="133">
        <f>SUMIFS(GestionLignesDemande!F$4:F$1000,GestionLignesDemande!$B$4:$B$1000,ROI_Avions!$A164,GestionLignesDemande!$C$4:$C$1000,ROI_Avions!$C164)</f>
        <v>0</v>
      </c>
      <c r="S164" s="133">
        <f>SUMIFS(GestionLignesDemande!G$4:G$1000,GestionLignesDemande!$B$4:$B$1000,ROI_Avions!$A164,GestionLignesDemande!$C$4:$C$1000,ROI_Avions!$C164)</f>
        <v>0</v>
      </c>
      <c r="T164" s="116"/>
      <c r="U164" s="8">
        <f t="shared" si="1"/>
        <v>402</v>
      </c>
      <c r="V164" s="8">
        <v>386</v>
      </c>
      <c r="W164" s="8">
        <v>11</v>
      </c>
      <c r="X164" s="8">
        <v>1</v>
      </c>
      <c r="Y164" s="8">
        <v>4</v>
      </c>
      <c r="Z164" s="116"/>
      <c r="AA164" s="132">
        <f t="shared" si="684"/>
        <v>-3088</v>
      </c>
      <c r="AB164" s="132">
        <f t="shared" si="685"/>
        <v>-88</v>
      </c>
      <c r="AC164" s="132">
        <f t="shared" si="686"/>
        <v>-8</v>
      </c>
      <c r="AD164" s="132">
        <f t="shared" si="687"/>
        <v>-38</v>
      </c>
      <c r="AE164" s="116"/>
      <c r="AF164" s="26">
        <f>SUMIFS(DataPrixBillets!N$1:N$1000,DataPrixBillets!$J$1:$J$1000,ROI_Avions!$A164,DataPrixBillets!$K$1:$K$1000,ROI_Avions!$C164)</f>
        <v>0</v>
      </c>
      <c r="AG164" s="26">
        <f>SUMIFS(DataPrixBillets!O$1:O$1000,DataPrixBillets!$J$1:$J$1000,ROI_Avions!$A164,DataPrixBillets!$K$1:$K$1000,ROI_Avions!$C164)</f>
        <v>0</v>
      </c>
      <c r="AH164" s="26">
        <f>SUMIFS(DataPrixBillets!P$1:P$1000,DataPrixBillets!$J$1:$J$1000,ROI_Avions!$A164,DataPrixBillets!$K$1:$K$1000,ROI_Avions!$C164)</f>
        <v>0</v>
      </c>
      <c r="AI164" s="26">
        <f>SUMIFS(DataPrixBillets!Q$1:Q$1000,DataPrixBillets!$J$1:$J$1000,ROI_Avions!$A164,DataPrixBillets!$K$1:$K$1000,ROI_Avions!$C164)</f>
        <v>0</v>
      </c>
      <c r="AJ164" s="116"/>
      <c r="AK164" s="8">
        <f t="shared" si="656"/>
        <v>0</v>
      </c>
      <c r="AL164" s="8" t="e">
        <f t="shared" ca="1" si="657"/>
        <v>#REF!</v>
      </c>
      <c r="AM164" s="8" t="e">
        <f t="shared" ca="1" si="658"/>
        <v>#REF!</v>
      </c>
      <c r="AN164" s="8" t="e">
        <f t="shared" ca="1" si="659"/>
        <v>#REF!</v>
      </c>
      <c r="AO164" s="8" t="e">
        <f t="shared" ca="1" si="660"/>
        <v>#REF!</v>
      </c>
      <c r="AP164" s="8" t="e">
        <f t="shared" ca="1" si="661"/>
        <v>#REF!</v>
      </c>
      <c r="AQ164" s="8" t="e">
        <f t="shared" ca="1" si="662"/>
        <v>#REF!</v>
      </c>
      <c r="AR164" s="190">
        <f t="shared" ca="1" si="589"/>
        <v>0</v>
      </c>
      <c r="AS164" s="120">
        <f t="shared" ca="1" si="590"/>
        <v>0</v>
      </c>
      <c r="AT164" s="8" t="e">
        <f t="shared" ca="1" si="663"/>
        <v>#REF!</v>
      </c>
    </row>
    <row r="165" spans="1:49" s="189" customFormat="1" x14ac:dyDescent="0.3">
      <c r="A165" s="153" t="s">
        <v>726</v>
      </c>
      <c r="B165" s="154">
        <v>636004377</v>
      </c>
      <c r="C165" s="153" t="s">
        <v>1100</v>
      </c>
      <c r="D165" s="145" t="str">
        <f t="shared" si="591"/>
        <v>LAD/CCU</v>
      </c>
      <c r="E165" s="154">
        <v>23520093</v>
      </c>
      <c r="F165" s="155" t="str">
        <f>"MD11-A-"&amp;A165&amp;"-"&amp;C165&amp;"-"&amp;5</f>
        <v>MD11-A-LAD-CCU-5</v>
      </c>
      <c r="G165" s="154">
        <v>146160000</v>
      </c>
      <c r="H165" s="116"/>
      <c r="I165" s="8">
        <v>0</v>
      </c>
      <c r="J165" s="8">
        <v>0</v>
      </c>
      <c r="K165" s="8">
        <v>0</v>
      </c>
      <c r="L165" s="53"/>
      <c r="M165" s="53"/>
      <c r="N165" s="116"/>
      <c r="O165" s="140"/>
      <c r="P165" s="133">
        <f>SUMIFS(GestionLignesDemande!D$4:D$1000,GestionLignesDemande!$B$4:$B$1000,ROI_Avions!$A165,GestionLignesDemande!$C$4:$C$1000,ROI_Avions!$C165)</f>
        <v>0</v>
      </c>
      <c r="Q165" s="133">
        <f>SUMIFS(GestionLignesDemande!E$4:E$1000,GestionLignesDemande!$B$4:$B$1000,ROI_Avions!$A165,GestionLignesDemande!$C$4:$C$1000,ROI_Avions!$C165)</f>
        <v>0</v>
      </c>
      <c r="R165" s="133">
        <f>SUMIFS(GestionLignesDemande!F$4:F$1000,GestionLignesDemande!$B$4:$B$1000,ROI_Avions!$A165,GestionLignesDemande!$C$4:$C$1000,ROI_Avions!$C165)</f>
        <v>0</v>
      </c>
      <c r="S165" s="133">
        <f>SUMIFS(GestionLignesDemande!G$4:G$1000,GestionLignesDemande!$B$4:$B$1000,ROI_Avions!$A165,GestionLignesDemande!$C$4:$C$1000,ROI_Avions!$C165)</f>
        <v>0</v>
      </c>
      <c r="T165" s="116"/>
      <c r="U165" s="8">
        <f t="shared" si="1"/>
        <v>402</v>
      </c>
      <c r="V165" s="8">
        <v>386</v>
      </c>
      <c r="W165" s="8">
        <v>11</v>
      </c>
      <c r="X165" s="8">
        <v>1</v>
      </c>
      <c r="Y165" s="8">
        <v>4</v>
      </c>
      <c r="Z165" s="116"/>
      <c r="AA165" s="132">
        <f t="shared" si="684"/>
        <v>-3860</v>
      </c>
      <c r="AB165" s="132">
        <f t="shared" si="685"/>
        <v>-110</v>
      </c>
      <c r="AC165" s="132">
        <f t="shared" si="686"/>
        <v>-10</v>
      </c>
      <c r="AD165" s="132">
        <f t="shared" si="687"/>
        <v>-46</v>
      </c>
      <c r="AE165" s="116"/>
      <c r="AF165" s="26">
        <f>SUMIFS(DataPrixBillets!N$1:N$1000,DataPrixBillets!$J$1:$J$1000,ROI_Avions!$A165,DataPrixBillets!$K$1:$K$1000,ROI_Avions!$C165)</f>
        <v>0</v>
      </c>
      <c r="AG165" s="26">
        <f>SUMIFS(DataPrixBillets!O$1:O$1000,DataPrixBillets!$J$1:$J$1000,ROI_Avions!$A165,DataPrixBillets!$K$1:$K$1000,ROI_Avions!$C165)</f>
        <v>0</v>
      </c>
      <c r="AH165" s="26">
        <f>SUMIFS(DataPrixBillets!P$1:P$1000,DataPrixBillets!$J$1:$J$1000,ROI_Avions!$A165,DataPrixBillets!$K$1:$K$1000,ROI_Avions!$C165)</f>
        <v>0</v>
      </c>
      <c r="AI165" s="26">
        <f>SUMIFS(DataPrixBillets!Q$1:Q$1000,DataPrixBillets!$J$1:$J$1000,ROI_Avions!$A165,DataPrixBillets!$K$1:$K$1000,ROI_Avions!$C165)</f>
        <v>0</v>
      </c>
      <c r="AJ165" s="116"/>
      <c r="AK165" s="8">
        <f t="shared" si="656"/>
        <v>0</v>
      </c>
      <c r="AL165" s="8" t="e">
        <f t="shared" ca="1" si="657"/>
        <v>#REF!</v>
      </c>
      <c r="AM165" s="8" t="e">
        <f t="shared" ca="1" si="658"/>
        <v>#REF!</v>
      </c>
      <c r="AN165" s="8" t="e">
        <f t="shared" ca="1" si="659"/>
        <v>#REF!</v>
      </c>
      <c r="AO165" s="8" t="e">
        <f t="shared" ca="1" si="660"/>
        <v>#REF!</v>
      </c>
      <c r="AP165" s="8" t="e">
        <f t="shared" ca="1" si="661"/>
        <v>#REF!</v>
      </c>
      <c r="AQ165" s="8" t="e">
        <f t="shared" ca="1" si="662"/>
        <v>#REF!</v>
      </c>
      <c r="AR165" s="190">
        <f t="shared" ref="AR165:AR188" ca="1" si="688">IFERROR((AP165/7)/((B165/COUNTIFS(A:A,A165))+(E165/COUNTIFS(A:A,A165,C:C,C165))+I165*K165+J165+G165),0)</f>
        <v>0</v>
      </c>
      <c r="AS165" s="120">
        <f t="shared" ref="AS165:AS188" ca="1" si="689">IFERROR(((B165/COUNTIFS(A:A,A165))+(E165/COUNTIFS(A:A,A165,C:C,C165))+I165*K165+J165+G165)/(AP165/7),0)</f>
        <v>0</v>
      </c>
      <c r="AT165" s="8" t="e">
        <f t="shared" ca="1" si="663"/>
        <v>#REF!</v>
      </c>
    </row>
    <row r="166" spans="1:49" s="189" customFormat="1" x14ac:dyDescent="0.3">
      <c r="A166" s="153" t="s">
        <v>726</v>
      </c>
      <c r="B166" s="154">
        <v>636004377</v>
      </c>
      <c r="C166" s="153" t="s">
        <v>1100</v>
      </c>
      <c r="D166" s="145" t="str">
        <f t="shared" si="591"/>
        <v>LAD/CCU</v>
      </c>
      <c r="E166" s="154">
        <v>23520093</v>
      </c>
      <c r="F166" s="155" t="str">
        <f>"MD11-A-"&amp;A166&amp;"-"&amp;C166&amp;"-"&amp;6</f>
        <v>MD11-A-LAD-CCU-6</v>
      </c>
      <c r="G166" s="154">
        <v>146160000</v>
      </c>
      <c r="H166" s="116"/>
      <c r="I166" s="206">
        <v>0</v>
      </c>
      <c r="J166" s="206">
        <v>0</v>
      </c>
      <c r="K166" s="206">
        <v>0</v>
      </c>
      <c r="L166" s="53"/>
      <c r="M166" s="53"/>
      <c r="N166" s="116"/>
      <c r="O166" s="140"/>
      <c r="P166" s="133">
        <f>SUMIFS(GestionLignesDemande!D$4:D$1000,GestionLignesDemande!$B$4:$B$1000,ROI_Avions!$A166,GestionLignesDemande!$C$4:$C$1000,ROI_Avions!$C166)</f>
        <v>0</v>
      </c>
      <c r="Q166" s="133">
        <f>SUMIFS(GestionLignesDemande!E$4:E$1000,GestionLignesDemande!$B$4:$B$1000,ROI_Avions!$A166,GestionLignesDemande!$C$4:$C$1000,ROI_Avions!$C166)</f>
        <v>0</v>
      </c>
      <c r="R166" s="133">
        <f>SUMIFS(GestionLignesDemande!F$4:F$1000,GestionLignesDemande!$B$4:$B$1000,ROI_Avions!$A166,GestionLignesDemande!$C$4:$C$1000,ROI_Avions!$C166)</f>
        <v>0</v>
      </c>
      <c r="S166" s="133">
        <f>SUMIFS(GestionLignesDemande!G$4:G$1000,GestionLignesDemande!$B$4:$B$1000,ROI_Avions!$A166,GestionLignesDemande!$C$4:$C$1000,ROI_Avions!$C166)</f>
        <v>0</v>
      </c>
      <c r="T166" s="116"/>
      <c r="U166" s="8">
        <f t="shared" si="1"/>
        <v>399</v>
      </c>
      <c r="V166" s="206">
        <v>380</v>
      </c>
      <c r="W166" s="206">
        <v>14</v>
      </c>
      <c r="X166" s="206">
        <v>1</v>
      </c>
      <c r="Y166" s="206">
        <v>4</v>
      </c>
      <c r="Z166" s="116"/>
      <c r="AA166" s="132">
        <f t="shared" si="684"/>
        <v>-4620</v>
      </c>
      <c r="AB166" s="132">
        <f t="shared" si="685"/>
        <v>-138</v>
      </c>
      <c r="AC166" s="132">
        <f t="shared" si="686"/>
        <v>-12</v>
      </c>
      <c r="AD166" s="132">
        <f t="shared" si="687"/>
        <v>-54</v>
      </c>
      <c r="AE166" s="116"/>
      <c r="AF166" s="26">
        <f>SUMIFS(DataPrixBillets!N$1:N$1000,DataPrixBillets!$J$1:$J$1000,ROI_Avions!$A166,DataPrixBillets!$K$1:$K$1000,ROI_Avions!$C166)</f>
        <v>0</v>
      </c>
      <c r="AG166" s="26">
        <f>SUMIFS(DataPrixBillets!O$1:O$1000,DataPrixBillets!$J$1:$J$1000,ROI_Avions!$A166,DataPrixBillets!$K$1:$K$1000,ROI_Avions!$C166)</f>
        <v>0</v>
      </c>
      <c r="AH166" s="26">
        <f>SUMIFS(DataPrixBillets!P$1:P$1000,DataPrixBillets!$J$1:$J$1000,ROI_Avions!$A166,DataPrixBillets!$K$1:$K$1000,ROI_Avions!$C166)</f>
        <v>0</v>
      </c>
      <c r="AI166" s="26">
        <f>SUMIFS(DataPrixBillets!Q$1:Q$1000,DataPrixBillets!$J$1:$J$1000,ROI_Avions!$A166,DataPrixBillets!$K$1:$K$1000,ROI_Avions!$C166)</f>
        <v>0</v>
      </c>
      <c r="AJ166" s="116"/>
      <c r="AK166" s="206">
        <f t="shared" ref="AK166" si="690">(((AF166*V166)*2+(AG166*W166)*2+(AH166*X166)*2+(AI166*Y166)*2)*7)</f>
        <v>0</v>
      </c>
      <c r="AL166" s="206" t="e">
        <f t="shared" ref="AL166" ca="1" si="691">AK166-AM166</f>
        <v>#REF!</v>
      </c>
      <c r="AM166" s="206" t="e">
        <f t="shared" ref="AM166" ca="1" si="692">AK166*$AM$2</f>
        <v>#REF!</v>
      </c>
      <c r="AN166" s="206" t="e">
        <f t="shared" ref="AN166" ca="1" si="693">AL166*$AN$2</f>
        <v>#REF!</v>
      </c>
      <c r="AO166" s="206" t="e">
        <f t="shared" ref="AO166" ca="1" si="694">(AL166-AN166-I166)*$AO$2</f>
        <v>#REF!</v>
      </c>
      <c r="AP166" s="206" t="e">
        <f t="shared" ref="AP166" ca="1" si="695">AL166-AN166-(I166/7)-(AO166/7)</f>
        <v>#REF!</v>
      </c>
      <c r="AQ166" s="206" t="e">
        <f t="shared" ref="AQ166" ca="1" si="696">AP166/7</f>
        <v>#REF!</v>
      </c>
      <c r="AR166" s="207">
        <f t="shared" ca="1" si="688"/>
        <v>0</v>
      </c>
      <c r="AS166" s="120">
        <f t="shared" ca="1" si="689"/>
        <v>0</v>
      </c>
      <c r="AT166" s="206" t="e">
        <f t="shared" ref="AT166" ca="1" si="697">IF(K166&gt;=1,AP166*K166,AP166*$AT$1)</f>
        <v>#REF!</v>
      </c>
    </row>
    <row r="167" spans="1:49" s="189" customFormat="1" x14ac:dyDescent="0.3">
      <c r="A167" s="153" t="s">
        <v>726</v>
      </c>
      <c r="B167" s="154">
        <v>636004377</v>
      </c>
      <c r="C167" s="153" t="s">
        <v>1101</v>
      </c>
      <c r="D167" s="145" t="str">
        <f t="shared" si="591"/>
        <v>LAD/BLR</v>
      </c>
      <c r="E167" s="154">
        <v>25667076</v>
      </c>
      <c r="F167" s="155" t="str">
        <f>"MD11-A-"&amp;A167&amp;"-"&amp;C167&amp;"-"&amp;1</f>
        <v>MD11-A-LAD-BLR-1</v>
      </c>
      <c r="G167" s="154">
        <v>146160000</v>
      </c>
      <c r="H167" s="116"/>
      <c r="I167" s="206">
        <v>0</v>
      </c>
      <c r="J167" s="206">
        <v>0</v>
      </c>
      <c r="K167" s="206">
        <v>0</v>
      </c>
      <c r="L167" s="53"/>
      <c r="M167" s="53"/>
      <c r="N167" s="116"/>
      <c r="O167" s="140"/>
      <c r="P167" s="133">
        <f>SUMIFS(GestionLignesDemande!D$4:D$1000,GestionLignesDemande!$B$4:$B$1000,ROI_Avions!$A167,GestionLignesDemande!$C$4:$C$1000,ROI_Avions!$C167)</f>
        <v>0</v>
      </c>
      <c r="Q167" s="133">
        <f>SUMIFS(GestionLignesDemande!E$4:E$1000,GestionLignesDemande!$B$4:$B$1000,ROI_Avions!$A167,GestionLignesDemande!$C$4:$C$1000,ROI_Avions!$C167)</f>
        <v>0</v>
      </c>
      <c r="R167" s="133">
        <f>SUMIFS(GestionLignesDemande!F$4:F$1000,GestionLignesDemande!$B$4:$B$1000,ROI_Avions!$A167,GestionLignesDemande!$C$4:$C$1000,ROI_Avions!$C167)</f>
        <v>0</v>
      </c>
      <c r="S167" s="133">
        <f>SUMIFS(GestionLignesDemande!G$4:G$1000,GestionLignesDemande!$B$4:$B$1000,ROI_Avions!$A167,GestionLignesDemande!$C$4:$C$1000,ROI_Avions!$C167)</f>
        <v>0</v>
      </c>
      <c r="T167" s="116"/>
      <c r="U167" s="8">
        <f t="shared" si="1"/>
        <v>403</v>
      </c>
      <c r="V167" s="206">
        <v>386</v>
      </c>
      <c r="W167" s="206">
        <v>11</v>
      </c>
      <c r="X167" s="206">
        <v>1</v>
      </c>
      <c r="Y167" s="206">
        <v>5</v>
      </c>
      <c r="Z167" s="116"/>
      <c r="AA167" s="132">
        <f t="shared" ref="AA167" si="698">P167-(V167*2)</f>
        <v>-772</v>
      </c>
      <c r="AB167" s="132">
        <f t="shared" ref="AB167" si="699">Q167-(W167*2)</f>
        <v>-22</v>
      </c>
      <c r="AC167" s="132">
        <f t="shared" ref="AC167" si="700">R167-(X167*2)</f>
        <v>-2</v>
      </c>
      <c r="AD167" s="132">
        <f t="shared" ref="AD167" si="701">S167-(Y167*2)</f>
        <v>-10</v>
      </c>
      <c r="AE167" s="116"/>
      <c r="AF167" s="26">
        <f>SUMIFS(DataPrixBillets!N$1:N$1000,DataPrixBillets!$J$1:$J$1000,ROI_Avions!$A167,DataPrixBillets!$K$1:$K$1000,ROI_Avions!$C167)</f>
        <v>0</v>
      </c>
      <c r="AG167" s="26">
        <f>SUMIFS(DataPrixBillets!O$1:O$1000,DataPrixBillets!$J$1:$J$1000,ROI_Avions!$A167,DataPrixBillets!$K$1:$K$1000,ROI_Avions!$C167)</f>
        <v>0</v>
      </c>
      <c r="AH167" s="26">
        <f>SUMIFS(DataPrixBillets!P$1:P$1000,DataPrixBillets!$J$1:$J$1000,ROI_Avions!$A167,DataPrixBillets!$K$1:$K$1000,ROI_Avions!$C167)</f>
        <v>0</v>
      </c>
      <c r="AI167" s="26">
        <f>SUMIFS(DataPrixBillets!Q$1:Q$1000,DataPrixBillets!$J$1:$J$1000,ROI_Avions!$A167,DataPrixBillets!$K$1:$K$1000,ROI_Avions!$C167)</f>
        <v>0</v>
      </c>
      <c r="AJ167" s="116"/>
      <c r="AK167" s="206">
        <f t="shared" ref="AK167:AK188" si="702">(((AF167*V167)*2+(AG167*W167)*2+(AH167*X167)*2+(AI167*Y167)*2)*7)</f>
        <v>0</v>
      </c>
      <c r="AL167" s="206" t="e">
        <f t="shared" ref="AL167:AL188" ca="1" si="703">AK167-AM167</f>
        <v>#REF!</v>
      </c>
      <c r="AM167" s="206" t="e">
        <f t="shared" ref="AM167:AM188" ca="1" si="704">AK167*$AM$2</f>
        <v>#REF!</v>
      </c>
      <c r="AN167" s="206" t="e">
        <f t="shared" ref="AN167:AN188" ca="1" si="705">AL167*$AN$2</f>
        <v>#REF!</v>
      </c>
      <c r="AO167" s="206" t="e">
        <f t="shared" ref="AO167:AO188" ca="1" si="706">(AL167-AN167-I167)*$AO$2</f>
        <v>#REF!</v>
      </c>
      <c r="AP167" s="206" t="e">
        <f t="shared" ref="AP167:AP188" ca="1" si="707">AL167-AN167-(I167/7)-(AO167/7)</f>
        <v>#REF!</v>
      </c>
      <c r="AQ167" s="206" t="e">
        <f t="shared" ref="AQ167:AQ188" ca="1" si="708">AP167/7</f>
        <v>#REF!</v>
      </c>
      <c r="AR167" s="207">
        <f t="shared" ca="1" si="688"/>
        <v>0</v>
      </c>
      <c r="AS167" s="120">
        <f t="shared" ca="1" si="689"/>
        <v>0</v>
      </c>
      <c r="AT167" s="206" t="e">
        <f t="shared" ref="AT167:AT188" ca="1" si="709">IF(K167&gt;=1,AP167*K167,AP167*$AT$1)</f>
        <v>#REF!</v>
      </c>
    </row>
    <row r="168" spans="1:49" s="189" customFormat="1" x14ac:dyDescent="0.3">
      <c r="A168" s="153" t="s">
        <v>726</v>
      </c>
      <c r="B168" s="154">
        <v>636004377</v>
      </c>
      <c r="C168" s="153" t="s">
        <v>1101</v>
      </c>
      <c r="D168" s="145" t="str">
        <f t="shared" si="591"/>
        <v>LAD/BLR</v>
      </c>
      <c r="E168" s="154">
        <v>25667076</v>
      </c>
      <c r="F168" s="155" t="str">
        <f>"MD11-A-"&amp;A168&amp;"-"&amp;C168&amp;"-"&amp;2</f>
        <v>MD11-A-LAD-BLR-2</v>
      </c>
      <c r="G168" s="154">
        <v>146160000</v>
      </c>
      <c r="H168" s="116"/>
      <c r="I168" s="206">
        <v>0</v>
      </c>
      <c r="J168" s="206">
        <v>0</v>
      </c>
      <c r="K168" s="206">
        <v>0</v>
      </c>
      <c r="L168" s="53"/>
      <c r="M168" s="53"/>
      <c r="N168" s="116"/>
      <c r="O168" s="140"/>
      <c r="P168" s="133">
        <f>SUMIFS(GestionLignesDemande!D$4:D$1000,GestionLignesDemande!$B$4:$B$1000,ROI_Avions!$A168,GestionLignesDemande!$C$4:$C$1000,ROI_Avions!$C168)</f>
        <v>0</v>
      </c>
      <c r="Q168" s="133">
        <f>SUMIFS(GestionLignesDemande!E$4:E$1000,GestionLignesDemande!$B$4:$B$1000,ROI_Avions!$A168,GestionLignesDemande!$C$4:$C$1000,ROI_Avions!$C168)</f>
        <v>0</v>
      </c>
      <c r="R168" s="133">
        <f>SUMIFS(GestionLignesDemande!F$4:F$1000,GestionLignesDemande!$B$4:$B$1000,ROI_Avions!$A168,GestionLignesDemande!$C$4:$C$1000,ROI_Avions!$C168)</f>
        <v>0</v>
      </c>
      <c r="S168" s="133">
        <f>SUMIFS(GestionLignesDemande!G$4:G$1000,GestionLignesDemande!$B$4:$B$1000,ROI_Avions!$A168,GestionLignesDemande!$C$4:$C$1000,ROI_Avions!$C168)</f>
        <v>0</v>
      </c>
      <c r="T168" s="116"/>
      <c r="U168" s="8">
        <f t="shared" si="1"/>
        <v>403</v>
      </c>
      <c r="V168" s="206">
        <v>386</v>
      </c>
      <c r="W168" s="206">
        <v>11</v>
      </c>
      <c r="X168" s="206">
        <v>1</v>
      </c>
      <c r="Y168" s="206">
        <v>5</v>
      </c>
      <c r="Z168" s="116"/>
      <c r="AA168" s="132">
        <f t="shared" ref="AA168:AA172" si="710">AA167-V168*2</f>
        <v>-1544</v>
      </c>
      <c r="AB168" s="132">
        <f t="shared" ref="AB168:AB172" si="711">AB167-W168*2</f>
        <v>-44</v>
      </c>
      <c r="AC168" s="132">
        <f t="shared" ref="AC168:AC172" si="712">AC167-X168*2</f>
        <v>-4</v>
      </c>
      <c r="AD168" s="132">
        <f t="shared" ref="AD168:AD172" si="713">AD167-Y168*2</f>
        <v>-20</v>
      </c>
      <c r="AE168" s="116"/>
      <c r="AF168" s="26">
        <f>SUMIFS(DataPrixBillets!N$1:N$1000,DataPrixBillets!$J$1:$J$1000,ROI_Avions!$A168,DataPrixBillets!$K$1:$K$1000,ROI_Avions!$C168)</f>
        <v>0</v>
      </c>
      <c r="AG168" s="26">
        <f>SUMIFS(DataPrixBillets!O$1:O$1000,DataPrixBillets!$J$1:$J$1000,ROI_Avions!$A168,DataPrixBillets!$K$1:$K$1000,ROI_Avions!$C168)</f>
        <v>0</v>
      </c>
      <c r="AH168" s="26">
        <f>SUMIFS(DataPrixBillets!P$1:P$1000,DataPrixBillets!$J$1:$J$1000,ROI_Avions!$A168,DataPrixBillets!$K$1:$K$1000,ROI_Avions!$C168)</f>
        <v>0</v>
      </c>
      <c r="AI168" s="26">
        <f>SUMIFS(DataPrixBillets!Q$1:Q$1000,DataPrixBillets!$J$1:$J$1000,ROI_Avions!$A168,DataPrixBillets!$K$1:$K$1000,ROI_Avions!$C168)</f>
        <v>0</v>
      </c>
      <c r="AJ168" s="116"/>
      <c r="AK168" s="206">
        <f t="shared" si="702"/>
        <v>0</v>
      </c>
      <c r="AL168" s="206" t="e">
        <f t="shared" ca="1" si="703"/>
        <v>#REF!</v>
      </c>
      <c r="AM168" s="206" t="e">
        <f t="shared" ca="1" si="704"/>
        <v>#REF!</v>
      </c>
      <c r="AN168" s="206" t="e">
        <f t="shared" ca="1" si="705"/>
        <v>#REF!</v>
      </c>
      <c r="AO168" s="206" t="e">
        <f t="shared" ca="1" si="706"/>
        <v>#REF!</v>
      </c>
      <c r="AP168" s="206" t="e">
        <f t="shared" ca="1" si="707"/>
        <v>#REF!</v>
      </c>
      <c r="AQ168" s="206" t="e">
        <f t="shared" ca="1" si="708"/>
        <v>#REF!</v>
      </c>
      <c r="AR168" s="207">
        <f t="shared" ca="1" si="688"/>
        <v>0</v>
      </c>
      <c r="AS168" s="120">
        <f t="shared" ca="1" si="689"/>
        <v>0</v>
      </c>
      <c r="AT168" s="206" t="e">
        <f t="shared" ca="1" si="709"/>
        <v>#REF!</v>
      </c>
    </row>
    <row r="169" spans="1:49" s="189" customFormat="1" x14ac:dyDescent="0.3">
      <c r="A169" s="153" t="s">
        <v>726</v>
      </c>
      <c r="B169" s="154">
        <v>636004377</v>
      </c>
      <c r="C169" s="153" t="s">
        <v>1101</v>
      </c>
      <c r="D169" s="145" t="str">
        <f t="shared" si="591"/>
        <v>LAD/BLR</v>
      </c>
      <c r="E169" s="154">
        <v>25667076</v>
      </c>
      <c r="F169" s="155" t="str">
        <f>"MD11-A-"&amp;A169&amp;"-"&amp;C169&amp;"-"&amp;3</f>
        <v>MD11-A-LAD-BLR-3</v>
      </c>
      <c r="G169" s="154">
        <v>146160000</v>
      </c>
      <c r="H169" s="116"/>
      <c r="I169" s="206">
        <v>0</v>
      </c>
      <c r="J169" s="206">
        <v>0</v>
      </c>
      <c r="K169" s="206">
        <v>0</v>
      </c>
      <c r="L169" s="53"/>
      <c r="M169" s="53"/>
      <c r="N169" s="116"/>
      <c r="O169" s="140"/>
      <c r="P169" s="133">
        <f>SUMIFS(GestionLignesDemande!D$4:D$1000,GestionLignesDemande!$B$4:$B$1000,ROI_Avions!$A169,GestionLignesDemande!$C$4:$C$1000,ROI_Avions!$C169)</f>
        <v>0</v>
      </c>
      <c r="Q169" s="133">
        <f>SUMIFS(GestionLignesDemande!E$4:E$1000,GestionLignesDemande!$B$4:$B$1000,ROI_Avions!$A169,GestionLignesDemande!$C$4:$C$1000,ROI_Avions!$C169)</f>
        <v>0</v>
      </c>
      <c r="R169" s="133">
        <f>SUMIFS(GestionLignesDemande!F$4:F$1000,GestionLignesDemande!$B$4:$B$1000,ROI_Avions!$A169,GestionLignesDemande!$C$4:$C$1000,ROI_Avions!$C169)</f>
        <v>0</v>
      </c>
      <c r="S169" s="133">
        <f>SUMIFS(GestionLignesDemande!G$4:G$1000,GestionLignesDemande!$B$4:$B$1000,ROI_Avions!$A169,GestionLignesDemande!$C$4:$C$1000,ROI_Avions!$C169)</f>
        <v>0</v>
      </c>
      <c r="T169" s="116"/>
      <c r="U169" s="8">
        <f t="shared" si="1"/>
        <v>403</v>
      </c>
      <c r="V169" s="206">
        <v>386</v>
      </c>
      <c r="W169" s="206">
        <v>11</v>
      </c>
      <c r="X169" s="206">
        <v>1</v>
      </c>
      <c r="Y169" s="206">
        <v>5</v>
      </c>
      <c r="Z169" s="116"/>
      <c r="AA169" s="132">
        <f t="shared" si="710"/>
        <v>-2316</v>
      </c>
      <c r="AB169" s="132">
        <f t="shared" si="711"/>
        <v>-66</v>
      </c>
      <c r="AC169" s="132">
        <f t="shared" si="712"/>
        <v>-6</v>
      </c>
      <c r="AD169" s="132">
        <f t="shared" si="713"/>
        <v>-30</v>
      </c>
      <c r="AE169" s="116"/>
      <c r="AF169" s="26">
        <f>SUMIFS(DataPrixBillets!N$1:N$1000,DataPrixBillets!$J$1:$J$1000,ROI_Avions!$A169,DataPrixBillets!$K$1:$K$1000,ROI_Avions!$C169)</f>
        <v>0</v>
      </c>
      <c r="AG169" s="26">
        <f>SUMIFS(DataPrixBillets!O$1:O$1000,DataPrixBillets!$J$1:$J$1000,ROI_Avions!$A169,DataPrixBillets!$K$1:$K$1000,ROI_Avions!$C169)</f>
        <v>0</v>
      </c>
      <c r="AH169" s="26">
        <f>SUMIFS(DataPrixBillets!P$1:P$1000,DataPrixBillets!$J$1:$J$1000,ROI_Avions!$A169,DataPrixBillets!$K$1:$K$1000,ROI_Avions!$C169)</f>
        <v>0</v>
      </c>
      <c r="AI169" s="26">
        <f>SUMIFS(DataPrixBillets!Q$1:Q$1000,DataPrixBillets!$J$1:$J$1000,ROI_Avions!$A169,DataPrixBillets!$K$1:$K$1000,ROI_Avions!$C169)</f>
        <v>0</v>
      </c>
      <c r="AJ169" s="116"/>
      <c r="AK169" s="206">
        <f t="shared" si="702"/>
        <v>0</v>
      </c>
      <c r="AL169" s="206" t="e">
        <f t="shared" ca="1" si="703"/>
        <v>#REF!</v>
      </c>
      <c r="AM169" s="206" t="e">
        <f t="shared" ca="1" si="704"/>
        <v>#REF!</v>
      </c>
      <c r="AN169" s="206" t="e">
        <f t="shared" ca="1" si="705"/>
        <v>#REF!</v>
      </c>
      <c r="AO169" s="206" t="e">
        <f t="shared" ca="1" si="706"/>
        <v>#REF!</v>
      </c>
      <c r="AP169" s="206" t="e">
        <f t="shared" ca="1" si="707"/>
        <v>#REF!</v>
      </c>
      <c r="AQ169" s="206" t="e">
        <f t="shared" ca="1" si="708"/>
        <v>#REF!</v>
      </c>
      <c r="AR169" s="207">
        <f t="shared" ca="1" si="688"/>
        <v>0</v>
      </c>
      <c r="AS169" s="120">
        <f t="shared" ca="1" si="689"/>
        <v>0</v>
      </c>
      <c r="AT169" s="206" t="e">
        <f t="shared" ca="1" si="709"/>
        <v>#REF!</v>
      </c>
    </row>
    <row r="170" spans="1:49" s="189" customFormat="1" x14ac:dyDescent="0.3">
      <c r="A170" s="153" t="s">
        <v>726</v>
      </c>
      <c r="B170" s="154">
        <v>636004377</v>
      </c>
      <c r="C170" s="153" t="s">
        <v>1101</v>
      </c>
      <c r="D170" s="145" t="str">
        <f t="shared" si="591"/>
        <v>LAD/BLR</v>
      </c>
      <c r="E170" s="154">
        <v>25667076</v>
      </c>
      <c r="F170" s="155" t="str">
        <f>"MD11-A-"&amp;A170&amp;"-"&amp;C170&amp;"-"&amp;4</f>
        <v>MD11-A-LAD-BLR-4</v>
      </c>
      <c r="G170" s="154">
        <v>146160000</v>
      </c>
      <c r="H170" s="116"/>
      <c r="I170" s="206">
        <v>0</v>
      </c>
      <c r="J170" s="206">
        <v>0</v>
      </c>
      <c r="K170" s="206">
        <v>0</v>
      </c>
      <c r="L170" s="53"/>
      <c r="M170" s="53"/>
      <c r="N170" s="116"/>
      <c r="O170" s="140"/>
      <c r="P170" s="133">
        <f>SUMIFS(GestionLignesDemande!D$4:D$1000,GestionLignesDemande!$B$4:$B$1000,ROI_Avions!$A170,GestionLignesDemande!$C$4:$C$1000,ROI_Avions!$C170)</f>
        <v>0</v>
      </c>
      <c r="Q170" s="133">
        <f>SUMIFS(GestionLignesDemande!E$4:E$1000,GestionLignesDemande!$B$4:$B$1000,ROI_Avions!$A170,GestionLignesDemande!$C$4:$C$1000,ROI_Avions!$C170)</f>
        <v>0</v>
      </c>
      <c r="R170" s="133">
        <f>SUMIFS(GestionLignesDemande!F$4:F$1000,GestionLignesDemande!$B$4:$B$1000,ROI_Avions!$A170,GestionLignesDemande!$C$4:$C$1000,ROI_Avions!$C170)</f>
        <v>0</v>
      </c>
      <c r="S170" s="133">
        <f>SUMIFS(GestionLignesDemande!G$4:G$1000,GestionLignesDemande!$B$4:$B$1000,ROI_Avions!$A170,GestionLignesDemande!$C$4:$C$1000,ROI_Avions!$C170)</f>
        <v>0</v>
      </c>
      <c r="T170" s="116"/>
      <c r="U170" s="8">
        <f t="shared" si="1"/>
        <v>403</v>
      </c>
      <c r="V170" s="206">
        <v>386</v>
      </c>
      <c r="W170" s="206">
        <v>11</v>
      </c>
      <c r="X170" s="206">
        <v>1</v>
      </c>
      <c r="Y170" s="206">
        <v>5</v>
      </c>
      <c r="Z170" s="116"/>
      <c r="AA170" s="132">
        <f t="shared" si="710"/>
        <v>-3088</v>
      </c>
      <c r="AB170" s="132">
        <f t="shared" si="711"/>
        <v>-88</v>
      </c>
      <c r="AC170" s="132">
        <f t="shared" si="712"/>
        <v>-8</v>
      </c>
      <c r="AD170" s="132">
        <f t="shared" si="713"/>
        <v>-40</v>
      </c>
      <c r="AE170" s="116"/>
      <c r="AF170" s="26">
        <f>SUMIFS(DataPrixBillets!N$1:N$1000,DataPrixBillets!$J$1:$J$1000,ROI_Avions!$A170,DataPrixBillets!$K$1:$K$1000,ROI_Avions!$C170)</f>
        <v>0</v>
      </c>
      <c r="AG170" s="26">
        <f>SUMIFS(DataPrixBillets!O$1:O$1000,DataPrixBillets!$J$1:$J$1000,ROI_Avions!$A170,DataPrixBillets!$K$1:$K$1000,ROI_Avions!$C170)</f>
        <v>0</v>
      </c>
      <c r="AH170" s="26">
        <f>SUMIFS(DataPrixBillets!P$1:P$1000,DataPrixBillets!$J$1:$J$1000,ROI_Avions!$A170,DataPrixBillets!$K$1:$K$1000,ROI_Avions!$C170)</f>
        <v>0</v>
      </c>
      <c r="AI170" s="26">
        <f>SUMIFS(DataPrixBillets!Q$1:Q$1000,DataPrixBillets!$J$1:$J$1000,ROI_Avions!$A170,DataPrixBillets!$K$1:$K$1000,ROI_Avions!$C170)</f>
        <v>0</v>
      </c>
      <c r="AJ170" s="116"/>
      <c r="AK170" s="206">
        <f t="shared" si="702"/>
        <v>0</v>
      </c>
      <c r="AL170" s="206" t="e">
        <f t="shared" ca="1" si="703"/>
        <v>#REF!</v>
      </c>
      <c r="AM170" s="206" t="e">
        <f t="shared" ca="1" si="704"/>
        <v>#REF!</v>
      </c>
      <c r="AN170" s="206" t="e">
        <f t="shared" ca="1" si="705"/>
        <v>#REF!</v>
      </c>
      <c r="AO170" s="206" t="e">
        <f t="shared" ca="1" si="706"/>
        <v>#REF!</v>
      </c>
      <c r="AP170" s="206" t="e">
        <f t="shared" ca="1" si="707"/>
        <v>#REF!</v>
      </c>
      <c r="AQ170" s="206" t="e">
        <f t="shared" ca="1" si="708"/>
        <v>#REF!</v>
      </c>
      <c r="AR170" s="207">
        <f t="shared" ca="1" si="688"/>
        <v>0</v>
      </c>
      <c r="AS170" s="120">
        <f t="shared" ca="1" si="689"/>
        <v>0</v>
      </c>
      <c r="AT170" s="206" t="e">
        <f t="shared" ca="1" si="709"/>
        <v>#REF!</v>
      </c>
      <c r="AW170" s="208"/>
    </row>
    <row r="171" spans="1:49" s="189" customFormat="1" x14ac:dyDescent="0.3">
      <c r="A171" s="153" t="s">
        <v>726</v>
      </c>
      <c r="B171" s="154">
        <v>636004377</v>
      </c>
      <c r="C171" s="153" t="s">
        <v>1101</v>
      </c>
      <c r="D171" s="145" t="str">
        <f t="shared" si="591"/>
        <v>LAD/BLR</v>
      </c>
      <c r="E171" s="154">
        <v>25667076</v>
      </c>
      <c r="F171" s="155" t="str">
        <f>"MD11-A-"&amp;A171&amp;"-"&amp;C171&amp;"-"&amp;5</f>
        <v>MD11-A-LAD-BLR-5</v>
      </c>
      <c r="G171" s="154">
        <v>146160000</v>
      </c>
      <c r="H171" s="116"/>
      <c r="I171" s="206">
        <v>0</v>
      </c>
      <c r="J171" s="206">
        <v>0</v>
      </c>
      <c r="K171" s="206">
        <v>0</v>
      </c>
      <c r="L171" s="53"/>
      <c r="M171" s="53"/>
      <c r="N171" s="116"/>
      <c r="O171" s="140"/>
      <c r="P171" s="133">
        <f>SUMIFS(GestionLignesDemande!D$4:D$1000,GestionLignesDemande!$B$4:$B$1000,ROI_Avions!$A171,GestionLignesDemande!$C$4:$C$1000,ROI_Avions!$C171)</f>
        <v>0</v>
      </c>
      <c r="Q171" s="133">
        <f>SUMIFS(GestionLignesDemande!E$4:E$1000,GestionLignesDemande!$B$4:$B$1000,ROI_Avions!$A171,GestionLignesDemande!$C$4:$C$1000,ROI_Avions!$C171)</f>
        <v>0</v>
      </c>
      <c r="R171" s="133">
        <f>SUMIFS(GestionLignesDemande!F$4:F$1000,GestionLignesDemande!$B$4:$B$1000,ROI_Avions!$A171,GestionLignesDemande!$C$4:$C$1000,ROI_Avions!$C171)</f>
        <v>0</v>
      </c>
      <c r="S171" s="133">
        <f>SUMIFS(GestionLignesDemande!G$4:G$1000,GestionLignesDemande!$B$4:$B$1000,ROI_Avions!$A171,GestionLignesDemande!$C$4:$C$1000,ROI_Avions!$C171)</f>
        <v>0</v>
      </c>
      <c r="T171" s="116"/>
      <c r="U171" s="8">
        <f t="shared" si="1"/>
        <v>402</v>
      </c>
      <c r="V171" s="206">
        <v>386</v>
      </c>
      <c r="W171" s="206">
        <v>11</v>
      </c>
      <c r="X171" s="206">
        <v>1</v>
      </c>
      <c r="Y171" s="206">
        <v>4</v>
      </c>
      <c r="Z171" s="116"/>
      <c r="AA171" s="132">
        <f t="shared" si="710"/>
        <v>-3860</v>
      </c>
      <c r="AB171" s="132">
        <f t="shared" si="711"/>
        <v>-110</v>
      </c>
      <c r="AC171" s="132">
        <f t="shared" si="712"/>
        <v>-10</v>
      </c>
      <c r="AD171" s="132">
        <f t="shared" si="713"/>
        <v>-48</v>
      </c>
      <c r="AE171" s="116"/>
      <c r="AF171" s="26">
        <f>SUMIFS(DataPrixBillets!N$1:N$1000,DataPrixBillets!$J$1:$J$1000,ROI_Avions!$A171,DataPrixBillets!$K$1:$K$1000,ROI_Avions!$C171)</f>
        <v>0</v>
      </c>
      <c r="AG171" s="26">
        <f>SUMIFS(DataPrixBillets!O$1:O$1000,DataPrixBillets!$J$1:$J$1000,ROI_Avions!$A171,DataPrixBillets!$K$1:$K$1000,ROI_Avions!$C171)</f>
        <v>0</v>
      </c>
      <c r="AH171" s="26">
        <f>SUMIFS(DataPrixBillets!P$1:P$1000,DataPrixBillets!$J$1:$J$1000,ROI_Avions!$A171,DataPrixBillets!$K$1:$K$1000,ROI_Avions!$C171)</f>
        <v>0</v>
      </c>
      <c r="AI171" s="26">
        <f>SUMIFS(DataPrixBillets!Q$1:Q$1000,DataPrixBillets!$J$1:$J$1000,ROI_Avions!$A171,DataPrixBillets!$K$1:$K$1000,ROI_Avions!$C171)</f>
        <v>0</v>
      </c>
      <c r="AJ171" s="116"/>
      <c r="AK171" s="206">
        <f t="shared" si="702"/>
        <v>0</v>
      </c>
      <c r="AL171" s="206" t="e">
        <f t="shared" ca="1" si="703"/>
        <v>#REF!</v>
      </c>
      <c r="AM171" s="206" t="e">
        <f t="shared" ca="1" si="704"/>
        <v>#REF!</v>
      </c>
      <c r="AN171" s="206" t="e">
        <f t="shared" ca="1" si="705"/>
        <v>#REF!</v>
      </c>
      <c r="AO171" s="206" t="e">
        <f t="shared" ca="1" si="706"/>
        <v>#REF!</v>
      </c>
      <c r="AP171" s="206" t="e">
        <f t="shared" ca="1" si="707"/>
        <v>#REF!</v>
      </c>
      <c r="AQ171" s="206" t="e">
        <f t="shared" ca="1" si="708"/>
        <v>#REF!</v>
      </c>
      <c r="AR171" s="207">
        <f t="shared" ca="1" si="688"/>
        <v>0</v>
      </c>
      <c r="AS171" s="120">
        <f t="shared" ca="1" si="689"/>
        <v>0</v>
      </c>
      <c r="AT171" s="206" t="e">
        <f t="shared" ca="1" si="709"/>
        <v>#REF!</v>
      </c>
    </row>
    <row r="172" spans="1:49" s="189" customFormat="1" x14ac:dyDescent="0.3">
      <c r="A172" s="153" t="s">
        <v>726</v>
      </c>
      <c r="B172" s="154">
        <v>636004377</v>
      </c>
      <c r="C172" s="153" t="s">
        <v>1101</v>
      </c>
      <c r="D172" s="145" t="str">
        <f t="shared" si="591"/>
        <v>LAD/BLR</v>
      </c>
      <c r="E172" s="154">
        <v>25667076</v>
      </c>
      <c r="F172" s="155" t="str">
        <f>"MD11-A-"&amp;A172&amp;"-"&amp;C172&amp;"-"&amp;6</f>
        <v>MD11-A-LAD-BLR-6</v>
      </c>
      <c r="G172" s="154">
        <v>146160000</v>
      </c>
      <c r="H172" s="116"/>
      <c r="I172" s="206">
        <v>0</v>
      </c>
      <c r="J172" s="206">
        <v>0</v>
      </c>
      <c r="K172" s="206">
        <v>0</v>
      </c>
      <c r="L172" s="53"/>
      <c r="M172" s="53"/>
      <c r="N172" s="116"/>
      <c r="O172" s="140"/>
      <c r="P172" s="133">
        <f>SUMIFS(GestionLignesDemande!D$4:D$1000,GestionLignesDemande!$B$4:$B$1000,ROI_Avions!$A172,GestionLignesDemande!$C$4:$C$1000,ROI_Avions!$C172)</f>
        <v>0</v>
      </c>
      <c r="Q172" s="133">
        <f>SUMIFS(GestionLignesDemande!E$4:E$1000,GestionLignesDemande!$B$4:$B$1000,ROI_Avions!$A172,GestionLignesDemande!$C$4:$C$1000,ROI_Avions!$C172)</f>
        <v>0</v>
      </c>
      <c r="R172" s="133">
        <f>SUMIFS(GestionLignesDemande!F$4:F$1000,GestionLignesDemande!$B$4:$B$1000,ROI_Avions!$A172,GestionLignesDemande!$C$4:$C$1000,ROI_Avions!$C172)</f>
        <v>0</v>
      </c>
      <c r="S172" s="133">
        <f>SUMIFS(GestionLignesDemande!G$4:G$1000,GestionLignesDemande!$B$4:$B$1000,ROI_Avions!$A172,GestionLignesDemande!$C$4:$C$1000,ROI_Avions!$C172)</f>
        <v>0</v>
      </c>
      <c r="T172" s="116"/>
      <c r="U172" s="8">
        <f t="shared" si="1"/>
        <v>399</v>
      </c>
      <c r="V172" s="206">
        <v>380</v>
      </c>
      <c r="W172" s="206">
        <v>14</v>
      </c>
      <c r="X172" s="206">
        <v>1</v>
      </c>
      <c r="Y172" s="206">
        <v>4</v>
      </c>
      <c r="Z172" s="116"/>
      <c r="AA172" s="132">
        <f t="shared" si="710"/>
        <v>-4620</v>
      </c>
      <c r="AB172" s="132">
        <f t="shared" si="711"/>
        <v>-138</v>
      </c>
      <c r="AC172" s="132">
        <f t="shared" si="712"/>
        <v>-12</v>
      </c>
      <c r="AD172" s="132">
        <f t="shared" si="713"/>
        <v>-56</v>
      </c>
      <c r="AE172" s="116"/>
      <c r="AF172" s="26">
        <f>SUMIFS(DataPrixBillets!N$1:N$1000,DataPrixBillets!$J$1:$J$1000,ROI_Avions!$A172,DataPrixBillets!$K$1:$K$1000,ROI_Avions!$C172)</f>
        <v>0</v>
      </c>
      <c r="AG172" s="26">
        <f>SUMIFS(DataPrixBillets!O$1:O$1000,DataPrixBillets!$J$1:$J$1000,ROI_Avions!$A172,DataPrixBillets!$K$1:$K$1000,ROI_Avions!$C172)</f>
        <v>0</v>
      </c>
      <c r="AH172" s="26">
        <f>SUMIFS(DataPrixBillets!P$1:P$1000,DataPrixBillets!$J$1:$J$1000,ROI_Avions!$A172,DataPrixBillets!$K$1:$K$1000,ROI_Avions!$C172)</f>
        <v>0</v>
      </c>
      <c r="AI172" s="26">
        <f>SUMIFS(DataPrixBillets!Q$1:Q$1000,DataPrixBillets!$J$1:$J$1000,ROI_Avions!$A172,DataPrixBillets!$K$1:$K$1000,ROI_Avions!$C172)</f>
        <v>0</v>
      </c>
      <c r="AJ172" s="116"/>
      <c r="AK172" s="206">
        <f t="shared" si="702"/>
        <v>0</v>
      </c>
      <c r="AL172" s="206" t="e">
        <f t="shared" ca="1" si="703"/>
        <v>#REF!</v>
      </c>
      <c r="AM172" s="206" t="e">
        <f t="shared" ca="1" si="704"/>
        <v>#REF!</v>
      </c>
      <c r="AN172" s="206" t="e">
        <f t="shared" ca="1" si="705"/>
        <v>#REF!</v>
      </c>
      <c r="AO172" s="206" t="e">
        <f t="shared" ca="1" si="706"/>
        <v>#REF!</v>
      </c>
      <c r="AP172" s="206" t="e">
        <f t="shared" ca="1" si="707"/>
        <v>#REF!</v>
      </c>
      <c r="AQ172" s="206" t="e">
        <f t="shared" ca="1" si="708"/>
        <v>#REF!</v>
      </c>
      <c r="AR172" s="207">
        <f t="shared" ca="1" si="688"/>
        <v>0</v>
      </c>
      <c r="AS172" s="120">
        <f t="shared" ca="1" si="689"/>
        <v>0</v>
      </c>
      <c r="AT172" s="206" t="e">
        <f t="shared" ca="1" si="709"/>
        <v>#REF!</v>
      </c>
    </row>
    <row r="173" spans="1:49" s="189" customFormat="1" x14ac:dyDescent="0.3">
      <c r="A173" s="153" t="s">
        <v>726</v>
      </c>
      <c r="B173" s="154">
        <v>636004377</v>
      </c>
      <c r="C173" s="153" t="s">
        <v>1104</v>
      </c>
      <c r="D173" s="145" t="str">
        <f t="shared" si="591"/>
        <v>LAD/MAA</v>
      </c>
      <c r="E173" s="154">
        <v>30059721</v>
      </c>
      <c r="F173" s="155" t="str">
        <f>"MD11-A-"&amp;A173&amp;"-"&amp;C173&amp;"-"&amp;1</f>
        <v>MD11-A-LAD-MAA-1</v>
      </c>
      <c r="G173" s="154">
        <v>146160000</v>
      </c>
      <c r="H173" s="116"/>
      <c r="I173" s="206">
        <v>0</v>
      </c>
      <c r="J173" s="206">
        <v>0</v>
      </c>
      <c r="K173" s="206">
        <v>0</v>
      </c>
      <c r="L173" s="53"/>
      <c r="M173" s="53"/>
      <c r="N173" s="116"/>
      <c r="O173" s="140"/>
      <c r="P173" s="133">
        <f>SUMIFS(GestionLignesDemande!D$4:D$1000,GestionLignesDemande!$B$4:$B$1000,ROI_Avions!$A173,GestionLignesDemande!$C$4:$C$1000,ROI_Avions!$C173)</f>
        <v>0</v>
      </c>
      <c r="Q173" s="133">
        <f>SUMIFS(GestionLignesDemande!E$4:E$1000,GestionLignesDemande!$B$4:$B$1000,ROI_Avions!$A173,GestionLignesDemande!$C$4:$C$1000,ROI_Avions!$C173)</f>
        <v>0</v>
      </c>
      <c r="R173" s="133">
        <f>SUMIFS(GestionLignesDemande!F$4:F$1000,GestionLignesDemande!$B$4:$B$1000,ROI_Avions!$A173,GestionLignesDemande!$C$4:$C$1000,ROI_Avions!$C173)</f>
        <v>0</v>
      </c>
      <c r="S173" s="133">
        <f>SUMIFS(GestionLignesDemande!G$4:G$1000,GestionLignesDemande!$B$4:$B$1000,ROI_Avions!$A173,GestionLignesDemande!$C$4:$C$1000,ROI_Avions!$C173)</f>
        <v>0</v>
      </c>
      <c r="T173" s="116"/>
      <c r="U173" s="8">
        <f t="shared" si="1"/>
        <v>403</v>
      </c>
      <c r="V173" s="206">
        <v>386</v>
      </c>
      <c r="W173" s="206">
        <v>11</v>
      </c>
      <c r="X173" s="206">
        <v>1</v>
      </c>
      <c r="Y173" s="206">
        <v>5</v>
      </c>
      <c r="Z173" s="116"/>
      <c r="AA173" s="132">
        <f t="shared" ref="AA173" si="714">P173-(V173*2)</f>
        <v>-772</v>
      </c>
      <c r="AB173" s="132">
        <f t="shared" ref="AB173" si="715">Q173-(W173*2)</f>
        <v>-22</v>
      </c>
      <c r="AC173" s="132">
        <f t="shared" ref="AC173" si="716">R173-(X173*2)</f>
        <v>-2</v>
      </c>
      <c r="AD173" s="132">
        <f t="shared" ref="AD173" si="717">S173-(Y173*2)</f>
        <v>-10</v>
      </c>
      <c r="AE173" s="116"/>
      <c r="AF173" s="26">
        <f>SUMIFS(DataPrixBillets!N$1:N$1000,DataPrixBillets!$J$1:$J$1000,ROI_Avions!$A173,DataPrixBillets!$K$1:$K$1000,ROI_Avions!$C173)</f>
        <v>0</v>
      </c>
      <c r="AG173" s="26">
        <f>SUMIFS(DataPrixBillets!O$1:O$1000,DataPrixBillets!$J$1:$J$1000,ROI_Avions!$A173,DataPrixBillets!$K$1:$K$1000,ROI_Avions!$C173)</f>
        <v>0</v>
      </c>
      <c r="AH173" s="26">
        <f>SUMIFS(DataPrixBillets!P$1:P$1000,DataPrixBillets!$J$1:$J$1000,ROI_Avions!$A173,DataPrixBillets!$K$1:$K$1000,ROI_Avions!$C173)</f>
        <v>0</v>
      </c>
      <c r="AI173" s="26">
        <f>SUMIFS(DataPrixBillets!Q$1:Q$1000,DataPrixBillets!$J$1:$J$1000,ROI_Avions!$A173,DataPrixBillets!$K$1:$K$1000,ROI_Avions!$C173)</f>
        <v>0</v>
      </c>
      <c r="AJ173" s="116"/>
      <c r="AK173" s="206">
        <f t="shared" si="702"/>
        <v>0</v>
      </c>
      <c r="AL173" s="206" t="e">
        <f t="shared" ca="1" si="703"/>
        <v>#REF!</v>
      </c>
      <c r="AM173" s="206" t="e">
        <f t="shared" ca="1" si="704"/>
        <v>#REF!</v>
      </c>
      <c r="AN173" s="206" t="e">
        <f t="shared" ca="1" si="705"/>
        <v>#REF!</v>
      </c>
      <c r="AO173" s="206" t="e">
        <f t="shared" ca="1" si="706"/>
        <v>#REF!</v>
      </c>
      <c r="AP173" s="206" t="e">
        <f t="shared" ca="1" si="707"/>
        <v>#REF!</v>
      </c>
      <c r="AQ173" s="206" t="e">
        <f t="shared" ca="1" si="708"/>
        <v>#REF!</v>
      </c>
      <c r="AR173" s="207">
        <f t="shared" ca="1" si="688"/>
        <v>0</v>
      </c>
      <c r="AS173" s="120">
        <f t="shared" ca="1" si="689"/>
        <v>0</v>
      </c>
      <c r="AT173" s="206" t="e">
        <f t="shared" ca="1" si="709"/>
        <v>#REF!</v>
      </c>
      <c r="AW173" s="208"/>
    </row>
    <row r="174" spans="1:49" s="189" customFormat="1" x14ac:dyDescent="0.3">
      <c r="A174" s="153" t="s">
        <v>726</v>
      </c>
      <c r="B174" s="154">
        <v>636004377</v>
      </c>
      <c r="C174" s="153" t="s">
        <v>1104</v>
      </c>
      <c r="D174" s="145" t="str">
        <f t="shared" si="591"/>
        <v>LAD/MAA</v>
      </c>
      <c r="E174" s="154">
        <v>30059721</v>
      </c>
      <c r="F174" s="155" t="str">
        <f>"MD11-A-"&amp;A174&amp;"-"&amp;C174&amp;"-"&amp;2</f>
        <v>MD11-A-LAD-MAA-2</v>
      </c>
      <c r="G174" s="154">
        <v>146160000</v>
      </c>
      <c r="H174" s="116"/>
      <c r="I174" s="206">
        <v>0</v>
      </c>
      <c r="J174" s="206">
        <v>0</v>
      </c>
      <c r="K174" s="206">
        <v>0</v>
      </c>
      <c r="L174" s="53"/>
      <c r="M174" s="53"/>
      <c r="N174" s="116"/>
      <c r="O174" s="140"/>
      <c r="P174" s="133">
        <f>SUMIFS(GestionLignesDemande!D$4:D$1000,GestionLignesDemande!$B$4:$B$1000,ROI_Avions!$A174,GestionLignesDemande!$C$4:$C$1000,ROI_Avions!$C174)</f>
        <v>0</v>
      </c>
      <c r="Q174" s="133">
        <f>SUMIFS(GestionLignesDemande!E$4:E$1000,GestionLignesDemande!$B$4:$B$1000,ROI_Avions!$A174,GestionLignesDemande!$C$4:$C$1000,ROI_Avions!$C174)</f>
        <v>0</v>
      </c>
      <c r="R174" s="133">
        <f>SUMIFS(GestionLignesDemande!F$4:F$1000,GestionLignesDemande!$B$4:$B$1000,ROI_Avions!$A174,GestionLignesDemande!$C$4:$C$1000,ROI_Avions!$C174)</f>
        <v>0</v>
      </c>
      <c r="S174" s="133">
        <f>SUMIFS(GestionLignesDemande!G$4:G$1000,GestionLignesDemande!$B$4:$B$1000,ROI_Avions!$A174,GestionLignesDemande!$C$4:$C$1000,ROI_Avions!$C174)</f>
        <v>0</v>
      </c>
      <c r="T174" s="116"/>
      <c r="U174" s="8">
        <f t="shared" si="1"/>
        <v>403</v>
      </c>
      <c r="V174" s="206">
        <v>386</v>
      </c>
      <c r="W174" s="206">
        <v>11</v>
      </c>
      <c r="X174" s="206">
        <v>1</v>
      </c>
      <c r="Y174" s="206">
        <v>5</v>
      </c>
      <c r="Z174" s="116"/>
      <c r="AA174" s="132">
        <f t="shared" ref="AA174:AA178" si="718">AA173-V174*2</f>
        <v>-1544</v>
      </c>
      <c r="AB174" s="132">
        <f t="shared" ref="AB174:AB178" si="719">AB173-W174*2</f>
        <v>-44</v>
      </c>
      <c r="AC174" s="132">
        <f t="shared" ref="AC174:AC178" si="720">AC173-X174*2</f>
        <v>-4</v>
      </c>
      <c r="AD174" s="132">
        <f t="shared" ref="AD174:AD178" si="721">AD173-Y174*2</f>
        <v>-20</v>
      </c>
      <c r="AE174" s="116"/>
      <c r="AF174" s="26">
        <f>SUMIFS(DataPrixBillets!N$1:N$1000,DataPrixBillets!$J$1:$J$1000,ROI_Avions!$A174,DataPrixBillets!$K$1:$K$1000,ROI_Avions!$C174)</f>
        <v>0</v>
      </c>
      <c r="AG174" s="26">
        <f>SUMIFS(DataPrixBillets!O$1:O$1000,DataPrixBillets!$J$1:$J$1000,ROI_Avions!$A174,DataPrixBillets!$K$1:$K$1000,ROI_Avions!$C174)</f>
        <v>0</v>
      </c>
      <c r="AH174" s="26">
        <f>SUMIFS(DataPrixBillets!P$1:P$1000,DataPrixBillets!$J$1:$J$1000,ROI_Avions!$A174,DataPrixBillets!$K$1:$K$1000,ROI_Avions!$C174)</f>
        <v>0</v>
      </c>
      <c r="AI174" s="26">
        <f>SUMIFS(DataPrixBillets!Q$1:Q$1000,DataPrixBillets!$J$1:$J$1000,ROI_Avions!$A174,DataPrixBillets!$K$1:$K$1000,ROI_Avions!$C174)</f>
        <v>0</v>
      </c>
      <c r="AJ174" s="116"/>
      <c r="AK174" s="206">
        <f t="shared" si="702"/>
        <v>0</v>
      </c>
      <c r="AL174" s="206" t="e">
        <f t="shared" ca="1" si="703"/>
        <v>#REF!</v>
      </c>
      <c r="AM174" s="206" t="e">
        <f t="shared" ca="1" si="704"/>
        <v>#REF!</v>
      </c>
      <c r="AN174" s="206" t="e">
        <f t="shared" ca="1" si="705"/>
        <v>#REF!</v>
      </c>
      <c r="AO174" s="206" t="e">
        <f t="shared" ca="1" si="706"/>
        <v>#REF!</v>
      </c>
      <c r="AP174" s="206" t="e">
        <f t="shared" ca="1" si="707"/>
        <v>#REF!</v>
      </c>
      <c r="AQ174" s="206" t="e">
        <f t="shared" ca="1" si="708"/>
        <v>#REF!</v>
      </c>
      <c r="AR174" s="207">
        <f t="shared" ca="1" si="688"/>
        <v>0</v>
      </c>
      <c r="AS174" s="120">
        <f t="shared" ca="1" si="689"/>
        <v>0</v>
      </c>
      <c r="AT174" s="206" t="e">
        <f t="shared" ca="1" si="709"/>
        <v>#REF!</v>
      </c>
    </row>
    <row r="175" spans="1:49" s="189" customFormat="1" x14ac:dyDescent="0.3">
      <c r="A175" s="153" t="s">
        <v>726</v>
      </c>
      <c r="B175" s="154">
        <v>636004377</v>
      </c>
      <c r="C175" s="153" t="s">
        <v>1104</v>
      </c>
      <c r="D175" s="145" t="str">
        <f t="shared" si="591"/>
        <v>LAD/MAA</v>
      </c>
      <c r="E175" s="154">
        <v>30059721</v>
      </c>
      <c r="F175" s="155" t="str">
        <f>"MD11-A-"&amp;A175&amp;"-"&amp;C175&amp;"-"&amp;3</f>
        <v>MD11-A-LAD-MAA-3</v>
      </c>
      <c r="G175" s="154">
        <v>146160000</v>
      </c>
      <c r="H175" s="116"/>
      <c r="I175" s="206">
        <v>0</v>
      </c>
      <c r="J175" s="206">
        <v>0</v>
      </c>
      <c r="K175" s="206">
        <v>0</v>
      </c>
      <c r="L175" s="53"/>
      <c r="M175" s="53"/>
      <c r="N175" s="116"/>
      <c r="O175" s="140"/>
      <c r="P175" s="133">
        <f>SUMIFS(GestionLignesDemande!D$4:D$1000,GestionLignesDemande!$B$4:$B$1000,ROI_Avions!$A175,GestionLignesDemande!$C$4:$C$1000,ROI_Avions!$C175)</f>
        <v>0</v>
      </c>
      <c r="Q175" s="133">
        <f>SUMIFS(GestionLignesDemande!E$4:E$1000,GestionLignesDemande!$B$4:$B$1000,ROI_Avions!$A175,GestionLignesDemande!$C$4:$C$1000,ROI_Avions!$C175)</f>
        <v>0</v>
      </c>
      <c r="R175" s="133">
        <f>SUMIFS(GestionLignesDemande!F$4:F$1000,GestionLignesDemande!$B$4:$B$1000,ROI_Avions!$A175,GestionLignesDemande!$C$4:$C$1000,ROI_Avions!$C175)</f>
        <v>0</v>
      </c>
      <c r="S175" s="133">
        <f>SUMIFS(GestionLignesDemande!G$4:G$1000,GestionLignesDemande!$B$4:$B$1000,ROI_Avions!$A175,GestionLignesDemande!$C$4:$C$1000,ROI_Avions!$C175)</f>
        <v>0</v>
      </c>
      <c r="T175" s="116"/>
      <c r="U175" s="8">
        <f t="shared" si="1"/>
        <v>403</v>
      </c>
      <c r="V175" s="206">
        <v>386</v>
      </c>
      <c r="W175" s="206">
        <v>11</v>
      </c>
      <c r="X175" s="206">
        <v>1</v>
      </c>
      <c r="Y175" s="206">
        <v>5</v>
      </c>
      <c r="Z175" s="116"/>
      <c r="AA175" s="132">
        <f t="shared" si="718"/>
        <v>-2316</v>
      </c>
      <c r="AB175" s="132">
        <f t="shared" si="719"/>
        <v>-66</v>
      </c>
      <c r="AC175" s="132">
        <f t="shared" si="720"/>
        <v>-6</v>
      </c>
      <c r="AD175" s="132">
        <f t="shared" si="721"/>
        <v>-30</v>
      </c>
      <c r="AE175" s="116"/>
      <c r="AF175" s="26">
        <f>SUMIFS(DataPrixBillets!N$1:N$1000,DataPrixBillets!$J$1:$J$1000,ROI_Avions!$A175,DataPrixBillets!$K$1:$K$1000,ROI_Avions!$C175)</f>
        <v>0</v>
      </c>
      <c r="AG175" s="26">
        <f>SUMIFS(DataPrixBillets!O$1:O$1000,DataPrixBillets!$J$1:$J$1000,ROI_Avions!$A175,DataPrixBillets!$K$1:$K$1000,ROI_Avions!$C175)</f>
        <v>0</v>
      </c>
      <c r="AH175" s="26">
        <f>SUMIFS(DataPrixBillets!P$1:P$1000,DataPrixBillets!$J$1:$J$1000,ROI_Avions!$A175,DataPrixBillets!$K$1:$K$1000,ROI_Avions!$C175)</f>
        <v>0</v>
      </c>
      <c r="AI175" s="26">
        <f>SUMIFS(DataPrixBillets!Q$1:Q$1000,DataPrixBillets!$J$1:$J$1000,ROI_Avions!$A175,DataPrixBillets!$K$1:$K$1000,ROI_Avions!$C175)</f>
        <v>0</v>
      </c>
      <c r="AJ175" s="116"/>
      <c r="AK175" s="206">
        <f t="shared" si="702"/>
        <v>0</v>
      </c>
      <c r="AL175" s="206" t="e">
        <f t="shared" ca="1" si="703"/>
        <v>#REF!</v>
      </c>
      <c r="AM175" s="206" t="e">
        <f t="shared" ca="1" si="704"/>
        <v>#REF!</v>
      </c>
      <c r="AN175" s="206" t="e">
        <f t="shared" ca="1" si="705"/>
        <v>#REF!</v>
      </c>
      <c r="AO175" s="206" t="e">
        <f t="shared" ca="1" si="706"/>
        <v>#REF!</v>
      </c>
      <c r="AP175" s="206" t="e">
        <f t="shared" ca="1" si="707"/>
        <v>#REF!</v>
      </c>
      <c r="AQ175" s="206" t="e">
        <f t="shared" ca="1" si="708"/>
        <v>#REF!</v>
      </c>
      <c r="AR175" s="207">
        <f t="shared" ca="1" si="688"/>
        <v>0</v>
      </c>
      <c r="AS175" s="120">
        <f t="shared" ca="1" si="689"/>
        <v>0</v>
      </c>
      <c r="AT175" s="206" t="e">
        <f t="shared" ca="1" si="709"/>
        <v>#REF!</v>
      </c>
    </row>
    <row r="176" spans="1:49" s="189" customFormat="1" x14ac:dyDescent="0.3">
      <c r="A176" s="153" t="s">
        <v>726</v>
      </c>
      <c r="B176" s="154">
        <v>636004377</v>
      </c>
      <c r="C176" s="153" t="s">
        <v>1104</v>
      </c>
      <c r="D176" s="145" t="str">
        <f t="shared" si="591"/>
        <v>LAD/MAA</v>
      </c>
      <c r="E176" s="154">
        <v>30059721</v>
      </c>
      <c r="F176" s="155" t="str">
        <f>"MD11-A-"&amp;A176&amp;"-"&amp;C176&amp;"-"&amp;4</f>
        <v>MD11-A-LAD-MAA-4</v>
      </c>
      <c r="G176" s="154">
        <v>146160000</v>
      </c>
      <c r="H176" s="116"/>
      <c r="I176" s="206">
        <v>0</v>
      </c>
      <c r="J176" s="206">
        <v>0</v>
      </c>
      <c r="K176" s="206">
        <v>0</v>
      </c>
      <c r="L176" s="53"/>
      <c r="M176" s="53"/>
      <c r="N176" s="116"/>
      <c r="O176" s="140"/>
      <c r="P176" s="133">
        <f>SUMIFS(GestionLignesDemande!D$4:D$1000,GestionLignesDemande!$B$4:$B$1000,ROI_Avions!$A176,GestionLignesDemande!$C$4:$C$1000,ROI_Avions!$C176)</f>
        <v>0</v>
      </c>
      <c r="Q176" s="133">
        <f>SUMIFS(GestionLignesDemande!E$4:E$1000,GestionLignesDemande!$B$4:$B$1000,ROI_Avions!$A176,GestionLignesDemande!$C$4:$C$1000,ROI_Avions!$C176)</f>
        <v>0</v>
      </c>
      <c r="R176" s="133">
        <f>SUMIFS(GestionLignesDemande!F$4:F$1000,GestionLignesDemande!$B$4:$B$1000,ROI_Avions!$A176,GestionLignesDemande!$C$4:$C$1000,ROI_Avions!$C176)</f>
        <v>0</v>
      </c>
      <c r="S176" s="133">
        <f>SUMIFS(GestionLignesDemande!G$4:G$1000,GestionLignesDemande!$B$4:$B$1000,ROI_Avions!$A176,GestionLignesDemande!$C$4:$C$1000,ROI_Avions!$C176)</f>
        <v>0</v>
      </c>
      <c r="T176" s="116"/>
      <c r="U176" s="8">
        <f t="shared" si="1"/>
        <v>403</v>
      </c>
      <c r="V176" s="206">
        <v>386</v>
      </c>
      <c r="W176" s="206">
        <v>11</v>
      </c>
      <c r="X176" s="206">
        <v>1</v>
      </c>
      <c r="Y176" s="206">
        <v>5</v>
      </c>
      <c r="Z176" s="116"/>
      <c r="AA176" s="132">
        <f t="shared" si="718"/>
        <v>-3088</v>
      </c>
      <c r="AB176" s="132">
        <f t="shared" si="719"/>
        <v>-88</v>
      </c>
      <c r="AC176" s="132">
        <f t="shared" si="720"/>
        <v>-8</v>
      </c>
      <c r="AD176" s="132">
        <f t="shared" si="721"/>
        <v>-40</v>
      </c>
      <c r="AE176" s="116"/>
      <c r="AF176" s="26">
        <f>SUMIFS(DataPrixBillets!N$1:N$1000,DataPrixBillets!$J$1:$J$1000,ROI_Avions!$A176,DataPrixBillets!$K$1:$K$1000,ROI_Avions!$C176)</f>
        <v>0</v>
      </c>
      <c r="AG176" s="26">
        <f>SUMIFS(DataPrixBillets!O$1:O$1000,DataPrixBillets!$J$1:$J$1000,ROI_Avions!$A176,DataPrixBillets!$K$1:$K$1000,ROI_Avions!$C176)</f>
        <v>0</v>
      </c>
      <c r="AH176" s="26">
        <f>SUMIFS(DataPrixBillets!P$1:P$1000,DataPrixBillets!$J$1:$J$1000,ROI_Avions!$A176,DataPrixBillets!$K$1:$K$1000,ROI_Avions!$C176)</f>
        <v>0</v>
      </c>
      <c r="AI176" s="26">
        <f>SUMIFS(DataPrixBillets!Q$1:Q$1000,DataPrixBillets!$J$1:$J$1000,ROI_Avions!$A176,DataPrixBillets!$K$1:$K$1000,ROI_Avions!$C176)</f>
        <v>0</v>
      </c>
      <c r="AJ176" s="116"/>
      <c r="AK176" s="206">
        <f t="shared" si="702"/>
        <v>0</v>
      </c>
      <c r="AL176" s="206" t="e">
        <f t="shared" ca="1" si="703"/>
        <v>#REF!</v>
      </c>
      <c r="AM176" s="206" t="e">
        <f t="shared" ca="1" si="704"/>
        <v>#REF!</v>
      </c>
      <c r="AN176" s="206" t="e">
        <f t="shared" ca="1" si="705"/>
        <v>#REF!</v>
      </c>
      <c r="AO176" s="206" t="e">
        <f t="shared" ca="1" si="706"/>
        <v>#REF!</v>
      </c>
      <c r="AP176" s="206" t="e">
        <f t="shared" ca="1" si="707"/>
        <v>#REF!</v>
      </c>
      <c r="AQ176" s="206" t="e">
        <f t="shared" ca="1" si="708"/>
        <v>#REF!</v>
      </c>
      <c r="AR176" s="207">
        <f t="shared" ca="1" si="688"/>
        <v>0</v>
      </c>
      <c r="AS176" s="120">
        <f t="shared" ca="1" si="689"/>
        <v>0</v>
      </c>
      <c r="AT176" s="206" t="e">
        <f t="shared" ca="1" si="709"/>
        <v>#REF!</v>
      </c>
    </row>
    <row r="177" spans="1:55" s="189" customFormat="1" x14ac:dyDescent="0.3">
      <c r="A177" s="153" t="s">
        <v>726</v>
      </c>
      <c r="B177" s="154">
        <v>636004377</v>
      </c>
      <c r="C177" s="153" t="s">
        <v>1104</v>
      </c>
      <c r="D177" s="145" t="str">
        <f t="shared" si="591"/>
        <v>LAD/MAA</v>
      </c>
      <c r="E177" s="154">
        <v>30059721</v>
      </c>
      <c r="F177" s="155" t="str">
        <f>"MD11-A-"&amp;A177&amp;"-"&amp;C177&amp;"-"&amp;5</f>
        <v>MD11-A-LAD-MAA-5</v>
      </c>
      <c r="G177" s="154">
        <v>146160000</v>
      </c>
      <c r="H177" s="116"/>
      <c r="I177" s="206">
        <v>0</v>
      </c>
      <c r="J177" s="206">
        <v>0</v>
      </c>
      <c r="K177" s="206">
        <v>0</v>
      </c>
      <c r="L177" s="53"/>
      <c r="M177" s="53"/>
      <c r="N177" s="116"/>
      <c r="O177" s="140"/>
      <c r="P177" s="133">
        <f>SUMIFS(GestionLignesDemande!D$4:D$1000,GestionLignesDemande!$B$4:$B$1000,ROI_Avions!$A177,GestionLignesDemande!$C$4:$C$1000,ROI_Avions!$C177)</f>
        <v>0</v>
      </c>
      <c r="Q177" s="133">
        <f>SUMIFS(GestionLignesDemande!E$4:E$1000,GestionLignesDemande!$B$4:$B$1000,ROI_Avions!$A177,GestionLignesDemande!$C$4:$C$1000,ROI_Avions!$C177)</f>
        <v>0</v>
      </c>
      <c r="R177" s="133">
        <f>SUMIFS(GestionLignesDemande!F$4:F$1000,GestionLignesDemande!$B$4:$B$1000,ROI_Avions!$A177,GestionLignesDemande!$C$4:$C$1000,ROI_Avions!$C177)</f>
        <v>0</v>
      </c>
      <c r="S177" s="133">
        <f>SUMIFS(GestionLignesDemande!G$4:G$1000,GestionLignesDemande!$B$4:$B$1000,ROI_Avions!$A177,GestionLignesDemande!$C$4:$C$1000,ROI_Avions!$C177)</f>
        <v>0</v>
      </c>
      <c r="T177" s="116"/>
      <c r="U177" s="8">
        <f t="shared" si="1"/>
        <v>402</v>
      </c>
      <c r="V177" s="206">
        <v>386</v>
      </c>
      <c r="W177" s="206">
        <v>11</v>
      </c>
      <c r="X177" s="206">
        <v>1</v>
      </c>
      <c r="Y177" s="206">
        <v>4</v>
      </c>
      <c r="Z177" s="116"/>
      <c r="AA177" s="132">
        <f t="shared" si="718"/>
        <v>-3860</v>
      </c>
      <c r="AB177" s="132">
        <f t="shared" si="719"/>
        <v>-110</v>
      </c>
      <c r="AC177" s="132">
        <f t="shared" si="720"/>
        <v>-10</v>
      </c>
      <c r="AD177" s="132">
        <f t="shared" si="721"/>
        <v>-48</v>
      </c>
      <c r="AE177" s="116"/>
      <c r="AF177" s="26">
        <f>SUMIFS(DataPrixBillets!N$1:N$1000,DataPrixBillets!$J$1:$J$1000,ROI_Avions!$A177,DataPrixBillets!$K$1:$K$1000,ROI_Avions!$C177)</f>
        <v>0</v>
      </c>
      <c r="AG177" s="26">
        <f>SUMIFS(DataPrixBillets!O$1:O$1000,DataPrixBillets!$J$1:$J$1000,ROI_Avions!$A177,DataPrixBillets!$K$1:$K$1000,ROI_Avions!$C177)</f>
        <v>0</v>
      </c>
      <c r="AH177" s="26">
        <f>SUMIFS(DataPrixBillets!P$1:P$1000,DataPrixBillets!$J$1:$J$1000,ROI_Avions!$A177,DataPrixBillets!$K$1:$K$1000,ROI_Avions!$C177)</f>
        <v>0</v>
      </c>
      <c r="AI177" s="26">
        <f>SUMIFS(DataPrixBillets!Q$1:Q$1000,DataPrixBillets!$J$1:$J$1000,ROI_Avions!$A177,DataPrixBillets!$K$1:$K$1000,ROI_Avions!$C177)</f>
        <v>0</v>
      </c>
      <c r="AJ177" s="116"/>
      <c r="AK177" s="206">
        <f t="shared" si="702"/>
        <v>0</v>
      </c>
      <c r="AL177" s="206" t="e">
        <f t="shared" ca="1" si="703"/>
        <v>#REF!</v>
      </c>
      <c r="AM177" s="206" t="e">
        <f t="shared" ca="1" si="704"/>
        <v>#REF!</v>
      </c>
      <c r="AN177" s="206" t="e">
        <f t="shared" ca="1" si="705"/>
        <v>#REF!</v>
      </c>
      <c r="AO177" s="206" t="e">
        <f t="shared" ca="1" si="706"/>
        <v>#REF!</v>
      </c>
      <c r="AP177" s="206" t="e">
        <f t="shared" ca="1" si="707"/>
        <v>#REF!</v>
      </c>
      <c r="AQ177" s="206" t="e">
        <f t="shared" ca="1" si="708"/>
        <v>#REF!</v>
      </c>
      <c r="AR177" s="207">
        <f t="shared" ca="1" si="688"/>
        <v>0</v>
      </c>
      <c r="AS177" s="120">
        <f t="shared" ca="1" si="689"/>
        <v>0</v>
      </c>
      <c r="AT177" s="206" t="e">
        <f t="shared" ca="1" si="709"/>
        <v>#REF!</v>
      </c>
    </row>
    <row r="178" spans="1:55" s="189" customFormat="1" x14ac:dyDescent="0.3">
      <c r="A178" s="153" t="s">
        <v>726</v>
      </c>
      <c r="B178" s="154">
        <v>636004377</v>
      </c>
      <c r="C178" s="153" t="s">
        <v>1104</v>
      </c>
      <c r="D178" s="145" t="str">
        <f t="shared" si="591"/>
        <v>LAD/MAA</v>
      </c>
      <c r="E178" s="154">
        <v>30059721</v>
      </c>
      <c r="F178" s="155" t="str">
        <f>"MD11-A-"&amp;A178&amp;"-"&amp;C178&amp;"-"&amp;6</f>
        <v>MD11-A-LAD-MAA-6</v>
      </c>
      <c r="G178" s="154">
        <v>146160000</v>
      </c>
      <c r="H178" s="116"/>
      <c r="I178" s="206">
        <v>0</v>
      </c>
      <c r="J178" s="206">
        <v>0</v>
      </c>
      <c r="K178" s="206">
        <v>0</v>
      </c>
      <c r="L178" s="53"/>
      <c r="M178" s="53"/>
      <c r="N178" s="116"/>
      <c r="O178" s="140"/>
      <c r="P178" s="133">
        <f>SUMIFS(GestionLignesDemande!D$4:D$1000,GestionLignesDemande!$B$4:$B$1000,ROI_Avions!$A178,GestionLignesDemande!$C$4:$C$1000,ROI_Avions!$C178)</f>
        <v>0</v>
      </c>
      <c r="Q178" s="133">
        <f>SUMIFS(GestionLignesDemande!E$4:E$1000,GestionLignesDemande!$B$4:$B$1000,ROI_Avions!$A178,GestionLignesDemande!$C$4:$C$1000,ROI_Avions!$C178)</f>
        <v>0</v>
      </c>
      <c r="R178" s="133">
        <f>SUMIFS(GestionLignesDemande!F$4:F$1000,GestionLignesDemande!$B$4:$B$1000,ROI_Avions!$A178,GestionLignesDemande!$C$4:$C$1000,ROI_Avions!$C178)</f>
        <v>0</v>
      </c>
      <c r="S178" s="133">
        <f>SUMIFS(GestionLignesDemande!G$4:G$1000,GestionLignesDemande!$B$4:$B$1000,ROI_Avions!$A178,GestionLignesDemande!$C$4:$C$1000,ROI_Avions!$C178)</f>
        <v>0</v>
      </c>
      <c r="T178" s="116"/>
      <c r="U178" s="8">
        <f t="shared" si="1"/>
        <v>399</v>
      </c>
      <c r="V178" s="206">
        <v>380</v>
      </c>
      <c r="W178" s="206">
        <v>14</v>
      </c>
      <c r="X178" s="206">
        <v>1</v>
      </c>
      <c r="Y178" s="206">
        <v>4</v>
      </c>
      <c r="Z178" s="116"/>
      <c r="AA178" s="132">
        <f t="shared" si="718"/>
        <v>-4620</v>
      </c>
      <c r="AB178" s="132">
        <f t="shared" si="719"/>
        <v>-138</v>
      </c>
      <c r="AC178" s="132">
        <f t="shared" si="720"/>
        <v>-12</v>
      </c>
      <c r="AD178" s="132">
        <f t="shared" si="721"/>
        <v>-56</v>
      </c>
      <c r="AE178" s="116"/>
      <c r="AF178" s="26">
        <f>SUMIFS(DataPrixBillets!N$1:N$1000,DataPrixBillets!$J$1:$J$1000,ROI_Avions!$A178,DataPrixBillets!$K$1:$K$1000,ROI_Avions!$C178)</f>
        <v>0</v>
      </c>
      <c r="AG178" s="26">
        <f>SUMIFS(DataPrixBillets!O$1:O$1000,DataPrixBillets!$J$1:$J$1000,ROI_Avions!$A178,DataPrixBillets!$K$1:$K$1000,ROI_Avions!$C178)</f>
        <v>0</v>
      </c>
      <c r="AH178" s="26">
        <f>SUMIFS(DataPrixBillets!P$1:P$1000,DataPrixBillets!$J$1:$J$1000,ROI_Avions!$A178,DataPrixBillets!$K$1:$K$1000,ROI_Avions!$C178)</f>
        <v>0</v>
      </c>
      <c r="AI178" s="26">
        <f>SUMIFS(DataPrixBillets!Q$1:Q$1000,DataPrixBillets!$J$1:$J$1000,ROI_Avions!$A178,DataPrixBillets!$K$1:$K$1000,ROI_Avions!$C178)</f>
        <v>0</v>
      </c>
      <c r="AJ178" s="116"/>
      <c r="AK178" s="206">
        <f t="shared" si="702"/>
        <v>0</v>
      </c>
      <c r="AL178" s="206" t="e">
        <f t="shared" ca="1" si="703"/>
        <v>#REF!</v>
      </c>
      <c r="AM178" s="206" t="e">
        <f t="shared" ca="1" si="704"/>
        <v>#REF!</v>
      </c>
      <c r="AN178" s="206" t="e">
        <f t="shared" ca="1" si="705"/>
        <v>#REF!</v>
      </c>
      <c r="AO178" s="206" t="e">
        <f t="shared" ca="1" si="706"/>
        <v>#REF!</v>
      </c>
      <c r="AP178" s="206" t="e">
        <f t="shared" ca="1" si="707"/>
        <v>#REF!</v>
      </c>
      <c r="AQ178" s="206" t="e">
        <f t="shared" ca="1" si="708"/>
        <v>#REF!</v>
      </c>
      <c r="AR178" s="207">
        <f t="shared" ca="1" si="688"/>
        <v>0</v>
      </c>
      <c r="AS178" s="120">
        <f t="shared" ca="1" si="689"/>
        <v>0</v>
      </c>
      <c r="AT178" s="206" t="e">
        <f t="shared" ca="1" si="709"/>
        <v>#REF!</v>
      </c>
    </row>
    <row r="179" spans="1:55" s="204" customFormat="1" x14ac:dyDescent="0.3">
      <c r="A179" s="153" t="s">
        <v>726</v>
      </c>
      <c r="B179" s="154">
        <v>636004377</v>
      </c>
      <c r="C179" s="153" t="s">
        <v>1102</v>
      </c>
      <c r="D179" s="145" t="str">
        <f t="shared" si="591"/>
        <v>LAD/AMD</v>
      </c>
      <c r="E179" s="154">
        <v>33920684</v>
      </c>
      <c r="F179" s="155" t="str">
        <f>"MD11-A-"&amp;A179&amp;"-"&amp;C179&amp;"-"&amp;1</f>
        <v>MD11-A-LAD-AMD-1</v>
      </c>
      <c r="G179" s="154">
        <v>146160000</v>
      </c>
      <c r="H179" s="116"/>
      <c r="I179" s="206">
        <v>0</v>
      </c>
      <c r="J179" s="206">
        <v>0</v>
      </c>
      <c r="K179" s="206">
        <v>0</v>
      </c>
      <c r="L179" s="53"/>
      <c r="M179" s="53"/>
      <c r="N179" s="116"/>
      <c r="O179" s="140"/>
      <c r="P179" s="133">
        <f>SUMIFS(GestionLignesDemande!D$4:D$1000,GestionLignesDemande!$B$4:$B$1000,ROI_Avions!$A179,GestionLignesDemande!$C$4:$C$1000,ROI_Avions!$C179)</f>
        <v>0</v>
      </c>
      <c r="Q179" s="133">
        <f>SUMIFS(GestionLignesDemande!E$4:E$1000,GestionLignesDemande!$B$4:$B$1000,ROI_Avions!$A179,GestionLignesDemande!$C$4:$C$1000,ROI_Avions!$C179)</f>
        <v>0</v>
      </c>
      <c r="R179" s="133">
        <f>SUMIFS(GestionLignesDemande!F$4:F$1000,GestionLignesDemande!$B$4:$B$1000,ROI_Avions!$A179,GestionLignesDemande!$C$4:$C$1000,ROI_Avions!$C179)</f>
        <v>0</v>
      </c>
      <c r="S179" s="133">
        <f>SUMIFS(GestionLignesDemande!G$4:G$1000,GestionLignesDemande!$B$4:$B$1000,ROI_Avions!$A179,GestionLignesDemande!$C$4:$C$1000,ROI_Avions!$C179)</f>
        <v>0</v>
      </c>
      <c r="T179" s="116"/>
      <c r="U179" s="206">
        <f t="shared" si="1"/>
        <v>403</v>
      </c>
      <c r="V179" s="206">
        <v>386</v>
      </c>
      <c r="W179" s="206">
        <v>11</v>
      </c>
      <c r="X179" s="206">
        <v>1</v>
      </c>
      <c r="Y179" s="206">
        <v>5</v>
      </c>
      <c r="Z179" s="116"/>
      <c r="AA179" s="132">
        <f t="shared" ref="AA179" si="722">P179-(V179*2)</f>
        <v>-772</v>
      </c>
      <c r="AB179" s="132">
        <f t="shared" ref="AB179" si="723">Q179-(W179*2)</f>
        <v>-22</v>
      </c>
      <c r="AC179" s="132">
        <f t="shared" ref="AC179" si="724">R179-(X179*2)</f>
        <v>-2</v>
      </c>
      <c r="AD179" s="132">
        <f t="shared" ref="AD179" si="725">S179-(Y179*2)</f>
        <v>-10</v>
      </c>
      <c r="AE179" s="116"/>
      <c r="AF179" s="26">
        <f>SUMIFS(DataPrixBillets!N$1:N$1000,DataPrixBillets!$J$1:$J$1000,ROI_Avions!$A179,DataPrixBillets!$K$1:$K$1000,ROI_Avions!$C179)</f>
        <v>0</v>
      </c>
      <c r="AG179" s="26">
        <f>SUMIFS(DataPrixBillets!O$1:O$1000,DataPrixBillets!$J$1:$J$1000,ROI_Avions!$A179,DataPrixBillets!$K$1:$K$1000,ROI_Avions!$C179)</f>
        <v>0</v>
      </c>
      <c r="AH179" s="26">
        <f>SUMIFS(DataPrixBillets!P$1:P$1000,DataPrixBillets!$J$1:$J$1000,ROI_Avions!$A179,DataPrixBillets!$K$1:$K$1000,ROI_Avions!$C179)</f>
        <v>0</v>
      </c>
      <c r="AI179" s="26">
        <f>SUMIFS(DataPrixBillets!Q$1:Q$1000,DataPrixBillets!$J$1:$J$1000,ROI_Avions!$A179,DataPrixBillets!$K$1:$K$1000,ROI_Avions!$C179)</f>
        <v>0</v>
      </c>
      <c r="AJ179" s="116"/>
      <c r="AK179" s="206">
        <f t="shared" si="702"/>
        <v>0</v>
      </c>
      <c r="AL179" s="206" t="e">
        <f t="shared" ca="1" si="703"/>
        <v>#REF!</v>
      </c>
      <c r="AM179" s="206" t="e">
        <f t="shared" ca="1" si="704"/>
        <v>#REF!</v>
      </c>
      <c r="AN179" s="206" t="e">
        <f t="shared" ca="1" si="705"/>
        <v>#REF!</v>
      </c>
      <c r="AO179" s="206" t="e">
        <f t="shared" ca="1" si="706"/>
        <v>#REF!</v>
      </c>
      <c r="AP179" s="206" t="e">
        <f t="shared" ca="1" si="707"/>
        <v>#REF!</v>
      </c>
      <c r="AQ179" s="206" t="e">
        <f t="shared" ca="1" si="708"/>
        <v>#REF!</v>
      </c>
      <c r="AR179" s="207">
        <f t="shared" ca="1" si="688"/>
        <v>0</v>
      </c>
      <c r="AS179" s="120">
        <f t="shared" ca="1" si="689"/>
        <v>0</v>
      </c>
      <c r="AT179" s="206" t="e">
        <f t="shared" ca="1" si="709"/>
        <v>#REF!</v>
      </c>
      <c r="AV179" s="189"/>
      <c r="AW179" s="189"/>
      <c r="AX179" s="189"/>
      <c r="AY179" s="189"/>
      <c r="BA179" s="189"/>
      <c r="BB179" s="189"/>
      <c r="BC179" s="189"/>
    </row>
    <row r="180" spans="1:55" s="204" customFormat="1" x14ac:dyDescent="0.3">
      <c r="A180" s="153" t="s">
        <v>726</v>
      </c>
      <c r="B180" s="154">
        <v>636004377</v>
      </c>
      <c r="C180" s="153" t="s">
        <v>1102</v>
      </c>
      <c r="D180" s="145" t="str">
        <f t="shared" si="591"/>
        <v>LAD/AMD</v>
      </c>
      <c r="E180" s="154">
        <v>33920684</v>
      </c>
      <c r="F180" s="155" t="str">
        <f>"MD11-A-"&amp;A180&amp;"-"&amp;C180&amp;"-"&amp;2</f>
        <v>MD11-A-LAD-AMD-2</v>
      </c>
      <c r="G180" s="154">
        <v>146160000</v>
      </c>
      <c r="H180" s="116"/>
      <c r="I180" s="206">
        <v>0</v>
      </c>
      <c r="J180" s="206">
        <v>0</v>
      </c>
      <c r="K180" s="206">
        <v>0</v>
      </c>
      <c r="L180" s="53"/>
      <c r="M180" s="53"/>
      <c r="N180" s="116"/>
      <c r="O180" s="140"/>
      <c r="P180" s="133">
        <f>SUMIFS(GestionLignesDemande!D$4:D$1000,GestionLignesDemande!$B$4:$B$1000,ROI_Avions!$A180,GestionLignesDemande!$C$4:$C$1000,ROI_Avions!$C180)</f>
        <v>0</v>
      </c>
      <c r="Q180" s="133">
        <f>SUMIFS(GestionLignesDemande!E$4:E$1000,GestionLignesDemande!$B$4:$B$1000,ROI_Avions!$A180,GestionLignesDemande!$C$4:$C$1000,ROI_Avions!$C180)</f>
        <v>0</v>
      </c>
      <c r="R180" s="133">
        <f>SUMIFS(GestionLignesDemande!F$4:F$1000,GestionLignesDemande!$B$4:$B$1000,ROI_Avions!$A180,GestionLignesDemande!$C$4:$C$1000,ROI_Avions!$C180)</f>
        <v>0</v>
      </c>
      <c r="S180" s="133">
        <f>SUMIFS(GestionLignesDemande!G$4:G$1000,GestionLignesDemande!$B$4:$B$1000,ROI_Avions!$A180,GestionLignesDemande!$C$4:$C$1000,ROI_Avions!$C180)</f>
        <v>0</v>
      </c>
      <c r="T180" s="116"/>
      <c r="U180" s="206">
        <f t="shared" si="1"/>
        <v>403</v>
      </c>
      <c r="V180" s="206">
        <v>386</v>
      </c>
      <c r="W180" s="206">
        <v>11</v>
      </c>
      <c r="X180" s="206">
        <v>1</v>
      </c>
      <c r="Y180" s="206">
        <v>5</v>
      </c>
      <c r="Z180" s="116"/>
      <c r="AA180" s="132">
        <f t="shared" ref="AA180:AA183" si="726">AA179-V180*2</f>
        <v>-1544</v>
      </c>
      <c r="AB180" s="132">
        <f t="shared" ref="AB180:AB183" si="727">AB179-W180*2</f>
        <v>-44</v>
      </c>
      <c r="AC180" s="132">
        <f t="shared" ref="AC180:AC183" si="728">AC179-X180*2</f>
        <v>-4</v>
      </c>
      <c r="AD180" s="132">
        <f t="shared" ref="AD180:AD183" si="729">AD179-Y180*2</f>
        <v>-20</v>
      </c>
      <c r="AE180" s="116"/>
      <c r="AF180" s="26">
        <f>SUMIFS(DataPrixBillets!N$1:N$1000,DataPrixBillets!$J$1:$J$1000,ROI_Avions!$A180,DataPrixBillets!$K$1:$K$1000,ROI_Avions!$C180)</f>
        <v>0</v>
      </c>
      <c r="AG180" s="26">
        <f>SUMIFS(DataPrixBillets!O$1:O$1000,DataPrixBillets!$J$1:$J$1000,ROI_Avions!$A180,DataPrixBillets!$K$1:$K$1000,ROI_Avions!$C180)</f>
        <v>0</v>
      </c>
      <c r="AH180" s="26">
        <f>SUMIFS(DataPrixBillets!P$1:P$1000,DataPrixBillets!$J$1:$J$1000,ROI_Avions!$A180,DataPrixBillets!$K$1:$K$1000,ROI_Avions!$C180)</f>
        <v>0</v>
      </c>
      <c r="AI180" s="26">
        <f>SUMIFS(DataPrixBillets!Q$1:Q$1000,DataPrixBillets!$J$1:$J$1000,ROI_Avions!$A180,DataPrixBillets!$K$1:$K$1000,ROI_Avions!$C180)</f>
        <v>0</v>
      </c>
      <c r="AJ180" s="116"/>
      <c r="AK180" s="206">
        <f t="shared" si="702"/>
        <v>0</v>
      </c>
      <c r="AL180" s="206" t="e">
        <f t="shared" ca="1" si="703"/>
        <v>#REF!</v>
      </c>
      <c r="AM180" s="206" t="e">
        <f t="shared" ca="1" si="704"/>
        <v>#REF!</v>
      </c>
      <c r="AN180" s="206" t="e">
        <f t="shared" ca="1" si="705"/>
        <v>#REF!</v>
      </c>
      <c r="AO180" s="206" t="e">
        <f t="shared" ca="1" si="706"/>
        <v>#REF!</v>
      </c>
      <c r="AP180" s="206" t="e">
        <f t="shared" ca="1" si="707"/>
        <v>#REF!</v>
      </c>
      <c r="AQ180" s="206" t="e">
        <f t="shared" ca="1" si="708"/>
        <v>#REF!</v>
      </c>
      <c r="AR180" s="207">
        <f t="shared" ca="1" si="688"/>
        <v>0</v>
      </c>
      <c r="AS180" s="120">
        <f t="shared" ca="1" si="689"/>
        <v>0</v>
      </c>
      <c r="AT180" s="206" t="e">
        <f t="shared" ca="1" si="709"/>
        <v>#REF!</v>
      </c>
      <c r="AV180" s="189"/>
      <c r="AW180" s="189"/>
      <c r="AX180" s="189"/>
      <c r="AY180" s="189"/>
      <c r="BA180" s="189"/>
      <c r="BB180" s="189"/>
      <c r="BC180" s="189"/>
    </row>
    <row r="181" spans="1:55" s="204" customFormat="1" x14ac:dyDescent="0.3">
      <c r="A181" s="153" t="s">
        <v>726</v>
      </c>
      <c r="B181" s="154">
        <v>636004377</v>
      </c>
      <c r="C181" s="153" t="s">
        <v>1102</v>
      </c>
      <c r="D181" s="145" t="str">
        <f t="shared" si="591"/>
        <v>LAD/AMD</v>
      </c>
      <c r="E181" s="154">
        <v>33920684</v>
      </c>
      <c r="F181" s="155" t="str">
        <f>"MD11-A-"&amp;A181&amp;"-"&amp;C181&amp;"-"&amp;3</f>
        <v>MD11-A-LAD-AMD-3</v>
      </c>
      <c r="G181" s="154">
        <v>146160000</v>
      </c>
      <c r="H181" s="116"/>
      <c r="I181" s="206">
        <v>0</v>
      </c>
      <c r="J181" s="206">
        <v>0</v>
      </c>
      <c r="K181" s="206">
        <v>0</v>
      </c>
      <c r="L181" s="53"/>
      <c r="M181" s="53"/>
      <c r="N181" s="116"/>
      <c r="O181" s="140"/>
      <c r="P181" s="133">
        <f>SUMIFS(GestionLignesDemande!D$4:D$1000,GestionLignesDemande!$B$4:$B$1000,ROI_Avions!$A181,GestionLignesDemande!$C$4:$C$1000,ROI_Avions!$C181)</f>
        <v>0</v>
      </c>
      <c r="Q181" s="133">
        <f>SUMIFS(GestionLignesDemande!E$4:E$1000,GestionLignesDemande!$B$4:$B$1000,ROI_Avions!$A181,GestionLignesDemande!$C$4:$C$1000,ROI_Avions!$C181)</f>
        <v>0</v>
      </c>
      <c r="R181" s="133">
        <f>SUMIFS(GestionLignesDemande!F$4:F$1000,GestionLignesDemande!$B$4:$B$1000,ROI_Avions!$A181,GestionLignesDemande!$C$4:$C$1000,ROI_Avions!$C181)</f>
        <v>0</v>
      </c>
      <c r="S181" s="133">
        <f>SUMIFS(GestionLignesDemande!G$4:G$1000,GestionLignesDemande!$B$4:$B$1000,ROI_Avions!$A181,GestionLignesDemande!$C$4:$C$1000,ROI_Avions!$C181)</f>
        <v>0</v>
      </c>
      <c r="T181" s="116"/>
      <c r="U181" s="206">
        <f t="shared" si="1"/>
        <v>403</v>
      </c>
      <c r="V181" s="206">
        <v>386</v>
      </c>
      <c r="W181" s="206">
        <v>11</v>
      </c>
      <c r="X181" s="206">
        <v>1</v>
      </c>
      <c r="Y181" s="206">
        <v>5</v>
      </c>
      <c r="Z181" s="116"/>
      <c r="AA181" s="132">
        <f t="shared" si="726"/>
        <v>-2316</v>
      </c>
      <c r="AB181" s="132">
        <f t="shared" si="727"/>
        <v>-66</v>
      </c>
      <c r="AC181" s="132">
        <f t="shared" si="728"/>
        <v>-6</v>
      </c>
      <c r="AD181" s="132">
        <f t="shared" si="729"/>
        <v>-30</v>
      </c>
      <c r="AE181" s="116"/>
      <c r="AF181" s="26">
        <f>SUMIFS(DataPrixBillets!N$1:N$1000,DataPrixBillets!$J$1:$J$1000,ROI_Avions!$A181,DataPrixBillets!$K$1:$K$1000,ROI_Avions!$C181)</f>
        <v>0</v>
      </c>
      <c r="AG181" s="26">
        <f>SUMIFS(DataPrixBillets!O$1:O$1000,DataPrixBillets!$J$1:$J$1000,ROI_Avions!$A181,DataPrixBillets!$K$1:$K$1000,ROI_Avions!$C181)</f>
        <v>0</v>
      </c>
      <c r="AH181" s="26">
        <f>SUMIFS(DataPrixBillets!P$1:P$1000,DataPrixBillets!$J$1:$J$1000,ROI_Avions!$A181,DataPrixBillets!$K$1:$K$1000,ROI_Avions!$C181)</f>
        <v>0</v>
      </c>
      <c r="AI181" s="26">
        <f>SUMIFS(DataPrixBillets!Q$1:Q$1000,DataPrixBillets!$J$1:$J$1000,ROI_Avions!$A181,DataPrixBillets!$K$1:$K$1000,ROI_Avions!$C181)</f>
        <v>0</v>
      </c>
      <c r="AJ181" s="116"/>
      <c r="AK181" s="206">
        <f t="shared" si="702"/>
        <v>0</v>
      </c>
      <c r="AL181" s="206" t="e">
        <f t="shared" ca="1" si="703"/>
        <v>#REF!</v>
      </c>
      <c r="AM181" s="206" t="e">
        <f t="shared" ca="1" si="704"/>
        <v>#REF!</v>
      </c>
      <c r="AN181" s="206" t="e">
        <f t="shared" ca="1" si="705"/>
        <v>#REF!</v>
      </c>
      <c r="AO181" s="206" t="e">
        <f t="shared" ca="1" si="706"/>
        <v>#REF!</v>
      </c>
      <c r="AP181" s="206" t="e">
        <f t="shared" ca="1" si="707"/>
        <v>#REF!</v>
      </c>
      <c r="AQ181" s="206" t="e">
        <f t="shared" ca="1" si="708"/>
        <v>#REF!</v>
      </c>
      <c r="AR181" s="207">
        <f t="shared" ca="1" si="688"/>
        <v>0</v>
      </c>
      <c r="AS181" s="120">
        <f t="shared" ca="1" si="689"/>
        <v>0</v>
      </c>
      <c r="AT181" s="206" t="e">
        <f t="shared" ca="1" si="709"/>
        <v>#REF!</v>
      </c>
      <c r="AV181" s="189"/>
      <c r="AW181" s="189"/>
      <c r="AX181" s="189"/>
      <c r="AY181" s="189"/>
      <c r="BA181" s="189"/>
      <c r="BB181" s="189"/>
      <c r="BC181" s="189"/>
    </row>
    <row r="182" spans="1:55" s="204" customFormat="1" x14ac:dyDescent="0.3">
      <c r="A182" s="153" t="s">
        <v>726</v>
      </c>
      <c r="B182" s="154">
        <v>636004377</v>
      </c>
      <c r="C182" s="153" t="s">
        <v>1102</v>
      </c>
      <c r="D182" s="145" t="str">
        <f t="shared" si="591"/>
        <v>LAD/AMD</v>
      </c>
      <c r="E182" s="154">
        <v>33920684</v>
      </c>
      <c r="F182" s="155" t="str">
        <f>"MD11-A-"&amp;A182&amp;"-"&amp;C182&amp;"-"&amp;4</f>
        <v>MD11-A-LAD-AMD-4</v>
      </c>
      <c r="G182" s="154">
        <v>146160000</v>
      </c>
      <c r="H182" s="116"/>
      <c r="I182" s="206">
        <v>0</v>
      </c>
      <c r="J182" s="206">
        <v>0</v>
      </c>
      <c r="K182" s="206">
        <v>0</v>
      </c>
      <c r="L182" s="53"/>
      <c r="M182" s="53"/>
      <c r="N182" s="116"/>
      <c r="O182" s="140"/>
      <c r="P182" s="133">
        <f>SUMIFS(GestionLignesDemande!D$4:D$1000,GestionLignesDemande!$B$4:$B$1000,ROI_Avions!$A182,GestionLignesDemande!$C$4:$C$1000,ROI_Avions!$C182)</f>
        <v>0</v>
      </c>
      <c r="Q182" s="133">
        <f>SUMIFS(GestionLignesDemande!E$4:E$1000,GestionLignesDemande!$B$4:$B$1000,ROI_Avions!$A182,GestionLignesDemande!$C$4:$C$1000,ROI_Avions!$C182)</f>
        <v>0</v>
      </c>
      <c r="R182" s="133">
        <f>SUMIFS(GestionLignesDemande!F$4:F$1000,GestionLignesDemande!$B$4:$B$1000,ROI_Avions!$A182,GestionLignesDemande!$C$4:$C$1000,ROI_Avions!$C182)</f>
        <v>0</v>
      </c>
      <c r="S182" s="133">
        <f>SUMIFS(GestionLignesDemande!G$4:G$1000,GestionLignesDemande!$B$4:$B$1000,ROI_Avions!$A182,GestionLignesDemande!$C$4:$C$1000,ROI_Avions!$C182)</f>
        <v>0</v>
      </c>
      <c r="T182" s="116"/>
      <c r="U182" s="206">
        <f t="shared" si="1"/>
        <v>403</v>
      </c>
      <c r="V182" s="206">
        <v>386</v>
      </c>
      <c r="W182" s="206">
        <v>11</v>
      </c>
      <c r="X182" s="206">
        <v>1</v>
      </c>
      <c r="Y182" s="206">
        <v>5</v>
      </c>
      <c r="Z182" s="116"/>
      <c r="AA182" s="132">
        <f t="shared" si="726"/>
        <v>-3088</v>
      </c>
      <c r="AB182" s="132">
        <f t="shared" si="727"/>
        <v>-88</v>
      </c>
      <c r="AC182" s="132">
        <f t="shared" si="728"/>
        <v>-8</v>
      </c>
      <c r="AD182" s="132">
        <f t="shared" si="729"/>
        <v>-40</v>
      </c>
      <c r="AE182" s="116"/>
      <c r="AF182" s="26">
        <f>SUMIFS(DataPrixBillets!N$1:N$1000,DataPrixBillets!$J$1:$J$1000,ROI_Avions!$A182,DataPrixBillets!$K$1:$K$1000,ROI_Avions!$C182)</f>
        <v>0</v>
      </c>
      <c r="AG182" s="26">
        <f>SUMIFS(DataPrixBillets!O$1:O$1000,DataPrixBillets!$J$1:$J$1000,ROI_Avions!$A182,DataPrixBillets!$K$1:$K$1000,ROI_Avions!$C182)</f>
        <v>0</v>
      </c>
      <c r="AH182" s="26">
        <f>SUMIFS(DataPrixBillets!P$1:P$1000,DataPrixBillets!$J$1:$J$1000,ROI_Avions!$A182,DataPrixBillets!$K$1:$K$1000,ROI_Avions!$C182)</f>
        <v>0</v>
      </c>
      <c r="AI182" s="26">
        <f>SUMIFS(DataPrixBillets!Q$1:Q$1000,DataPrixBillets!$J$1:$J$1000,ROI_Avions!$A182,DataPrixBillets!$K$1:$K$1000,ROI_Avions!$C182)</f>
        <v>0</v>
      </c>
      <c r="AJ182" s="116"/>
      <c r="AK182" s="206">
        <f t="shared" si="702"/>
        <v>0</v>
      </c>
      <c r="AL182" s="206" t="e">
        <f t="shared" ca="1" si="703"/>
        <v>#REF!</v>
      </c>
      <c r="AM182" s="206" t="e">
        <f t="shared" ca="1" si="704"/>
        <v>#REF!</v>
      </c>
      <c r="AN182" s="206" t="e">
        <f t="shared" ca="1" si="705"/>
        <v>#REF!</v>
      </c>
      <c r="AO182" s="206" t="e">
        <f t="shared" ca="1" si="706"/>
        <v>#REF!</v>
      </c>
      <c r="AP182" s="206" t="e">
        <f t="shared" ca="1" si="707"/>
        <v>#REF!</v>
      </c>
      <c r="AQ182" s="206" t="e">
        <f t="shared" ca="1" si="708"/>
        <v>#REF!</v>
      </c>
      <c r="AR182" s="207">
        <f t="shared" ca="1" si="688"/>
        <v>0</v>
      </c>
      <c r="AS182" s="120">
        <f t="shared" ca="1" si="689"/>
        <v>0</v>
      </c>
      <c r="AT182" s="206" t="e">
        <f t="shared" ca="1" si="709"/>
        <v>#REF!</v>
      </c>
    </row>
    <row r="183" spans="1:55" s="204" customFormat="1" x14ac:dyDescent="0.3">
      <c r="A183" s="153" t="s">
        <v>726</v>
      </c>
      <c r="B183" s="154">
        <v>636004377</v>
      </c>
      <c r="C183" s="153" t="s">
        <v>1102</v>
      </c>
      <c r="D183" s="145" t="str">
        <f t="shared" si="591"/>
        <v>LAD/AMD</v>
      </c>
      <c r="E183" s="154">
        <v>33920684</v>
      </c>
      <c r="F183" s="155" t="str">
        <f>"MD11-A-"&amp;A183&amp;"-"&amp;C183&amp;"-"&amp;5</f>
        <v>MD11-A-LAD-AMD-5</v>
      </c>
      <c r="G183" s="154">
        <v>146160000</v>
      </c>
      <c r="H183" s="116"/>
      <c r="I183" s="206">
        <v>0</v>
      </c>
      <c r="J183" s="206">
        <v>0</v>
      </c>
      <c r="K183" s="206">
        <v>0</v>
      </c>
      <c r="L183" s="53"/>
      <c r="M183" s="53"/>
      <c r="N183" s="116"/>
      <c r="O183" s="140"/>
      <c r="P183" s="133">
        <f>SUMIFS(GestionLignesDemande!D$4:D$1000,GestionLignesDemande!$B$4:$B$1000,ROI_Avions!$A183,GestionLignesDemande!$C$4:$C$1000,ROI_Avions!$C183)</f>
        <v>0</v>
      </c>
      <c r="Q183" s="133">
        <f>SUMIFS(GestionLignesDemande!E$4:E$1000,GestionLignesDemande!$B$4:$B$1000,ROI_Avions!$A183,GestionLignesDemande!$C$4:$C$1000,ROI_Avions!$C183)</f>
        <v>0</v>
      </c>
      <c r="R183" s="133">
        <f>SUMIFS(GestionLignesDemande!F$4:F$1000,GestionLignesDemande!$B$4:$B$1000,ROI_Avions!$A183,GestionLignesDemande!$C$4:$C$1000,ROI_Avions!$C183)</f>
        <v>0</v>
      </c>
      <c r="S183" s="133">
        <f>SUMIFS(GestionLignesDemande!G$4:G$1000,GestionLignesDemande!$B$4:$B$1000,ROI_Avions!$A183,GestionLignesDemande!$C$4:$C$1000,ROI_Avions!$C183)</f>
        <v>0</v>
      </c>
      <c r="T183" s="116"/>
      <c r="U183" s="206">
        <f t="shared" si="1"/>
        <v>402</v>
      </c>
      <c r="V183" s="206">
        <v>386</v>
      </c>
      <c r="W183" s="206">
        <v>11</v>
      </c>
      <c r="X183" s="206">
        <v>1</v>
      </c>
      <c r="Y183" s="206">
        <v>4</v>
      </c>
      <c r="Z183" s="116"/>
      <c r="AA183" s="132">
        <f t="shared" si="726"/>
        <v>-3860</v>
      </c>
      <c r="AB183" s="132">
        <f t="shared" si="727"/>
        <v>-110</v>
      </c>
      <c r="AC183" s="132">
        <f t="shared" si="728"/>
        <v>-10</v>
      </c>
      <c r="AD183" s="132">
        <f t="shared" si="729"/>
        <v>-48</v>
      </c>
      <c r="AE183" s="116"/>
      <c r="AF183" s="26">
        <f>SUMIFS(DataPrixBillets!N$1:N$1000,DataPrixBillets!$J$1:$J$1000,ROI_Avions!$A183,DataPrixBillets!$K$1:$K$1000,ROI_Avions!$C183)</f>
        <v>0</v>
      </c>
      <c r="AG183" s="26">
        <f>SUMIFS(DataPrixBillets!O$1:O$1000,DataPrixBillets!$J$1:$J$1000,ROI_Avions!$A183,DataPrixBillets!$K$1:$K$1000,ROI_Avions!$C183)</f>
        <v>0</v>
      </c>
      <c r="AH183" s="26">
        <f>SUMIFS(DataPrixBillets!P$1:P$1000,DataPrixBillets!$J$1:$J$1000,ROI_Avions!$A183,DataPrixBillets!$K$1:$K$1000,ROI_Avions!$C183)</f>
        <v>0</v>
      </c>
      <c r="AI183" s="26">
        <f>SUMIFS(DataPrixBillets!Q$1:Q$1000,DataPrixBillets!$J$1:$J$1000,ROI_Avions!$A183,DataPrixBillets!$K$1:$K$1000,ROI_Avions!$C183)</f>
        <v>0</v>
      </c>
      <c r="AJ183" s="116"/>
      <c r="AK183" s="206">
        <f t="shared" si="702"/>
        <v>0</v>
      </c>
      <c r="AL183" s="206" t="e">
        <f t="shared" ca="1" si="703"/>
        <v>#REF!</v>
      </c>
      <c r="AM183" s="206" t="e">
        <f t="shared" ca="1" si="704"/>
        <v>#REF!</v>
      </c>
      <c r="AN183" s="206" t="e">
        <f t="shared" ca="1" si="705"/>
        <v>#REF!</v>
      </c>
      <c r="AO183" s="206" t="e">
        <f t="shared" ca="1" si="706"/>
        <v>#REF!</v>
      </c>
      <c r="AP183" s="206" t="e">
        <f t="shared" ca="1" si="707"/>
        <v>#REF!</v>
      </c>
      <c r="AQ183" s="206" t="e">
        <f t="shared" ca="1" si="708"/>
        <v>#REF!</v>
      </c>
      <c r="AR183" s="207">
        <f t="shared" ca="1" si="688"/>
        <v>0</v>
      </c>
      <c r="AS183" s="120">
        <f t="shared" ca="1" si="689"/>
        <v>0</v>
      </c>
      <c r="AT183" s="206" t="e">
        <f t="shared" ca="1" si="709"/>
        <v>#REF!</v>
      </c>
    </row>
    <row r="184" spans="1:55" s="204" customFormat="1" x14ac:dyDescent="0.3">
      <c r="A184" s="153" t="s">
        <v>726</v>
      </c>
      <c r="B184" s="154">
        <v>636004377</v>
      </c>
      <c r="C184" s="153" t="s">
        <v>1103</v>
      </c>
      <c r="D184" s="145" t="str">
        <f t="shared" si="591"/>
        <v>LAD/HYD</v>
      </c>
      <c r="E184" s="154">
        <v>40034762</v>
      </c>
      <c r="F184" s="155" t="str">
        <f>"MD11-A-"&amp;A184&amp;"-"&amp;C184&amp;"-"&amp;1</f>
        <v>MD11-A-LAD-HYD-1</v>
      </c>
      <c r="G184" s="154">
        <v>146160000</v>
      </c>
      <c r="H184" s="116"/>
      <c r="I184" s="206">
        <v>0</v>
      </c>
      <c r="J184" s="206">
        <v>0</v>
      </c>
      <c r="K184" s="206">
        <v>0</v>
      </c>
      <c r="L184" s="53"/>
      <c r="M184" s="53"/>
      <c r="N184" s="116"/>
      <c r="O184" s="140"/>
      <c r="P184" s="133">
        <f>SUMIFS(GestionLignesDemande!D$4:D$1000,GestionLignesDemande!$B$4:$B$1000,ROI_Avions!$A184,GestionLignesDemande!$C$4:$C$1000,ROI_Avions!$C184)</f>
        <v>0</v>
      </c>
      <c r="Q184" s="133">
        <f>SUMIFS(GestionLignesDemande!E$4:E$1000,GestionLignesDemande!$B$4:$B$1000,ROI_Avions!$A184,GestionLignesDemande!$C$4:$C$1000,ROI_Avions!$C184)</f>
        <v>0</v>
      </c>
      <c r="R184" s="133">
        <f>SUMIFS(GestionLignesDemande!F$4:F$1000,GestionLignesDemande!$B$4:$B$1000,ROI_Avions!$A184,GestionLignesDemande!$C$4:$C$1000,ROI_Avions!$C184)</f>
        <v>0</v>
      </c>
      <c r="S184" s="133">
        <f>SUMIFS(GestionLignesDemande!G$4:G$1000,GestionLignesDemande!$B$4:$B$1000,ROI_Avions!$A184,GestionLignesDemande!$C$4:$C$1000,ROI_Avions!$C184)</f>
        <v>0</v>
      </c>
      <c r="T184" s="116"/>
      <c r="U184" s="206">
        <f t="shared" si="1"/>
        <v>403</v>
      </c>
      <c r="V184" s="206">
        <v>386</v>
      </c>
      <c r="W184" s="206">
        <v>11</v>
      </c>
      <c r="X184" s="206">
        <v>1</v>
      </c>
      <c r="Y184" s="206">
        <v>5</v>
      </c>
      <c r="Z184" s="116"/>
      <c r="AA184" s="132">
        <f t="shared" ref="AA184" si="730">P184-(V184*2)</f>
        <v>-772</v>
      </c>
      <c r="AB184" s="132">
        <f t="shared" ref="AB184" si="731">Q184-(W184*2)</f>
        <v>-22</v>
      </c>
      <c r="AC184" s="132">
        <f t="shared" ref="AC184" si="732">R184-(X184*2)</f>
        <v>-2</v>
      </c>
      <c r="AD184" s="132">
        <f t="shared" ref="AD184" si="733">S184-(Y184*2)</f>
        <v>-10</v>
      </c>
      <c r="AE184" s="116"/>
      <c r="AF184" s="26">
        <f>SUMIFS(DataPrixBillets!N$1:N$1000,DataPrixBillets!$J$1:$J$1000,ROI_Avions!$A184,DataPrixBillets!$K$1:$K$1000,ROI_Avions!$C184)</f>
        <v>0</v>
      </c>
      <c r="AG184" s="26">
        <f>SUMIFS(DataPrixBillets!O$1:O$1000,DataPrixBillets!$J$1:$J$1000,ROI_Avions!$A184,DataPrixBillets!$K$1:$K$1000,ROI_Avions!$C184)</f>
        <v>0</v>
      </c>
      <c r="AH184" s="26">
        <f>SUMIFS(DataPrixBillets!P$1:P$1000,DataPrixBillets!$J$1:$J$1000,ROI_Avions!$A184,DataPrixBillets!$K$1:$K$1000,ROI_Avions!$C184)</f>
        <v>0</v>
      </c>
      <c r="AI184" s="26">
        <f>SUMIFS(DataPrixBillets!Q$1:Q$1000,DataPrixBillets!$J$1:$J$1000,ROI_Avions!$A184,DataPrixBillets!$K$1:$K$1000,ROI_Avions!$C184)</f>
        <v>0</v>
      </c>
      <c r="AJ184" s="116"/>
      <c r="AK184" s="206">
        <f t="shared" si="702"/>
        <v>0</v>
      </c>
      <c r="AL184" s="206" t="e">
        <f t="shared" ca="1" si="703"/>
        <v>#REF!</v>
      </c>
      <c r="AM184" s="206" t="e">
        <f t="shared" ca="1" si="704"/>
        <v>#REF!</v>
      </c>
      <c r="AN184" s="206" t="e">
        <f t="shared" ca="1" si="705"/>
        <v>#REF!</v>
      </c>
      <c r="AO184" s="206" t="e">
        <f t="shared" ca="1" si="706"/>
        <v>#REF!</v>
      </c>
      <c r="AP184" s="206" t="e">
        <f t="shared" ca="1" si="707"/>
        <v>#REF!</v>
      </c>
      <c r="AQ184" s="206" t="e">
        <f t="shared" ca="1" si="708"/>
        <v>#REF!</v>
      </c>
      <c r="AR184" s="207">
        <f t="shared" ca="1" si="688"/>
        <v>0</v>
      </c>
      <c r="AS184" s="120">
        <f t="shared" ca="1" si="689"/>
        <v>0</v>
      </c>
      <c r="AT184" s="206" t="e">
        <f t="shared" ca="1" si="709"/>
        <v>#REF!</v>
      </c>
    </row>
    <row r="185" spans="1:55" s="204" customFormat="1" x14ac:dyDescent="0.3">
      <c r="A185" s="153" t="s">
        <v>726</v>
      </c>
      <c r="B185" s="154">
        <v>636004377</v>
      </c>
      <c r="C185" s="153" t="s">
        <v>1103</v>
      </c>
      <c r="D185" s="145" t="str">
        <f t="shared" si="591"/>
        <v>LAD/HYD</v>
      </c>
      <c r="E185" s="154">
        <v>40034762</v>
      </c>
      <c r="F185" s="155" t="str">
        <f>"MD11-A-"&amp;A185&amp;"-"&amp;C185&amp;"-"&amp;2</f>
        <v>MD11-A-LAD-HYD-2</v>
      </c>
      <c r="G185" s="154">
        <v>146160000</v>
      </c>
      <c r="H185" s="116"/>
      <c r="I185" s="206">
        <v>0</v>
      </c>
      <c r="J185" s="206">
        <v>0</v>
      </c>
      <c r="K185" s="206">
        <v>0</v>
      </c>
      <c r="L185" s="53"/>
      <c r="M185" s="53"/>
      <c r="N185" s="116"/>
      <c r="O185" s="140"/>
      <c r="P185" s="133">
        <f>SUMIFS(GestionLignesDemande!D$4:D$1000,GestionLignesDemande!$B$4:$B$1000,ROI_Avions!$A185,GestionLignesDemande!$C$4:$C$1000,ROI_Avions!$C185)</f>
        <v>0</v>
      </c>
      <c r="Q185" s="133">
        <f>SUMIFS(GestionLignesDemande!E$4:E$1000,GestionLignesDemande!$B$4:$B$1000,ROI_Avions!$A185,GestionLignesDemande!$C$4:$C$1000,ROI_Avions!$C185)</f>
        <v>0</v>
      </c>
      <c r="R185" s="133">
        <f>SUMIFS(GestionLignesDemande!F$4:F$1000,GestionLignesDemande!$B$4:$B$1000,ROI_Avions!$A185,GestionLignesDemande!$C$4:$C$1000,ROI_Avions!$C185)</f>
        <v>0</v>
      </c>
      <c r="S185" s="133">
        <f>SUMIFS(GestionLignesDemande!G$4:G$1000,GestionLignesDemande!$B$4:$B$1000,ROI_Avions!$A185,GestionLignesDemande!$C$4:$C$1000,ROI_Avions!$C185)</f>
        <v>0</v>
      </c>
      <c r="T185" s="116"/>
      <c r="U185" s="206">
        <f t="shared" si="1"/>
        <v>403</v>
      </c>
      <c r="V185" s="206">
        <v>386</v>
      </c>
      <c r="W185" s="206">
        <v>11</v>
      </c>
      <c r="X185" s="206">
        <v>1</v>
      </c>
      <c r="Y185" s="206">
        <v>5</v>
      </c>
      <c r="Z185" s="116"/>
      <c r="AA185" s="132">
        <f t="shared" ref="AA185:AA188" si="734">AA184-V185*2</f>
        <v>-1544</v>
      </c>
      <c r="AB185" s="132">
        <f t="shared" ref="AB185:AB188" si="735">AB184-W185*2</f>
        <v>-44</v>
      </c>
      <c r="AC185" s="132">
        <f t="shared" ref="AC185:AC188" si="736">AC184-X185*2</f>
        <v>-4</v>
      </c>
      <c r="AD185" s="132">
        <f t="shared" ref="AD185:AD188" si="737">AD184-Y185*2</f>
        <v>-20</v>
      </c>
      <c r="AE185" s="116"/>
      <c r="AF185" s="26">
        <f>SUMIFS(DataPrixBillets!N$1:N$1000,DataPrixBillets!$J$1:$J$1000,ROI_Avions!$A185,DataPrixBillets!$K$1:$K$1000,ROI_Avions!$C185)</f>
        <v>0</v>
      </c>
      <c r="AG185" s="26">
        <f>SUMIFS(DataPrixBillets!O$1:O$1000,DataPrixBillets!$J$1:$J$1000,ROI_Avions!$A185,DataPrixBillets!$K$1:$K$1000,ROI_Avions!$C185)</f>
        <v>0</v>
      </c>
      <c r="AH185" s="26">
        <f>SUMIFS(DataPrixBillets!P$1:P$1000,DataPrixBillets!$J$1:$J$1000,ROI_Avions!$A185,DataPrixBillets!$K$1:$K$1000,ROI_Avions!$C185)</f>
        <v>0</v>
      </c>
      <c r="AI185" s="26">
        <f>SUMIFS(DataPrixBillets!Q$1:Q$1000,DataPrixBillets!$J$1:$J$1000,ROI_Avions!$A185,DataPrixBillets!$K$1:$K$1000,ROI_Avions!$C185)</f>
        <v>0</v>
      </c>
      <c r="AJ185" s="116"/>
      <c r="AK185" s="206">
        <f t="shared" si="702"/>
        <v>0</v>
      </c>
      <c r="AL185" s="206" t="e">
        <f t="shared" ca="1" si="703"/>
        <v>#REF!</v>
      </c>
      <c r="AM185" s="206" t="e">
        <f t="shared" ca="1" si="704"/>
        <v>#REF!</v>
      </c>
      <c r="AN185" s="206" t="e">
        <f t="shared" ca="1" si="705"/>
        <v>#REF!</v>
      </c>
      <c r="AO185" s="206" t="e">
        <f t="shared" ca="1" si="706"/>
        <v>#REF!</v>
      </c>
      <c r="AP185" s="206" t="e">
        <f t="shared" ca="1" si="707"/>
        <v>#REF!</v>
      </c>
      <c r="AQ185" s="206" t="e">
        <f t="shared" ca="1" si="708"/>
        <v>#REF!</v>
      </c>
      <c r="AR185" s="207">
        <f t="shared" ca="1" si="688"/>
        <v>0</v>
      </c>
      <c r="AS185" s="120">
        <f t="shared" ca="1" si="689"/>
        <v>0</v>
      </c>
      <c r="AT185" s="206" t="e">
        <f t="shared" ca="1" si="709"/>
        <v>#REF!</v>
      </c>
    </row>
    <row r="186" spans="1:55" s="204" customFormat="1" x14ac:dyDescent="0.3">
      <c r="A186" s="153" t="s">
        <v>726</v>
      </c>
      <c r="B186" s="154">
        <v>636004377</v>
      </c>
      <c r="C186" s="153" t="s">
        <v>1103</v>
      </c>
      <c r="D186" s="145" t="str">
        <f t="shared" si="591"/>
        <v>LAD/HYD</v>
      </c>
      <c r="E186" s="154">
        <v>40034762</v>
      </c>
      <c r="F186" s="155" t="str">
        <f>"MD11-A-"&amp;A186&amp;"-"&amp;C186&amp;"-"&amp;3</f>
        <v>MD11-A-LAD-HYD-3</v>
      </c>
      <c r="G186" s="154">
        <v>146160000</v>
      </c>
      <c r="H186" s="116"/>
      <c r="I186" s="206">
        <v>0</v>
      </c>
      <c r="J186" s="206">
        <v>0</v>
      </c>
      <c r="K186" s="206">
        <v>0</v>
      </c>
      <c r="L186" s="53"/>
      <c r="M186" s="53"/>
      <c r="N186" s="116"/>
      <c r="O186" s="140"/>
      <c r="P186" s="133">
        <f>SUMIFS(GestionLignesDemande!D$4:D$1000,GestionLignesDemande!$B$4:$B$1000,ROI_Avions!$A186,GestionLignesDemande!$C$4:$C$1000,ROI_Avions!$C186)</f>
        <v>0</v>
      </c>
      <c r="Q186" s="133">
        <f>SUMIFS(GestionLignesDemande!E$4:E$1000,GestionLignesDemande!$B$4:$B$1000,ROI_Avions!$A186,GestionLignesDemande!$C$4:$C$1000,ROI_Avions!$C186)</f>
        <v>0</v>
      </c>
      <c r="R186" s="133">
        <f>SUMIFS(GestionLignesDemande!F$4:F$1000,GestionLignesDemande!$B$4:$B$1000,ROI_Avions!$A186,GestionLignesDemande!$C$4:$C$1000,ROI_Avions!$C186)</f>
        <v>0</v>
      </c>
      <c r="S186" s="133">
        <f>SUMIFS(GestionLignesDemande!G$4:G$1000,GestionLignesDemande!$B$4:$B$1000,ROI_Avions!$A186,GestionLignesDemande!$C$4:$C$1000,ROI_Avions!$C186)</f>
        <v>0</v>
      </c>
      <c r="T186" s="116"/>
      <c r="U186" s="206">
        <f t="shared" si="1"/>
        <v>403</v>
      </c>
      <c r="V186" s="206">
        <v>386</v>
      </c>
      <c r="W186" s="206">
        <v>11</v>
      </c>
      <c r="X186" s="206">
        <v>1</v>
      </c>
      <c r="Y186" s="206">
        <v>5</v>
      </c>
      <c r="Z186" s="116"/>
      <c r="AA186" s="132">
        <f t="shared" si="734"/>
        <v>-2316</v>
      </c>
      <c r="AB186" s="132">
        <f t="shared" si="735"/>
        <v>-66</v>
      </c>
      <c r="AC186" s="132">
        <f t="shared" si="736"/>
        <v>-6</v>
      </c>
      <c r="AD186" s="132">
        <f t="shared" si="737"/>
        <v>-30</v>
      </c>
      <c r="AE186" s="116"/>
      <c r="AF186" s="26">
        <f>SUMIFS(DataPrixBillets!N$1:N$1000,DataPrixBillets!$J$1:$J$1000,ROI_Avions!$A186,DataPrixBillets!$K$1:$K$1000,ROI_Avions!$C186)</f>
        <v>0</v>
      </c>
      <c r="AG186" s="26">
        <f>SUMIFS(DataPrixBillets!O$1:O$1000,DataPrixBillets!$J$1:$J$1000,ROI_Avions!$A186,DataPrixBillets!$K$1:$K$1000,ROI_Avions!$C186)</f>
        <v>0</v>
      </c>
      <c r="AH186" s="26">
        <f>SUMIFS(DataPrixBillets!P$1:P$1000,DataPrixBillets!$J$1:$J$1000,ROI_Avions!$A186,DataPrixBillets!$K$1:$K$1000,ROI_Avions!$C186)</f>
        <v>0</v>
      </c>
      <c r="AI186" s="26">
        <f>SUMIFS(DataPrixBillets!Q$1:Q$1000,DataPrixBillets!$J$1:$J$1000,ROI_Avions!$A186,DataPrixBillets!$K$1:$K$1000,ROI_Avions!$C186)</f>
        <v>0</v>
      </c>
      <c r="AJ186" s="116"/>
      <c r="AK186" s="206">
        <f t="shared" si="702"/>
        <v>0</v>
      </c>
      <c r="AL186" s="206" t="e">
        <f t="shared" ca="1" si="703"/>
        <v>#REF!</v>
      </c>
      <c r="AM186" s="206" t="e">
        <f t="shared" ca="1" si="704"/>
        <v>#REF!</v>
      </c>
      <c r="AN186" s="206" t="e">
        <f t="shared" ca="1" si="705"/>
        <v>#REF!</v>
      </c>
      <c r="AO186" s="206" t="e">
        <f t="shared" ca="1" si="706"/>
        <v>#REF!</v>
      </c>
      <c r="AP186" s="206" t="e">
        <f t="shared" ca="1" si="707"/>
        <v>#REF!</v>
      </c>
      <c r="AQ186" s="206" t="e">
        <f t="shared" ca="1" si="708"/>
        <v>#REF!</v>
      </c>
      <c r="AR186" s="207">
        <f t="shared" ca="1" si="688"/>
        <v>0</v>
      </c>
      <c r="AS186" s="120">
        <f t="shared" ca="1" si="689"/>
        <v>0</v>
      </c>
      <c r="AT186" s="206" t="e">
        <f t="shared" ca="1" si="709"/>
        <v>#REF!</v>
      </c>
    </row>
    <row r="187" spans="1:55" s="204" customFormat="1" x14ac:dyDescent="0.3">
      <c r="A187" s="153" t="s">
        <v>726</v>
      </c>
      <c r="B187" s="154">
        <v>636004377</v>
      </c>
      <c r="C187" s="153" t="s">
        <v>1103</v>
      </c>
      <c r="D187" s="145" t="str">
        <f t="shared" si="591"/>
        <v>LAD/HYD</v>
      </c>
      <c r="E187" s="154">
        <v>40034762</v>
      </c>
      <c r="F187" s="155" t="str">
        <f>"MD11-A-"&amp;A187&amp;"-"&amp;C187&amp;"-"&amp;4</f>
        <v>MD11-A-LAD-HYD-4</v>
      </c>
      <c r="G187" s="154">
        <v>146160000</v>
      </c>
      <c r="H187" s="116"/>
      <c r="I187" s="206">
        <v>0</v>
      </c>
      <c r="J187" s="206">
        <v>0</v>
      </c>
      <c r="K187" s="206">
        <v>0</v>
      </c>
      <c r="L187" s="53"/>
      <c r="M187" s="53"/>
      <c r="N187" s="116"/>
      <c r="O187" s="140"/>
      <c r="P187" s="133">
        <f>SUMIFS(GestionLignesDemande!D$4:D$1000,GestionLignesDemande!$B$4:$B$1000,ROI_Avions!$A187,GestionLignesDemande!$C$4:$C$1000,ROI_Avions!$C187)</f>
        <v>0</v>
      </c>
      <c r="Q187" s="133">
        <f>SUMIFS(GestionLignesDemande!E$4:E$1000,GestionLignesDemande!$B$4:$B$1000,ROI_Avions!$A187,GestionLignesDemande!$C$4:$C$1000,ROI_Avions!$C187)</f>
        <v>0</v>
      </c>
      <c r="R187" s="133">
        <f>SUMIFS(GestionLignesDemande!F$4:F$1000,GestionLignesDemande!$B$4:$B$1000,ROI_Avions!$A187,GestionLignesDemande!$C$4:$C$1000,ROI_Avions!$C187)</f>
        <v>0</v>
      </c>
      <c r="S187" s="133">
        <f>SUMIFS(GestionLignesDemande!G$4:G$1000,GestionLignesDemande!$B$4:$B$1000,ROI_Avions!$A187,GestionLignesDemande!$C$4:$C$1000,ROI_Avions!$C187)</f>
        <v>0</v>
      </c>
      <c r="T187" s="116"/>
      <c r="U187" s="206">
        <f t="shared" si="1"/>
        <v>403</v>
      </c>
      <c r="V187" s="206">
        <v>386</v>
      </c>
      <c r="W187" s="206">
        <v>11</v>
      </c>
      <c r="X187" s="206">
        <v>1</v>
      </c>
      <c r="Y187" s="206">
        <v>5</v>
      </c>
      <c r="Z187" s="116"/>
      <c r="AA187" s="132">
        <f t="shared" si="734"/>
        <v>-3088</v>
      </c>
      <c r="AB187" s="132">
        <f t="shared" si="735"/>
        <v>-88</v>
      </c>
      <c r="AC187" s="132">
        <f t="shared" si="736"/>
        <v>-8</v>
      </c>
      <c r="AD187" s="132">
        <f t="shared" si="737"/>
        <v>-40</v>
      </c>
      <c r="AE187" s="116"/>
      <c r="AF187" s="26">
        <f>SUMIFS(DataPrixBillets!N$1:N$1000,DataPrixBillets!$J$1:$J$1000,ROI_Avions!$A187,DataPrixBillets!$K$1:$K$1000,ROI_Avions!$C187)</f>
        <v>0</v>
      </c>
      <c r="AG187" s="26">
        <f>SUMIFS(DataPrixBillets!O$1:O$1000,DataPrixBillets!$J$1:$J$1000,ROI_Avions!$A187,DataPrixBillets!$K$1:$K$1000,ROI_Avions!$C187)</f>
        <v>0</v>
      </c>
      <c r="AH187" s="26">
        <f>SUMIFS(DataPrixBillets!P$1:P$1000,DataPrixBillets!$J$1:$J$1000,ROI_Avions!$A187,DataPrixBillets!$K$1:$K$1000,ROI_Avions!$C187)</f>
        <v>0</v>
      </c>
      <c r="AI187" s="26">
        <f>SUMIFS(DataPrixBillets!Q$1:Q$1000,DataPrixBillets!$J$1:$J$1000,ROI_Avions!$A187,DataPrixBillets!$K$1:$K$1000,ROI_Avions!$C187)</f>
        <v>0</v>
      </c>
      <c r="AJ187" s="116"/>
      <c r="AK187" s="206">
        <f t="shared" si="702"/>
        <v>0</v>
      </c>
      <c r="AL187" s="206" t="e">
        <f t="shared" ca="1" si="703"/>
        <v>#REF!</v>
      </c>
      <c r="AM187" s="206" t="e">
        <f t="shared" ca="1" si="704"/>
        <v>#REF!</v>
      </c>
      <c r="AN187" s="206" t="e">
        <f t="shared" ca="1" si="705"/>
        <v>#REF!</v>
      </c>
      <c r="AO187" s="206" t="e">
        <f t="shared" ca="1" si="706"/>
        <v>#REF!</v>
      </c>
      <c r="AP187" s="206" t="e">
        <f t="shared" ca="1" si="707"/>
        <v>#REF!</v>
      </c>
      <c r="AQ187" s="206" t="e">
        <f t="shared" ca="1" si="708"/>
        <v>#REF!</v>
      </c>
      <c r="AR187" s="207">
        <f t="shared" ca="1" si="688"/>
        <v>0</v>
      </c>
      <c r="AS187" s="120">
        <f t="shared" ca="1" si="689"/>
        <v>0</v>
      </c>
      <c r="AT187" s="206" t="e">
        <f t="shared" ca="1" si="709"/>
        <v>#REF!</v>
      </c>
    </row>
    <row r="188" spans="1:55" s="204" customFormat="1" x14ac:dyDescent="0.3">
      <c r="A188" s="153" t="s">
        <v>726</v>
      </c>
      <c r="B188" s="154">
        <v>636004377</v>
      </c>
      <c r="C188" s="153" t="s">
        <v>1103</v>
      </c>
      <c r="D188" s="145" t="str">
        <f t="shared" si="591"/>
        <v>LAD/HYD</v>
      </c>
      <c r="E188" s="154">
        <v>40034762</v>
      </c>
      <c r="F188" s="155" t="str">
        <f>"MD11-A-"&amp;A188&amp;"-"&amp;C188&amp;"-"&amp;5</f>
        <v>MD11-A-LAD-HYD-5</v>
      </c>
      <c r="G188" s="154">
        <v>146160000</v>
      </c>
      <c r="H188" s="116"/>
      <c r="I188" s="206">
        <v>0</v>
      </c>
      <c r="J188" s="206">
        <v>0</v>
      </c>
      <c r="K188" s="206">
        <v>0</v>
      </c>
      <c r="L188" s="53"/>
      <c r="M188" s="53"/>
      <c r="N188" s="116"/>
      <c r="O188" s="140"/>
      <c r="P188" s="133">
        <f>SUMIFS(GestionLignesDemande!D$4:D$1000,GestionLignesDemande!$B$4:$B$1000,ROI_Avions!$A188,GestionLignesDemande!$C$4:$C$1000,ROI_Avions!$C188)</f>
        <v>0</v>
      </c>
      <c r="Q188" s="133">
        <f>SUMIFS(GestionLignesDemande!E$4:E$1000,GestionLignesDemande!$B$4:$B$1000,ROI_Avions!$A188,GestionLignesDemande!$C$4:$C$1000,ROI_Avions!$C188)</f>
        <v>0</v>
      </c>
      <c r="R188" s="133">
        <f>SUMIFS(GestionLignesDemande!F$4:F$1000,GestionLignesDemande!$B$4:$B$1000,ROI_Avions!$A188,GestionLignesDemande!$C$4:$C$1000,ROI_Avions!$C188)</f>
        <v>0</v>
      </c>
      <c r="S188" s="133">
        <f>SUMIFS(GestionLignesDemande!G$4:G$1000,GestionLignesDemande!$B$4:$B$1000,ROI_Avions!$A188,GestionLignesDemande!$C$4:$C$1000,ROI_Avions!$C188)</f>
        <v>0</v>
      </c>
      <c r="T188" s="116"/>
      <c r="U188" s="206">
        <f t="shared" si="1"/>
        <v>402</v>
      </c>
      <c r="V188" s="206">
        <v>386</v>
      </c>
      <c r="W188" s="206">
        <v>11</v>
      </c>
      <c r="X188" s="206">
        <v>1</v>
      </c>
      <c r="Y188" s="206">
        <v>4</v>
      </c>
      <c r="Z188" s="116"/>
      <c r="AA188" s="132">
        <f t="shared" si="734"/>
        <v>-3860</v>
      </c>
      <c r="AB188" s="132">
        <f t="shared" si="735"/>
        <v>-110</v>
      </c>
      <c r="AC188" s="132">
        <f t="shared" si="736"/>
        <v>-10</v>
      </c>
      <c r="AD188" s="132">
        <f t="shared" si="737"/>
        <v>-48</v>
      </c>
      <c r="AE188" s="116"/>
      <c r="AF188" s="26">
        <f>SUMIFS(DataPrixBillets!N$1:N$1000,DataPrixBillets!$J$1:$J$1000,ROI_Avions!$A188,DataPrixBillets!$K$1:$K$1000,ROI_Avions!$C188)</f>
        <v>0</v>
      </c>
      <c r="AG188" s="26">
        <f>SUMIFS(DataPrixBillets!O$1:O$1000,DataPrixBillets!$J$1:$J$1000,ROI_Avions!$A188,DataPrixBillets!$K$1:$K$1000,ROI_Avions!$C188)</f>
        <v>0</v>
      </c>
      <c r="AH188" s="26">
        <f>SUMIFS(DataPrixBillets!P$1:P$1000,DataPrixBillets!$J$1:$J$1000,ROI_Avions!$A188,DataPrixBillets!$K$1:$K$1000,ROI_Avions!$C188)</f>
        <v>0</v>
      </c>
      <c r="AI188" s="26">
        <f>SUMIFS(DataPrixBillets!Q$1:Q$1000,DataPrixBillets!$J$1:$J$1000,ROI_Avions!$A188,DataPrixBillets!$K$1:$K$1000,ROI_Avions!$C188)</f>
        <v>0</v>
      </c>
      <c r="AJ188" s="116"/>
      <c r="AK188" s="206">
        <f t="shared" si="702"/>
        <v>0</v>
      </c>
      <c r="AL188" s="206" t="e">
        <f t="shared" ca="1" si="703"/>
        <v>#REF!</v>
      </c>
      <c r="AM188" s="206" t="e">
        <f t="shared" ca="1" si="704"/>
        <v>#REF!</v>
      </c>
      <c r="AN188" s="206" t="e">
        <f t="shared" ca="1" si="705"/>
        <v>#REF!</v>
      </c>
      <c r="AO188" s="206" t="e">
        <f t="shared" ca="1" si="706"/>
        <v>#REF!</v>
      </c>
      <c r="AP188" s="206" t="e">
        <f t="shared" ca="1" si="707"/>
        <v>#REF!</v>
      </c>
      <c r="AQ188" s="206" t="e">
        <f t="shared" ca="1" si="708"/>
        <v>#REF!</v>
      </c>
      <c r="AR188" s="207">
        <f t="shared" ca="1" si="688"/>
        <v>0</v>
      </c>
      <c r="AS188" s="120">
        <f t="shared" ca="1" si="689"/>
        <v>0</v>
      </c>
      <c r="AT188" s="206" t="e">
        <f t="shared" ca="1" si="709"/>
        <v>#REF!</v>
      </c>
    </row>
    <row r="189" spans="1:55" s="204" customFormat="1" x14ac:dyDescent="0.3">
      <c r="A189" s="153" t="s">
        <v>726</v>
      </c>
      <c r="B189" s="154">
        <v>636004378</v>
      </c>
      <c r="C189" s="153" t="s">
        <v>1103</v>
      </c>
      <c r="D189" s="145" t="str">
        <f t="shared" ref="D189:D195" si="738">A189&amp;"/"&amp;C189</f>
        <v>LAD/HYD</v>
      </c>
      <c r="E189" s="154"/>
      <c r="F189" s="155"/>
      <c r="G189" s="154"/>
      <c r="H189" s="116"/>
      <c r="I189" s="206">
        <v>0</v>
      </c>
      <c r="J189" s="206">
        <v>0</v>
      </c>
      <c r="K189" s="206">
        <v>0</v>
      </c>
      <c r="L189" s="53"/>
      <c r="M189" s="53"/>
      <c r="N189" s="116"/>
      <c r="O189" s="140"/>
      <c r="P189" s="133">
        <f>SUMIFS(GestionLignesDemande!D$4:D$1000,GestionLignesDemande!$B$4:$B$1000,ROI_Avions!$A189,GestionLignesDemande!$C$4:$C$1000,ROI_Avions!$C189)</f>
        <v>0</v>
      </c>
      <c r="Q189" s="133">
        <f>SUMIFS(GestionLignesDemande!E$4:E$1000,GestionLignesDemande!$B$4:$B$1000,ROI_Avions!$A189,GestionLignesDemande!$C$4:$C$1000,ROI_Avions!$C189)</f>
        <v>0</v>
      </c>
      <c r="R189" s="133">
        <f>SUMIFS(GestionLignesDemande!F$4:F$1000,GestionLignesDemande!$B$4:$B$1000,ROI_Avions!$A189,GestionLignesDemande!$C$4:$C$1000,ROI_Avions!$C189)</f>
        <v>0</v>
      </c>
      <c r="S189" s="133">
        <f>SUMIFS(GestionLignesDemande!G$4:G$1000,GestionLignesDemande!$B$4:$B$1000,ROI_Avions!$A189,GestionLignesDemande!$C$4:$C$1000,ROI_Avions!$C189)</f>
        <v>0</v>
      </c>
      <c r="T189" s="116"/>
      <c r="U189" s="206">
        <f t="shared" si="1"/>
        <v>0</v>
      </c>
      <c r="V189" s="206"/>
      <c r="W189" s="206"/>
      <c r="X189" s="206"/>
      <c r="Y189" s="206"/>
      <c r="Z189" s="116"/>
      <c r="AA189" s="132"/>
      <c r="AB189" s="132"/>
      <c r="AC189" s="132"/>
      <c r="AD189" s="132"/>
      <c r="AE189" s="116"/>
      <c r="AF189" s="26"/>
      <c r="AG189" s="26"/>
      <c r="AH189" s="26"/>
      <c r="AI189" s="26"/>
      <c r="AJ189" s="116"/>
      <c r="AK189" s="206"/>
      <c r="AL189" s="206"/>
      <c r="AM189" s="206"/>
      <c r="AN189" s="206"/>
      <c r="AO189" s="206"/>
      <c r="AP189" s="206"/>
      <c r="AQ189" s="206"/>
      <c r="AR189" s="207"/>
      <c r="AS189" s="120"/>
      <c r="AT189" s="206"/>
    </row>
    <row r="190" spans="1:55" s="204" customFormat="1" x14ac:dyDescent="0.3">
      <c r="A190" s="153" t="s">
        <v>726</v>
      </c>
      <c r="B190" s="154">
        <v>636004379</v>
      </c>
      <c r="C190" s="153" t="s">
        <v>1103</v>
      </c>
      <c r="D190" s="145" t="str">
        <f t="shared" si="738"/>
        <v>LAD/HYD</v>
      </c>
      <c r="E190" s="154"/>
      <c r="F190" s="155"/>
      <c r="G190" s="154"/>
      <c r="H190" s="116"/>
      <c r="I190" s="206">
        <v>0</v>
      </c>
      <c r="J190" s="206">
        <v>0</v>
      </c>
      <c r="K190" s="206">
        <v>0</v>
      </c>
      <c r="L190" s="53"/>
      <c r="M190" s="53"/>
      <c r="N190" s="116"/>
      <c r="O190" s="140"/>
      <c r="P190" s="133">
        <f>SUMIFS(GestionLignesDemande!D$4:D$1000,GestionLignesDemande!$B$4:$B$1000,ROI_Avions!$A190,GestionLignesDemande!$C$4:$C$1000,ROI_Avions!$C190)</f>
        <v>0</v>
      </c>
      <c r="Q190" s="133">
        <f>SUMIFS(GestionLignesDemande!E$4:E$1000,GestionLignesDemande!$B$4:$B$1000,ROI_Avions!$A190,GestionLignesDemande!$C$4:$C$1000,ROI_Avions!$C190)</f>
        <v>0</v>
      </c>
      <c r="R190" s="133">
        <f>SUMIFS(GestionLignesDemande!F$4:F$1000,GestionLignesDemande!$B$4:$B$1000,ROI_Avions!$A190,GestionLignesDemande!$C$4:$C$1000,ROI_Avions!$C190)</f>
        <v>0</v>
      </c>
      <c r="S190" s="133">
        <f>SUMIFS(GestionLignesDemande!G$4:G$1000,GestionLignesDemande!$B$4:$B$1000,ROI_Avions!$A190,GestionLignesDemande!$C$4:$C$1000,ROI_Avions!$C190)</f>
        <v>0</v>
      </c>
      <c r="T190" s="116"/>
      <c r="U190" s="206">
        <f t="shared" si="1"/>
        <v>0</v>
      </c>
      <c r="V190" s="206"/>
      <c r="W190" s="206"/>
      <c r="X190" s="206"/>
      <c r="Y190" s="206"/>
      <c r="Z190" s="116"/>
      <c r="AA190" s="132"/>
      <c r="AB190" s="132"/>
      <c r="AC190" s="132"/>
      <c r="AD190" s="132"/>
      <c r="AE190" s="116"/>
      <c r="AF190" s="26"/>
      <c r="AG190" s="26"/>
      <c r="AH190" s="26"/>
      <c r="AI190" s="26"/>
      <c r="AJ190" s="116"/>
      <c r="AK190" s="206"/>
      <c r="AL190" s="206"/>
      <c r="AM190" s="206"/>
      <c r="AN190" s="206"/>
      <c r="AO190" s="206"/>
      <c r="AP190" s="206"/>
      <c r="AQ190" s="206"/>
      <c r="AR190" s="207"/>
      <c r="AS190" s="120"/>
      <c r="AT190" s="206"/>
    </row>
    <row r="191" spans="1:55" s="204" customFormat="1" x14ac:dyDescent="0.3">
      <c r="A191" s="153" t="s">
        <v>726</v>
      </c>
      <c r="B191" s="154">
        <v>636004380</v>
      </c>
      <c r="C191" s="153" t="s">
        <v>1103</v>
      </c>
      <c r="D191" s="145" t="str">
        <f t="shared" si="738"/>
        <v>LAD/HYD</v>
      </c>
      <c r="E191" s="154"/>
      <c r="F191" s="155"/>
      <c r="G191" s="154"/>
      <c r="H191" s="116"/>
      <c r="I191" s="206">
        <v>0</v>
      </c>
      <c r="J191" s="206">
        <v>0</v>
      </c>
      <c r="K191" s="206">
        <v>0</v>
      </c>
      <c r="L191" s="53"/>
      <c r="M191" s="53"/>
      <c r="N191" s="116"/>
      <c r="O191" s="140"/>
      <c r="P191" s="133">
        <f>SUMIFS(GestionLignesDemande!D$4:D$1000,GestionLignesDemande!$B$4:$B$1000,ROI_Avions!$A191,GestionLignesDemande!$C$4:$C$1000,ROI_Avions!$C191)</f>
        <v>0</v>
      </c>
      <c r="Q191" s="133">
        <f>SUMIFS(GestionLignesDemande!E$4:E$1000,GestionLignesDemande!$B$4:$B$1000,ROI_Avions!$A191,GestionLignesDemande!$C$4:$C$1000,ROI_Avions!$C191)</f>
        <v>0</v>
      </c>
      <c r="R191" s="133">
        <f>SUMIFS(GestionLignesDemande!F$4:F$1000,GestionLignesDemande!$B$4:$B$1000,ROI_Avions!$A191,GestionLignesDemande!$C$4:$C$1000,ROI_Avions!$C191)</f>
        <v>0</v>
      </c>
      <c r="S191" s="133">
        <f>SUMIFS(GestionLignesDemande!G$4:G$1000,GestionLignesDemande!$B$4:$B$1000,ROI_Avions!$A191,GestionLignesDemande!$C$4:$C$1000,ROI_Avions!$C191)</f>
        <v>0</v>
      </c>
      <c r="T191" s="116"/>
      <c r="U191" s="206">
        <f t="shared" si="1"/>
        <v>0</v>
      </c>
      <c r="V191" s="206"/>
      <c r="W191" s="206"/>
      <c r="X191" s="206"/>
      <c r="Y191" s="206"/>
      <c r="Z191" s="116"/>
      <c r="AA191" s="132"/>
      <c r="AB191" s="132"/>
      <c r="AC191" s="132"/>
      <c r="AD191" s="132"/>
      <c r="AE191" s="116"/>
      <c r="AF191" s="26"/>
      <c r="AG191" s="26"/>
      <c r="AH191" s="26"/>
      <c r="AI191" s="26"/>
      <c r="AJ191" s="116"/>
      <c r="AK191" s="206"/>
      <c r="AL191" s="206"/>
      <c r="AM191" s="206"/>
      <c r="AN191" s="206"/>
      <c r="AO191" s="206"/>
      <c r="AP191" s="206"/>
      <c r="AQ191" s="206"/>
      <c r="AR191" s="207"/>
      <c r="AS191" s="120"/>
      <c r="AT191" s="206"/>
    </row>
    <row r="192" spans="1:55" s="204" customFormat="1" x14ac:dyDescent="0.3">
      <c r="A192" s="153" t="s">
        <v>726</v>
      </c>
      <c r="B192" s="154">
        <v>636004381</v>
      </c>
      <c r="C192" s="153" t="s">
        <v>1103</v>
      </c>
      <c r="D192" s="145" t="str">
        <f t="shared" si="738"/>
        <v>LAD/HYD</v>
      </c>
      <c r="E192" s="154"/>
      <c r="F192" s="155"/>
      <c r="G192" s="154"/>
      <c r="H192" s="116"/>
      <c r="I192" s="206">
        <v>0</v>
      </c>
      <c r="J192" s="206">
        <v>0</v>
      </c>
      <c r="K192" s="206">
        <v>0</v>
      </c>
      <c r="L192" s="53"/>
      <c r="M192" s="53"/>
      <c r="N192" s="116"/>
      <c r="O192" s="140"/>
      <c r="P192" s="133">
        <f>SUMIFS(GestionLignesDemande!D$4:D$1000,GestionLignesDemande!$B$4:$B$1000,ROI_Avions!$A192,GestionLignesDemande!$C$4:$C$1000,ROI_Avions!$C192)</f>
        <v>0</v>
      </c>
      <c r="Q192" s="133">
        <f>SUMIFS(GestionLignesDemande!E$4:E$1000,GestionLignesDemande!$B$4:$B$1000,ROI_Avions!$A192,GestionLignesDemande!$C$4:$C$1000,ROI_Avions!$C192)</f>
        <v>0</v>
      </c>
      <c r="R192" s="133">
        <f>SUMIFS(GestionLignesDemande!F$4:F$1000,GestionLignesDemande!$B$4:$B$1000,ROI_Avions!$A192,GestionLignesDemande!$C$4:$C$1000,ROI_Avions!$C192)</f>
        <v>0</v>
      </c>
      <c r="S192" s="133">
        <f>SUMIFS(GestionLignesDemande!G$4:G$1000,GestionLignesDemande!$B$4:$B$1000,ROI_Avions!$A192,GestionLignesDemande!$C$4:$C$1000,ROI_Avions!$C192)</f>
        <v>0</v>
      </c>
      <c r="T192" s="116"/>
      <c r="U192" s="206">
        <f t="shared" si="1"/>
        <v>0</v>
      </c>
      <c r="V192" s="206"/>
      <c r="W192" s="206"/>
      <c r="X192" s="206"/>
      <c r="Y192" s="206"/>
      <c r="Z192" s="116"/>
      <c r="AA192" s="132"/>
      <c r="AB192" s="132"/>
      <c r="AC192" s="132"/>
      <c r="AD192" s="132"/>
      <c r="AE192" s="116"/>
      <c r="AF192" s="26"/>
      <c r="AG192" s="26"/>
      <c r="AH192" s="26"/>
      <c r="AI192" s="26"/>
      <c r="AJ192" s="116"/>
      <c r="AK192" s="206"/>
      <c r="AL192" s="206"/>
      <c r="AM192" s="206"/>
      <c r="AN192" s="206"/>
      <c r="AO192" s="206"/>
      <c r="AP192" s="206"/>
      <c r="AQ192" s="206"/>
      <c r="AR192" s="207"/>
      <c r="AS192" s="120"/>
      <c r="AT192" s="206"/>
    </row>
    <row r="193" spans="1:55" s="204" customFormat="1" x14ac:dyDescent="0.3">
      <c r="A193" s="153" t="s">
        <v>726</v>
      </c>
      <c r="B193" s="154">
        <v>636004382</v>
      </c>
      <c r="C193" s="153" t="s">
        <v>1103</v>
      </c>
      <c r="D193" s="145" t="str">
        <f t="shared" si="738"/>
        <v>LAD/HYD</v>
      </c>
      <c r="E193" s="154"/>
      <c r="F193" s="155"/>
      <c r="G193" s="154"/>
      <c r="H193" s="116"/>
      <c r="I193" s="206">
        <v>0</v>
      </c>
      <c r="J193" s="206">
        <v>0</v>
      </c>
      <c r="K193" s="206">
        <v>0</v>
      </c>
      <c r="L193" s="53"/>
      <c r="M193" s="53"/>
      <c r="N193" s="116"/>
      <c r="O193" s="140"/>
      <c r="P193" s="133">
        <f>SUMIFS(GestionLignesDemande!D$4:D$1000,GestionLignesDemande!$B$4:$B$1000,ROI_Avions!$A193,GestionLignesDemande!$C$4:$C$1000,ROI_Avions!$C193)</f>
        <v>0</v>
      </c>
      <c r="Q193" s="133">
        <f>SUMIFS(GestionLignesDemande!E$4:E$1000,GestionLignesDemande!$B$4:$B$1000,ROI_Avions!$A193,GestionLignesDemande!$C$4:$C$1000,ROI_Avions!$C193)</f>
        <v>0</v>
      </c>
      <c r="R193" s="133">
        <f>SUMIFS(GestionLignesDemande!F$4:F$1000,GestionLignesDemande!$B$4:$B$1000,ROI_Avions!$A193,GestionLignesDemande!$C$4:$C$1000,ROI_Avions!$C193)</f>
        <v>0</v>
      </c>
      <c r="S193" s="133">
        <f>SUMIFS(GestionLignesDemande!G$4:G$1000,GestionLignesDemande!$B$4:$B$1000,ROI_Avions!$A193,GestionLignesDemande!$C$4:$C$1000,ROI_Avions!$C193)</f>
        <v>0</v>
      </c>
      <c r="T193" s="116"/>
      <c r="U193" s="206">
        <f t="shared" si="1"/>
        <v>0</v>
      </c>
      <c r="V193" s="206"/>
      <c r="W193" s="206"/>
      <c r="X193" s="206"/>
      <c r="Y193" s="206"/>
      <c r="Z193" s="116"/>
      <c r="AA193" s="132"/>
      <c r="AB193" s="132"/>
      <c r="AC193" s="132"/>
      <c r="AD193" s="132"/>
      <c r="AE193" s="116"/>
      <c r="AF193" s="26"/>
      <c r="AG193" s="26"/>
      <c r="AH193" s="26"/>
      <c r="AI193" s="26"/>
      <c r="AJ193" s="116"/>
      <c r="AK193" s="206"/>
      <c r="AL193" s="206"/>
      <c r="AM193" s="206"/>
      <c r="AN193" s="206"/>
      <c r="AO193" s="206"/>
      <c r="AP193" s="206"/>
      <c r="AQ193" s="206"/>
      <c r="AR193" s="207"/>
      <c r="AS193" s="120"/>
      <c r="AT193" s="206"/>
    </row>
    <row r="194" spans="1:55" s="204" customFormat="1" x14ac:dyDescent="0.3">
      <c r="A194" s="153" t="s">
        <v>726</v>
      </c>
      <c r="B194" s="154">
        <v>636004383</v>
      </c>
      <c r="C194" s="153" t="s">
        <v>1103</v>
      </c>
      <c r="D194" s="145" t="str">
        <f t="shared" si="738"/>
        <v>LAD/HYD</v>
      </c>
      <c r="E194" s="154"/>
      <c r="F194" s="155"/>
      <c r="G194" s="154"/>
      <c r="H194" s="116"/>
      <c r="I194" s="206">
        <v>0</v>
      </c>
      <c r="J194" s="206">
        <v>0</v>
      </c>
      <c r="K194" s="206">
        <v>0</v>
      </c>
      <c r="L194" s="53"/>
      <c r="M194" s="53"/>
      <c r="N194" s="116"/>
      <c r="O194" s="140"/>
      <c r="P194" s="133">
        <f>SUMIFS(GestionLignesDemande!D$4:D$1000,GestionLignesDemande!$B$4:$B$1000,ROI_Avions!$A194,GestionLignesDemande!$C$4:$C$1000,ROI_Avions!$C194)</f>
        <v>0</v>
      </c>
      <c r="Q194" s="133">
        <f>SUMIFS(GestionLignesDemande!E$4:E$1000,GestionLignesDemande!$B$4:$B$1000,ROI_Avions!$A194,GestionLignesDemande!$C$4:$C$1000,ROI_Avions!$C194)</f>
        <v>0</v>
      </c>
      <c r="R194" s="133">
        <f>SUMIFS(GestionLignesDemande!F$4:F$1000,GestionLignesDemande!$B$4:$B$1000,ROI_Avions!$A194,GestionLignesDemande!$C$4:$C$1000,ROI_Avions!$C194)</f>
        <v>0</v>
      </c>
      <c r="S194" s="133">
        <f>SUMIFS(GestionLignesDemande!G$4:G$1000,GestionLignesDemande!$B$4:$B$1000,ROI_Avions!$A194,GestionLignesDemande!$C$4:$C$1000,ROI_Avions!$C194)</f>
        <v>0</v>
      </c>
      <c r="T194" s="116"/>
      <c r="U194" s="206">
        <f t="shared" si="1"/>
        <v>0</v>
      </c>
      <c r="V194" s="206"/>
      <c r="W194" s="206"/>
      <c r="X194" s="206"/>
      <c r="Y194" s="206"/>
      <c r="Z194" s="116"/>
      <c r="AA194" s="132"/>
      <c r="AB194" s="132"/>
      <c r="AC194" s="132"/>
      <c r="AD194" s="132"/>
      <c r="AE194" s="116"/>
      <c r="AF194" s="26"/>
      <c r="AG194" s="26"/>
      <c r="AH194" s="26"/>
      <c r="AI194" s="26"/>
      <c r="AJ194" s="116"/>
      <c r="AK194" s="206"/>
      <c r="AL194" s="206"/>
      <c r="AM194" s="206"/>
      <c r="AN194" s="206"/>
      <c r="AO194" s="206"/>
      <c r="AP194" s="206"/>
      <c r="AQ194" s="206"/>
      <c r="AR194" s="207"/>
      <c r="AS194" s="120"/>
      <c r="AT194" s="206"/>
    </row>
    <row r="195" spans="1:55" s="204" customFormat="1" x14ac:dyDescent="0.3">
      <c r="A195" s="153" t="s">
        <v>726</v>
      </c>
      <c r="B195" s="154">
        <v>636004384</v>
      </c>
      <c r="C195" s="153" t="s">
        <v>1103</v>
      </c>
      <c r="D195" s="145" t="str">
        <f t="shared" si="738"/>
        <v>LAD/HYD</v>
      </c>
      <c r="E195" s="154"/>
      <c r="F195" s="155"/>
      <c r="G195" s="154"/>
      <c r="H195" s="116"/>
      <c r="I195" s="206">
        <v>0</v>
      </c>
      <c r="J195" s="206">
        <v>0</v>
      </c>
      <c r="K195" s="206">
        <v>0</v>
      </c>
      <c r="L195" s="53"/>
      <c r="M195" s="53"/>
      <c r="N195" s="116"/>
      <c r="O195" s="140"/>
      <c r="P195" s="133">
        <f>SUMIFS(GestionLignesDemande!D$4:D$1000,GestionLignesDemande!$B$4:$B$1000,ROI_Avions!$A195,GestionLignesDemande!$C$4:$C$1000,ROI_Avions!$C195)</f>
        <v>0</v>
      </c>
      <c r="Q195" s="133">
        <f>SUMIFS(GestionLignesDemande!E$4:E$1000,GestionLignesDemande!$B$4:$B$1000,ROI_Avions!$A195,GestionLignesDemande!$C$4:$C$1000,ROI_Avions!$C195)</f>
        <v>0</v>
      </c>
      <c r="R195" s="133">
        <f>SUMIFS(GestionLignesDemande!F$4:F$1000,GestionLignesDemande!$B$4:$B$1000,ROI_Avions!$A195,GestionLignesDemande!$C$4:$C$1000,ROI_Avions!$C195)</f>
        <v>0</v>
      </c>
      <c r="S195" s="133">
        <f>SUMIFS(GestionLignesDemande!G$4:G$1000,GestionLignesDemande!$B$4:$B$1000,ROI_Avions!$A195,GestionLignesDemande!$C$4:$C$1000,ROI_Avions!$C195)</f>
        <v>0</v>
      </c>
      <c r="T195" s="116"/>
      <c r="U195" s="206">
        <f t="shared" si="1"/>
        <v>0</v>
      </c>
      <c r="V195" s="206"/>
      <c r="W195" s="206"/>
      <c r="X195" s="206"/>
      <c r="Y195" s="206"/>
      <c r="Z195" s="116"/>
      <c r="AA195" s="132"/>
      <c r="AB195" s="132"/>
      <c r="AC195" s="132"/>
      <c r="AD195" s="132"/>
      <c r="AE195" s="116"/>
      <c r="AF195" s="26"/>
      <c r="AG195" s="26"/>
      <c r="AH195" s="26"/>
      <c r="AI195" s="26"/>
      <c r="AJ195" s="116"/>
      <c r="AK195" s="206"/>
      <c r="AL195" s="206"/>
      <c r="AM195" s="206"/>
      <c r="AN195" s="206"/>
      <c r="AO195" s="206"/>
      <c r="AP195" s="206"/>
      <c r="AQ195" s="206"/>
      <c r="AR195" s="207"/>
      <c r="AS195" s="120"/>
      <c r="AT195" s="206"/>
    </row>
    <row r="196" spans="1:55" x14ac:dyDescent="0.3">
      <c r="A196" s="156" t="s">
        <v>727</v>
      </c>
      <c r="B196" s="157">
        <v>470932640</v>
      </c>
      <c r="C196" s="156" t="s">
        <v>322</v>
      </c>
      <c r="D196" s="145" t="str">
        <f t="shared" si="591"/>
        <v>NDJ/AMS</v>
      </c>
      <c r="E196" s="157">
        <v>12283784</v>
      </c>
      <c r="F196" s="158" t="s">
        <v>811</v>
      </c>
      <c r="G196" s="159">
        <v>344565000</v>
      </c>
      <c r="I196" s="206">
        <v>0</v>
      </c>
      <c r="J196" s="206">
        <v>0</v>
      </c>
      <c r="K196" s="206">
        <v>0</v>
      </c>
      <c r="L196" s="53"/>
      <c r="M196" s="53"/>
      <c r="O196" s="140"/>
      <c r="P196" s="133">
        <f>SUMIFS(GestionLignesDemande!D$4:D$1000,GestionLignesDemande!$B$4:$B$1000,ROI_Avions!$A196,GestionLignesDemande!$C$4:$C$1000,ROI_Avions!$C196)</f>
        <v>0</v>
      </c>
      <c r="Q196" s="133">
        <f>SUMIFS(GestionLignesDemande!E$4:E$1000,GestionLignesDemande!$B$4:$B$1000,ROI_Avions!$A196,GestionLignesDemande!$C$4:$C$1000,ROI_Avions!$C196)</f>
        <v>0</v>
      </c>
      <c r="R196" s="133">
        <f>SUMIFS(GestionLignesDemande!F$4:F$1000,GestionLignesDemande!$B$4:$B$1000,ROI_Avions!$A196,GestionLignesDemande!$C$4:$C$1000,ROI_Avions!$C196)</f>
        <v>0</v>
      </c>
      <c r="S196" s="133">
        <f>SUMIFS(GestionLignesDemande!G$4:G$1000,GestionLignesDemande!$B$4:$B$1000,ROI_Avions!$A196,GestionLignesDemande!$C$4:$C$1000,ROI_Avions!$C196)</f>
        <v>0</v>
      </c>
      <c r="U196" s="8">
        <f t="shared" si="1"/>
        <v>595</v>
      </c>
      <c r="V196" s="8">
        <v>466</v>
      </c>
      <c r="W196" s="8">
        <v>91</v>
      </c>
      <c r="X196" s="8">
        <v>8</v>
      </c>
      <c r="Y196" s="8">
        <v>30</v>
      </c>
      <c r="AA196" s="132">
        <f t="shared" si="624"/>
        <v>-932</v>
      </c>
      <c r="AB196" s="132">
        <f t="shared" si="625"/>
        <v>-182</v>
      </c>
      <c r="AC196" s="132">
        <f t="shared" si="626"/>
        <v>-16</v>
      </c>
      <c r="AD196" s="132">
        <f t="shared" si="627"/>
        <v>-60</v>
      </c>
      <c r="AF196" s="26">
        <f>SUMIFS(DataPrixBillets!N$1:N$1000,DataPrixBillets!$J$1:$J$1000,ROI_Avions!$A196,DataPrixBillets!$K$1:$K$1000,ROI_Avions!$C196)</f>
        <v>0</v>
      </c>
      <c r="AG196" s="26">
        <f>SUMIFS(DataPrixBillets!O$1:O$1000,DataPrixBillets!$J$1:$J$1000,ROI_Avions!$A196,DataPrixBillets!$K$1:$K$1000,ROI_Avions!$C196)</f>
        <v>0</v>
      </c>
      <c r="AH196" s="26">
        <f>SUMIFS(DataPrixBillets!P$1:P$1000,DataPrixBillets!$J$1:$J$1000,ROI_Avions!$A196,DataPrixBillets!$K$1:$K$1000,ROI_Avions!$C196)</f>
        <v>0</v>
      </c>
      <c r="AI196" s="26">
        <f>SUMIFS(DataPrixBillets!Q$1:Q$1000,DataPrixBillets!$J$1:$J$1000,ROI_Avions!$A196,DataPrixBillets!$K$1:$K$1000,ROI_Avions!$C196)</f>
        <v>0</v>
      </c>
      <c r="AK196" s="8">
        <f>(((AF196*V196)*2+(AG196*W196)*2+(AH196*X196)*2+(AI196*Y196)*2)*7)+AK199</f>
        <v>0</v>
      </c>
      <c r="AL196" s="8" t="e">
        <f t="shared" ca="1" si="21"/>
        <v>#REF!</v>
      </c>
      <c r="AM196" s="8" t="e">
        <f t="shared" ca="1" si="22"/>
        <v>#REF!</v>
      </c>
      <c r="AN196" s="8" t="e">
        <f t="shared" ca="1" si="23"/>
        <v>#REF!</v>
      </c>
      <c r="AO196" s="8" t="e">
        <f t="shared" ca="1" si="24"/>
        <v>#REF!</v>
      </c>
      <c r="AP196" s="8" t="e">
        <f t="shared" ca="1" si="25"/>
        <v>#REF!</v>
      </c>
      <c r="AQ196" s="8" t="e">
        <f t="shared" ca="1" si="26"/>
        <v>#REF!</v>
      </c>
      <c r="AR196" s="7">
        <f t="shared" ref="AR196:AR227" ca="1" si="739">IFERROR((AP196/7)/((B196/COUNTIFS(A:A,A196))+(E196/COUNTIFS(A:A,A196,C:C,C196))+I196*K196+J196+G196),0)</f>
        <v>0</v>
      </c>
      <c r="AS196" s="120">
        <f t="shared" ref="AS196:AS227" ca="1" si="740">IFERROR(((B196/COUNTIFS(A:A,A196))+(E196/COUNTIFS(A:A,A196,C:C,C196))+I196*K196+J196+G196)/(AP196/7),0)</f>
        <v>0</v>
      </c>
      <c r="AT196" s="8" t="e">
        <f t="shared" ca="1" si="28"/>
        <v>#REF!</v>
      </c>
      <c r="AU196" s="38">
        <f ca="1">AS196/7</f>
        <v>0</v>
      </c>
      <c r="AV196" s="204"/>
      <c r="AW196" s="204"/>
      <c r="AX196" s="204"/>
      <c r="AY196" s="204"/>
      <c r="BA196" s="204"/>
      <c r="BB196" s="204"/>
      <c r="BC196" s="204"/>
    </row>
    <row r="197" spans="1:55" x14ac:dyDescent="0.3">
      <c r="A197" s="156" t="s">
        <v>727</v>
      </c>
      <c r="B197" s="157">
        <v>470932640</v>
      </c>
      <c r="C197" s="156" t="s">
        <v>322</v>
      </c>
      <c r="D197" s="145" t="str">
        <f t="shared" si="591"/>
        <v>NDJ/AMS</v>
      </c>
      <c r="E197" s="157">
        <v>12283784</v>
      </c>
      <c r="F197" s="158" t="s">
        <v>812</v>
      </c>
      <c r="G197" s="159">
        <v>362700000</v>
      </c>
      <c r="I197" s="8">
        <v>0</v>
      </c>
      <c r="J197" s="8">
        <v>0</v>
      </c>
      <c r="K197" s="8">
        <v>0</v>
      </c>
      <c r="L197" s="53"/>
      <c r="M197" s="53"/>
      <c r="O197" s="140"/>
      <c r="P197" s="133">
        <f>SUMIFS(GestionLignesDemande!D$4:D$1000,GestionLignesDemande!$B$4:$B$1000,ROI_Avions!$A197,GestionLignesDemande!$C$4:$C$1000,ROI_Avions!$C197)</f>
        <v>0</v>
      </c>
      <c r="Q197" s="133">
        <f>SUMIFS(GestionLignesDemande!E$4:E$1000,GestionLignesDemande!$B$4:$B$1000,ROI_Avions!$A197,GestionLignesDemande!$C$4:$C$1000,ROI_Avions!$C197)</f>
        <v>0</v>
      </c>
      <c r="R197" s="133">
        <f>SUMIFS(GestionLignesDemande!F$4:F$1000,GestionLignesDemande!$B$4:$B$1000,ROI_Avions!$A197,GestionLignesDemande!$C$4:$C$1000,ROI_Avions!$C197)</f>
        <v>0</v>
      </c>
      <c r="S197" s="133">
        <f>SUMIFS(GestionLignesDemande!G$4:G$1000,GestionLignesDemande!$B$4:$B$1000,ROI_Avions!$A197,GestionLignesDemande!$C$4:$C$1000,ROI_Avions!$C197)</f>
        <v>0</v>
      </c>
      <c r="U197" s="8">
        <f t="shared" si="1"/>
        <v>853</v>
      </c>
      <c r="V197" s="8">
        <f>853</f>
        <v>853</v>
      </c>
      <c r="W197" s="8">
        <v>0</v>
      </c>
      <c r="X197" s="8">
        <v>0</v>
      </c>
      <c r="Y197" s="8">
        <v>0</v>
      </c>
      <c r="AA197" s="8">
        <f t="shared" ref="AA197:AA198" si="741">AA196-V197*2</f>
        <v>-2638</v>
      </c>
      <c r="AB197" s="8">
        <f t="shared" ref="AB197:AB198" si="742">AB196-W197*2</f>
        <v>-182</v>
      </c>
      <c r="AC197" s="8">
        <f t="shared" ref="AC197:AC198" si="743">AC196-X197*2</f>
        <v>-16</v>
      </c>
      <c r="AD197" s="8">
        <f t="shared" ref="AD197:AD198" si="744">AD196-Y197*2</f>
        <v>-60</v>
      </c>
      <c r="AF197" s="26">
        <f>SUMIFS(DataPrixBillets!N$1:N$1000,DataPrixBillets!$J$1:$J$1000,ROI_Avions!$A197,DataPrixBillets!$K$1:$K$1000,ROI_Avions!$C197)</f>
        <v>0</v>
      </c>
      <c r="AG197" s="26">
        <f>SUMIFS(DataPrixBillets!O$1:O$1000,DataPrixBillets!$J$1:$J$1000,ROI_Avions!$A197,DataPrixBillets!$K$1:$K$1000,ROI_Avions!$C197)</f>
        <v>0</v>
      </c>
      <c r="AH197" s="26">
        <f>SUMIFS(DataPrixBillets!P$1:P$1000,DataPrixBillets!$J$1:$J$1000,ROI_Avions!$A197,DataPrixBillets!$K$1:$K$1000,ROI_Avions!$C197)</f>
        <v>0</v>
      </c>
      <c r="AI197" s="26">
        <f>SUMIFS(DataPrixBillets!Q$1:Q$1000,DataPrixBillets!$J$1:$J$1000,ROI_Avions!$A197,DataPrixBillets!$K$1:$K$1000,ROI_Avions!$C197)</f>
        <v>0</v>
      </c>
      <c r="AK197" s="8">
        <f t="shared" ref="AK197:AK198" si="745">(((AF197*V197)*2+(AG197*W197)*2+(AH197*X197)*2+(AI197*Y197)*2)*7)+AK200</f>
        <v>0</v>
      </c>
      <c r="AL197" s="8" t="e">
        <f t="shared" ca="1" si="21"/>
        <v>#REF!</v>
      </c>
      <c r="AM197" s="8" t="e">
        <f t="shared" ca="1" si="22"/>
        <v>#REF!</v>
      </c>
      <c r="AN197" s="8" t="e">
        <f t="shared" ca="1" si="23"/>
        <v>#REF!</v>
      </c>
      <c r="AO197" s="8" t="e">
        <f t="shared" ca="1" si="24"/>
        <v>#REF!</v>
      </c>
      <c r="AP197" s="8" t="e">
        <f t="shared" ca="1" si="25"/>
        <v>#REF!</v>
      </c>
      <c r="AQ197" s="8" t="e">
        <f t="shared" ca="1" si="26"/>
        <v>#REF!</v>
      </c>
      <c r="AR197" s="7">
        <f t="shared" ca="1" si="739"/>
        <v>0</v>
      </c>
      <c r="AS197" s="120">
        <f t="shared" ca="1" si="740"/>
        <v>0</v>
      </c>
      <c r="AT197" s="8" t="e">
        <f t="shared" ca="1" si="28"/>
        <v>#REF!</v>
      </c>
      <c r="AV197" s="204"/>
      <c r="AW197" s="204"/>
      <c r="AX197" s="204"/>
      <c r="AY197" s="204"/>
      <c r="BA197" s="204"/>
      <c r="BB197" s="204"/>
      <c r="BC197" s="204"/>
    </row>
    <row r="198" spans="1:55" x14ac:dyDescent="0.3">
      <c r="A198" s="156" t="s">
        <v>727</v>
      </c>
      <c r="B198" s="157">
        <v>470932640</v>
      </c>
      <c r="C198" s="156" t="s">
        <v>322</v>
      </c>
      <c r="D198" s="145" t="str">
        <f t="shared" ref="D198:D274" si="746">A198&amp;"/"&amp;C198</f>
        <v>NDJ/AMS</v>
      </c>
      <c r="E198" s="157">
        <v>12283784</v>
      </c>
      <c r="F198" s="158" t="s">
        <v>835</v>
      </c>
      <c r="G198" s="159">
        <v>204687000</v>
      </c>
      <c r="I198" s="8">
        <v>0</v>
      </c>
      <c r="J198" s="8">
        <v>0</v>
      </c>
      <c r="K198" s="8">
        <v>0</v>
      </c>
      <c r="L198" s="53"/>
      <c r="M198" s="53"/>
      <c r="O198" s="140"/>
      <c r="P198" s="133">
        <f>SUMIFS(GestionLignesDemande!D$4:D$1000,GestionLignesDemande!$B$4:$B$1000,ROI_Avions!$A198,GestionLignesDemande!$C$4:$C$1000,ROI_Avions!$C198)</f>
        <v>0</v>
      </c>
      <c r="Q198" s="133">
        <f>SUMIFS(GestionLignesDemande!E$4:E$1000,GestionLignesDemande!$B$4:$B$1000,ROI_Avions!$A198,GestionLignesDemande!$C$4:$C$1000,ROI_Avions!$C198)</f>
        <v>0</v>
      </c>
      <c r="R198" s="133">
        <f>SUMIFS(GestionLignesDemande!F$4:F$1000,GestionLignesDemande!$B$4:$B$1000,ROI_Avions!$A198,GestionLignesDemande!$C$4:$C$1000,ROI_Avions!$C198)</f>
        <v>0</v>
      </c>
      <c r="S198" s="133">
        <f>SUMIFS(GestionLignesDemande!G$4:G$1000,GestionLignesDemande!$B$4:$B$1000,ROI_Avions!$A198,GestionLignesDemande!$C$4:$C$1000,ROI_Avions!$C198)</f>
        <v>0</v>
      </c>
      <c r="U198" s="8">
        <f t="shared" si="1"/>
        <v>420</v>
      </c>
      <c r="V198" s="8">
        <v>420</v>
      </c>
      <c r="W198" s="8">
        <v>0</v>
      </c>
      <c r="X198" s="8">
        <v>0</v>
      </c>
      <c r="Y198" s="8">
        <v>0</v>
      </c>
      <c r="AA198" s="8">
        <f t="shared" si="741"/>
        <v>-3478</v>
      </c>
      <c r="AB198" s="8">
        <f t="shared" si="742"/>
        <v>-182</v>
      </c>
      <c r="AC198" s="8">
        <f t="shared" si="743"/>
        <v>-16</v>
      </c>
      <c r="AD198" s="8">
        <f t="shared" si="744"/>
        <v>-60</v>
      </c>
      <c r="AF198" s="26">
        <f>SUMIFS(DataPrixBillets!N$1:N$1000,DataPrixBillets!$J$1:$J$1000,ROI_Avions!$A198,DataPrixBillets!$K$1:$K$1000,ROI_Avions!$C198)</f>
        <v>0</v>
      </c>
      <c r="AG198" s="26">
        <f>SUMIFS(DataPrixBillets!O$1:O$1000,DataPrixBillets!$J$1:$J$1000,ROI_Avions!$A198,DataPrixBillets!$K$1:$K$1000,ROI_Avions!$C198)</f>
        <v>0</v>
      </c>
      <c r="AH198" s="26">
        <f>SUMIFS(DataPrixBillets!P$1:P$1000,DataPrixBillets!$J$1:$J$1000,ROI_Avions!$A198,DataPrixBillets!$K$1:$K$1000,ROI_Avions!$C198)</f>
        <v>0</v>
      </c>
      <c r="AI198" s="26">
        <f>SUMIFS(DataPrixBillets!Q$1:Q$1000,DataPrixBillets!$J$1:$J$1000,ROI_Avions!$A198,DataPrixBillets!$K$1:$K$1000,ROI_Avions!$C198)</f>
        <v>0</v>
      </c>
      <c r="AK198" s="8">
        <f t="shared" si="745"/>
        <v>0</v>
      </c>
      <c r="AL198" s="8" t="e">
        <f t="shared" ca="1" si="21"/>
        <v>#REF!</v>
      </c>
      <c r="AM198" s="8" t="e">
        <f t="shared" ca="1" si="22"/>
        <v>#REF!</v>
      </c>
      <c r="AN198" s="8" t="e">
        <f t="shared" ca="1" si="23"/>
        <v>#REF!</v>
      </c>
      <c r="AO198" s="8" t="e">
        <f t="shared" ca="1" si="24"/>
        <v>#REF!</v>
      </c>
      <c r="AP198" s="8" t="e">
        <f t="shared" ca="1" si="25"/>
        <v>#REF!</v>
      </c>
      <c r="AQ198" s="8" t="e">
        <f t="shared" ca="1" si="26"/>
        <v>#REF!</v>
      </c>
      <c r="AR198" s="7">
        <f t="shared" ca="1" si="739"/>
        <v>0</v>
      </c>
      <c r="AS198" s="120">
        <f t="shared" ca="1" si="740"/>
        <v>0</v>
      </c>
      <c r="AT198" s="8" t="e">
        <f t="shared" ca="1" si="28"/>
        <v>#REF!</v>
      </c>
      <c r="AV198" s="204"/>
      <c r="AW198" s="204"/>
      <c r="AX198" s="204"/>
      <c r="AY198" s="204"/>
      <c r="BA198" s="204"/>
      <c r="BB198" s="204"/>
      <c r="BC198" s="204"/>
    </row>
    <row r="199" spans="1:55" x14ac:dyDescent="0.3">
      <c r="A199" s="156" t="s">
        <v>727</v>
      </c>
      <c r="B199" s="157">
        <v>470932640</v>
      </c>
      <c r="C199" s="156" t="s">
        <v>773</v>
      </c>
      <c r="D199" s="145" t="str">
        <f t="shared" si="746"/>
        <v>NDJ/FRA</v>
      </c>
      <c r="E199" s="157">
        <v>13698016</v>
      </c>
      <c r="F199" s="158" t="s">
        <v>814</v>
      </c>
      <c r="G199" s="159">
        <v>344565000</v>
      </c>
      <c r="I199" s="8">
        <v>0</v>
      </c>
      <c r="J199" s="8">
        <v>0</v>
      </c>
      <c r="K199" s="8">
        <v>0</v>
      </c>
      <c r="L199" s="53"/>
      <c r="M199" s="53"/>
      <c r="O199" s="140"/>
      <c r="P199" s="133">
        <f>SUMIFS(GestionLignesDemande!D$4:D$1000,GestionLignesDemande!$B$4:$B$1000,ROI_Avions!$A199,GestionLignesDemande!$C$4:$C$1000,ROI_Avions!$C199)</f>
        <v>0</v>
      </c>
      <c r="Q199" s="133">
        <f>SUMIFS(GestionLignesDemande!E$4:E$1000,GestionLignesDemande!$B$4:$B$1000,ROI_Avions!$A199,GestionLignesDemande!$C$4:$C$1000,ROI_Avions!$C199)</f>
        <v>0</v>
      </c>
      <c r="R199" s="133">
        <f>SUMIFS(GestionLignesDemande!F$4:F$1000,GestionLignesDemande!$B$4:$B$1000,ROI_Avions!$A199,GestionLignesDemande!$C$4:$C$1000,ROI_Avions!$C199)</f>
        <v>0</v>
      </c>
      <c r="S199" s="133">
        <f>SUMIFS(GestionLignesDemande!G$4:G$1000,GestionLignesDemande!$B$4:$B$1000,ROI_Avions!$A199,GestionLignesDemande!$C$4:$C$1000,ROI_Avions!$C199)</f>
        <v>0</v>
      </c>
      <c r="U199" s="8">
        <f t="shared" si="1"/>
        <v>595</v>
      </c>
      <c r="V199" s="8">
        <v>466</v>
      </c>
      <c r="W199" s="8">
        <v>91</v>
      </c>
      <c r="X199" s="8">
        <v>8</v>
      </c>
      <c r="Y199" s="8">
        <v>30</v>
      </c>
      <c r="AA199" s="132">
        <f t="shared" si="2"/>
        <v>-932</v>
      </c>
      <c r="AB199" s="132">
        <f t="shared" si="3"/>
        <v>-182</v>
      </c>
      <c r="AC199" s="132">
        <f t="shared" si="4"/>
        <v>-16</v>
      </c>
      <c r="AD199" s="132">
        <f t="shared" si="5"/>
        <v>-60</v>
      </c>
      <c r="AF199" s="26">
        <f>SUMIFS(DataPrixBillets!N$1:N$1000,DataPrixBillets!$J$1:$J$1000,ROI_Avions!$A199,DataPrixBillets!$K$1:$K$1000,ROI_Avions!$C199)</f>
        <v>0</v>
      </c>
      <c r="AG199" s="26">
        <f>SUMIFS(DataPrixBillets!O$1:O$1000,DataPrixBillets!$J$1:$J$1000,ROI_Avions!$A199,DataPrixBillets!$K$1:$K$1000,ROI_Avions!$C199)</f>
        <v>0</v>
      </c>
      <c r="AH199" s="26">
        <f>SUMIFS(DataPrixBillets!P$1:P$1000,DataPrixBillets!$J$1:$J$1000,ROI_Avions!$A199,DataPrixBillets!$K$1:$K$1000,ROI_Avions!$C199)</f>
        <v>0</v>
      </c>
      <c r="AI199" s="26">
        <f>SUMIFS(DataPrixBillets!Q$1:Q$1000,DataPrixBillets!$J$1:$J$1000,ROI_Avions!$A199,DataPrixBillets!$K$1:$K$1000,ROI_Avions!$C199)</f>
        <v>0</v>
      </c>
      <c r="AK199" s="8">
        <f t="shared" si="20"/>
        <v>0</v>
      </c>
      <c r="AL199" s="8" t="e">
        <f t="shared" ca="1" si="21"/>
        <v>#REF!</v>
      </c>
      <c r="AM199" s="8" t="e">
        <f t="shared" ca="1" si="22"/>
        <v>#REF!</v>
      </c>
      <c r="AN199" s="8" t="e">
        <f t="shared" ca="1" si="23"/>
        <v>#REF!</v>
      </c>
      <c r="AO199" s="8" t="e">
        <f t="shared" ca="1" si="24"/>
        <v>#REF!</v>
      </c>
      <c r="AP199" s="8" t="e">
        <f t="shared" ca="1" si="25"/>
        <v>#REF!</v>
      </c>
      <c r="AQ199" s="8" t="e">
        <f t="shared" ca="1" si="26"/>
        <v>#REF!</v>
      </c>
      <c r="AR199" s="7">
        <f t="shared" ca="1" si="739"/>
        <v>0</v>
      </c>
      <c r="AS199" s="120">
        <f t="shared" ca="1" si="740"/>
        <v>0</v>
      </c>
      <c r="AT199" s="8" t="e">
        <f t="shared" ca="1" si="28"/>
        <v>#REF!</v>
      </c>
    </row>
    <row r="200" spans="1:55" x14ac:dyDescent="0.3">
      <c r="A200" s="156" t="s">
        <v>727</v>
      </c>
      <c r="B200" s="157">
        <v>470932640</v>
      </c>
      <c r="C200" s="156" t="s">
        <v>773</v>
      </c>
      <c r="D200" s="145" t="str">
        <f t="shared" si="746"/>
        <v>NDJ/FRA</v>
      </c>
      <c r="E200" s="157">
        <v>13698016</v>
      </c>
      <c r="F200" s="158" t="s">
        <v>815</v>
      </c>
      <c r="G200" s="159">
        <v>362700000</v>
      </c>
      <c r="I200" s="8">
        <v>0</v>
      </c>
      <c r="J200" s="8">
        <v>0</v>
      </c>
      <c r="K200" s="8">
        <v>0</v>
      </c>
      <c r="L200" s="53"/>
      <c r="M200" s="53"/>
      <c r="O200" s="140"/>
      <c r="P200" s="133">
        <f>SUMIFS(GestionLignesDemande!D$4:D$1000,GestionLignesDemande!$B$4:$B$1000,ROI_Avions!$A200,GestionLignesDemande!$C$4:$C$1000,ROI_Avions!$C200)</f>
        <v>0</v>
      </c>
      <c r="Q200" s="133">
        <f>SUMIFS(GestionLignesDemande!E$4:E$1000,GestionLignesDemande!$B$4:$B$1000,ROI_Avions!$A200,GestionLignesDemande!$C$4:$C$1000,ROI_Avions!$C200)</f>
        <v>0</v>
      </c>
      <c r="R200" s="133">
        <f>SUMIFS(GestionLignesDemande!F$4:F$1000,GestionLignesDemande!$B$4:$B$1000,ROI_Avions!$A200,GestionLignesDemande!$C$4:$C$1000,ROI_Avions!$C200)</f>
        <v>0</v>
      </c>
      <c r="S200" s="133">
        <f>SUMIFS(GestionLignesDemande!G$4:G$1000,GestionLignesDemande!$B$4:$B$1000,ROI_Avions!$A200,GestionLignesDemande!$C$4:$C$1000,ROI_Avions!$C200)</f>
        <v>0</v>
      </c>
      <c r="U200" s="8">
        <f t="shared" si="1"/>
        <v>853</v>
      </c>
      <c r="V200" s="8">
        <f>853</f>
        <v>853</v>
      </c>
      <c r="W200" s="8">
        <v>0</v>
      </c>
      <c r="X200" s="8">
        <v>0</v>
      </c>
      <c r="Y200" s="8">
        <v>0</v>
      </c>
      <c r="AA200" s="8">
        <f t="shared" ref="AA200:AA201" si="747">AA199-V200*2</f>
        <v>-2638</v>
      </c>
      <c r="AB200" s="8">
        <f t="shared" ref="AB200:AB201" si="748">AB199-W200*2</f>
        <v>-182</v>
      </c>
      <c r="AC200" s="8">
        <f t="shared" ref="AC200:AC201" si="749">AC199-X200*2</f>
        <v>-16</v>
      </c>
      <c r="AD200" s="8">
        <f t="shared" ref="AD200:AD201" si="750">AD199-Y200*2</f>
        <v>-60</v>
      </c>
      <c r="AF200" s="26">
        <f>SUMIFS(DataPrixBillets!N$1:N$1000,DataPrixBillets!$J$1:$J$1000,ROI_Avions!$A200,DataPrixBillets!$K$1:$K$1000,ROI_Avions!$C200)</f>
        <v>0</v>
      </c>
      <c r="AG200" s="26">
        <f>SUMIFS(DataPrixBillets!O$1:O$1000,DataPrixBillets!$J$1:$J$1000,ROI_Avions!$A200,DataPrixBillets!$K$1:$K$1000,ROI_Avions!$C200)</f>
        <v>0</v>
      </c>
      <c r="AH200" s="26">
        <f>SUMIFS(DataPrixBillets!P$1:P$1000,DataPrixBillets!$J$1:$J$1000,ROI_Avions!$A200,DataPrixBillets!$K$1:$K$1000,ROI_Avions!$C200)</f>
        <v>0</v>
      </c>
      <c r="AI200" s="26">
        <f>SUMIFS(DataPrixBillets!Q$1:Q$1000,DataPrixBillets!$J$1:$J$1000,ROI_Avions!$A200,DataPrixBillets!$K$1:$K$1000,ROI_Avions!$C200)</f>
        <v>0</v>
      </c>
      <c r="AK200" s="8">
        <f t="shared" si="20"/>
        <v>0</v>
      </c>
      <c r="AL200" s="8" t="e">
        <f t="shared" ca="1" si="21"/>
        <v>#REF!</v>
      </c>
      <c r="AM200" s="8" t="e">
        <f t="shared" ca="1" si="22"/>
        <v>#REF!</v>
      </c>
      <c r="AN200" s="8" t="e">
        <f t="shared" ca="1" si="23"/>
        <v>#REF!</v>
      </c>
      <c r="AO200" s="8" t="e">
        <f t="shared" ca="1" si="24"/>
        <v>#REF!</v>
      </c>
      <c r="AP200" s="8" t="e">
        <f t="shared" ca="1" si="25"/>
        <v>#REF!</v>
      </c>
      <c r="AQ200" s="8" t="e">
        <f t="shared" ca="1" si="26"/>
        <v>#REF!</v>
      </c>
      <c r="AR200" s="7">
        <f t="shared" ca="1" si="739"/>
        <v>0</v>
      </c>
      <c r="AS200" s="120">
        <f t="shared" ca="1" si="740"/>
        <v>0</v>
      </c>
      <c r="AT200" s="8" t="e">
        <f t="shared" ca="1" si="28"/>
        <v>#REF!</v>
      </c>
      <c r="AU200" s="38">
        <f ca="1">AS200/7</f>
        <v>0</v>
      </c>
    </row>
    <row r="201" spans="1:55" x14ac:dyDescent="0.3">
      <c r="A201" s="156" t="s">
        <v>727</v>
      </c>
      <c r="B201" s="157">
        <v>470932640</v>
      </c>
      <c r="C201" s="156" t="s">
        <v>773</v>
      </c>
      <c r="D201" s="145" t="str">
        <f t="shared" si="746"/>
        <v>NDJ/FRA</v>
      </c>
      <c r="E201" s="157">
        <v>13698016</v>
      </c>
      <c r="F201" s="158" t="s">
        <v>836</v>
      </c>
      <c r="G201" s="159">
        <v>204687000</v>
      </c>
      <c r="I201" s="8">
        <v>0</v>
      </c>
      <c r="J201" s="8">
        <v>0</v>
      </c>
      <c r="K201" s="8">
        <v>0</v>
      </c>
      <c r="L201" s="53"/>
      <c r="M201" s="53"/>
      <c r="O201" s="140"/>
      <c r="P201" s="133">
        <f>SUMIFS(GestionLignesDemande!D$4:D$1000,GestionLignesDemande!$B$4:$B$1000,ROI_Avions!$A201,GestionLignesDemande!$C$4:$C$1000,ROI_Avions!$C201)</f>
        <v>0</v>
      </c>
      <c r="Q201" s="133">
        <f>SUMIFS(GestionLignesDemande!E$4:E$1000,GestionLignesDemande!$B$4:$B$1000,ROI_Avions!$A201,GestionLignesDemande!$C$4:$C$1000,ROI_Avions!$C201)</f>
        <v>0</v>
      </c>
      <c r="R201" s="133">
        <f>SUMIFS(GestionLignesDemande!F$4:F$1000,GestionLignesDemande!$B$4:$B$1000,ROI_Avions!$A201,GestionLignesDemande!$C$4:$C$1000,ROI_Avions!$C201)</f>
        <v>0</v>
      </c>
      <c r="S201" s="133">
        <f>SUMIFS(GestionLignesDemande!G$4:G$1000,GestionLignesDemande!$B$4:$B$1000,ROI_Avions!$A201,GestionLignesDemande!$C$4:$C$1000,ROI_Avions!$C201)</f>
        <v>0</v>
      </c>
      <c r="U201" s="8">
        <f t="shared" si="1"/>
        <v>420</v>
      </c>
      <c r="V201" s="8">
        <v>420</v>
      </c>
      <c r="W201" s="8">
        <v>0</v>
      </c>
      <c r="X201" s="8">
        <v>0</v>
      </c>
      <c r="Y201" s="8">
        <v>0</v>
      </c>
      <c r="AA201" s="8">
        <f t="shared" si="747"/>
        <v>-3478</v>
      </c>
      <c r="AB201" s="8">
        <f t="shared" si="748"/>
        <v>-182</v>
      </c>
      <c r="AC201" s="8">
        <f t="shared" si="749"/>
        <v>-16</v>
      </c>
      <c r="AD201" s="8">
        <f t="shared" si="750"/>
        <v>-60</v>
      </c>
      <c r="AF201" s="26">
        <f>SUMIFS(DataPrixBillets!N$1:N$1000,DataPrixBillets!$J$1:$J$1000,ROI_Avions!$A201,DataPrixBillets!$K$1:$K$1000,ROI_Avions!$C201)</f>
        <v>0</v>
      </c>
      <c r="AG201" s="26">
        <f>SUMIFS(DataPrixBillets!O$1:O$1000,DataPrixBillets!$J$1:$J$1000,ROI_Avions!$A201,DataPrixBillets!$K$1:$K$1000,ROI_Avions!$C201)</f>
        <v>0</v>
      </c>
      <c r="AH201" s="26">
        <f>SUMIFS(DataPrixBillets!P$1:P$1000,DataPrixBillets!$J$1:$J$1000,ROI_Avions!$A201,DataPrixBillets!$K$1:$K$1000,ROI_Avions!$C201)</f>
        <v>0</v>
      </c>
      <c r="AI201" s="26">
        <f>SUMIFS(DataPrixBillets!Q$1:Q$1000,DataPrixBillets!$J$1:$J$1000,ROI_Avions!$A201,DataPrixBillets!$K$1:$K$1000,ROI_Avions!$C201)</f>
        <v>0</v>
      </c>
      <c r="AK201" s="8">
        <f t="shared" si="20"/>
        <v>0</v>
      </c>
      <c r="AL201" s="8" t="e">
        <f t="shared" ca="1" si="21"/>
        <v>#REF!</v>
      </c>
      <c r="AM201" s="8" t="e">
        <f t="shared" ca="1" si="22"/>
        <v>#REF!</v>
      </c>
      <c r="AN201" s="8" t="e">
        <f t="shared" ca="1" si="23"/>
        <v>#REF!</v>
      </c>
      <c r="AO201" s="8" t="e">
        <f t="shared" ca="1" si="24"/>
        <v>#REF!</v>
      </c>
      <c r="AP201" s="8" t="e">
        <f t="shared" ca="1" si="25"/>
        <v>#REF!</v>
      </c>
      <c r="AQ201" s="8" t="e">
        <f t="shared" ca="1" si="26"/>
        <v>#REF!</v>
      </c>
      <c r="AR201" s="7">
        <f t="shared" ca="1" si="739"/>
        <v>0</v>
      </c>
      <c r="AS201" s="120">
        <f t="shared" ca="1" si="740"/>
        <v>0</v>
      </c>
      <c r="AT201" s="8" t="e">
        <f t="shared" ca="1" si="28"/>
        <v>#REF!</v>
      </c>
    </row>
    <row r="202" spans="1:55" s="185" customFormat="1" x14ac:dyDescent="0.3">
      <c r="A202" s="160" t="s">
        <v>728</v>
      </c>
      <c r="B202" s="161">
        <v>449814960</v>
      </c>
      <c r="C202" s="160" t="s">
        <v>1037</v>
      </c>
      <c r="D202" s="145" t="str">
        <f t="shared" si="746"/>
        <v>NSI/OMS</v>
      </c>
      <c r="E202" s="161">
        <v>14136821</v>
      </c>
      <c r="F202" s="162" t="str">
        <f>"A380-A-"&amp;A202&amp;"-"&amp;C202&amp;"-"&amp;1</f>
        <v>A380-A-NSI-OMS-1</v>
      </c>
      <c r="G202" s="161">
        <v>304668000</v>
      </c>
      <c r="H202" s="116"/>
      <c r="I202" s="8">
        <v>0</v>
      </c>
      <c r="J202" s="8">
        <v>0</v>
      </c>
      <c r="K202" s="8">
        <v>0</v>
      </c>
      <c r="L202"/>
      <c r="M202"/>
      <c r="N202" s="116"/>
      <c r="O202" s="140"/>
      <c r="P202" s="133">
        <f>SUMIFS(GestionLignesDemande!D$4:D$1000,GestionLignesDemande!$B$4:$B$1000,ROI_Avions!$A202,GestionLignesDemande!$C$4:$C$1000,ROI_Avions!$C202)</f>
        <v>0</v>
      </c>
      <c r="Q202" s="133">
        <f>SUMIFS(GestionLignesDemande!E$4:E$1000,GestionLignesDemande!$B$4:$B$1000,ROI_Avions!$A202,GestionLignesDemande!$C$4:$C$1000,ROI_Avions!$C202)</f>
        <v>0</v>
      </c>
      <c r="R202" s="133">
        <f>SUMIFS(GestionLignesDemande!F$4:F$1000,GestionLignesDemande!$B$4:$B$1000,ROI_Avions!$A202,GestionLignesDemande!$C$4:$C$1000,ROI_Avions!$C202)</f>
        <v>0</v>
      </c>
      <c r="S202" s="133">
        <f>SUMIFS(GestionLignesDemande!G$4:G$1000,GestionLignesDemande!$B$4:$B$1000,ROI_Avions!$A202,GestionLignesDemande!$C$4:$C$1000,ROI_Avions!$C202)</f>
        <v>0</v>
      </c>
      <c r="T202" s="116"/>
      <c r="U202" s="8">
        <f t="shared" si="1"/>
        <v>821</v>
      </c>
      <c r="V202" s="8">
        <v>782</v>
      </c>
      <c r="W202" s="8">
        <v>30</v>
      </c>
      <c r="X202" s="8">
        <v>4</v>
      </c>
      <c r="Y202" s="8">
        <v>5</v>
      </c>
      <c r="Z202" s="116"/>
      <c r="AA202" s="132">
        <f t="shared" ref="AA202" si="751">P202-(V202*2)</f>
        <v>-1564</v>
      </c>
      <c r="AB202" s="132">
        <f t="shared" ref="AB202" si="752">Q202-(W202*2)</f>
        <v>-60</v>
      </c>
      <c r="AC202" s="132">
        <f t="shared" ref="AC202" si="753">R202-(X202*2)</f>
        <v>-8</v>
      </c>
      <c r="AD202" s="132">
        <f t="shared" ref="AD202" si="754">S202-(Y202*2)</f>
        <v>-10</v>
      </c>
      <c r="AE202" s="116"/>
      <c r="AF202" s="26">
        <f>SUMIFS(DataPrixBillets!N$1:N$1000,DataPrixBillets!$J$1:$J$1000,ROI_Avions!$A202,DataPrixBillets!$K$1:$K$1000,ROI_Avions!$C202)</f>
        <v>0</v>
      </c>
      <c r="AG202" s="26">
        <f>SUMIFS(DataPrixBillets!O$1:O$1000,DataPrixBillets!$J$1:$J$1000,ROI_Avions!$A202,DataPrixBillets!$K$1:$K$1000,ROI_Avions!$C202)</f>
        <v>0</v>
      </c>
      <c r="AH202" s="26">
        <f>SUMIFS(DataPrixBillets!P$1:P$1000,DataPrixBillets!$J$1:$J$1000,ROI_Avions!$A202,DataPrixBillets!$K$1:$K$1000,ROI_Avions!$C202)</f>
        <v>0</v>
      </c>
      <c r="AI202" s="26">
        <f>SUMIFS(DataPrixBillets!Q$1:Q$1000,DataPrixBillets!$J$1:$J$1000,ROI_Avions!$A202,DataPrixBillets!$K$1:$K$1000,ROI_Avions!$C202)</f>
        <v>0</v>
      </c>
      <c r="AJ202" s="116"/>
      <c r="AK202" s="8">
        <f t="shared" ref="AK202:AK215" si="755">(((AF202*V202)*2+(AG202*W202)*2+(AH202*X202)*2+(AI202*Y202)*2)*7)</f>
        <v>0</v>
      </c>
      <c r="AL202" s="8" t="e">
        <f t="shared" ref="AL202:AL215" ca="1" si="756">AK202-AM202</f>
        <v>#REF!</v>
      </c>
      <c r="AM202" s="8" t="e">
        <f t="shared" ref="AM202:AM215" ca="1" si="757">AK202*$AM$2</f>
        <v>#REF!</v>
      </c>
      <c r="AN202" s="8" t="e">
        <f t="shared" ref="AN202:AN215" ca="1" si="758">AL202*$AN$2</f>
        <v>#REF!</v>
      </c>
      <c r="AO202" s="8" t="e">
        <f t="shared" ref="AO202:AO215" ca="1" si="759">(AL202-AN202-I202)*$AO$2</f>
        <v>#REF!</v>
      </c>
      <c r="AP202" s="8" t="e">
        <f t="shared" ref="AP202:AP215" ca="1" si="760">AL202-AN202-(I202/7)-(AO202/7)</f>
        <v>#REF!</v>
      </c>
      <c r="AQ202" s="8" t="e">
        <f t="shared" ref="AQ202:AQ215" ca="1" si="761">AP202/7</f>
        <v>#REF!</v>
      </c>
      <c r="AR202" s="190">
        <f t="shared" ca="1" si="739"/>
        <v>0</v>
      </c>
      <c r="AS202" s="120">
        <f t="shared" ca="1" si="740"/>
        <v>0</v>
      </c>
      <c r="AT202" s="8" t="e">
        <f t="shared" ref="AT202:AT215" ca="1" si="762">IF(K202&gt;=1,AP202*K202,AP202*$AT$1)</f>
        <v>#REF!</v>
      </c>
      <c r="AV202"/>
      <c r="AW202"/>
      <c r="AX202"/>
      <c r="AY202"/>
      <c r="BA202"/>
      <c r="BB202"/>
      <c r="BC202"/>
    </row>
    <row r="203" spans="1:55" s="189" customFormat="1" x14ac:dyDescent="0.3">
      <c r="A203" s="160" t="s">
        <v>728</v>
      </c>
      <c r="B203" s="161">
        <v>449814960</v>
      </c>
      <c r="C203" s="160" t="s">
        <v>1037</v>
      </c>
      <c r="D203" s="145" t="str">
        <f t="shared" si="746"/>
        <v>NSI/OMS</v>
      </c>
      <c r="E203" s="161">
        <v>14136821</v>
      </c>
      <c r="F203" s="162" t="str">
        <f>"A380-A-"&amp;A203&amp;"-"&amp;C203&amp;"-"&amp;2</f>
        <v>A380-A-NSI-OMS-2</v>
      </c>
      <c r="G203" s="161">
        <v>304668000</v>
      </c>
      <c r="H203" s="116"/>
      <c r="I203" s="8">
        <v>0</v>
      </c>
      <c r="J203" s="8">
        <v>0</v>
      </c>
      <c r="K203" s="8">
        <v>0</v>
      </c>
      <c r="N203" s="116"/>
      <c r="O203" s="140"/>
      <c r="P203" s="133">
        <f>SUMIFS(GestionLignesDemande!D$4:D$1000,GestionLignesDemande!$B$4:$B$1000,ROI_Avions!$A203,GestionLignesDemande!$C$4:$C$1000,ROI_Avions!$C203)</f>
        <v>0</v>
      </c>
      <c r="Q203" s="133">
        <f>SUMIFS(GestionLignesDemande!E$4:E$1000,GestionLignesDemande!$B$4:$B$1000,ROI_Avions!$A203,GestionLignesDemande!$C$4:$C$1000,ROI_Avions!$C203)</f>
        <v>0</v>
      </c>
      <c r="R203" s="133">
        <f>SUMIFS(GestionLignesDemande!F$4:F$1000,GestionLignesDemande!$B$4:$B$1000,ROI_Avions!$A203,GestionLignesDemande!$C$4:$C$1000,ROI_Avions!$C203)</f>
        <v>0</v>
      </c>
      <c r="S203" s="133">
        <f>SUMIFS(GestionLignesDemande!G$4:G$1000,GestionLignesDemande!$B$4:$B$1000,ROI_Avions!$A203,GestionLignesDemande!$C$4:$C$1000,ROI_Avions!$C203)</f>
        <v>0</v>
      </c>
      <c r="T203" s="116"/>
      <c r="U203" s="8">
        <f t="shared" si="1"/>
        <v>821</v>
      </c>
      <c r="V203" s="8">
        <v>782</v>
      </c>
      <c r="W203" s="8">
        <v>30</v>
      </c>
      <c r="X203" s="8">
        <v>4</v>
      </c>
      <c r="Y203" s="8">
        <v>5</v>
      </c>
      <c r="Z203" s="116"/>
      <c r="AA203" s="8">
        <f t="shared" ref="AA203" si="763">AA202-V203*2</f>
        <v>-3128</v>
      </c>
      <c r="AB203" s="8">
        <f t="shared" ref="AB203" si="764">AB202-W203*2</f>
        <v>-120</v>
      </c>
      <c r="AC203" s="8">
        <f t="shared" ref="AC203" si="765">AC202-X203*2</f>
        <v>-16</v>
      </c>
      <c r="AD203" s="8">
        <f t="shared" ref="AD203" si="766">AD202-Y203*2</f>
        <v>-20</v>
      </c>
      <c r="AE203" s="116"/>
      <c r="AF203" s="26">
        <f>SUMIFS(DataPrixBillets!N$1:N$1000,DataPrixBillets!$J$1:$J$1000,ROI_Avions!$A203,DataPrixBillets!$K$1:$K$1000,ROI_Avions!$C203)</f>
        <v>0</v>
      </c>
      <c r="AG203" s="26">
        <f>SUMIFS(DataPrixBillets!O$1:O$1000,DataPrixBillets!$J$1:$J$1000,ROI_Avions!$A203,DataPrixBillets!$K$1:$K$1000,ROI_Avions!$C203)</f>
        <v>0</v>
      </c>
      <c r="AH203" s="26">
        <f>SUMIFS(DataPrixBillets!P$1:P$1000,DataPrixBillets!$J$1:$J$1000,ROI_Avions!$A203,DataPrixBillets!$K$1:$K$1000,ROI_Avions!$C203)</f>
        <v>0</v>
      </c>
      <c r="AI203" s="26">
        <f>SUMIFS(DataPrixBillets!Q$1:Q$1000,DataPrixBillets!$J$1:$J$1000,ROI_Avions!$A203,DataPrixBillets!$K$1:$K$1000,ROI_Avions!$C203)</f>
        <v>0</v>
      </c>
      <c r="AJ203" s="116"/>
      <c r="AK203" s="8">
        <f t="shared" si="755"/>
        <v>0</v>
      </c>
      <c r="AL203" s="8" t="e">
        <f t="shared" ca="1" si="756"/>
        <v>#REF!</v>
      </c>
      <c r="AM203" s="8" t="e">
        <f t="shared" ca="1" si="757"/>
        <v>#REF!</v>
      </c>
      <c r="AN203" s="8" t="e">
        <f t="shared" ca="1" si="758"/>
        <v>#REF!</v>
      </c>
      <c r="AO203" s="8" t="e">
        <f t="shared" ca="1" si="759"/>
        <v>#REF!</v>
      </c>
      <c r="AP203" s="8" t="e">
        <f t="shared" ca="1" si="760"/>
        <v>#REF!</v>
      </c>
      <c r="AQ203" s="8" t="e">
        <f t="shared" ca="1" si="761"/>
        <v>#REF!</v>
      </c>
      <c r="AR203" s="190">
        <f t="shared" ca="1" si="739"/>
        <v>0</v>
      </c>
      <c r="AS203" s="120">
        <f t="shared" ca="1" si="740"/>
        <v>0</v>
      </c>
      <c r="AT203" s="8" t="e">
        <f t="shared" ca="1" si="762"/>
        <v>#REF!</v>
      </c>
      <c r="AV203"/>
      <c r="AW203"/>
      <c r="AX203"/>
      <c r="AY203"/>
      <c r="BA203"/>
      <c r="BB203"/>
      <c r="BC203"/>
    </row>
    <row r="204" spans="1:55" s="189" customFormat="1" x14ac:dyDescent="0.3">
      <c r="A204" s="160" t="s">
        <v>728</v>
      </c>
      <c r="B204" s="161">
        <v>449814960</v>
      </c>
      <c r="C204" s="160" t="s">
        <v>851</v>
      </c>
      <c r="D204" s="145" t="str">
        <f t="shared" si="746"/>
        <v>NSI/URC</v>
      </c>
      <c r="E204" s="161">
        <v>17042602</v>
      </c>
      <c r="F204" s="162" t="str">
        <f>"A380-A-"&amp;A204&amp;"-"&amp;C204&amp;"-"&amp;3</f>
        <v>A380-A-NSI-URC-3</v>
      </c>
      <c r="G204" s="161">
        <v>304668000</v>
      </c>
      <c r="H204" s="116"/>
      <c r="I204" s="8">
        <v>0</v>
      </c>
      <c r="J204" s="8">
        <v>0</v>
      </c>
      <c r="K204" s="8">
        <v>0</v>
      </c>
      <c r="N204" s="116"/>
      <c r="O204" s="140"/>
      <c r="P204" s="133">
        <f>SUMIFS(GestionLignesDemande!D$4:D$1000,GestionLignesDemande!$B$4:$B$1000,ROI_Avions!$A204,GestionLignesDemande!$C$4:$C$1000,ROI_Avions!$C204)</f>
        <v>0</v>
      </c>
      <c r="Q204" s="133">
        <f>SUMIFS(GestionLignesDemande!E$4:E$1000,GestionLignesDemande!$B$4:$B$1000,ROI_Avions!$A204,GestionLignesDemande!$C$4:$C$1000,ROI_Avions!$C204)</f>
        <v>0</v>
      </c>
      <c r="R204" s="133">
        <f>SUMIFS(GestionLignesDemande!F$4:F$1000,GestionLignesDemande!$B$4:$B$1000,ROI_Avions!$A204,GestionLignesDemande!$C$4:$C$1000,ROI_Avions!$C204)</f>
        <v>0</v>
      </c>
      <c r="S204" s="133">
        <f>SUMIFS(GestionLignesDemande!G$4:G$1000,GestionLignesDemande!$B$4:$B$1000,ROI_Avions!$A204,GestionLignesDemande!$C$4:$C$1000,ROI_Avions!$C204)</f>
        <v>0</v>
      </c>
      <c r="T204" s="116"/>
      <c r="U204" s="8">
        <f t="shared" si="1"/>
        <v>821</v>
      </c>
      <c r="V204" s="8">
        <v>782</v>
      </c>
      <c r="W204" s="8">
        <v>30</v>
      </c>
      <c r="X204" s="8">
        <v>4</v>
      </c>
      <c r="Y204" s="8">
        <v>5</v>
      </c>
      <c r="Z204" s="116"/>
      <c r="AA204" s="132">
        <f t="shared" ref="AA204" si="767">P204-(V204*2)</f>
        <v>-1564</v>
      </c>
      <c r="AB204" s="132">
        <f t="shared" ref="AB204" si="768">Q204-(W204*2)</f>
        <v>-60</v>
      </c>
      <c r="AC204" s="132">
        <f t="shared" ref="AC204" si="769">R204-(X204*2)</f>
        <v>-8</v>
      </c>
      <c r="AD204" s="132">
        <f t="shared" ref="AD204" si="770">S204-(Y204*2)</f>
        <v>-10</v>
      </c>
      <c r="AE204" s="116"/>
      <c r="AF204" s="26">
        <f>SUMIFS(DataPrixBillets!N$1:N$1000,DataPrixBillets!$J$1:$J$1000,ROI_Avions!$A204,DataPrixBillets!$K$1:$K$1000,ROI_Avions!$C204)</f>
        <v>0</v>
      </c>
      <c r="AG204" s="26">
        <f>SUMIFS(DataPrixBillets!O$1:O$1000,DataPrixBillets!$J$1:$J$1000,ROI_Avions!$A204,DataPrixBillets!$K$1:$K$1000,ROI_Avions!$C204)</f>
        <v>0</v>
      </c>
      <c r="AH204" s="26">
        <f>SUMIFS(DataPrixBillets!P$1:P$1000,DataPrixBillets!$J$1:$J$1000,ROI_Avions!$A204,DataPrixBillets!$K$1:$K$1000,ROI_Avions!$C204)</f>
        <v>0</v>
      </c>
      <c r="AI204" s="26">
        <f>SUMIFS(DataPrixBillets!Q$1:Q$1000,DataPrixBillets!$J$1:$J$1000,ROI_Avions!$A204,DataPrixBillets!$K$1:$K$1000,ROI_Avions!$C204)</f>
        <v>0</v>
      </c>
      <c r="AJ204" s="116"/>
      <c r="AK204" s="8">
        <f t="shared" si="755"/>
        <v>0</v>
      </c>
      <c r="AL204" s="8" t="e">
        <f t="shared" ca="1" si="756"/>
        <v>#REF!</v>
      </c>
      <c r="AM204" s="8" t="e">
        <f t="shared" ca="1" si="757"/>
        <v>#REF!</v>
      </c>
      <c r="AN204" s="8" t="e">
        <f t="shared" ca="1" si="758"/>
        <v>#REF!</v>
      </c>
      <c r="AO204" s="8" t="e">
        <f t="shared" ca="1" si="759"/>
        <v>#REF!</v>
      </c>
      <c r="AP204" s="8" t="e">
        <f t="shared" ca="1" si="760"/>
        <v>#REF!</v>
      </c>
      <c r="AQ204" s="8" t="e">
        <f t="shared" ca="1" si="761"/>
        <v>#REF!</v>
      </c>
      <c r="AR204" s="190">
        <f t="shared" ca="1" si="739"/>
        <v>0</v>
      </c>
      <c r="AS204" s="120">
        <f t="shared" ca="1" si="740"/>
        <v>0</v>
      </c>
      <c r="AT204" s="8" t="e">
        <f t="shared" ca="1" si="762"/>
        <v>#REF!</v>
      </c>
      <c r="AV204"/>
      <c r="AW204"/>
      <c r="AX204"/>
      <c r="AY204"/>
      <c r="BA204" s="185"/>
      <c r="BB204" s="185"/>
      <c r="BC204" s="185"/>
    </row>
    <row r="205" spans="1:55" s="189" customFormat="1" x14ac:dyDescent="0.3">
      <c r="A205" s="160" t="s">
        <v>728</v>
      </c>
      <c r="B205" s="161">
        <v>449814960</v>
      </c>
      <c r="C205" s="160" t="s">
        <v>851</v>
      </c>
      <c r="D205" s="145" t="str">
        <f t="shared" si="746"/>
        <v>NSI/URC</v>
      </c>
      <c r="E205" s="161">
        <v>17042602</v>
      </c>
      <c r="F205" s="162" t="str">
        <f>"A380-A-"&amp;A205&amp;"-"&amp;C205&amp;"-"&amp;4</f>
        <v>A380-A-NSI-URC-4</v>
      </c>
      <c r="G205" s="161">
        <v>304668000</v>
      </c>
      <c r="H205" s="116"/>
      <c r="I205" s="8">
        <v>0</v>
      </c>
      <c r="J205" s="8">
        <v>0</v>
      </c>
      <c r="K205" s="8">
        <v>0</v>
      </c>
      <c r="N205" s="116"/>
      <c r="O205" s="140"/>
      <c r="P205" s="133">
        <f>SUMIFS(GestionLignesDemande!D$4:D$1000,GestionLignesDemande!$B$4:$B$1000,ROI_Avions!$A205,GestionLignesDemande!$C$4:$C$1000,ROI_Avions!$C205)</f>
        <v>0</v>
      </c>
      <c r="Q205" s="133">
        <f>SUMIFS(GestionLignesDemande!E$4:E$1000,GestionLignesDemande!$B$4:$B$1000,ROI_Avions!$A205,GestionLignesDemande!$C$4:$C$1000,ROI_Avions!$C205)</f>
        <v>0</v>
      </c>
      <c r="R205" s="133">
        <f>SUMIFS(GestionLignesDemande!F$4:F$1000,GestionLignesDemande!$B$4:$B$1000,ROI_Avions!$A205,GestionLignesDemande!$C$4:$C$1000,ROI_Avions!$C205)</f>
        <v>0</v>
      </c>
      <c r="S205" s="133">
        <f>SUMIFS(GestionLignesDemande!G$4:G$1000,GestionLignesDemande!$B$4:$B$1000,ROI_Avions!$A205,GestionLignesDemande!$C$4:$C$1000,ROI_Avions!$C205)</f>
        <v>0</v>
      </c>
      <c r="T205" s="116"/>
      <c r="U205" s="8">
        <f t="shared" si="1"/>
        <v>821</v>
      </c>
      <c r="V205" s="8">
        <v>782</v>
      </c>
      <c r="W205" s="8">
        <v>30</v>
      </c>
      <c r="X205" s="8">
        <v>4</v>
      </c>
      <c r="Y205" s="8">
        <v>5</v>
      </c>
      <c r="Z205" s="116"/>
      <c r="AA205" s="8">
        <f t="shared" ref="AA205" si="771">AA204-V205*2</f>
        <v>-3128</v>
      </c>
      <c r="AB205" s="8">
        <f t="shared" ref="AB205" si="772">AB204-W205*2</f>
        <v>-120</v>
      </c>
      <c r="AC205" s="8">
        <f t="shared" ref="AC205" si="773">AC204-X205*2</f>
        <v>-16</v>
      </c>
      <c r="AD205" s="8">
        <f t="shared" ref="AD205" si="774">AD204-Y205*2</f>
        <v>-20</v>
      </c>
      <c r="AE205" s="116"/>
      <c r="AF205" s="26">
        <f>SUMIFS(DataPrixBillets!N$1:N$1000,DataPrixBillets!$J$1:$J$1000,ROI_Avions!$A205,DataPrixBillets!$K$1:$K$1000,ROI_Avions!$C205)</f>
        <v>0</v>
      </c>
      <c r="AG205" s="26">
        <f>SUMIFS(DataPrixBillets!O$1:O$1000,DataPrixBillets!$J$1:$J$1000,ROI_Avions!$A205,DataPrixBillets!$K$1:$K$1000,ROI_Avions!$C205)</f>
        <v>0</v>
      </c>
      <c r="AH205" s="26">
        <f>SUMIFS(DataPrixBillets!P$1:P$1000,DataPrixBillets!$J$1:$J$1000,ROI_Avions!$A205,DataPrixBillets!$K$1:$K$1000,ROI_Avions!$C205)</f>
        <v>0</v>
      </c>
      <c r="AI205" s="26">
        <f>SUMIFS(DataPrixBillets!Q$1:Q$1000,DataPrixBillets!$J$1:$J$1000,ROI_Avions!$A205,DataPrixBillets!$K$1:$K$1000,ROI_Avions!$C205)</f>
        <v>0</v>
      </c>
      <c r="AJ205" s="116"/>
      <c r="AK205" s="8">
        <f t="shared" si="755"/>
        <v>0</v>
      </c>
      <c r="AL205" s="8" t="e">
        <f t="shared" ca="1" si="756"/>
        <v>#REF!</v>
      </c>
      <c r="AM205" s="8" t="e">
        <f t="shared" ca="1" si="757"/>
        <v>#REF!</v>
      </c>
      <c r="AN205" s="8" t="e">
        <f t="shared" ca="1" si="758"/>
        <v>#REF!</v>
      </c>
      <c r="AO205" s="8" t="e">
        <f t="shared" ca="1" si="759"/>
        <v>#REF!</v>
      </c>
      <c r="AP205" s="8" t="e">
        <f t="shared" ca="1" si="760"/>
        <v>#REF!</v>
      </c>
      <c r="AQ205" s="8" t="e">
        <f t="shared" ca="1" si="761"/>
        <v>#REF!</v>
      </c>
      <c r="AR205" s="190">
        <f t="shared" ca="1" si="739"/>
        <v>0</v>
      </c>
      <c r="AS205" s="120">
        <f t="shared" ca="1" si="740"/>
        <v>0</v>
      </c>
      <c r="AT205" s="8" t="e">
        <f t="shared" ca="1" si="762"/>
        <v>#REF!</v>
      </c>
      <c r="AV205" s="185"/>
      <c r="AW205" s="185"/>
      <c r="AX205" s="185"/>
      <c r="AY205" s="185"/>
      <c r="BA205" s="185"/>
      <c r="BB205" s="185"/>
      <c r="BC205" s="185"/>
    </row>
    <row r="206" spans="1:55" s="189" customFormat="1" x14ac:dyDescent="0.3">
      <c r="A206" s="160" t="s">
        <v>728</v>
      </c>
      <c r="B206" s="161">
        <v>449814960</v>
      </c>
      <c r="C206" s="160" t="s">
        <v>1038</v>
      </c>
      <c r="D206" s="145" t="str">
        <f t="shared" si="746"/>
        <v>NSI/PUS</v>
      </c>
      <c r="E206" s="161">
        <v>23731958</v>
      </c>
      <c r="F206" s="162" t="str">
        <f>"A380-A-"&amp;A206&amp;"-"&amp;C206&amp;"-"&amp;5</f>
        <v>A380-A-NSI-PUS-5</v>
      </c>
      <c r="G206" s="161">
        <v>304668000</v>
      </c>
      <c r="H206" s="116"/>
      <c r="I206" s="8">
        <v>0</v>
      </c>
      <c r="J206" s="8">
        <v>0</v>
      </c>
      <c r="K206" s="8">
        <v>0</v>
      </c>
      <c r="N206" s="116"/>
      <c r="O206" s="140"/>
      <c r="P206" s="133">
        <f>SUMIFS(GestionLignesDemande!D$4:D$1000,GestionLignesDemande!$B$4:$B$1000,ROI_Avions!$A206,GestionLignesDemande!$C$4:$C$1000,ROI_Avions!$C206)</f>
        <v>0</v>
      </c>
      <c r="Q206" s="133">
        <f>SUMIFS(GestionLignesDemande!E$4:E$1000,GestionLignesDemande!$B$4:$B$1000,ROI_Avions!$A206,GestionLignesDemande!$C$4:$C$1000,ROI_Avions!$C206)</f>
        <v>0</v>
      </c>
      <c r="R206" s="133">
        <f>SUMIFS(GestionLignesDemande!F$4:F$1000,GestionLignesDemande!$B$4:$B$1000,ROI_Avions!$A206,GestionLignesDemande!$C$4:$C$1000,ROI_Avions!$C206)</f>
        <v>0</v>
      </c>
      <c r="S206" s="133">
        <f>SUMIFS(GestionLignesDemande!G$4:G$1000,GestionLignesDemande!$B$4:$B$1000,ROI_Avions!$A206,GestionLignesDemande!$C$4:$C$1000,ROI_Avions!$C206)</f>
        <v>0</v>
      </c>
      <c r="T206" s="116"/>
      <c r="U206" s="8">
        <f t="shared" si="1"/>
        <v>821</v>
      </c>
      <c r="V206" s="8">
        <v>782</v>
      </c>
      <c r="W206" s="8">
        <v>30</v>
      </c>
      <c r="X206" s="8">
        <v>4</v>
      </c>
      <c r="Y206" s="8">
        <v>5</v>
      </c>
      <c r="Z206" s="116"/>
      <c r="AA206" s="132">
        <f t="shared" ref="AA206" si="775">P206-(V206*2)</f>
        <v>-1564</v>
      </c>
      <c r="AB206" s="132">
        <f t="shared" ref="AB206" si="776">Q206-(W206*2)</f>
        <v>-60</v>
      </c>
      <c r="AC206" s="132">
        <f t="shared" ref="AC206" si="777">R206-(X206*2)</f>
        <v>-8</v>
      </c>
      <c r="AD206" s="132">
        <f t="shared" ref="AD206" si="778">S206-(Y206*2)</f>
        <v>-10</v>
      </c>
      <c r="AE206" s="116"/>
      <c r="AF206" s="26">
        <f>SUMIFS(DataPrixBillets!N$1:N$1000,DataPrixBillets!$J$1:$J$1000,ROI_Avions!$A206,DataPrixBillets!$K$1:$K$1000,ROI_Avions!$C206)</f>
        <v>0</v>
      </c>
      <c r="AG206" s="26">
        <f>SUMIFS(DataPrixBillets!O$1:O$1000,DataPrixBillets!$J$1:$J$1000,ROI_Avions!$A206,DataPrixBillets!$K$1:$K$1000,ROI_Avions!$C206)</f>
        <v>0</v>
      </c>
      <c r="AH206" s="26">
        <f>SUMIFS(DataPrixBillets!P$1:P$1000,DataPrixBillets!$J$1:$J$1000,ROI_Avions!$A206,DataPrixBillets!$K$1:$K$1000,ROI_Avions!$C206)</f>
        <v>0</v>
      </c>
      <c r="AI206" s="26">
        <f>SUMIFS(DataPrixBillets!Q$1:Q$1000,DataPrixBillets!$J$1:$J$1000,ROI_Avions!$A206,DataPrixBillets!$K$1:$K$1000,ROI_Avions!$C206)</f>
        <v>0</v>
      </c>
      <c r="AJ206" s="116"/>
      <c r="AK206" s="8">
        <f t="shared" si="755"/>
        <v>0</v>
      </c>
      <c r="AL206" s="8" t="e">
        <f t="shared" ca="1" si="756"/>
        <v>#REF!</v>
      </c>
      <c r="AM206" s="8" t="e">
        <f t="shared" ca="1" si="757"/>
        <v>#REF!</v>
      </c>
      <c r="AN206" s="8" t="e">
        <f t="shared" ca="1" si="758"/>
        <v>#REF!</v>
      </c>
      <c r="AO206" s="8" t="e">
        <f t="shared" ca="1" si="759"/>
        <v>#REF!</v>
      </c>
      <c r="AP206" s="8" t="e">
        <f t="shared" ca="1" si="760"/>
        <v>#REF!</v>
      </c>
      <c r="AQ206" s="8" t="e">
        <f t="shared" ca="1" si="761"/>
        <v>#REF!</v>
      </c>
      <c r="AR206" s="190">
        <f t="shared" ca="1" si="739"/>
        <v>0</v>
      </c>
      <c r="AS206" s="120">
        <f t="shared" ca="1" si="740"/>
        <v>0</v>
      </c>
      <c r="AT206" s="8" t="e">
        <f t="shared" ca="1" si="762"/>
        <v>#REF!</v>
      </c>
      <c r="AV206" s="185"/>
      <c r="AW206" s="185"/>
      <c r="AX206" s="185"/>
      <c r="AY206" s="185"/>
    </row>
    <row r="207" spans="1:55" s="189" customFormat="1" x14ac:dyDescent="0.3">
      <c r="A207" s="160" t="s">
        <v>728</v>
      </c>
      <c r="B207" s="161">
        <v>449814960</v>
      </c>
      <c r="C207" s="160" t="s">
        <v>1038</v>
      </c>
      <c r="D207" s="145" t="str">
        <f t="shared" si="746"/>
        <v>NSI/PUS</v>
      </c>
      <c r="E207" s="161">
        <v>23731958</v>
      </c>
      <c r="F207" s="162" t="str">
        <f>"A380-A-"&amp;A207&amp;"-"&amp;C207&amp;"-"&amp;6</f>
        <v>A380-A-NSI-PUS-6</v>
      </c>
      <c r="G207" s="161">
        <v>304668000</v>
      </c>
      <c r="H207" s="116"/>
      <c r="I207" s="8">
        <v>0</v>
      </c>
      <c r="J207" s="8">
        <v>0</v>
      </c>
      <c r="K207" s="8">
        <v>0</v>
      </c>
      <c r="N207" s="116"/>
      <c r="O207" s="140"/>
      <c r="P207" s="133">
        <f>SUMIFS(GestionLignesDemande!D$4:D$1000,GestionLignesDemande!$B$4:$B$1000,ROI_Avions!$A207,GestionLignesDemande!$C$4:$C$1000,ROI_Avions!$C207)</f>
        <v>0</v>
      </c>
      <c r="Q207" s="133">
        <f>SUMIFS(GestionLignesDemande!E$4:E$1000,GestionLignesDemande!$B$4:$B$1000,ROI_Avions!$A207,GestionLignesDemande!$C$4:$C$1000,ROI_Avions!$C207)</f>
        <v>0</v>
      </c>
      <c r="R207" s="133">
        <f>SUMIFS(GestionLignesDemande!F$4:F$1000,GestionLignesDemande!$B$4:$B$1000,ROI_Avions!$A207,GestionLignesDemande!$C$4:$C$1000,ROI_Avions!$C207)</f>
        <v>0</v>
      </c>
      <c r="S207" s="133">
        <f>SUMIFS(GestionLignesDemande!G$4:G$1000,GestionLignesDemande!$B$4:$B$1000,ROI_Avions!$A207,GestionLignesDemande!$C$4:$C$1000,ROI_Avions!$C207)</f>
        <v>0</v>
      </c>
      <c r="T207" s="116"/>
      <c r="U207" s="8">
        <f t="shared" si="1"/>
        <v>821</v>
      </c>
      <c r="V207" s="8">
        <v>782</v>
      </c>
      <c r="W207" s="8">
        <v>30</v>
      </c>
      <c r="X207" s="8">
        <v>4</v>
      </c>
      <c r="Y207" s="8">
        <v>5</v>
      </c>
      <c r="Z207" s="116"/>
      <c r="AA207" s="8">
        <f t="shared" ref="AA207" si="779">AA206-V207*2</f>
        <v>-3128</v>
      </c>
      <c r="AB207" s="8">
        <f t="shared" ref="AB207" si="780">AB206-W207*2</f>
        <v>-120</v>
      </c>
      <c r="AC207" s="8">
        <f t="shared" ref="AC207" si="781">AC206-X207*2</f>
        <v>-16</v>
      </c>
      <c r="AD207" s="8">
        <f t="shared" ref="AD207" si="782">AD206-Y207*2</f>
        <v>-20</v>
      </c>
      <c r="AE207" s="116"/>
      <c r="AF207" s="26">
        <f>SUMIFS(DataPrixBillets!N$1:N$1000,DataPrixBillets!$J$1:$J$1000,ROI_Avions!$A207,DataPrixBillets!$K$1:$K$1000,ROI_Avions!$C207)</f>
        <v>0</v>
      </c>
      <c r="AG207" s="26">
        <f>SUMIFS(DataPrixBillets!O$1:O$1000,DataPrixBillets!$J$1:$J$1000,ROI_Avions!$A207,DataPrixBillets!$K$1:$K$1000,ROI_Avions!$C207)</f>
        <v>0</v>
      </c>
      <c r="AH207" s="26">
        <f>SUMIFS(DataPrixBillets!P$1:P$1000,DataPrixBillets!$J$1:$J$1000,ROI_Avions!$A207,DataPrixBillets!$K$1:$K$1000,ROI_Avions!$C207)</f>
        <v>0</v>
      </c>
      <c r="AI207" s="26">
        <f>SUMIFS(DataPrixBillets!Q$1:Q$1000,DataPrixBillets!$J$1:$J$1000,ROI_Avions!$A207,DataPrixBillets!$K$1:$K$1000,ROI_Avions!$C207)</f>
        <v>0</v>
      </c>
      <c r="AJ207" s="116"/>
      <c r="AK207" s="8">
        <f t="shared" si="755"/>
        <v>0</v>
      </c>
      <c r="AL207" s="8" t="e">
        <f t="shared" ca="1" si="756"/>
        <v>#REF!</v>
      </c>
      <c r="AM207" s="8" t="e">
        <f t="shared" ca="1" si="757"/>
        <v>#REF!</v>
      </c>
      <c r="AN207" s="8" t="e">
        <f t="shared" ca="1" si="758"/>
        <v>#REF!</v>
      </c>
      <c r="AO207" s="8" t="e">
        <f t="shared" ca="1" si="759"/>
        <v>#REF!</v>
      </c>
      <c r="AP207" s="8" t="e">
        <f t="shared" ca="1" si="760"/>
        <v>#REF!</v>
      </c>
      <c r="AQ207" s="8" t="e">
        <f t="shared" ca="1" si="761"/>
        <v>#REF!</v>
      </c>
      <c r="AR207" s="190">
        <f t="shared" ca="1" si="739"/>
        <v>0</v>
      </c>
      <c r="AS207" s="120">
        <f t="shared" ca="1" si="740"/>
        <v>0</v>
      </c>
      <c r="AT207" s="8" t="e">
        <f t="shared" ca="1" si="762"/>
        <v>#REF!</v>
      </c>
    </row>
    <row r="208" spans="1:55" s="189" customFormat="1" x14ac:dyDescent="0.3">
      <c r="A208" s="160" t="s">
        <v>728</v>
      </c>
      <c r="B208" s="161">
        <v>449814960</v>
      </c>
      <c r="C208" s="160" t="s">
        <v>1039</v>
      </c>
      <c r="D208" s="145" t="str">
        <f t="shared" si="746"/>
        <v>NSI/DVO</v>
      </c>
      <c r="E208" s="161">
        <v>28923701</v>
      </c>
      <c r="F208" s="162" t="str">
        <f>"A380-A-"&amp;A208&amp;"-"&amp;C208&amp;"-"&amp;7</f>
        <v>A380-A-NSI-DVO-7</v>
      </c>
      <c r="G208" s="161">
        <v>304668000</v>
      </c>
      <c r="H208" s="116"/>
      <c r="I208" s="8">
        <v>0</v>
      </c>
      <c r="J208" s="8">
        <v>0</v>
      </c>
      <c r="K208" s="8">
        <v>0</v>
      </c>
      <c r="N208" s="116"/>
      <c r="O208" s="140"/>
      <c r="P208" s="133">
        <f>SUMIFS(GestionLignesDemande!D$4:D$1000,GestionLignesDemande!$B$4:$B$1000,ROI_Avions!$A208,GestionLignesDemande!$C$4:$C$1000,ROI_Avions!$C208)</f>
        <v>0</v>
      </c>
      <c r="Q208" s="133">
        <f>SUMIFS(GestionLignesDemande!E$4:E$1000,GestionLignesDemande!$B$4:$B$1000,ROI_Avions!$A208,GestionLignesDemande!$C$4:$C$1000,ROI_Avions!$C208)</f>
        <v>0</v>
      </c>
      <c r="R208" s="133">
        <f>SUMIFS(GestionLignesDemande!F$4:F$1000,GestionLignesDemande!$B$4:$B$1000,ROI_Avions!$A208,GestionLignesDemande!$C$4:$C$1000,ROI_Avions!$C208)</f>
        <v>0</v>
      </c>
      <c r="S208" s="133">
        <f>SUMIFS(GestionLignesDemande!G$4:G$1000,GestionLignesDemande!$B$4:$B$1000,ROI_Avions!$A208,GestionLignesDemande!$C$4:$C$1000,ROI_Avions!$C208)</f>
        <v>0</v>
      </c>
      <c r="T208" s="116"/>
      <c r="U208" s="8">
        <f t="shared" si="1"/>
        <v>821</v>
      </c>
      <c r="V208" s="8">
        <v>782</v>
      </c>
      <c r="W208" s="8">
        <v>30</v>
      </c>
      <c r="X208" s="8">
        <v>4</v>
      </c>
      <c r="Y208" s="8">
        <v>5</v>
      </c>
      <c r="Z208" s="116"/>
      <c r="AA208" s="132">
        <f t="shared" ref="AA208" si="783">P208-(V208*2)</f>
        <v>-1564</v>
      </c>
      <c r="AB208" s="132">
        <f t="shared" ref="AB208" si="784">Q208-(W208*2)</f>
        <v>-60</v>
      </c>
      <c r="AC208" s="132">
        <f t="shared" ref="AC208" si="785">R208-(X208*2)</f>
        <v>-8</v>
      </c>
      <c r="AD208" s="132">
        <f t="shared" ref="AD208" si="786">S208-(Y208*2)</f>
        <v>-10</v>
      </c>
      <c r="AE208" s="116"/>
      <c r="AF208" s="26">
        <f>SUMIFS(DataPrixBillets!N$1:N$1000,DataPrixBillets!$J$1:$J$1000,ROI_Avions!$A208,DataPrixBillets!$K$1:$K$1000,ROI_Avions!$C208)</f>
        <v>0</v>
      </c>
      <c r="AG208" s="26">
        <f>SUMIFS(DataPrixBillets!O$1:O$1000,DataPrixBillets!$J$1:$J$1000,ROI_Avions!$A208,DataPrixBillets!$K$1:$K$1000,ROI_Avions!$C208)</f>
        <v>0</v>
      </c>
      <c r="AH208" s="26">
        <f>SUMIFS(DataPrixBillets!P$1:P$1000,DataPrixBillets!$J$1:$J$1000,ROI_Avions!$A208,DataPrixBillets!$K$1:$K$1000,ROI_Avions!$C208)</f>
        <v>0</v>
      </c>
      <c r="AI208" s="26">
        <f>SUMIFS(DataPrixBillets!Q$1:Q$1000,DataPrixBillets!$J$1:$J$1000,ROI_Avions!$A208,DataPrixBillets!$K$1:$K$1000,ROI_Avions!$C208)</f>
        <v>0</v>
      </c>
      <c r="AJ208" s="116"/>
      <c r="AK208" s="8">
        <f t="shared" si="755"/>
        <v>0</v>
      </c>
      <c r="AL208" s="8" t="e">
        <f t="shared" ca="1" si="756"/>
        <v>#REF!</v>
      </c>
      <c r="AM208" s="8" t="e">
        <f t="shared" ca="1" si="757"/>
        <v>#REF!</v>
      </c>
      <c r="AN208" s="8" t="e">
        <f t="shared" ca="1" si="758"/>
        <v>#REF!</v>
      </c>
      <c r="AO208" s="8" t="e">
        <f t="shared" ca="1" si="759"/>
        <v>#REF!</v>
      </c>
      <c r="AP208" s="8" t="e">
        <f t="shared" ca="1" si="760"/>
        <v>#REF!</v>
      </c>
      <c r="AQ208" s="8" t="e">
        <f t="shared" ca="1" si="761"/>
        <v>#REF!</v>
      </c>
      <c r="AR208" s="190">
        <f t="shared" ca="1" si="739"/>
        <v>0</v>
      </c>
      <c r="AS208" s="120">
        <f t="shared" ca="1" si="740"/>
        <v>0</v>
      </c>
      <c r="AT208" s="8" t="e">
        <f t="shared" ca="1" si="762"/>
        <v>#REF!</v>
      </c>
    </row>
    <row r="209" spans="1:46" s="189" customFormat="1" x14ac:dyDescent="0.3">
      <c r="A209" s="160" t="s">
        <v>728</v>
      </c>
      <c r="B209" s="161">
        <v>449814960</v>
      </c>
      <c r="C209" s="160" t="s">
        <v>1039</v>
      </c>
      <c r="D209" s="145" t="str">
        <f t="shared" si="746"/>
        <v>NSI/DVO</v>
      </c>
      <c r="E209" s="161">
        <v>28923701</v>
      </c>
      <c r="F209" s="162" t="str">
        <f>"A380-A-"&amp;A209&amp;"-"&amp;C209&amp;"-"&amp;8</f>
        <v>A380-A-NSI-DVO-8</v>
      </c>
      <c r="G209" s="161">
        <v>304668000</v>
      </c>
      <c r="H209" s="116"/>
      <c r="I209" s="8">
        <v>0</v>
      </c>
      <c r="J209" s="8">
        <v>0</v>
      </c>
      <c r="K209" s="8">
        <v>0</v>
      </c>
      <c r="N209" s="116"/>
      <c r="O209" s="140"/>
      <c r="P209" s="133">
        <f>SUMIFS(GestionLignesDemande!D$4:D$1000,GestionLignesDemande!$B$4:$B$1000,ROI_Avions!$A209,GestionLignesDemande!$C$4:$C$1000,ROI_Avions!$C209)</f>
        <v>0</v>
      </c>
      <c r="Q209" s="133">
        <f>SUMIFS(GestionLignesDemande!E$4:E$1000,GestionLignesDemande!$B$4:$B$1000,ROI_Avions!$A209,GestionLignesDemande!$C$4:$C$1000,ROI_Avions!$C209)</f>
        <v>0</v>
      </c>
      <c r="R209" s="133">
        <f>SUMIFS(GestionLignesDemande!F$4:F$1000,GestionLignesDemande!$B$4:$B$1000,ROI_Avions!$A209,GestionLignesDemande!$C$4:$C$1000,ROI_Avions!$C209)</f>
        <v>0</v>
      </c>
      <c r="S209" s="133">
        <f>SUMIFS(GestionLignesDemande!G$4:G$1000,GestionLignesDemande!$B$4:$B$1000,ROI_Avions!$A209,GestionLignesDemande!$C$4:$C$1000,ROI_Avions!$C209)</f>
        <v>0</v>
      </c>
      <c r="T209" s="116"/>
      <c r="U209" s="8">
        <f t="shared" si="1"/>
        <v>821</v>
      </c>
      <c r="V209" s="8">
        <v>782</v>
      </c>
      <c r="W209" s="8">
        <v>30</v>
      </c>
      <c r="X209" s="8">
        <v>4</v>
      </c>
      <c r="Y209" s="8">
        <v>5</v>
      </c>
      <c r="Z209" s="116"/>
      <c r="AA209" s="8">
        <f t="shared" ref="AA209" si="787">AA208-V209*2</f>
        <v>-3128</v>
      </c>
      <c r="AB209" s="8">
        <f t="shared" ref="AB209" si="788">AB208-W209*2</f>
        <v>-120</v>
      </c>
      <c r="AC209" s="8">
        <f t="shared" ref="AC209" si="789">AC208-X209*2</f>
        <v>-16</v>
      </c>
      <c r="AD209" s="8">
        <f t="shared" ref="AD209" si="790">AD208-Y209*2</f>
        <v>-20</v>
      </c>
      <c r="AE209" s="116"/>
      <c r="AF209" s="26">
        <f>SUMIFS(DataPrixBillets!N$1:N$1000,DataPrixBillets!$J$1:$J$1000,ROI_Avions!$A209,DataPrixBillets!$K$1:$K$1000,ROI_Avions!$C209)</f>
        <v>0</v>
      </c>
      <c r="AG209" s="26">
        <f>SUMIFS(DataPrixBillets!O$1:O$1000,DataPrixBillets!$J$1:$J$1000,ROI_Avions!$A209,DataPrixBillets!$K$1:$K$1000,ROI_Avions!$C209)</f>
        <v>0</v>
      </c>
      <c r="AH209" s="26">
        <f>SUMIFS(DataPrixBillets!P$1:P$1000,DataPrixBillets!$J$1:$J$1000,ROI_Avions!$A209,DataPrixBillets!$K$1:$K$1000,ROI_Avions!$C209)</f>
        <v>0</v>
      </c>
      <c r="AI209" s="26">
        <f>SUMIFS(DataPrixBillets!Q$1:Q$1000,DataPrixBillets!$J$1:$J$1000,ROI_Avions!$A209,DataPrixBillets!$K$1:$K$1000,ROI_Avions!$C209)</f>
        <v>0</v>
      </c>
      <c r="AJ209" s="116"/>
      <c r="AK209" s="8">
        <f t="shared" si="755"/>
        <v>0</v>
      </c>
      <c r="AL209" s="8" t="e">
        <f t="shared" ca="1" si="756"/>
        <v>#REF!</v>
      </c>
      <c r="AM209" s="8" t="e">
        <f t="shared" ca="1" si="757"/>
        <v>#REF!</v>
      </c>
      <c r="AN209" s="8" t="e">
        <f t="shared" ca="1" si="758"/>
        <v>#REF!</v>
      </c>
      <c r="AO209" s="8" t="e">
        <f t="shared" ca="1" si="759"/>
        <v>#REF!</v>
      </c>
      <c r="AP209" s="8" t="e">
        <f t="shared" ca="1" si="760"/>
        <v>#REF!</v>
      </c>
      <c r="AQ209" s="8" t="e">
        <f t="shared" ca="1" si="761"/>
        <v>#REF!</v>
      </c>
      <c r="AR209" s="190">
        <f t="shared" ca="1" si="739"/>
        <v>0</v>
      </c>
      <c r="AS209" s="120">
        <f t="shared" ca="1" si="740"/>
        <v>0</v>
      </c>
      <c r="AT209" s="8" t="e">
        <f t="shared" ca="1" si="762"/>
        <v>#REF!</v>
      </c>
    </row>
    <row r="210" spans="1:46" s="189" customFormat="1" x14ac:dyDescent="0.3">
      <c r="A210" s="160" t="s">
        <v>728</v>
      </c>
      <c r="B210" s="161">
        <v>449814960</v>
      </c>
      <c r="C210" s="160" t="s">
        <v>1040</v>
      </c>
      <c r="D210" s="145" t="str">
        <f t="shared" si="746"/>
        <v>NSI/MEL</v>
      </c>
      <c r="E210" s="161">
        <v>36203801</v>
      </c>
      <c r="F210" s="162" t="str">
        <f>"A380-A-"&amp;A210&amp;"-"&amp;C210&amp;"-"&amp;9</f>
        <v>A380-A-NSI-MEL-9</v>
      </c>
      <c r="G210" s="161">
        <v>304668000</v>
      </c>
      <c r="H210" s="116"/>
      <c r="I210" s="8">
        <v>0</v>
      </c>
      <c r="J210" s="8">
        <v>0</v>
      </c>
      <c r="K210" s="8">
        <v>0</v>
      </c>
      <c r="N210" s="116"/>
      <c r="O210" s="140"/>
      <c r="P210" s="133">
        <f>SUMIFS(GestionLignesDemande!D$4:D$1000,GestionLignesDemande!$B$4:$B$1000,ROI_Avions!$A210,GestionLignesDemande!$C$4:$C$1000,ROI_Avions!$C210)</f>
        <v>0</v>
      </c>
      <c r="Q210" s="133">
        <f>SUMIFS(GestionLignesDemande!E$4:E$1000,GestionLignesDemande!$B$4:$B$1000,ROI_Avions!$A210,GestionLignesDemande!$C$4:$C$1000,ROI_Avions!$C210)</f>
        <v>0</v>
      </c>
      <c r="R210" s="133">
        <f>SUMIFS(GestionLignesDemande!F$4:F$1000,GestionLignesDemande!$B$4:$B$1000,ROI_Avions!$A210,GestionLignesDemande!$C$4:$C$1000,ROI_Avions!$C210)</f>
        <v>0</v>
      </c>
      <c r="S210" s="133">
        <f>SUMIFS(GestionLignesDemande!G$4:G$1000,GestionLignesDemande!$B$4:$B$1000,ROI_Avions!$A210,GestionLignesDemande!$C$4:$C$1000,ROI_Avions!$C210)</f>
        <v>0</v>
      </c>
      <c r="T210" s="116"/>
      <c r="U210" s="8">
        <f t="shared" si="1"/>
        <v>821</v>
      </c>
      <c r="V210" s="8">
        <v>782</v>
      </c>
      <c r="W210" s="8">
        <v>30</v>
      </c>
      <c r="X210" s="8">
        <v>4</v>
      </c>
      <c r="Y210" s="8">
        <v>5</v>
      </c>
      <c r="Z210" s="116"/>
      <c r="AA210" s="132">
        <f t="shared" ref="AA210" si="791">P210-(V210*2)</f>
        <v>-1564</v>
      </c>
      <c r="AB210" s="132">
        <f t="shared" ref="AB210" si="792">Q210-(W210*2)</f>
        <v>-60</v>
      </c>
      <c r="AC210" s="132">
        <f t="shared" ref="AC210" si="793">R210-(X210*2)</f>
        <v>-8</v>
      </c>
      <c r="AD210" s="132">
        <f t="shared" ref="AD210" si="794">S210-(Y210*2)</f>
        <v>-10</v>
      </c>
      <c r="AE210" s="116"/>
      <c r="AF210" s="26">
        <f>SUMIFS(DataPrixBillets!N$1:N$1000,DataPrixBillets!$J$1:$J$1000,ROI_Avions!$A210,DataPrixBillets!$K$1:$K$1000,ROI_Avions!$C210)</f>
        <v>0</v>
      </c>
      <c r="AG210" s="26">
        <f>SUMIFS(DataPrixBillets!O$1:O$1000,DataPrixBillets!$J$1:$J$1000,ROI_Avions!$A210,DataPrixBillets!$K$1:$K$1000,ROI_Avions!$C210)</f>
        <v>0</v>
      </c>
      <c r="AH210" s="26">
        <f>SUMIFS(DataPrixBillets!P$1:P$1000,DataPrixBillets!$J$1:$J$1000,ROI_Avions!$A210,DataPrixBillets!$K$1:$K$1000,ROI_Avions!$C210)</f>
        <v>0</v>
      </c>
      <c r="AI210" s="26">
        <f>SUMIFS(DataPrixBillets!Q$1:Q$1000,DataPrixBillets!$J$1:$J$1000,ROI_Avions!$A210,DataPrixBillets!$K$1:$K$1000,ROI_Avions!$C210)</f>
        <v>0</v>
      </c>
      <c r="AJ210" s="116"/>
      <c r="AK210" s="8">
        <f t="shared" si="755"/>
        <v>0</v>
      </c>
      <c r="AL210" s="8" t="e">
        <f t="shared" ca="1" si="756"/>
        <v>#REF!</v>
      </c>
      <c r="AM210" s="8" t="e">
        <f t="shared" ca="1" si="757"/>
        <v>#REF!</v>
      </c>
      <c r="AN210" s="8" t="e">
        <f t="shared" ca="1" si="758"/>
        <v>#REF!</v>
      </c>
      <c r="AO210" s="8" t="e">
        <f t="shared" ca="1" si="759"/>
        <v>#REF!</v>
      </c>
      <c r="AP210" s="8" t="e">
        <f t="shared" ca="1" si="760"/>
        <v>#REF!</v>
      </c>
      <c r="AQ210" s="8" t="e">
        <f t="shared" ca="1" si="761"/>
        <v>#REF!</v>
      </c>
      <c r="AR210" s="190">
        <f t="shared" ca="1" si="739"/>
        <v>0</v>
      </c>
      <c r="AS210" s="120">
        <f t="shared" ca="1" si="740"/>
        <v>0</v>
      </c>
      <c r="AT210" s="8" t="e">
        <f t="shared" ca="1" si="762"/>
        <v>#REF!</v>
      </c>
    </row>
    <row r="211" spans="1:46" s="189" customFormat="1" x14ac:dyDescent="0.3">
      <c r="A211" s="160" t="s">
        <v>728</v>
      </c>
      <c r="B211" s="161">
        <v>449814960</v>
      </c>
      <c r="C211" s="160" t="s">
        <v>1040</v>
      </c>
      <c r="D211" s="145" t="str">
        <f t="shared" si="746"/>
        <v>NSI/MEL</v>
      </c>
      <c r="E211" s="161">
        <v>36203801</v>
      </c>
      <c r="F211" s="162" t="str">
        <f>"A380-A-"&amp;A211&amp;"-"&amp;C211&amp;"-"&amp;10</f>
        <v>A380-A-NSI-MEL-10</v>
      </c>
      <c r="G211" s="161">
        <v>304668000</v>
      </c>
      <c r="H211" s="116"/>
      <c r="I211" s="8">
        <v>0</v>
      </c>
      <c r="J211" s="8">
        <v>0</v>
      </c>
      <c r="K211" s="8">
        <v>0</v>
      </c>
      <c r="N211" s="116"/>
      <c r="O211" s="140"/>
      <c r="P211" s="133">
        <f>SUMIFS(GestionLignesDemande!D$4:D$1000,GestionLignesDemande!$B$4:$B$1000,ROI_Avions!$A211,GestionLignesDemande!$C$4:$C$1000,ROI_Avions!$C211)</f>
        <v>0</v>
      </c>
      <c r="Q211" s="133">
        <f>SUMIFS(GestionLignesDemande!E$4:E$1000,GestionLignesDemande!$B$4:$B$1000,ROI_Avions!$A211,GestionLignesDemande!$C$4:$C$1000,ROI_Avions!$C211)</f>
        <v>0</v>
      </c>
      <c r="R211" s="133">
        <f>SUMIFS(GestionLignesDemande!F$4:F$1000,GestionLignesDemande!$B$4:$B$1000,ROI_Avions!$A211,GestionLignesDemande!$C$4:$C$1000,ROI_Avions!$C211)</f>
        <v>0</v>
      </c>
      <c r="S211" s="133">
        <f>SUMIFS(GestionLignesDemande!G$4:G$1000,GestionLignesDemande!$B$4:$B$1000,ROI_Avions!$A211,GestionLignesDemande!$C$4:$C$1000,ROI_Avions!$C211)</f>
        <v>0</v>
      </c>
      <c r="T211" s="116"/>
      <c r="U211" s="8">
        <f t="shared" si="1"/>
        <v>821</v>
      </c>
      <c r="V211" s="8">
        <v>782</v>
      </c>
      <c r="W211" s="8">
        <v>30</v>
      </c>
      <c r="X211" s="8">
        <v>4</v>
      </c>
      <c r="Y211" s="8">
        <v>5</v>
      </c>
      <c r="Z211" s="116"/>
      <c r="AA211" s="8">
        <f t="shared" ref="AA211" si="795">AA210-V211*2</f>
        <v>-3128</v>
      </c>
      <c r="AB211" s="8">
        <f t="shared" ref="AB211" si="796">AB210-W211*2</f>
        <v>-120</v>
      </c>
      <c r="AC211" s="8">
        <f t="shared" ref="AC211" si="797">AC210-X211*2</f>
        <v>-16</v>
      </c>
      <c r="AD211" s="8">
        <f t="shared" ref="AD211" si="798">AD210-Y211*2</f>
        <v>-20</v>
      </c>
      <c r="AE211" s="116"/>
      <c r="AF211" s="26">
        <f>SUMIFS(DataPrixBillets!N$1:N$1000,DataPrixBillets!$J$1:$J$1000,ROI_Avions!$A211,DataPrixBillets!$K$1:$K$1000,ROI_Avions!$C211)</f>
        <v>0</v>
      </c>
      <c r="AG211" s="26">
        <f>SUMIFS(DataPrixBillets!O$1:O$1000,DataPrixBillets!$J$1:$J$1000,ROI_Avions!$A211,DataPrixBillets!$K$1:$K$1000,ROI_Avions!$C211)</f>
        <v>0</v>
      </c>
      <c r="AH211" s="26">
        <f>SUMIFS(DataPrixBillets!P$1:P$1000,DataPrixBillets!$J$1:$J$1000,ROI_Avions!$A211,DataPrixBillets!$K$1:$K$1000,ROI_Avions!$C211)</f>
        <v>0</v>
      </c>
      <c r="AI211" s="26">
        <f>SUMIFS(DataPrixBillets!Q$1:Q$1000,DataPrixBillets!$J$1:$J$1000,ROI_Avions!$A211,DataPrixBillets!$K$1:$K$1000,ROI_Avions!$C211)</f>
        <v>0</v>
      </c>
      <c r="AJ211" s="116"/>
      <c r="AK211" s="8">
        <f t="shared" si="755"/>
        <v>0</v>
      </c>
      <c r="AL211" s="8" t="e">
        <f t="shared" ca="1" si="756"/>
        <v>#REF!</v>
      </c>
      <c r="AM211" s="8" t="e">
        <f t="shared" ca="1" si="757"/>
        <v>#REF!</v>
      </c>
      <c r="AN211" s="8" t="e">
        <f t="shared" ca="1" si="758"/>
        <v>#REF!</v>
      </c>
      <c r="AO211" s="8" t="e">
        <f t="shared" ca="1" si="759"/>
        <v>#REF!</v>
      </c>
      <c r="AP211" s="8" t="e">
        <f t="shared" ca="1" si="760"/>
        <v>#REF!</v>
      </c>
      <c r="AQ211" s="8" t="e">
        <f t="shared" ca="1" si="761"/>
        <v>#REF!</v>
      </c>
      <c r="AR211" s="190">
        <f t="shared" ca="1" si="739"/>
        <v>0</v>
      </c>
      <c r="AS211" s="120">
        <f t="shared" ca="1" si="740"/>
        <v>0</v>
      </c>
      <c r="AT211" s="8" t="e">
        <f t="shared" ca="1" si="762"/>
        <v>#REF!</v>
      </c>
    </row>
    <row r="212" spans="1:46" s="189" customFormat="1" x14ac:dyDescent="0.3">
      <c r="A212" s="160" t="s">
        <v>728</v>
      </c>
      <c r="B212" s="161">
        <v>449814960</v>
      </c>
      <c r="C212" s="160" t="s">
        <v>1041</v>
      </c>
      <c r="D212" s="145" t="str">
        <f t="shared" si="746"/>
        <v>NSI/SYD</v>
      </c>
      <c r="E212" s="161">
        <v>44642695</v>
      </c>
      <c r="F212" s="162" t="str">
        <f>"A380-A-"&amp;A212&amp;"-"&amp;C212&amp;"-"&amp;11</f>
        <v>A380-A-NSI-SYD-11</v>
      </c>
      <c r="G212" s="161">
        <v>304668000</v>
      </c>
      <c r="H212" s="116"/>
      <c r="I212" s="8">
        <v>0</v>
      </c>
      <c r="J212" s="8">
        <v>0</v>
      </c>
      <c r="K212" s="8">
        <v>0</v>
      </c>
      <c r="N212" s="116"/>
      <c r="O212" s="140"/>
      <c r="P212" s="133">
        <f>SUMIFS(GestionLignesDemande!D$4:D$1000,GestionLignesDemande!$B$4:$B$1000,ROI_Avions!$A212,GestionLignesDemande!$C$4:$C$1000,ROI_Avions!$C212)</f>
        <v>0</v>
      </c>
      <c r="Q212" s="133">
        <f>SUMIFS(GestionLignesDemande!E$4:E$1000,GestionLignesDemande!$B$4:$B$1000,ROI_Avions!$A212,GestionLignesDemande!$C$4:$C$1000,ROI_Avions!$C212)</f>
        <v>0</v>
      </c>
      <c r="R212" s="133">
        <f>SUMIFS(GestionLignesDemande!F$4:F$1000,GestionLignesDemande!$B$4:$B$1000,ROI_Avions!$A212,GestionLignesDemande!$C$4:$C$1000,ROI_Avions!$C212)</f>
        <v>0</v>
      </c>
      <c r="S212" s="133">
        <f>SUMIFS(GestionLignesDemande!G$4:G$1000,GestionLignesDemande!$B$4:$B$1000,ROI_Avions!$A212,GestionLignesDemande!$C$4:$C$1000,ROI_Avions!$C212)</f>
        <v>0</v>
      </c>
      <c r="T212" s="116"/>
      <c r="U212" s="8">
        <f t="shared" si="1"/>
        <v>821</v>
      </c>
      <c r="V212" s="8">
        <v>782</v>
      </c>
      <c r="W212" s="8">
        <v>30</v>
      </c>
      <c r="X212" s="8">
        <v>4</v>
      </c>
      <c r="Y212" s="8">
        <v>5</v>
      </c>
      <c r="Z212" s="116"/>
      <c r="AA212" s="132">
        <f t="shared" ref="AA212" si="799">P212-(V212*2)</f>
        <v>-1564</v>
      </c>
      <c r="AB212" s="132">
        <f t="shared" ref="AB212" si="800">Q212-(W212*2)</f>
        <v>-60</v>
      </c>
      <c r="AC212" s="132">
        <f t="shared" ref="AC212" si="801">R212-(X212*2)</f>
        <v>-8</v>
      </c>
      <c r="AD212" s="132">
        <f t="shared" ref="AD212" si="802">S212-(Y212*2)</f>
        <v>-10</v>
      </c>
      <c r="AE212" s="116"/>
      <c r="AF212" s="26">
        <f>SUMIFS(DataPrixBillets!N$1:N$1000,DataPrixBillets!$J$1:$J$1000,ROI_Avions!$A212,DataPrixBillets!$K$1:$K$1000,ROI_Avions!$C212)</f>
        <v>0</v>
      </c>
      <c r="AG212" s="26">
        <f>SUMIFS(DataPrixBillets!O$1:O$1000,DataPrixBillets!$J$1:$J$1000,ROI_Avions!$A212,DataPrixBillets!$K$1:$K$1000,ROI_Avions!$C212)</f>
        <v>0</v>
      </c>
      <c r="AH212" s="26">
        <f>SUMIFS(DataPrixBillets!P$1:P$1000,DataPrixBillets!$J$1:$J$1000,ROI_Avions!$A212,DataPrixBillets!$K$1:$K$1000,ROI_Avions!$C212)</f>
        <v>0</v>
      </c>
      <c r="AI212" s="26">
        <f>SUMIFS(DataPrixBillets!Q$1:Q$1000,DataPrixBillets!$J$1:$J$1000,ROI_Avions!$A212,DataPrixBillets!$K$1:$K$1000,ROI_Avions!$C212)</f>
        <v>0</v>
      </c>
      <c r="AJ212" s="116"/>
      <c r="AK212" s="8">
        <f t="shared" si="755"/>
        <v>0</v>
      </c>
      <c r="AL212" s="8" t="e">
        <f t="shared" ca="1" si="756"/>
        <v>#REF!</v>
      </c>
      <c r="AM212" s="8" t="e">
        <f t="shared" ca="1" si="757"/>
        <v>#REF!</v>
      </c>
      <c r="AN212" s="8" t="e">
        <f t="shared" ca="1" si="758"/>
        <v>#REF!</v>
      </c>
      <c r="AO212" s="8" t="e">
        <f t="shared" ca="1" si="759"/>
        <v>#REF!</v>
      </c>
      <c r="AP212" s="8" t="e">
        <f t="shared" ca="1" si="760"/>
        <v>#REF!</v>
      </c>
      <c r="AQ212" s="8" t="e">
        <f t="shared" ca="1" si="761"/>
        <v>#REF!</v>
      </c>
      <c r="AR212" s="190">
        <f t="shared" ca="1" si="739"/>
        <v>0</v>
      </c>
      <c r="AS212" s="120">
        <f t="shared" ca="1" si="740"/>
        <v>0</v>
      </c>
      <c r="AT212" s="8" t="e">
        <f t="shared" ca="1" si="762"/>
        <v>#REF!</v>
      </c>
    </row>
    <row r="213" spans="1:46" s="189" customFormat="1" x14ac:dyDescent="0.3">
      <c r="A213" s="160" t="s">
        <v>728</v>
      </c>
      <c r="B213" s="161">
        <v>449814960</v>
      </c>
      <c r="C213" s="160" t="s">
        <v>1041</v>
      </c>
      <c r="D213" s="145" t="str">
        <f t="shared" si="746"/>
        <v>NSI/SYD</v>
      </c>
      <c r="E213" s="161">
        <v>44642695</v>
      </c>
      <c r="F213" s="162" t="str">
        <f>"A380-A-"&amp;A213&amp;"-"&amp;C213&amp;"-"&amp;12</f>
        <v>A380-A-NSI-SYD-12</v>
      </c>
      <c r="G213" s="161">
        <v>304668000</v>
      </c>
      <c r="H213" s="116"/>
      <c r="I213" s="8">
        <v>0</v>
      </c>
      <c r="J213" s="8">
        <v>0</v>
      </c>
      <c r="K213" s="8">
        <v>0</v>
      </c>
      <c r="N213" s="116"/>
      <c r="O213" s="140"/>
      <c r="P213" s="133">
        <f>SUMIFS(GestionLignesDemande!D$4:D$1000,GestionLignesDemande!$B$4:$B$1000,ROI_Avions!$A213,GestionLignesDemande!$C$4:$C$1000,ROI_Avions!$C213)</f>
        <v>0</v>
      </c>
      <c r="Q213" s="133">
        <f>SUMIFS(GestionLignesDemande!E$4:E$1000,GestionLignesDemande!$B$4:$B$1000,ROI_Avions!$A213,GestionLignesDemande!$C$4:$C$1000,ROI_Avions!$C213)</f>
        <v>0</v>
      </c>
      <c r="R213" s="133">
        <f>SUMIFS(GestionLignesDemande!F$4:F$1000,GestionLignesDemande!$B$4:$B$1000,ROI_Avions!$A213,GestionLignesDemande!$C$4:$C$1000,ROI_Avions!$C213)</f>
        <v>0</v>
      </c>
      <c r="S213" s="133">
        <f>SUMIFS(GestionLignesDemande!G$4:G$1000,GestionLignesDemande!$B$4:$B$1000,ROI_Avions!$A213,GestionLignesDemande!$C$4:$C$1000,ROI_Avions!$C213)</f>
        <v>0</v>
      </c>
      <c r="T213" s="116"/>
      <c r="U213" s="8">
        <f t="shared" si="1"/>
        <v>821</v>
      </c>
      <c r="V213" s="8">
        <v>782</v>
      </c>
      <c r="W213" s="8">
        <v>30</v>
      </c>
      <c r="X213" s="8">
        <v>4</v>
      </c>
      <c r="Y213" s="8">
        <v>5</v>
      </c>
      <c r="Z213" s="116"/>
      <c r="AA213" s="8">
        <f t="shared" ref="AA213" si="803">AA212-V213*2</f>
        <v>-3128</v>
      </c>
      <c r="AB213" s="8">
        <f t="shared" ref="AB213" si="804">AB212-W213*2</f>
        <v>-120</v>
      </c>
      <c r="AC213" s="8">
        <f t="shared" ref="AC213" si="805">AC212-X213*2</f>
        <v>-16</v>
      </c>
      <c r="AD213" s="8">
        <f t="shared" ref="AD213" si="806">AD212-Y213*2</f>
        <v>-20</v>
      </c>
      <c r="AE213" s="116"/>
      <c r="AF213" s="26">
        <f>SUMIFS(DataPrixBillets!N$1:N$1000,DataPrixBillets!$J$1:$J$1000,ROI_Avions!$A213,DataPrixBillets!$K$1:$K$1000,ROI_Avions!$C213)</f>
        <v>0</v>
      </c>
      <c r="AG213" s="26">
        <f>SUMIFS(DataPrixBillets!O$1:O$1000,DataPrixBillets!$J$1:$J$1000,ROI_Avions!$A213,DataPrixBillets!$K$1:$K$1000,ROI_Avions!$C213)</f>
        <v>0</v>
      </c>
      <c r="AH213" s="26">
        <f>SUMIFS(DataPrixBillets!P$1:P$1000,DataPrixBillets!$J$1:$J$1000,ROI_Avions!$A213,DataPrixBillets!$K$1:$K$1000,ROI_Avions!$C213)</f>
        <v>0</v>
      </c>
      <c r="AI213" s="26">
        <f>SUMIFS(DataPrixBillets!Q$1:Q$1000,DataPrixBillets!$J$1:$J$1000,ROI_Avions!$A213,DataPrixBillets!$K$1:$K$1000,ROI_Avions!$C213)</f>
        <v>0</v>
      </c>
      <c r="AJ213" s="116"/>
      <c r="AK213" s="8">
        <f t="shared" si="755"/>
        <v>0</v>
      </c>
      <c r="AL213" s="8" t="e">
        <f t="shared" ca="1" si="756"/>
        <v>#REF!</v>
      </c>
      <c r="AM213" s="8" t="e">
        <f t="shared" ca="1" si="757"/>
        <v>#REF!</v>
      </c>
      <c r="AN213" s="8" t="e">
        <f t="shared" ca="1" si="758"/>
        <v>#REF!</v>
      </c>
      <c r="AO213" s="8" t="e">
        <f t="shared" ca="1" si="759"/>
        <v>#REF!</v>
      </c>
      <c r="AP213" s="8" t="e">
        <f t="shared" ca="1" si="760"/>
        <v>#REF!</v>
      </c>
      <c r="AQ213" s="8" t="e">
        <f t="shared" ca="1" si="761"/>
        <v>#REF!</v>
      </c>
      <c r="AR213" s="190">
        <f t="shared" ca="1" si="739"/>
        <v>0</v>
      </c>
      <c r="AS213" s="120">
        <f t="shared" ca="1" si="740"/>
        <v>0</v>
      </c>
      <c r="AT213" s="8" t="e">
        <f t="shared" ca="1" si="762"/>
        <v>#REF!</v>
      </c>
    </row>
    <row r="214" spans="1:46" s="189" customFormat="1" x14ac:dyDescent="0.3">
      <c r="A214" s="160" t="s">
        <v>728</v>
      </c>
      <c r="B214" s="161">
        <v>449814960</v>
      </c>
      <c r="C214" s="160" t="s">
        <v>1041</v>
      </c>
      <c r="D214" s="145" t="str">
        <f t="shared" si="746"/>
        <v>NSI/SYD</v>
      </c>
      <c r="E214" s="161">
        <v>44642695</v>
      </c>
      <c r="F214" s="162" t="str">
        <f>"A380-A-"&amp;A214&amp;"-"&amp;C214&amp;"-"&amp;13</f>
        <v>A380-A-NSI-SYD-13</v>
      </c>
      <c r="G214" s="161">
        <v>304668000</v>
      </c>
      <c r="H214" s="116"/>
      <c r="I214" s="8">
        <v>0</v>
      </c>
      <c r="J214" s="8">
        <v>0</v>
      </c>
      <c r="K214" s="8">
        <v>0</v>
      </c>
      <c r="N214" s="116"/>
      <c r="O214" s="140"/>
      <c r="P214" s="133">
        <f>SUMIFS(GestionLignesDemande!D$4:D$1000,GestionLignesDemande!$B$4:$B$1000,ROI_Avions!$A214,GestionLignesDemande!$C$4:$C$1000,ROI_Avions!$C214)</f>
        <v>0</v>
      </c>
      <c r="Q214" s="133">
        <f>SUMIFS(GestionLignesDemande!E$4:E$1000,GestionLignesDemande!$B$4:$B$1000,ROI_Avions!$A214,GestionLignesDemande!$C$4:$C$1000,ROI_Avions!$C214)</f>
        <v>0</v>
      </c>
      <c r="R214" s="133">
        <f>SUMIFS(GestionLignesDemande!F$4:F$1000,GestionLignesDemande!$B$4:$B$1000,ROI_Avions!$A214,GestionLignesDemande!$C$4:$C$1000,ROI_Avions!$C214)</f>
        <v>0</v>
      </c>
      <c r="S214" s="133">
        <f>SUMIFS(GestionLignesDemande!G$4:G$1000,GestionLignesDemande!$B$4:$B$1000,ROI_Avions!$A214,GestionLignesDemande!$C$4:$C$1000,ROI_Avions!$C214)</f>
        <v>0</v>
      </c>
      <c r="T214" s="116"/>
      <c r="U214" s="8">
        <f t="shared" si="1"/>
        <v>821</v>
      </c>
      <c r="V214" s="8">
        <v>782</v>
      </c>
      <c r="W214" s="8">
        <v>30</v>
      </c>
      <c r="X214" s="8">
        <v>4</v>
      </c>
      <c r="Y214" s="8">
        <v>5</v>
      </c>
      <c r="Z214" s="116"/>
      <c r="AA214" s="8">
        <f t="shared" ref="AA214:AA215" si="807">AA213-V214*2</f>
        <v>-4692</v>
      </c>
      <c r="AB214" s="8">
        <f t="shared" ref="AB214:AB215" si="808">AB213-W214*2</f>
        <v>-180</v>
      </c>
      <c r="AC214" s="8">
        <f t="shared" ref="AC214:AC215" si="809">AC213-X214*2</f>
        <v>-24</v>
      </c>
      <c r="AD214" s="8">
        <f t="shared" ref="AD214:AD215" si="810">AD213-Y214*2</f>
        <v>-30</v>
      </c>
      <c r="AE214" s="116"/>
      <c r="AF214" s="26">
        <f>SUMIFS(DataPrixBillets!N$1:N$1000,DataPrixBillets!$J$1:$J$1000,ROI_Avions!$A214,DataPrixBillets!$K$1:$K$1000,ROI_Avions!$C214)</f>
        <v>0</v>
      </c>
      <c r="AG214" s="26">
        <f>SUMIFS(DataPrixBillets!O$1:O$1000,DataPrixBillets!$J$1:$J$1000,ROI_Avions!$A214,DataPrixBillets!$K$1:$K$1000,ROI_Avions!$C214)</f>
        <v>0</v>
      </c>
      <c r="AH214" s="26">
        <f>SUMIFS(DataPrixBillets!P$1:P$1000,DataPrixBillets!$J$1:$J$1000,ROI_Avions!$A214,DataPrixBillets!$K$1:$K$1000,ROI_Avions!$C214)</f>
        <v>0</v>
      </c>
      <c r="AI214" s="26">
        <f>SUMIFS(DataPrixBillets!Q$1:Q$1000,DataPrixBillets!$J$1:$J$1000,ROI_Avions!$A214,DataPrixBillets!$K$1:$K$1000,ROI_Avions!$C214)</f>
        <v>0</v>
      </c>
      <c r="AJ214" s="116"/>
      <c r="AK214" s="8">
        <f t="shared" si="755"/>
        <v>0</v>
      </c>
      <c r="AL214" s="8" t="e">
        <f t="shared" ca="1" si="756"/>
        <v>#REF!</v>
      </c>
      <c r="AM214" s="8" t="e">
        <f t="shared" ca="1" si="757"/>
        <v>#REF!</v>
      </c>
      <c r="AN214" s="8" t="e">
        <f t="shared" ca="1" si="758"/>
        <v>#REF!</v>
      </c>
      <c r="AO214" s="8" t="e">
        <f t="shared" ca="1" si="759"/>
        <v>#REF!</v>
      </c>
      <c r="AP214" s="8" t="e">
        <f t="shared" ca="1" si="760"/>
        <v>#REF!</v>
      </c>
      <c r="AQ214" s="8" t="e">
        <f t="shared" ca="1" si="761"/>
        <v>#REF!</v>
      </c>
      <c r="AR214" s="190">
        <f t="shared" ca="1" si="739"/>
        <v>0</v>
      </c>
      <c r="AS214" s="120">
        <f t="shared" ca="1" si="740"/>
        <v>0</v>
      </c>
      <c r="AT214" s="8" t="e">
        <f t="shared" ca="1" si="762"/>
        <v>#REF!</v>
      </c>
    </row>
    <row r="215" spans="1:46" s="189" customFormat="1" x14ac:dyDescent="0.3">
      <c r="A215" s="160" t="s">
        <v>728</v>
      </c>
      <c r="B215" s="161">
        <v>449814960</v>
      </c>
      <c r="C215" s="160" t="s">
        <v>1041</v>
      </c>
      <c r="D215" s="145" t="str">
        <f t="shared" si="746"/>
        <v>NSI/SYD</v>
      </c>
      <c r="E215" s="161">
        <v>44642695</v>
      </c>
      <c r="F215" s="162" t="str">
        <f>"A380-A-"&amp;A215&amp;"-"&amp;C215&amp;"-"&amp;14</f>
        <v>A380-A-NSI-SYD-14</v>
      </c>
      <c r="G215" s="161">
        <v>304668000</v>
      </c>
      <c r="H215" s="116"/>
      <c r="I215" s="8">
        <v>0</v>
      </c>
      <c r="J215" s="8">
        <v>0</v>
      </c>
      <c r="K215" s="8">
        <v>0</v>
      </c>
      <c r="N215" s="116"/>
      <c r="O215" s="140"/>
      <c r="P215" s="133">
        <f>SUMIFS(GestionLignesDemande!D$4:D$1000,GestionLignesDemande!$B$4:$B$1000,ROI_Avions!$A215,GestionLignesDemande!$C$4:$C$1000,ROI_Avions!$C215)</f>
        <v>0</v>
      </c>
      <c r="Q215" s="133">
        <f>SUMIFS(GestionLignesDemande!E$4:E$1000,GestionLignesDemande!$B$4:$B$1000,ROI_Avions!$A215,GestionLignesDemande!$C$4:$C$1000,ROI_Avions!$C215)</f>
        <v>0</v>
      </c>
      <c r="R215" s="133">
        <f>SUMIFS(GestionLignesDemande!F$4:F$1000,GestionLignesDemande!$B$4:$B$1000,ROI_Avions!$A215,GestionLignesDemande!$C$4:$C$1000,ROI_Avions!$C215)</f>
        <v>0</v>
      </c>
      <c r="S215" s="133">
        <f>SUMIFS(GestionLignesDemande!G$4:G$1000,GestionLignesDemande!$B$4:$B$1000,ROI_Avions!$A215,GestionLignesDemande!$C$4:$C$1000,ROI_Avions!$C215)</f>
        <v>0</v>
      </c>
      <c r="T215" s="116"/>
      <c r="U215" s="8">
        <f t="shared" si="1"/>
        <v>821</v>
      </c>
      <c r="V215" s="8">
        <v>782</v>
      </c>
      <c r="W215" s="8">
        <v>30</v>
      </c>
      <c r="X215" s="8">
        <v>4</v>
      </c>
      <c r="Y215" s="8">
        <v>5</v>
      </c>
      <c r="Z215" s="116"/>
      <c r="AA215" s="8">
        <f t="shared" si="807"/>
        <v>-6256</v>
      </c>
      <c r="AB215" s="8">
        <f t="shared" si="808"/>
        <v>-240</v>
      </c>
      <c r="AC215" s="8">
        <f t="shared" si="809"/>
        <v>-32</v>
      </c>
      <c r="AD215" s="8">
        <f t="shared" si="810"/>
        <v>-40</v>
      </c>
      <c r="AE215" s="116"/>
      <c r="AF215" s="26">
        <f>SUMIFS(DataPrixBillets!N$1:N$1000,DataPrixBillets!$J$1:$J$1000,ROI_Avions!$A215,DataPrixBillets!$K$1:$K$1000,ROI_Avions!$C215)</f>
        <v>0</v>
      </c>
      <c r="AG215" s="26">
        <f>SUMIFS(DataPrixBillets!O$1:O$1000,DataPrixBillets!$J$1:$J$1000,ROI_Avions!$A215,DataPrixBillets!$K$1:$K$1000,ROI_Avions!$C215)</f>
        <v>0</v>
      </c>
      <c r="AH215" s="26">
        <f>SUMIFS(DataPrixBillets!P$1:P$1000,DataPrixBillets!$J$1:$J$1000,ROI_Avions!$A215,DataPrixBillets!$K$1:$K$1000,ROI_Avions!$C215)</f>
        <v>0</v>
      </c>
      <c r="AI215" s="26">
        <f>SUMIFS(DataPrixBillets!Q$1:Q$1000,DataPrixBillets!$J$1:$J$1000,ROI_Avions!$A215,DataPrixBillets!$K$1:$K$1000,ROI_Avions!$C215)</f>
        <v>0</v>
      </c>
      <c r="AJ215" s="116"/>
      <c r="AK215" s="8">
        <f t="shared" si="755"/>
        <v>0</v>
      </c>
      <c r="AL215" s="8" t="e">
        <f t="shared" ca="1" si="756"/>
        <v>#REF!</v>
      </c>
      <c r="AM215" s="8" t="e">
        <f t="shared" ca="1" si="757"/>
        <v>#REF!</v>
      </c>
      <c r="AN215" s="8" t="e">
        <f t="shared" ca="1" si="758"/>
        <v>#REF!</v>
      </c>
      <c r="AO215" s="8" t="e">
        <f t="shared" ca="1" si="759"/>
        <v>#REF!</v>
      </c>
      <c r="AP215" s="8" t="e">
        <f t="shared" ca="1" si="760"/>
        <v>#REF!</v>
      </c>
      <c r="AQ215" s="8" t="e">
        <f t="shared" ca="1" si="761"/>
        <v>#REF!</v>
      </c>
      <c r="AR215" s="190">
        <f t="shared" ca="1" si="739"/>
        <v>0</v>
      </c>
      <c r="AS215" s="120">
        <f t="shared" ca="1" si="740"/>
        <v>0</v>
      </c>
      <c r="AT215" s="8" t="e">
        <f t="shared" ca="1" si="762"/>
        <v>#REF!</v>
      </c>
    </row>
    <row r="216" spans="1:46" s="189" customFormat="1" x14ac:dyDescent="0.3">
      <c r="A216" s="160" t="s">
        <v>728</v>
      </c>
      <c r="B216" s="161">
        <v>449814960</v>
      </c>
      <c r="C216" s="160" t="s">
        <v>988</v>
      </c>
      <c r="D216" s="145" t="str">
        <f t="shared" si="746"/>
        <v>NSI/PVG</v>
      </c>
      <c r="E216" s="161">
        <v>94428239</v>
      </c>
      <c r="F216" s="162" t="str">
        <f>"A380-A-"&amp;A216&amp;"-"&amp;C216&amp;"-"&amp;1</f>
        <v>A380-A-NSI-PVG-1</v>
      </c>
      <c r="G216" s="161">
        <v>304668000</v>
      </c>
      <c r="H216" s="116"/>
      <c r="I216" s="8">
        <v>0</v>
      </c>
      <c r="J216" s="8">
        <v>0</v>
      </c>
      <c r="K216" s="8">
        <v>0</v>
      </c>
      <c r="N216" s="116"/>
      <c r="O216" s="140"/>
      <c r="P216" s="133">
        <f>SUMIFS(GestionLignesDemande!D$4:D$1000,GestionLignesDemande!$B$4:$B$1000,ROI_Avions!$A216,GestionLignesDemande!$C$4:$C$1000,ROI_Avions!$C216)</f>
        <v>0</v>
      </c>
      <c r="Q216" s="133">
        <f>SUMIFS(GestionLignesDemande!E$4:E$1000,GestionLignesDemande!$B$4:$B$1000,ROI_Avions!$A216,GestionLignesDemande!$C$4:$C$1000,ROI_Avions!$C216)</f>
        <v>0</v>
      </c>
      <c r="R216" s="133">
        <f>SUMIFS(GestionLignesDemande!F$4:F$1000,GestionLignesDemande!$B$4:$B$1000,ROI_Avions!$A216,GestionLignesDemande!$C$4:$C$1000,ROI_Avions!$C216)</f>
        <v>0</v>
      </c>
      <c r="S216" s="133">
        <f>SUMIFS(GestionLignesDemande!G$4:G$1000,GestionLignesDemande!$B$4:$B$1000,ROI_Avions!$A216,GestionLignesDemande!$C$4:$C$1000,ROI_Avions!$C216)</f>
        <v>0</v>
      </c>
      <c r="T216" s="116"/>
      <c r="U216" s="8">
        <f t="shared" si="1"/>
        <v>790</v>
      </c>
      <c r="V216" s="8">
        <v>738</v>
      </c>
      <c r="W216" s="8">
        <v>36</v>
      </c>
      <c r="X216" s="8">
        <v>6</v>
      </c>
      <c r="Y216" s="8">
        <v>10</v>
      </c>
      <c r="Z216" s="116"/>
      <c r="AA216" s="132">
        <f t="shared" ref="AA216" si="811">P216-(V216*2)</f>
        <v>-1476</v>
      </c>
      <c r="AB216" s="132">
        <f t="shared" ref="AB216" si="812">Q216-(W216*2)</f>
        <v>-72</v>
      </c>
      <c r="AC216" s="132">
        <f t="shared" ref="AC216" si="813">R216-(X216*2)</f>
        <v>-12</v>
      </c>
      <c r="AD216" s="132">
        <f t="shared" ref="AD216" si="814">S216-(Y216*2)</f>
        <v>-20</v>
      </c>
      <c r="AE216" s="116"/>
      <c r="AF216" s="26">
        <f>SUMIFS(DataPrixBillets!N$1:N$1000,DataPrixBillets!$J$1:$J$1000,ROI_Avions!$A216,DataPrixBillets!$K$1:$K$1000,ROI_Avions!$C216)</f>
        <v>0</v>
      </c>
      <c r="AG216" s="26">
        <f>SUMIFS(DataPrixBillets!O$1:O$1000,DataPrixBillets!$J$1:$J$1000,ROI_Avions!$A216,DataPrixBillets!$K$1:$K$1000,ROI_Avions!$C216)</f>
        <v>0</v>
      </c>
      <c r="AH216" s="26">
        <f>SUMIFS(DataPrixBillets!P$1:P$1000,DataPrixBillets!$J$1:$J$1000,ROI_Avions!$A216,DataPrixBillets!$K$1:$K$1000,ROI_Avions!$C216)</f>
        <v>0</v>
      </c>
      <c r="AI216" s="26">
        <f>SUMIFS(DataPrixBillets!Q$1:Q$1000,DataPrixBillets!$J$1:$J$1000,ROI_Avions!$A216,DataPrixBillets!$K$1:$K$1000,ROI_Avions!$C216)</f>
        <v>0</v>
      </c>
      <c r="AJ216" s="116"/>
      <c r="AK216" s="8">
        <f t="shared" ref="AK216:AK236" si="815">(((AF216*V216)*2+(AG216*W216)*2+(AH216*X216)*2+(AI216*Y216)*2)*7)</f>
        <v>0</v>
      </c>
      <c r="AL216" s="8" t="e">
        <f t="shared" ref="AL216:AL236" ca="1" si="816">AK216-AM216</f>
        <v>#REF!</v>
      </c>
      <c r="AM216" s="8" t="e">
        <f t="shared" ref="AM216:AM236" ca="1" si="817">AK216*$AM$2</f>
        <v>#REF!</v>
      </c>
      <c r="AN216" s="8" t="e">
        <f t="shared" ref="AN216:AN236" ca="1" si="818">AL216*$AN$2</f>
        <v>#REF!</v>
      </c>
      <c r="AO216" s="8" t="e">
        <f t="shared" ref="AO216:AO236" ca="1" si="819">(AL216-AN216-I216)*$AO$2</f>
        <v>#REF!</v>
      </c>
      <c r="AP216" s="8" t="e">
        <f t="shared" ref="AP216:AP236" ca="1" si="820">AL216-AN216-(I216/7)-(AO216/7)</f>
        <v>#REF!</v>
      </c>
      <c r="AQ216" s="8" t="e">
        <f t="shared" ref="AQ216:AQ236" ca="1" si="821">AP216/7</f>
        <v>#REF!</v>
      </c>
      <c r="AR216" s="190">
        <f t="shared" ca="1" si="739"/>
        <v>0</v>
      </c>
      <c r="AS216" s="120">
        <f t="shared" ca="1" si="740"/>
        <v>0</v>
      </c>
      <c r="AT216" s="8" t="e">
        <f t="shared" ref="AT216:AT236" ca="1" si="822">IF(K216&gt;=1,AP216*K216,AP216*$AT$1)</f>
        <v>#REF!</v>
      </c>
    </row>
    <row r="217" spans="1:46" s="189" customFormat="1" x14ac:dyDescent="0.3">
      <c r="A217" s="160" t="s">
        <v>728</v>
      </c>
      <c r="B217" s="161">
        <v>449814960</v>
      </c>
      <c r="C217" s="160" t="s">
        <v>988</v>
      </c>
      <c r="D217" s="145" t="str">
        <f t="shared" si="746"/>
        <v>NSI/PVG</v>
      </c>
      <c r="E217" s="161">
        <v>94428239</v>
      </c>
      <c r="F217" s="162" t="str">
        <f>"A380-A-"&amp;A217&amp;"-"&amp;C217&amp;"-"&amp;2</f>
        <v>A380-A-NSI-PVG-2</v>
      </c>
      <c r="G217" s="161">
        <v>304668000</v>
      </c>
      <c r="H217" s="116"/>
      <c r="I217" s="8">
        <v>0</v>
      </c>
      <c r="J217" s="8">
        <v>0</v>
      </c>
      <c r="K217" s="8">
        <v>0</v>
      </c>
      <c r="N217" s="116"/>
      <c r="O217" s="140"/>
      <c r="P217" s="133">
        <f>SUMIFS(GestionLignesDemande!D$4:D$1000,GestionLignesDemande!$B$4:$B$1000,ROI_Avions!$A217,GestionLignesDemande!$C$4:$C$1000,ROI_Avions!$C217)</f>
        <v>0</v>
      </c>
      <c r="Q217" s="133">
        <f>SUMIFS(GestionLignesDemande!E$4:E$1000,GestionLignesDemande!$B$4:$B$1000,ROI_Avions!$A217,GestionLignesDemande!$C$4:$C$1000,ROI_Avions!$C217)</f>
        <v>0</v>
      </c>
      <c r="R217" s="133">
        <f>SUMIFS(GestionLignesDemande!F$4:F$1000,GestionLignesDemande!$B$4:$B$1000,ROI_Avions!$A217,GestionLignesDemande!$C$4:$C$1000,ROI_Avions!$C217)</f>
        <v>0</v>
      </c>
      <c r="S217" s="133">
        <f>SUMIFS(GestionLignesDemande!G$4:G$1000,GestionLignesDemande!$B$4:$B$1000,ROI_Avions!$A217,GestionLignesDemande!$C$4:$C$1000,ROI_Avions!$C217)</f>
        <v>0</v>
      </c>
      <c r="T217" s="116"/>
      <c r="U217" s="8">
        <f t="shared" si="1"/>
        <v>790</v>
      </c>
      <c r="V217" s="8">
        <v>738</v>
      </c>
      <c r="W217" s="8">
        <v>36</v>
      </c>
      <c r="X217" s="8">
        <v>6</v>
      </c>
      <c r="Y217" s="8">
        <v>10</v>
      </c>
      <c r="Z217" s="116"/>
      <c r="AA217" s="8">
        <f t="shared" ref="AA217" si="823">AA216-V217*2</f>
        <v>-2952</v>
      </c>
      <c r="AB217" s="8">
        <f t="shared" ref="AB217" si="824">AB216-W217*2</f>
        <v>-144</v>
      </c>
      <c r="AC217" s="8">
        <f t="shared" ref="AC217" si="825">AC216-X217*2</f>
        <v>-24</v>
      </c>
      <c r="AD217" s="8">
        <f t="shared" ref="AD217" si="826">AD216-Y217*2</f>
        <v>-40</v>
      </c>
      <c r="AE217" s="116"/>
      <c r="AF217" s="26">
        <f>SUMIFS(DataPrixBillets!N$1:N$1000,DataPrixBillets!$J$1:$J$1000,ROI_Avions!$A217,DataPrixBillets!$K$1:$K$1000,ROI_Avions!$C217)</f>
        <v>0</v>
      </c>
      <c r="AG217" s="26">
        <f>SUMIFS(DataPrixBillets!O$1:O$1000,DataPrixBillets!$J$1:$J$1000,ROI_Avions!$A217,DataPrixBillets!$K$1:$K$1000,ROI_Avions!$C217)</f>
        <v>0</v>
      </c>
      <c r="AH217" s="26">
        <f>SUMIFS(DataPrixBillets!P$1:P$1000,DataPrixBillets!$J$1:$J$1000,ROI_Avions!$A217,DataPrixBillets!$K$1:$K$1000,ROI_Avions!$C217)</f>
        <v>0</v>
      </c>
      <c r="AI217" s="26">
        <f>SUMIFS(DataPrixBillets!Q$1:Q$1000,DataPrixBillets!$J$1:$J$1000,ROI_Avions!$A217,DataPrixBillets!$K$1:$K$1000,ROI_Avions!$C217)</f>
        <v>0</v>
      </c>
      <c r="AJ217" s="116"/>
      <c r="AK217" s="8">
        <f t="shared" si="815"/>
        <v>0</v>
      </c>
      <c r="AL217" s="8" t="e">
        <f t="shared" ca="1" si="816"/>
        <v>#REF!</v>
      </c>
      <c r="AM217" s="8" t="e">
        <f t="shared" ca="1" si="817"/>
        <v>#REF!</v>
      </c>
      <c r="AN217" s="8" t="e">
        <f t="shared" ca="1" si="818"/>
        <v>#REF!</v>
      </c>
      <c r="AO217" s="8" t="e">
        <f t="shared" ca="1" si="819"/>
        <v>#REF!</v>
      </c>
      <c r="AP217" s="8" t="e">
        <f t="shared" ca="1" si="820"/>
        <v>#REF!</v>
      </c>
      <c r="AQ217" s="8" t="e">
        <f t="shared" ca="1" si="821"/>
        <v>#REF!</v>
      </c>
      <c r="AR217" s="190">
        <f t="shared" ca="1" si="739"/>
        <v>0</v>
      </c>
      <c r="AS217" s="120">
        <f t="shared" ca="1" si="740"/>
        <v>0</v>
      </c>
      <c r="AT217" s="8" t="e">
        <f t="shared" ca="1" si="822"/>
        <v>#REF!</v>
      </c>
    </row>
    <row r="218" spans="1:46" s="189" customFormat="1" x14ac:dyDescent="0.3">
      <c r="A218" s="160" t="s">
        <v>728</v>
      </c>
      <c r="B218" s="161">
        <v>449814960</v>
      </c>
      <c r="C218" s="160" t="s">
        <v>988</v>
      </c>
      <c r="D218" s="145" t="str">
        <f t="shared" si="746"/>
        <v>NSI/PVG</v>
      </c>
      <c r="E218" s="161">
        <v>94428239</v>
      </c>
      <c r="F218" s="162" t="str">
        <f>"A380-A-"&amp;A218&amp;"-"&amp;C218&amp;"-"&amp;3</f>
        <v>A380-A-NSI-PVG-3</v>
      </c>
      <c r="G218" s="161">
        <v>304668000</v>
      </c>
      <c r="H218" s="116"/>
      <c r="I218" s="8">
        <v>0</v>
      </c>
      <c r="J218" s="8">
        <v>0</v>
      </c>
      <c r="K218" s="8">
        <v>0</v>
      </c>
      <c r="N218" s="116"/>
      <c r="O218" s="140"/>
      <c r="P218" s="133">
        <f>SUMIFS(GestionLignesDemande!D$4:D$1000,GestionLignesDemande!$B$4:$B$1000,ROI_Avions!$A218,GestionLignesDemande!$C$4:$C$1000,ROI_Avions!$C218)</f>
        <v>0</v>
      </c>
      <c r="Q218" s="133">
        <f>SUMIFS(GestionLignesDemande!E$4:E$1000,GestionLignesDemande!$B$4:$B$1000,ROI_Avions!$A218,GestionLignesDemande!$C$4:$C$1000,ROI_Avions!$C218)</f>
        <v>0</v>
      </c>
      <c r="R218" s="133">
        <f>SUMIFS(GestionLignesDemande!F$4:F$1000,GestionLignesDemande!$B$4:$B$1000,ROI_Avions!$A218,GestionLignesDemande!$C$4:$C$1000,ROI_Avions!$C218)</f>
        <v>0</v>
      </c>
      <c r="S218" s="133">
        <f>SUMIFS(GestionLignesDemande!G$4:G$1000,GestionLignesDemande!$B$4:$B$1000,ROI_Avions!$A218,GestionLignesDemande!$C$4:$C$1000,ROI_Avions!$C218)</f>
        <v>0</v>
      </c>
      <c r="T218" s="116"/>
      <c r="U218" s="8">
        <f t="shared" si="1"/>
        <v>790</v>
      </c>
      <c r="V218" s="8">
        <v>738</v>
      </c>
      <c r="W218" s="8">
        <v>36</v>
      </c>
      <c r="X218" s="8">
        <v>6</v>
      </c>
      <c r="Y218" s="8">
        <v>10</v>
      </c>
      <c r="Z218" s="116"/>
      <c r="AA218" s="8">
        <f t="shared" ref="AA218" si="827">AA217-V218*2</f>
        <v>-4428</v>
      </c>
      <c r="AB218" s="8">
        <f t="shared" ref="AB218" si="828">AB217-W218*2</f>
        <v>-216</v>
      </c>
      <c r="AC218" s="8">
        <f t="shared" ref="AC218" si="829">AC217-X218*2</f>
        <v>-36</v>
      </c>
      <c r="AD218" s="8">
        <f t="shared" ref="AD218" si="830">AD217-Y218*2</f>
        <v>-60</v>
      </c>
      <c r="AE218" s="116"/>
      <c r="AF218" s="26">
        <f>SUMIFS(DataPrixBillets!N$1:N$1000,DataPrixBillets!$J$1:$J$1000,ROI_Avions!$A218,DataPrixBillets!$K$1:$K$1000,ROI_Avions!$C218)</f>
        <v>0</v>
      </c>
      <c r="AG218" s="26">
        <f>SUMIFS(DataPrixBillets!O$1:O$1000,DataPrixBillets!$J$1:$J$1000,ROI_Avions!$A218,DataPrixBillets!$K$1:$K$1000,ROI_Avions!$C218)</f>
        <v>0</v>
      </c>
      <c r="AH218" s="26">
        <f>SUMIFS(DataPrixBillets!P$1:P$1000,DataPrixBillets!$J$1:$J$1000,ROI_Avions!$A218,DataPrixBillets!$K$1:$K$1000,ROI_Avions!$C218)</f>
        <v>0</v>
      </c>
      <c r="AI218" s="26">
        <f>SUMIFS(DataPrixBillets!Q$1:Q$1000,DataPrixBillets!$J$1:$J$1000,ROI_Avions!$A218,DataPrixBillets!$K$1:$K$1000,ROI_Avions!$C218)</f>
        <v>0</v>
      </c>
      <c r="AJ218" s="116"/>
      <c r="AK218" s="8">
        <f t="shared" si="815"/>
        <v>0</v>
      </c>
      <c r="AL218" s="8" t="e">
        <f t="shared" ca="1" si="816"/>
        <v>#REF!</v>
      </c>
      <c r="AM218" s="8" t="e">
        <f t="shared" ca="1" si="817"/>
        <v>#REF!</v>
      </c>
      <c r="AN218" s="8" t="e">
        <f t="shared" ca="1" si="818"/>
        <v>#REF!</v>
      </c>
      <c r="AO218" s="8" t="e">
        <f t="shared" ca="1" si="819"/>
        <v>#REF!</v>
      </c>
      <c r="AP218" s="8" t="e">
        <f t="shared" ca="1" si="820"/>
        <v>#REF!</v>
      </c>
      <c r="AQ218" s="8" t="e">
        <f t="shared" ca="1" si="821"/>
        <v>#REF!</v>
      </c>
      <c r="AR218" s="190">
        <f t="shared" ca="1" si="739"/>
        <v>0</v>
      </c>
      <c r="AS218" s="120">
        <f t="shared" ca="1" si="740"/>
        <v>0</v>
      </c>
      <c r="AT218" s="8" t="e">
        <f t="shared" ca="1" si="822"/>
        <v>#REF!</v>
      </c>
    </row>
    <row r="219" spans="1:46" s="189" customFormat="1" x14ac:dyDescent="0.3">
      <c r="A219" s="160" t="s">
        <v>728</v>
      </c>
      <c r="B219" s="161">
        <v>449814960</v>
      </c>
      <c r="C219" s="160" t="s">
        <v>988</v>
      </c>
      <c r="D219" s="145" t="str">
        <f t="shared" si="746"/>
        <v>NSI/PVG</v>
      </c>
      <c r="E219" s="161">
        <v>94428239</v>
      </c>
      <c r="F219" s="162" t="str">
        <f>"A380-A-"&amp;A219&amp;"-"&amp;C219&amp;"-"&amp;4</f>
        <v>A380-A-NSI-PVG-4</v>
      </c>
      <c r="G219" s="161">
        <v>304668000</v>
      </c>
      <c r="H219" s="116"/>
      <c r="I219" s="8">
        <v>0</v>
      </c>
      <c r="J219" s="8">
        <v>0</v>
      </c>
      <c r="K219" s="8">
        <v>0</v>
      </c>
      <c r="N219" s="116"/>
      <c r="O219" s="140"/>
      <c r="P219" s="133">
        <f>SUMIFS(GestionLignesDemande!D$4:D$1000,GestionLignesDemande!$B$4:$B$1000,ROI_Avions!$A219,GestionLignesDemande!$C$4:$C$1000,ROI_Avions!$C219)</f>
        <v>0</v>
      </c>
      <c r="Q219" s="133">
        <f>SUMIFS(GestionLignesDemande!E$4:E$1000,GestionLignesDemande!$B$4:$B$1000,ROI_Avions!$A219,GestionLignesDemande!$C$4:$C$1000,ROI_Avions!$C219)</f>
        <v>0</v>
      </c>
      <c r="R219" s="133">
        <f>SUMIFS(GestionLignesDemande!F$4:F$1000,GestionLignesDemande!$B$4:$B$1000,ROI_Avions!$A219,GestionLignesDemande!$C$4:$C$1000,ROI_Avions!$C219)</f>
        <v>0</v>
      </c>
      <c r="S219" s="133">
        <f>SUMIFS(GestionLignesDemande!G$4:G$1000,GestionLignesDemande!$B$4:$B$1000,ROI_Avions!$A219,GestionLignesDemande!$C$4:$C$1000,ROI_Avions!$C219)</f>
        <v>0</v>
      </c>
      <c r="T219" s="116"/>
      <c r="U219" s="8">
        <f t="shared" si="1"/>
        <v>790</v>
      </c>
      <c r="V219" s="8">
        <v>738</v>
      </c>
      <c r="W219" s="8">
        <v>36</v>
      </c>
      <c r="X219" s="8">
        <v>6</v>
      </c>
      <c r="Y219" s="8">
        <v>10</v>
      </c>
      <c r="Z219" s="116"/>
      <c r="AA219" s="132">
        <f t="shared" ref="AA219" si="831">P219-(V219*2)</f>
        <v>-1476</v>
      </c>
      <c r="AB219" s="132">
        <f t="shared" ref="AB219" si="832">Q219-(W219*2)</f>
        <v>-72</v>
      </c>
      <c r="AC219" s="132">
        <f t="shared" ref="AC219" si="833">R219-(X219*2)</f>
        <v>-12</v>
      </c>
      <c r="AD219" s="132">
        <f t="shared" ref="AD219" si="834">S219-(Y219*2)</f>
        <v>-20</v>
      </c>
      <c r="AE219" s="116"/>
      <c r="AF219" s="26">
        <f>SUMIFS(DataPrixBillets!N$1:N$1000,DataPrixBillets!$J$1:$J$1000,ROI_Avions!$A219,DataPrixBillets!$K$1:$K$1000,ROI_Avions!$C219)</f>
        <v>0</v>
      </c>
      <c r="AG219" s="26">
        <f>SUMIFS(DataPrixBillets!O$1:O$1000,DataPrixBillets!$J$1:$J$1000,ROI_Avions!$A219,DataPrixBillets!$K$1:$K$1000,ROI_Avions!$C219)</f>
        <v>0</v>
      </c>
      <c r="AH219" s="26">
        <f>SUMIFS(DataPrixBillets!P$1:P$1000,DataPrixBillets!$J$1:$J$1000,ROI_Avions!$A219,DataPrixBillets!$K$1:$K$1000,ROI_Avions!$C219)</f>
        <v>0</v>
      </c>
      <c r="AI219" s="26">
        <f>SUMIFS(DataPrixBillets!Q$1:Q$1000,DataPrixBillets!$J$1:$J$1000,ROI_Avions!$A219,DataPrixBillets!$K$1:$K$1000,ROI_Avions!$C219)</f>
        <v>0</v>
      </c>
      <c r="AJ219" s="116"/>
      <c r="AK219" s="8">
        <f t="shared" si="815"/>
        <v>0</v>
      </c>
      <c r="AL219" s="8" t="e">
        <f t="shared" ca="1" si="816"/>
        <v>#REF!</v>
      </c>
      <c r="AM219" s="8" t="e">
        <f t="shared" ca="1" si="817"/>
        <v>#REF!</v>
      </c>
      <c r="AN219" s="8" t="e">
        <f t="shared" ca="1" si="818"/>
        <v>#REF!</v>
      </c>
      <c r="AO219" s="8" t="e">
        <f t="shared" ca="1" si="819"/>
        <v>#REF!</v>
      </c>
      <c r="AP219" s="8" t="e">
        <f t="shared" ca="1" si="820"/>
        <v>#REF!</v>
      </c>
      <c r="AQ219" s="8" t="e">
        <f t="shared" ca="1" si="821"/>
        <v>#REF!</v>
      </c>
      <c r="AR219" s="190">
        <f t="shared" ca="1" si="739"/>
        <v>0</v>
      </c>
      <c r="AS219" s="120">
        <f t="shared" ca="1" si="740"/>
        <v>0</v>
      </c>
      <c r="AT219" s="8" t="e">
        <f t="shared" ca="1" si="822"/>
        <v>#REF!</v>
      </c>
    </row>
    <row r="220" spans="1:46" s="189" customFormat="1" x14ac:dyDescent="0.3">
      <c r="A220" s="160" t="s">
        <v>728</v>
      </c>
      <c r="B220" s="161">
        <v>449814960</v>
      </c>
      <c r="C220" s="160" t="s">
        <v>984</v>
      </c>
      <c r="D220" s="145" t="str">
        <f t="shared" si="746"/>
        <v>NSI/SHA</v>
      </c>
      <c r="E220" s="161">
        <v>112664795</v>
      </c>
      <c r="F220" s="162" t="str">
        <f>"A380-A-"&amp;A220&amp;"-"&amp;C220&amp;"-"&amp;5</f>
        <v>A380-A-NSI-SHA-5</v>
      </c>
      <c r="G220" s="161">
        <v>304668000</v>
      </c>
      <c r="H220" s="116"/>
      <c r="I220" s="8">
        <v>0</v>
      </c>
      <c r="J220" s="8">
        <v>0</v>
      </c>
      <c r="K220" s="8">
        <v>0</v>
      </c>
      <c r="N220" s="116"/>
      <c r="O220" s="140"/>
      <c r="P220" s="133">
        <f>SUMIFS(GestionLignesDemande!D$4:D$1000,GestionLignesDemande!$B$4:$B$1000,ROI_Avions!$A220,GestionLignesDemande!$C$4:$C$1000,ROI_Avions!$C220)</f>
        <v>0</v>
      </c>
      <c r="Q220" s="133">
        <f>SUMIFS(GestionLignesDemande!E$4:E$1000,GestionLignesDemande!$B$4:$B$1000,ROI_Avions!$A220,GestionLignesDemande!$C$4:$C$1000,ROI_Avions!$C220)</f>
        <v>0</v>
      </c>
      <c r="R220" s="133">
        <f>SUMIFS(GestionLignesDemande!F$4:F$1000,GestionLignesDemande!$B$4:$B$1000,ROI_Avions!$A220,GestionLignesDemande!$C$4:$C$1000,ROI_Avions!$C220)</f>
        <v>0</v>
      </c>
      <c r="S220" s="133">
        <f>SUMIFS(GestionLignesDemande!G$4:G$1000,GestionLignesDemande!$B$4:$B$1000,ROI_Avions!$A220,GestionLignesDemande!$C$4:$C$1000,ROI_Avions!$C220)</f>
        <v>0</v>
      </c>
      <c r="T220" s="116"/>
      <c r="U220" s="8">
        <f t="shared" si="1"/>
        <v>790</v>
      </c>
      <c r="V220" s="8">
        <v>738</v>
      </c>
      <c r="W220" s="8">
        <v>36</v>
      </c>
      <c r="X220" s="8">
        <v>6</v>
      </c>
      <c r="Y220" s="8">
        <v>10</v>
      </c>
      <c r="Z220" s="116"/>
      <c r="AA220" s="8">
        <f t="shared" ref="AA220:AA221" si="835">AA219-V220*2</f>
        <v>-2952</v>
      </c>
      <c r="AB220" s="8">
        <f t="shared" ref="AB220:AB221" si="836">AB219-W220*2</f>
        <v>-144</v>
      </c>
      <c r="AC220" s="8">
        <f t="shared" ref="AC220:AC221" si="837">AC219-X220*2</f>
        <v>-24</v>
      </c>
      <c r="AD220" s="8">
        <f t="shared" ref="AD220:AD221" si="838">AD219-Y220*2</f>
        <v>-40</v>
      </c>
      <c r="AE220" s="116"/>
      <c r="AF220" s="26">
        <f>SUMIFS(DataPrixBillets!N$1:N$1000,DataPrixBillets!$J$1:$J$1000,ROI_Avions!$A220,DataPrixBillets!$K$1:$K$1000,ROI_Avions!$C220)</f>
        <v>0</v>
      </c>
      <c r="AG220" s="26">
        <f>SUMIFS(DataPrixBillets!O$1:O$1000,DataPrixBillets!$J$1:$J$1000,ROI_Avions!$A220,DataPrixBillets!$K$1:$K$1000,ROI_Avions!$C220)</f>
        <v>0</v>
      </c>
      <c r="AH220" s="26">
        <f>SUMIFS(DataPrixBillets!P$1:P$1000,DataPrixBillets!$J$1:$J$1000,ROI_Avions!$A220,DataPrixBillets!$K$1:$K$1000,ROI_Avions!$C220)</f>
        <v>0</v>
      </c>
      <c r="AI220" s="26">
        <f>SUMIFS(DataPrixBillets!Q$1:Q$1000,DataPrixBillets!$J$1:$J$1000,ROI_Avions!$A220,DataPrixBillets!$K$1:$K$1000,ROI_Avions!$C220)</f>
        <v>0</v>
      </c>
      <c r="AJ220" s="116"/>
      <c r="AK220" s="8">
        <f t="shared" si="815"/>
        <v>0</v>
      </c>
      <c r="AL220" s="8" t="e">
        <f t="shared" ca="1" si="816"/>
        <v>#REF!</v>
      </c>
      <c r="AM220" s="8" t="e">
        <f t="shared" ca="1" si="817"/>
        <v>#REF!</v>
      </c>
      <c r="AN220" s="8" t="e">
        <f t="shared" ca="1" si="818"/>
        <v>#REF!</v>
      </c>
      <c r="AO220" s="8" t="e">
        <f t="shared" ca="1" si="819"/>
        <v>#REF!</v>
      </c>
      <c r="AP220" s="8" t="e">
        <f t="shared" ca="1" si="820"/>
        <v>#REF!</v>
      </c>
      <c r="AQ220" s="8" t="e">
        <f t="shared" ca="1" si="821"/>
        <v>#REF!</v>
      </c>
      <c r="AR220" s="190">
        <f t="shared" ca="1" si="739"/>
        <v>0</v>
      </c>
      <c r="AS220" s="120">
        <f t="shared" ca="1" si="740"/>
        <v>0</v>
      </c>
      <c r="AT220" s="8" t="e">
        <f t="shared" ca="1" si="822"/>
        <v>#REF!</v>
      </c>
    </row>
    <row r="221" spans="1:46" s="189" customFormat="1" x14ac:dyDescent="0.3">
      <c r="A221" s="160" t="s">
        <v>728</v>
      </c>
      <c r="B221" s="161">
        <v>449814960</v>
      </c>
      <c r="C221" s="160" t="s">
        <v>984</v>
      </c>
      <c r="D221" s="145" t="str">
        <f t="shared" si="746"/>
        <v>NSI/SHA</v>
      </c>
      <c r="E221" s="161">
        <v>112664795</v>
      </c>
      <c r="F221" s="162" t="str">
        <f>"A380-A-"&amp;A221&amp;"-"&amp;C221&amp;"-"&amp;6</f>
        <v>A380-A-NSI-SHA-6</v>
      </c>
      <c r="G221" s="161">
        <v>304668000</v>
      </c>
      <c r="H221" s="116"/>
      <c r="I221" s="8">
        <v>0</v>
      </c>
      <c r="J221" s="8">
        <v>0</v>
      </c>
      <c r="K221" s="8">
        <v>0</v>
      </c>
      <c r="N221" s="116"/>
      <c r="O221" s="140"/>
      <c r="P221" s="133">
        <f>SUMIFS(GestionLignesDemande!D$4:D$1000,GestionLignesDemande!$B$4:$B$1000,ROI_Avions!$A221,GestionLignesDemande!$C$4:$C$1000,ROI_Avions!$C221)</f>
        <v>0</v>
      </c>
      <c r="Q221" s="133">
        <f>SUMIFS(GestionLignesDemande!E$4:E$1000,GestionLignesDemande!$B$4:$B$1000,ROI_Avions!$A221,GestionLignesDemande!$C$4:$C$1000,ROI_Avions!$C221)</f>
        <v>0</v>
      </c>
      <c r="R221" s="133">
        <f>SUMIFS(GestionLignesDemande!F$4:F$1000,GestionLignesDemande!$B$4:$B$1000,ROI_Avions!$A221,GestionLignesDemande!$C$4:$C$1000,ROI_Avions!$C221)</f>
        <v>0</v>
      </c>
      <c r="S221" s="133">
        <f>SUMIFS(GestionLignesDemande!G$4:G$1000,GestionLignesDemande!$B$4:$B$1000,ROI_Avions!$A221,GestionLignesDemande!$C$4:$C$1000,ROI_Avions!$C221)</f>
        <v>0</v>
      </c>
      <c r="T221" s="116"/>
      <c r="U221" s="8">
        <f t="shared" si="1"/>
        <v>790</v>
      </c>
      <c r="V221" s="8">
        <v>738</v>
      </c>
      <c r="W221" s="8">
        <v>36</v>
      </c>
      <c r="X221" s="8">
        <v>6</v>
      </c>
      <c r="Y221" s="8">
        <v>10</v>
      </c>
      <c r="Z221" s="116"/>
      <c r="AA221" s="8">
        <f t="shared" si="835"/>
        <v>-4428</v>
      </c>
      <c r="AB221" s="8">
        <f t="shared" si="836"/>
        <v>-216</v>
      </c>
      <c r="AC221" s="8">
        <f t="shared" si="837"/>
        <v>-36</v>
      </c>
      <c r="AD221" s="8">
        <f t="shared" si="838"/>
        <v>-60</v>
      </c>
      <c r="AE221" s="116"/>
      <c r="AF221" s="26">
        <f>SUMIFS(DataPrixBillets!N$1:N$1000,DataPrixBillets!$J$1:$J$1000,ROI_Avions!$A221,DataPrixBillets!$K$1:$K$1000,ROI_Avions!$C221)</f>
        <v>0</v>
      </c>
      <c r="AG221" s="26">
        <f>SUMIFS(DataPrixBillets!O$1:O$1000,DataPrixBillets!$J$1:$J$1000,ROI_Avions!$A221,DataPrixBillets!$K$1:$K$1000,ROI_Avions!$C221)</f>
        <v>0</v>
      </c>
      <c r="AH221" s="26">
        <f>SUMIFS(DataPrixBillets!P$1:P$1000,DataPrixBillets!$J$1:$J$1000,ROI_Avions!$A221,DataPrixBillets!$K$1:$K$1000,ROI_Avions!$C221)</f>
        <v>0</v>
      </c>
      <c r="AI221" s="26">
        <f>SUMIFS(DataPrixBillets!Q$1:Q$1000,DataPrixBillets!$J$1:$J$1000,ROI_Avions!$A221,DataPrixBillets!$K$1:$K$1000,ROI_Avions!$C221)</f>
        <v>0</v>
      </c>
      <c r="AJ221" s="116"/>
      <c r="AK221" s="8">
        <f t="shared" si="815"/>
        <v>0</v>
      </c>
      <c r="AL221" s="8" t="e">
        <f t="shared" ca="1" si="816"/>
        <v>#REF!</v>
      </c>
      <c r="AM221" s="8" t="e">
        <f t="shared" ca="1" si="817"/>
        <v>#REF!</v>
      </c>
      <c r="AN221" s="8" t="e">
        <f t="shared" ca="1" si="818"/>
        <v>#REF!</v>
      </c>
      <c r="AO221" s="8" t="e">
        <f t="shared" ca="1" si="819"/>
        <v>#REF!</v>
      </c>
      <c r="AP221" s="8" t="e">
        <f t="shared" ca="1" si="820"/>
        <v>#REF!</v>
      </c>
      <c r="AQ221" s="8" t="e">
        <f t="shared" ca="1" si="821"/>
        <v>#REF!</v>
      </c>
      <c r="AR221" s="190">
        <f t="shared" ca="1" si="739"/>
        <v>0</v>
      </c>
      <c r="AS221" s="120">
        <f t="shared" ca="1" si="740"/>
        <v>0</v>
      </c>
      <c r="AT221" s="8" t="e">
        <f t="shared" ca="1" si="822"/>
        <v>#REF!</v>
      </c>
    </row>
    <row r="222" spans="1:46" s="189" customFormat="1" x14ac:dyDescent="0.3">
      <c r="A222" s="160" t="s">
        <v>728</v>
      </c>
      <c r="B222" s="161">
        <v>449814960</v>
      </c>
      <c r="C222" s="160" t="s">
        <v>984</v>
      </c>
      <c r="D222" s="145" t="str">
        <f t="shared" si="746"/>
        <v>NSI/SHA</v>
      </c>
      <c r="E222" s="161">
        <v>112664795</v>
      </c>
      <c r="F222" s="162" t="str">
        <f>"A380-A-"&amp;A222&amp;"-"&amp;C222&amp;"-"&amp;7</f>
        <v>A380-A-NSI-SHA-7</v>
      </c>
      <c r="G222" s="161">
        <v>304668000</v>
      </c>
      <c r="H222" s="116"/>
      <c r="I222" s="8">
        <v>0</v>
      </c>
      <c r="J222" s="8">
        <v>0</v>
      </c>
      <c r="K222" s="8">
        <v>0</v>
      </c>
      <c r="N222" s="116"/>
      <c r="O222" s="140"/>
      <c r="P222" s="133">
        <f>SUMIFS(GestionLignesDemande!D$4:D$1000,GestionLignesDemande!$B$4:$B$1000,ROI_Avions!$A222,GestionLignesDemande!$C$4:$C$1000,ROI_Avions!$C222)</f>
        <v>0</v>
      </c>
      <c r="Q222" s="133">
        <f>SUMIFS(GestionLignesDemande!E$4:E$1000,GestionLignesDemande!$B$4:$B$1000,ROI_Avions!$A222,GestionLignesDemande!$C$4:$C$1000,ROI_Avions!$C222)</f>
        <v>0</v>
      </c>
      <c r="R222" s="133">
        <f>SUMIFS(GestionLignesDemande!F$4:F$1000,GestionLignesDemande!$B$4:$B$1000,ROI_Avions!$A222,GestionLignesDemande!$C$4:$C$1000,ROI_Avions!$C222)</f>
        <v>0</v>
      </c>
      <c r="S222" s="133">
        <f>SUMIFS(GestionLignesDemande!G$4:G$1000,GestionLignesDemande!$B$4:$B$1000,ROI_Avions!$A222,GestionLignesDemande!$C$4:$C$1000,ROI_Avions!$C222)</f>
        <v>0</v>
      </c>
      <c r="T222" s="116"/>
      <c r="U222" s="8">
        <f t="shared" si="1"/>
        <v>790</v>
      </c>
      <c r="V222" s="8">
        <v>738</v>
      </c>
      <c r="W222" s="8">
        <v>36</v>
      </c>
      <c r="X222" s="8">
        <v>6</v>
      </c>
      <c r="Y222" s="8">
        <v>10</v>
      </c>
      <c r="Z222" s="116"/>
      <c r="AA222" s="132">
        <f t="shared" ref="AA222" si="839">P222-(V222*2)</f>
        <v>-1476</v>
      </c>
      <c r="AB222" s="132">
        <f t="shared" ref="AB222" si="840">Q222-(W222*2)</f>
        <v>-72</v>
      </c>
      <c r="AC222" s="132">
        <f t="shared" ref="AC222" si="841">R222-(X222*2)</f>
        <v>-12</v>
      </c>
      <c r="AD222" s="132">
        <f t="shared" ref="AD222" si="842">S222-(Y222*2)</f>
        <v>-20</v>
      </c>
      <c r="AE222" s="116"/>
      <c r="AF222" s="26">
        <f>SUMIFS(DataPrixBillets!N$1:N$1000,DataPrixBillets!$J$1:$J$1000,ROI_Avions!$A222,DataPrixBillets!$K$1:$K$1000,ROI_Avions!$C222)</f>
        <v>0</v>
      </c>
      <c r="AG222" s="26">
        <f>SUMIFS(DataPrixBillets!O$1:O$1000,DataPrixBillets!$J$1:$J$1000,ROI_Avions!$A222,DataPrixBillets!$K$1:$K$1000,ROI_Avions!$C222)</f>
        <v>0</v>
      </c>
      <c r="AH222" s="26">
        <f>SUMIFS(DataPrixBillets!P$1:P$1000,DataPrixBillets!$J$1:$J$1000,ROI_Avions!$A222,DataPrixBillets!$K$1:$K$1000,ROI_Avions!$C222)</f>
        <v>0</v>
      </c>
      <c r="AI222" s="26">
        <f>SUMIFS(DataPrixBillets!Q$1:Q$1000,DataPrixBillets!$J$1:$J$1000,ROI_Avions!$A222,DataPrixBillets!$K$1:$K$1000,ROI_Avions!$C222)</f>
        <v>0</v>
      </c>
      <c r="AJ222" s="116"/>
      <c r="AK222" s="8">
        <f t="shared" si="815"/>
        <v>0</v>
      </c>
      <c r="AL222" s="8" t="e">
        <f t="shared" ca="1" si="816"/>
        <v>#REF!</v>
      </c>
      <c r="AM222" s="8" t="e">
        <f t="shared" ca="1" si="817"/>
        <v>#REF!</v>
      </c>
      <c r="AN222" s="8" t="e">
        <f t="shared" ca="1" si="818"/>
        <v>#REF!</v>
      </c>
      <c r="AO222" s="8" t="e">
        <f t="shared" ca="1" si="819"/>
        <v>#REF!</v>
      </c>
      <c r="AP222" s="8" t="e">
        <f t="shared" ca="1" si="820"/>
        <v>#REF!</v>
      </c>
      <c r="AQ222" s="8" t="e">
        <f t="shared" ca="1" si="821"/>
        <v>#REF!</v>
      </c>
      <c r="AR222" s="190">
        <f t="shared" ca="1" si="739"/>
        <v>0</v>
      </c>
      <c r="AS222" s="120">
        <f t="shared" ca="1" si="740"/>
        <v>0</v>
      </c>
      <c r="AT222" s="8" t="e">
        <f t="shared" ca="1" si="822"/>
        <v>#REF!</v>
      </c>
    </row>
    <row r="223" spans="1:46" s="189" customFormat="1" x14ac:dyDescent="0.3">
      <c r="A223" s="160" t="s">
        <v>728</v>
      </c>
      <c r="B223" s="161">
        <v>449814960</v>
      </c>
      <c r="C223" s="160" t="s">
        <v>1005</v>
      </c>
      <c r="D223" s="145" t="str">
        <f t="shared" si="746"/>
        <v>NSI/HKG</v>
      </c>
      <c r="E223" s="161">
        <v>65629484</v>
      </c>
      <c r="F223" s="162" t="str">
        <f>"A380-A-"&amp;A223&amp;"-"&amp;C223&amp;"-"&amp;8</f>
        <v>A380-A-NSI-HKG-8</v>
      </c>
      <c r="G223" s="161">
        <v>304668000</v>
      </c>
      <c r="H223" s="116"/>
      <c r="I223" s="8">
        <v>0</v>
      </c>
      <c r="J223" s="8">
        <v>0</v>
      </c>
      <c r="K223" s="8">
        <v>0</v>
      </c>
      <c r="N223" s="116"/>
      <c r="O223" s="140"/>
      <c r="P223" s="133">
        <f>SUMIFS(GestionLignesDemande!D$4:D$1000,GestionLignesDemande!$B$4:$B$1000,ROI_Avions!$A223,GestionLignesDemande!$C$4:$C$1000,ROI_Avions!$C223)</f>
        <v>0</v>
      </c>
      <c r="Q223" s="133">
        <f>SUMIFS(GestionLignesDemande!E$4:E$1000,GestionLignesDemande!$B$4:$B$1000,ROI_Avions!$A223,GestionLignesDemande!$C$4:$C$1000,ROI_Avions!$C223)</f>
        <v>0</v>
      </c>
      <c r="R223" s="133">
        <f>SUMIFS(GestionLignesDemande!F$4:F$1000,GestionLignesDemande!$B$4:$B$1000,ROI_Avions!$A223,GestionLignesDemande!$C$4:$C$1000,ROI_Avions!$C223)</f>
        <v>0</v>
      </c>
      <c r="S223" s="133">
        <f>SUMIFS(GestionLignesDemande!G$4:G$1000,GestionLignesDemande!$B$4:$B$1000,ROI_Avions!$A223,GestionLignesDemande!$C$4:$C$1000,ROI_Avions!$C223)</f>
        <v>0</v>
      </c>
      <c r="T223" s="116"/>
      <c r="U223" s="8">
        <f t="shared" si="1"/>
        <v>790</v>
      </c>
      <c r="V223" s="8">
        <v>738</v>
      </c>
      <c r="W223" s="8">
        <v>36</v>
      </c>
      <c r="X223" s="8">
        <v>6</v>
      </c>
      <c r="Y223" s="8">
        <v>10</v>
      </c>
      <c r="Z223" s="116"/>
      <c r="AA223" s="8">
        <f t="shared" ref="AA223:AA224" si="843">AA222-V223*2</f>
        <v>-2952</v>
      </c>
      <c r="AB223" s="8">
        <f t="shared" ref="AB223:AB224" si="844">AB222-W223*2</f>
        <v>-144</v>
      </c>
      <c r="AC223" s="8">
        <f t="shared" ref="AC223:AC224" si="845">AC222-X223*2</f>
        <v>-24</v>
      </c>
      <c r="AD223" s="8">
        <f t="shared" ref="AD223:AD224" si="846">AD222-Y223*2</f>
        <v>-40</v>
      </c>
      <c r="AE223" s="116"/>
      <c r="AF223" s="26">
        <f>SUMIFS(DataPrixBillets!N$1:N$1000,DataPrixBillets!$J$1:$J$1000,ROI_Avions!$A223,DataPrixBillets!$K$1:$K$1000,ROI_Avions!$C223)</f>
        <v>0</v>
      </c>
      <c r="AG223" s="26">
        <f>SUMIFS(DataPrixBillets!O$1:O$1000,DataPrixBillets!$J$1:$J$1000,ROI_Avions!$A223,DataPrixBillets!$K$1:$K$1000,ROI_Avions!$C223)</f>
        <v>0</v>
      </c>
      <c r="AH223" s="26">
        <f>SUMIFS(DataPrixBillets!P$1:P$1000,DataPrixBillets!$J$1:$J$1000,ROI_Avions!$A223,DataPrixBillets!$K$1:$K$1000,ROI_Avions!$C223)</f>
        <v>0</v>
      </c>
      <c r="AI223" s="26">
        <f>SUMIFS(DataPrixBillets!Q$1:Q$1000,DataPrixBillets!$J$1:$J$1000,ROI_Avions!$A223,DataPrixBillets!$K$1:$K$1000,ROI_Avions!$C223)</f>
        <v>0</v>
      </c>
      <c r="AJ223" s="116"/>
      <c r="AK223" s="8">
        <f t="shared" si="815"/>
        <v>0</v>
      </c>
      <c r="AL223" s="8" t="e">
        <f t="shared" ca="1" si="816"/>
        <v>#REF!</v>
      </c>
      <c r="AM223" s="8" t="e">
        <f t="shared" ca="1" si="817"/>
        <v>#REF!</v>
      </c>
      <c r="AN223" s="8" t="e">
        <f t="shared" ca="1" si="818"/>
        <v>#REF!</v>
      </c>
      <c r="AO223" s="8" t="e">
        <f t="shared" ca="1" si="819"/>
        <v>#REF!</v>
      </c>
      <c r="AP223" s="8" t="e">
        <f t="shared" ca="1" si="820"/>
        <v>#REF!</v>
      </c>
      <c r="AQ223" s="8" t="e">
        <f t="shared" ca="1" si="821"/>
        <v>#REF!</v>
      </c>
      <c r="AR223" s="190">
        <f t="shared" ca="1" si="739"/>
        <v>0</v>
      </c>
      <c r="AS223" s="120">
        <f t="shared" ca="1" si="740"/>
        <v>0</v>
      </c>
      <c r="AT223" s="8" t="e">
        <f t="shared" ca="1" si="822"/>
        <v>#REF!</v>
      </c>
    </row>
    <row r="224" spans="1:46" s="189" customFormat="1" x14ac:dyDescent="0.3">
      <c r="A224" s="160" t="s">
        <v>728</v>
      </c>
      <c r="B224" s="161">
        <v>449814960</v>
      </c>
      <c r="C224" s="160" t="s">
        <v>1005</v>
      </c>
      <c r="D224" s="145" t="str">
        <f t="shared" si="746"/>
        <v>NSI/HKG</v>
      </c>
      <c r="E224" s="161">
        <v>65629484</v>
      </c>
      <c r="F224" s="162" t="str">
        <f>"A380-A-"&amp;A224&amp;"-"&amp;C224&amp;"-"&amp;9</f>
        <v>A380-A-NSI-HKG-9</v>
      </c>
      <c r="G224" s="161">
        <v>304668000</v>
      </c>
      <c r="H224" s="116"/>
      <c r="I224" s="8">
        <v>0</v>
      </c>
      <c r="J224" s="8">
        <v>0</v>
      </c>
      <c r="K224" s="8">
        <v>0</v>
      </c>
      <c r="N224" s="116"/>
      <c r="O224" s="140"/>
      <c r="P224" s="133">
        <f>SUMIFS(GestionLignesDemande!D$4:D$1000,GestionLignesDemande!$B$4:$B$1000,ROI_Avions!$A224,GestionLignesDemande!$C$4:$C$1000,ROI_Avions!$C224)</f>
        <v>0</v>
      </c>
      <c r="Q224" s="133">
        <f>SUMIFS(GestionLignesDemande!E$4:E$1000,GestionLignesDemande!$B$4:$B$1000,ROI_Avions!$A224,GestionLignesDemande!$C$4:$C$1000,ROI_Avions!$C224)</f>
        <v>0</v>
      </c>
      <c r="R224" s="133">
        <f>SUMIFS(GestionLignesDemande!F$4:F$1000,GestionLignesDemande!$B$4:$B$1000,ROI_Avions!$A224,GestionLignesDemande!$C$4:$C$1000,ROI_Avions!$C224)</f>
        <v>0</v>
      </c>
      <c r="S224" s="133">
        <f>SUMIFS(GestionLignesDemande!G$4:G$1000,GestionLignesDemande!$B$4:$B$1000,ROI_Avions!$A224,GestionLignesDemande!$C$4:$C$1000,ROI_Avions!$C224)</f>
        <v>0</v>
      </c>
      <c r="T224" s="116"/>
      <c r="U224" s="8">
        <f t="shared" si="1"/>
        <v>790</v>
      </c>
      <c r="V224" s="8">
        <v>738</v>
      </c>
      <c r="W224" s="8">
        <v>36</v>
      </c>
      <c r="X224" s="8">
        <v>6</v>
      </c>
      <c r="Y224" s="8">
        <v>10</v>
      </c>
      <c r="Z224" s="116"/>
      <c r="AA224" s="8">
        <f t="shared" si="843"/>
        <v>-4428</v>
      </c>
      <c r="AB224" s="8">
        <f t="shared" si="844"/>
        <v>-216</v>
      </c>
      <c r="AC224" s="8">
        <f t="shared" si="845"/>
        <v>-36</v>
      </c>
      <c r="AD224" s="8">
        <f t="shared" si="846"/>
        <v>-60</v>
      </c>
      <c r="AE224" s="116"/>
      <c r="AF224" s="26">
        <f>SUMIFS(DataPrixBillets!N$1:N$1000,DataPrixBillets!$J$1:$J$1000,ROI_Avions!$A224,DataPrixBillets!$K$1:$K$1000,ROI_Avions!$C224)</f>
        <v>0</v>
      </c>
      <c r="AG224" s="26">
        <f>SUMIFS(DataPrixBillets!O$1:O$1000,DataPrixBillets!$J$1:$J$1000,ROI_Avions!$A224,DataPrixBillets!$K$1:$K$1000,ROI_Avions!$C224)</f>
        <v>0</v>
      </c>
      <c r="AH224" s="26">
        <f>SUMIFS(DataPrixBillets!P$1:P$1000,DataPrixBillets!$J$1:$J$1000,ROI_Avions!$A224,DataPrixBillets!$K$1:$K$1000,ROI_Avions!$C224)</f>
        <v>0</v>
      </c>
      <c r="AI224" s="26">
        <f>SUMIFS(DataPrixBillets!Q$1:Q$1000,DataPrixBillets!$J$1:$J$1000,ROI_Avions!$A224,DataPrixBillets!$K$1:$K$1000,ROI_Avions!$C224)</f>
        <v>0</v>
      </c>
      <c r="AJ224" s="116"/>
      <c r="AK224" s="8">
        <f t="shared" si="815"/>
        <v>0</v>
      </c>
      <c r="AL224" s="8" t="e">
        <f t="shared" ca="1" si="816"/>
        <v>#REF!</v>
      </c>
      <c r="AM224" s="8" t="e">
        <f t="shared" ca="1" si="817"/>
        <v>#REF!</v>
      </c>
      <c r="AN224" s="8" t="e">
        <f t="shared" ca="1" si="818"/>
        <v>#REF!</v>
      </c>
      <c r="AO224" s="8" t="e">
        <f t="shared" ca="1" si="819"/>
        <v>#REF!</v>
      </c>
      <c r="AP224" s="8" t="e">
        <f t="shared" ca="1" si="820"/>
        <v>#REF!</v>
      </c>
      <c r="AQ224" s="8" t="e">
        <f t="shared" ca="1" si="821"/>
        <v>#REF!</v>
      </c>
      <c r="AR224" s="190">
        <f t="shared" ca="1" si="739"/>
        <v>0</v>
      </c>
      <c r="AS224" s="120">
        <f t="shared" ca="1" si="740"/>
        <v>0</v>
      </c>
      <c r="AT224" s="8" t="e">
        <f t="shared" ca="1" si="822"/>
        <v>#REF!</v>
      </c>
    </row>
    <row r="225" spans="1:55" s="189" customFormat="1" x14ac:dyDescent="0.3">
      <c r="A225" s="160" t="s">
        <v>728</v>
      </c>
      <c r="B225" s="161">
        <v>449814960</v>
      </c>
      <c r="C225" s="160" t="s">
        <v>1005</v>
      </c>
      <c r="D225" s="145" t="str">
        <f t="shared" si="746"/>
        <v>NSI/HKG</v>
      </c>
      <c r="E225" s="161">
        <v>65629484</v>
      </c>
      <c r="F225" s="162" t="str">
        <f>"A380-A-"&amp;A225&amp;"-"&amp;C225&amp;"-"&amp;10</f>
        <v>A380-A-NSI-HKG-10</v>
      </c>
      <c r="G225" s="161">
        <v>304668000</v>
      </c>
      <c r="H225" s="116"/>
      <c r="I225" s="8">
        <v>0</v>
      </c>
      <c r="J225" s="8">
        <v>0</v>
      </c>
      <c r="K225" s="8">
        <v>0</v>
      </c>
      <c r="N225" s="116"/>
      <c r="O225" s="140"/>
      <c r="P225" s="133">
        <f>SUMIFS(GestionLignesDemande!D$4:D$1000,GestionLignesDemande!$B$4:$B$1000,ROI_Avions!$A225,GestionLignesDemande!$C$4:$C$1000,ROI_Avions!$C225)</f>
        <v>0</v>
      </c>
      <c r="Q225" s="133">
        <f>SUMIFS(GestionLignesDemande!E$4:E$1000,GestionLignesDemande!$B$4:$B$1000,ROI_Avions!$A225,GestionLignesDemande!$C$4:$C$1000,ROI_Avions!$C225)</f>
        <v>0</v>
      </c>
      <c r="R225" s="133">
        <f>SUMIFS(GestionLignesDemande!F$4:F$1000,GestionLignesDemande!$B$4:$B$1000,ROI_Avions!$A225,GestionLignesDemande!$C$4:$C$1000,ROI_Avions!$C225)</f>
        <v>0</v>
      </c>
      <c r="S225" s="133">
        <f>SUMIFS(GestionLignesDemande!G$4:G$1000,GestionLignesDemande!$B$4:$B$1000,ROI_Avions!$A225,GestionLignesDemande!$C$4:$C$1000,ROI_Avions!$C225)</f>
        <v>0</v>
      </c>
      <c r="T225" s="116"/>
      <c r="U225" s="8">
        <f t="shared" si="1"/>
        <v>790</v>
      </c>
      <c r="V225" s="8">
        <v>738</v>
      </c>
      <c r="W225" s="8">
        <v>36</v>
      </c>
      <c r="X225" s="8">
        <v>6</v>
      </c>
      <c r="Y225" s="8">
        <v>10</v>
      </c>
      <c r="Z225" s="116"/>
      <c r="AA225" s="132">
        <f t="shared" ref="AA225" si="847">P225-(V225*2)</f>
        <v>-1476</v>
      </c>
      <c r="AB225" s="132">
        <f t="shared" ref="AB225" si="848">Q225-(W225*2)</f>
        <v>-72</v>
      </c>
      <c r="AC225" s="132">
        <f t="shared" ref="AC225" si="849">R225-(X225*2)</f>
        <v>-12</v>
      </c>
      <c r="AD225" s="132">
        <f t="shared" ref="AD225" si="850">S225-(Y225*2)</f>
        <v>-20</v>
      </c>
      <c r="AE225" s="116"/>
      <c r="AF225" s="26">
        <f>SUMIFS(DataPrixBillets!N$1:N$1000,DataPrixBillets!$J$1:$J$1000,ROI_Avions!$A225,DataPrixBillets!$K$1:$K$1000,ROI_Avions!$C225)</f>
        <v>0</v>
      </c>
      <c r="AG225" s="26">
        <f>SUMIFS(DataPrixBillets!O$1:O$1000,DataPrixBillets!$J$1:$J$1000,ROI_Avions!$A225,DataPrixBillets!$K$1:$K$1000,ROI_Avions!$C225)</f>
        <v>0</v>
      </c>
      <c r="AH225" s="26">
        <f>SUMIFS(DataPrixBillets!P$1:P$1000,DataPrixBillets!$J$1:$J$1000,ROI_Avions!$A225,DataPrixBillets!$K$1:$K$1000,ROI_Avions!$C225)</f>
        <v>0</v>
      </c>
      <c r="AI225" s="26">
        <f>SUMIFS(DataPrixBillets!Q$1:Q$1000,DataPrixBillets!$J$1:$J$1000,ROI_Avions!$A225,DataPrixBillets!$K$1:$K$1000,ROI_Avions!$C225)</f>
        <v>0</v>
      </c>
      <c r="AJ225" s="116"/>
      <c r="AK225" s="8">
        <f t="shared" si="815"/>
        <v>0</v>
      </c>
      <c r="AL225" s="8" t="e">
        <f t="shared" ca="1" si="816"/>
        <v>#REF!</v>
      </c>
      <c r="AM225" s="8" t="e">
        <f t="shared" ca="1" si="817"/>
        <v>#REF!</v>
      </c>
      <c r="AN225" s="8" t="e">
        <f t="shared" ca="1" si="818"/>
        <v>#REF!</v>
      </c>
      <c r="AO225" s="8" t="e">
        <f t="shared" ca="1" si="819"/>
        <v>#REF!</v>
      </c>
      <c r="AP225" s="8" t="e">
        <f t="shared" ca="1" si="820"/>
        <v>#REF!</v>
      </c>
      <c r="AQ225" s="8" t="e">
        <f t="shared" ca="1" si="821"/>
        <v>#REF!</v>
      </c>
      <c r="AR225" s="190">
        <f t="shared" ca="1" si="739"/>
        <v>0</v>
      </c>
      <c r="AS225" s="120">
        <f t="shared" ca="1" si="740"/>
        <v>0</v>
      </c>
      <c r="AT225" s="8" t="e">
        <f t="shared" ca="1" si="822"/>
        <v>#REF!</v>
      </c>
    </row>
    <row r="226" spans="1:55" s="189" customFormat="1" x14ac:dyDescent="0.3">
      <c r="A226" s="160" t="s">
        <v>728</v>
      </c>
      <c r="B226" s="161">
        <v>449814960</v>
      </c>
      <c r="C226" s="160" t="s">
        <v>1008</v>
      </c>
      <c r="D226" s="145" t="str">
        <f t="shared" si="746"/>
        <v>NSI/SZX</v>
      </c>
      <c r="E226" s="161">
        <v>78160687</v>
      </c>
      <c r="F226" s="162" t="str">
        <f>"A380-A-"&amp;A226&amp;"-"&amp;C226&amp;"-"&amp;11</f>
        <v>A380-A-NSI-SZX-11</v>
      </c>
      <c r="G226" s="161">
        <v>304668000</v>
      </c>
      <c r="H226" s="116"/>
      <c r="I226" s="8">
        <v>0</v>
      </c>
      <c r="J226" s="8">
        <v>0</v>
      </c>
      <c r="K226" s="8">
        <v>0</v>
      </c>
      <c r="N226" s="116"/>
      <c r="O226" s="140"/>
      <c r="P226" s="133">
        <f>SUMIFS(GestionLignesDemande!D$4:D$1000,GestionLignesDemande!$B$4:$B$1000,ROI_Avions!$A226,GestionLignesDemande!$C$4:$C$1000,ROI_Avions!$C226)</f>
        <v>0</v>
      </c>
      <c r="Q226" s="133">
        <f>SUMIFS(GestionLignesDemande!E$4:E$1000,GestionLignesDemande!$B$4:$B$1000,ROI_Avions!$A226,GestionLignesDemande!$C$4:$C$1000,ROI_Avions!$C226)</f>
        <v>0</v>
      </c>
      <c r="R226" s="133">
        <f>SUMIFS(GestionLignesDemande!F$4:F$1000,GestionLignesDemande!$B$4:$B$1000,ROI_Avions!$A226,GestionLignesDemande!$C$4:$C$1000,ROI_Avions!$C226)</f>
        <v>0</v>
      </c>
      <c r="S226" s="133">
        <f>SUMIFS(GestionLignesDemande!G$4:G$1000,GestionLignesDemande!$B$4:$B$1000,ROI_Avions!$A226,GestionLignesDemande!$C$4:$C$1000,ROI_Avions!$C226)</f>
        <v>0</v>
      </c>
      <c r="T226" s="116"/>
      <c r="U226" s="8">
        <f t="shared" si="1"/>
        <v>790</v>
      </c>
      <c r="V226" s="8">
        <v>738</v>
      </c>
      <c r="W226" s="8">
        <v>36</v>
      </c>
      <c r="X226" s="8">
        <v>6</v>
      </c>
      <c r="Y226" s="8">
        <v>10</v>
      </c>
      <c r="Z226" s="116"/>
      <c r="AA226" s="8">
        <f t="shared" ref="AA226:AA227" si="851">AA225-V226*2</f>
        <v>-2952</v>
      </c>
      <c r="AB226" s="8">
        <f t="shared" ref="AB226:AB227" si="852">AB225-W226*2</f>
        <v>-144</v>
      </c>
      <c r="AC226" s="8">
        <f t="shared" ref="AC226:AC227" si="853">AC225-X226*2</f>
        <v>-24</v>
      </c>
      <c r="AD226" s="8">
        <f t="shared" ref="AD226:AD227" si="854">AD225-Y226*2</f>
        <v>-40</v>
      </c>
      <c r="AE226" s="116"/>
      <c r="AF226" s="26">
        <f>SUMIFS(DataPrixBillets!N$1:N$1000,DataPrixBillets!$J$1:$J$1000,ROI_Avions!$A226,DataPrixBillets!$K$1:$K$1000,ROI_Avions!$C226)</f>
        <v>0</v>
      </c>
      <c r="AG226" s="26">
        <f>SUMIFS(DataPrixBillets!O$1:O$1000,DataPrixBillets!$J$1:$J$1000,ROI_Avions!$A226,DataPrixBillets!$K$1:$K$1000,ROI_Avions!$C226)</f>
        <v>0</v>
      </c>
      <c r="AH226" s="26">
        <f>SUMIFS(DataPrixBillets!P$1:P$1000,DataPrixBillets!$J$1:$J$1000,ROI_Avions!$A226,DataPrixBillets!$K$1:$K$1000,ROI_Avions!$C226)</f>
        <v>0</v>
      </c>
      <c r="AI226" s="26">
        <f>SUMIFS(DataPrixBillets!Q$1:Q$1000,DataPrixBillets!$J$1:$J$1000,ROI_Avions!$A226,DataPrixBillets!$K$1:$K$1000,ROI_Avions!$C226)</f>
        <v>0</v>
      </c>
      <c r="AJ226" s="116"/>
      <c r="AK226" s="8">
        <f t="shared" si="815"/>
        <v>0</v>
      </c>
      <c r="AL226" s="8" t="e">
        <f t="shared" ca="1" si="816"/>
        <v>#REF!</v>
      </c>
      <c r="AM226" s="8" t="e">
        <f t="shared" ca="1" si="817"/>
        <v>#REF!</v>
      </c>
      <c r="AN226" s="8" t="e">
        <f t="shared" ca="1" si="818"/>
        <v>#REF!</v>
      </c>
      <c r="AO226" s="8" t="e">
        <f t="shared" ca="1" si="819"/>
        <v>#REF!</v>
      </c>
      <c r="AP226" s="8" t="e">
        <f t="shared" ca="1" si="820"/>
        <v>#REF!</v>
      </c>
      <c r="AQ226" s="8" t="e">
        <f t="shared" ca="1" si="821"/>
        <v>#REF!</v>
      </c>
      <c r="AR226" s="190">
        <f t="shared" ca="1" si="739"/>
        <v>0</v>
      </c>
      <c r="AS226" s="120">
        <f t="shared" ca="1" si="740"/>
        <v>0</v>
      </c>
      <c r="AT226" s="8" t="e">
        <f t="shared" ca="1" si="822"/>
        <v>#REF!</v>
      </c>
    </row>
    <row r="227" spans="1:55" s="189" customFormat="1" x14ac:dyDescent="0.3">
      <c r="A227" s="160" t="s">
        <v>728</v>
      </c>
      <c r="B227" s="161">
        <v>449814960</v>
      </c>
      <c r="C227" s="160" t="s">
        <v>1008</v>
      </c>
      <c r="D227" s="145" t="str">
        <f t="shared" si="746"/>
        <v>NSI/SZX</v>
      </c>
      <c r="E227" s="161">
        <v>78160687</v>
      </c>
      <c r="F227" s="162" t="str">
        <f>"A380-A-"&amp;A227&amp;"-"&amp;C227&amp;"-"&amp;12</f>
        <v>A380-A-NSI-SZX-12</v>
      </c>
      <c r="G227" s="161">
        <v>304668000</v>
      </c>
      <c r="H227" s="116"/>
      <c r="I227" s="8">
        <v>0</v>
      </c>
      <c r="J227" s="8">
        <v>0</v>
      </c>
      <c r="K227" s="8">
        <v>0</v>
      </c>
      <c r="N227" s="116"/>
      <c r="O227" s="140"/>
      <c r="P227" s="133">
        <f>SUMIFS(GestionLignesDemande!D$4:D$1000,GestionLignesDemande!$B$4:$B$1000,ROI_Avions!$A227,GestionLignesDemande!$C$4:$C$1000,ROI_Avions!$C227)</f>
        <v>0</v>
      </c>
      <c r="Q227" s="133">
        <f>SUMIFS(GestionLignesDemande!E$4:E$1000,GestionLignesDemande!$B$4:$B$1000,ROI_Avions!$A227,GestionLignesDemande!$C$4:$C$1000,ROI_Avions!$C227)</f>
        <v>0</v>
      </c>
      <c r="R227" s="133">
        <f>SUMIFS(GestionLignesDemande!F$4:F$1000,GestionLignesDemande!$B$4:$B$1000,ROI_Avions!$A227,GestionLignesDemande!$C$4:$C$1000,ROI_Avions!$C227)</f>
        <v>0</v>
      </c>
      <c r="S227" s="133">
        <f>SUMIFS(GestionLignesDemande!G$4:G$1000,GestionLignesDemande!$B$4:$B$1000,ROI_Avions!$A227,GestionLignesDemande!$C$4:$C$1000,ROI_Avions!$C227)</f>
        <v>0</v>
      </c>
      <c r="T227" s="116"/>
      <c r="U227" s="8">
        <f t="shared" si="1"/>
        <v>790</v>
      </c>
      <c r="V227" s="8">
        <v>738</v>
      </c>
      <c r="W227" s="8">
        <v>36</v>
      </c>
      <c r="X227" s="8">
        <v>6</v>
      </c>
      <c r="Y227" s="8">
        <v>10</v>
      </c>
      <c r="Z227" s="116"/>
      <c r="AA227" s="8">
        <f t="shared" si="851"/>
        <v>-4428</v>
      </c>
      <c r="AB227" s="8">
        <f t="shared" si="852"/>
        <v>-216</v>
      </c>
      <c r="AC227" s="8">
        <f t="shared" si="853"/>
        <v>-36</v>
      </c>
      <c r="AD227" s="8">
        <f t="shared" si="854"/>
        <v>-60</v>
      </c>
      <c r="AE227" s="116"/>
      <c r="AF227" s="26">
        <f>SUMIFS(DataPrixBillets!N$1:N$1000,DataPrixBillets!$J$1:$J$1000,ROI_Avions!$A227,DataPrixBillets!$K$1:$K$1000,ROI_Avions!$C227)</f>
        <v>0</v>
      </c>
      <c r="AG227" s="26">
        <f>SUMIFS(DataPrixBillets!O$1:O$1000,DataPrixBillets!$J$1:$J$1000,ROI_Avions!$A227,DataPrixBillets!$K$1:$K$1000,ROI_Avions!$C227)</f>
        <v>0</v>
      </c>
      <c r="AH227" s="26">
        <f>SUMIFS(DataPrixBillets!P$1:P$1000,DataPrixBillets!$J$1:$J$1000,ROI_Avions!$A227,DataPrixBillets!$K$1:$K$1000,ROI_Avions!$C227)</f>
        <v>0</v>
      </c>
      <c r="AI227" s="26">
        <f>SUMIFS(DataPrixBillets!Q$1:Q$1000,DataPrixBillets!$J$1:$J$1000,ROI_Avions!$A227,DataPrixBillets!$K$1:$K$1000,ROI_Avions!$C227)</f>
        <v>0</v>
      </c>
      <c r="AJ227" s="116"/>
      <c r="AK227" s="8">
        <f t="shared" si="815"/>
        <v>0</v>
      </c>
      <c r="AL227" s="8" t="e">
        <f t="shared" ca="1" si="816"/>
        <v>#REF!</v>
      </c>
      <c r="AM227" s="8" t="e">
        <f t="shared" ca="1" si="817"/>
        <v>#REF!</v>
      </c>
      <c r="AN227" s="8" t="e">
        <f t="shared" ca="1" si="818"/>
        <v>#REF!</v>
      </c>
      <c r="AO227" s="8" t="e">
        <f t="shared" ca="1" si="819"/>
        <v>#REF!</v>
      </c>
      <c r="AP227" s="8" t="e">
        <f t="shared" ca="1" si="820"/>
        <v>#REF!</v>
      </c>
      <c r="AQ227" s="8" t="e">
        <f t="shared" ca="1" si="821"/>
        <v>#REF!</v>
      </c>
      <c r="AR227" s="190">
        <f t="shared" ca="1" si="739"/>
        <v>0</v>
      </c>
      <c r="AS227" s="120">
        <f t="shared" ca="1" si="740"/>
        <v>0</v>
      </c>
      <c r="AT227" s="8" t="e">
        <f t="shared" ca="1" si="822"/>
        <v>#REF!</v>
      </c>
    </row>
    <row r="228" spans="1:55" s="189" customFormat="1" x14ac:dyDescent="0.3">
      <c r="A228" s="160" t="s">
        <v>728</v>
      </c>
      <c r="B228" s="161">
        <v>449814960</v>
      </c>
      <c r="C228" s="160" t="s">
        <v>1008</v>
      </c>
      <c r="D228" s="145" t="str">
        <f t="shared" si="746"/>
        <v>NSI/SZX</v>
      </c>
      <c r="E228" s="161">
        <v>78160687</v>
      </c>
      <c r="F228" s="162" t="str">
        <f>"A380-A-"&amp;A228&amp;"-"&amp;C228&amp;"-"&amp;13</f>
        <v>A380-A-NSI-SZX-13</v>
      </c>
      <c r="G228" s="161">
        <v>304668000</v>
      </c>
      <c r="H228" s="116"/>
      <c r="I228" s="8">
        <v>0</v>
      </c>
      <c r="J228" s="8">
        <v>0</v>
      </c>
      <c r="K228" s="8">
        <v>0</v>
      </c>
      <c r="N228" s="116"/>
      <c r="O228" s="140"/>
      <c r="P228" s="133">
        <f>SUMIFS(GestionLignesDemande!D$4:D$1000,GestionLignesDemande!$B$4:$B$1000,ROI_Avions!$A228,GestionLignesDemande!$C$4:$C$1000,ROI_Avions!$C228)</f>
        <v>0</v>
      </c>
      <c r="Q228" s="133">
        <f>SUMIFS(GestionLignesDemande!E$4:E$1000,GestionLignesDemande!$B$4:$B$1000,ROI_Avions!$A228,GestionLignesDemande!$C$4:$C$1000,ROI_Avions!$C228)</f>
        <v>0</v>
      </c>
      <c r="R228" s="133">
        <f>SUMIFS(GestionLignesDemande!F$4:F$1000,GestionLignesDemande!$B$4:$B$1000,ROI_Avions!$A228,GestionLignesDemande!$C$4:$C$1000,ROI_Avions!$C228)</f>
        <v>0</v>
      </c>
      <c r="S228" s="133">
        <f>SUMIFS(GestionLignesDemande!G$4:G$1000,GestionLignesDemande!$B$4:$B$1000,ROI_Avions!$A228,GestionLignesDemande!$C$4:$C$1000,ROI_Avions!$C228)</f>
        <v>0</v>
      </c>
      <c r="T228" s="116"/>
      <c r="U228" s="8">
        <f t="shared" si="1"/>
        <v>790</v>
      </c>
      <c r="V228" s="8">
        <v>738</v>
      </c>
      <c r="W228" s="8">
        <v>36</v>
      </c>
      <c r="X228" s="8">
        <v>6</v>
      </c>
      <c r="Y228" s="8">
        <v>10</v>
      </c>
      <c r="Z228" s="116"/>
      <c r="AA228" s="132">
        <f t="shared" ref="AA228" si="855">P228-(V228*2)</f>
        <v>-1476</v>
      </c>
      <c r="AB228" s="132">
        <f t="shared" ref="AB228" si="856">Q228-(W228*2)</f>
        <v>-72</v>
      </c>
      <c r="AC228" s="132">
        <f t="shared" ref="AC228" si="857">R228-(X228*2)</f>
        <v>-12</v>
      </c>
      <c r="AD228" s="132">
        <f t="shared" ref="AD228" si="858">S228-(Y228*2)</f>
        <v>-20</v>
      </c>
      <c r="AE228" s="116"/>
      <c r="AF228" s="26">
        <f>SUMIFS(DataPrixBillets!N$1:N$1000,DataPrixBillets!$J$1:$J$1000,ROI_Avions!$A228,DataPrixBillets!$K$1:$K$1000,ROI_Avions!$C228)</f>
        <v>0</v>
      </c>
      <c r="AG228" s="26">
        <f>SUMIFS(DataPrixBillets!O$1:O$1000,DataPrixBillets!$J$1:$J$1000,ROI_Avions!$A228,DataPrixBillets!$K$1:$K$1000,ROI_Avions!$C228)</f>
        <v>0</v>
      </c>
      <c r="AH228" s="26">
        <f>SUMIFS(DataPrixBillets!P$1:P$1000,DataPrixBillets!$J$1:$J$1000,ROI_Avions!$A228,DataPrixBillets!$K$1:$K$1000,ROI_Avions!$C228)</f>
        <v>0</v>
      </c>
      <c r="AI228" s="26">
        <f>SUMIFS(DataPrixBillets!Q$1:Q$1000,DataPrixBillets!$J$1:$J$1000,ROI_Avions!$A228,DataPrixBillets!$K$1:$K$1000,ROI_Avions!$C228)</f>
        <v>0</v>
      </c>
      <c r="AJ228" s="116"/>
      <c r="AK228" s="8">
        <f t="shared" si="815"/>
        <v>0</v>
      </c>
      <c r="AL228" s="8" t="e">
        <f t="shared" ca="1" si="816"/>
        <v>#REF!</v>
      </c>
      <c r="AM228" s="8" t="e">
        <f t="shared" ca="1" si="817"/>
        <v>#REF!</v>
      </c>
      <c r="AN228" s="8" t="e">
        <f t="shared" ca="1" si="818"/>
        <v>#REF!</v>
      </c>
      <c r="AO228" s="8" t="e">
        <f t="shared" ca="1" si="819"/>
        <v>#REF!</v>
      </c>
      <c r="AP228" s="8" t="e">
        <f t="shared" ca="1" si="820"/>
        <v>#REF!</v>
      </c>
      <c r="AQ228" s="8" t="e">
        <f t="shared" ca="1" si="821"/>
        <v>#REF!</v>
      </c>
      <c r="AR228" s="190">
        <f t="shared" ref="AR228:AR252" ca="1" si="859">IFERROR((AP228/7)/((B228/COUNTIFS(A:A,A228))+(E228/COUNTIFS(A:A,A228,C:C,C228))+I228*K228+J228+G228),0)</f>
        <v>0</v>
      </c>
      <c r="AS228" s="120">
        <f t="shared" ref="AS228:AS252" ca="1" si="860">IFERROR(((B228/COUNTIFS(A:A,A228))+(E228/COUNTIFS(A:A,A228,C:C,C228))+I228*K228+J228+G228)/(AP228/7),0)</f>
        <v>0</v>
      </c>
      <c r="AT228" s="8" t="e">
        <f t="shared" ca="1" si="822"/>
        <v>#REF!</v>
      </c>
    </row>
    <row r="229" spans="1:55" s="189" customFormat="1" x14ac:dyDescent="0.3">
      <c r="A229" s="160" t="s">
        <v>728</v>
      </c>
      <c r="B229" s="161">
        <v>449814960</v>
      </c>
      <c r="C229" s="160" t="s">
        <v>1006</v>
      </c>
      <c r="D229" s="145" t="str">
        <f t="shared" si="746"/>
        <v>NSI/CAN</v>
      </c>
      <c r="E229" s="161">
        <v>55374649</v>
      </c>
      <c r="F229" s="162" t="str">
        <f>"A380-A-"&amp;A229&amp;"-"&amp;C229&amp;"-"&amp;14</f>
        <v>A380-A-NSI-CAN-14</v>
      </c>
      <c r="G229" s="161">
        <v>304668000</v>
      </c>
      <c r="H229" s="116"/>
      <c r="I229" s="8">
        <v>0</v>
      </c>
      <c r="J229" s="8">
        <v>0</v>
      </c>
      <c r="K229" s="8">
        <v>0</v>
      </c>
      <c r="N229" s="116"/>
      <c r="O229" s="140"/>
      <c r="P229" s="133">
        <f>SUMIFS(GestionLignesDemande!D$4:D$1000,GestionLignesDemande!$B$4:$B$1000,ROI_Avions!$A229,GestionLignesDemande!$C$4:$C$1000,ROI_Avions!$C229)</f>
        <v>0</v>
      </c>
      <c r="Q229" s="133">
        <f>SUMIFS(GestionLignesDemande!E$4:E$1000,GestionLignesDemande!$B$4:$B$1000,ROI_Avions!$A229,GestionLignesDemande!$C$4:$C$1000,ROI_Avions!$C229)</f>
        <v>0</v>
      </c>
      <c r="R229" s="133">
        <f>SUMIFS(GestionLignesDemande!F$4:F$1000,GestionLignesDemande!$B$4:$B$1000,ROI_Avions!$A229,GestionLignesDemande!$C$4:$C$1000,ROI_Avions!$C229)</f>
        <v>0</v>
      </c>
      <c r="S229" s="133">
        <f>SUMIFS(GestionLignesDemande!G$4:G$1000,GestionLignesDemande!$B$4:$B$1000,ROI_Avions!$A229,GestionLignesDemande!$C$4:$C$1000,ROI_Avions!$C229)</f>
        <v>0</v>
      </c>
      <c r="T229" s="116"/>
      <c r="U229" s="8">
        <f t="shared" si="1"/>
        <v>790</v>
      </c>
      <c r="V229" s="8">
        <v>738</v>
      </c>
      <c r="W229" s="8">
        <v>36</v>
      </c>
      <c r="X229" s="8">
        <v>6</v>
      </c>
      <c r="Y229" s="8">
        <v>10</v>
      </c>
      <c r="Z229" s="116"/>
      <c r="AA229" s="8">
        <f t="shared" ref="AA229:AA230" si="861">AA228-V229*2</f>
        <v>-2952</v>
      </c>
      <c r="AB229" s="8">
        <f t="shared" ref="AB229:AB230" si="862">AB228-W229*2</f>
        <v>-144</v>
      </c>
      <c r="AC229" s="8">
        <f t="shared" ref="AC229:AC230" si="863">AC228-X229*2</f>
        <v>-24</v>
      </c>
      <c r="AD229" s="8">
        <f t="shared" ref="AD229:AD230" si="864">AD228-Y229*2</f>
        <v>-40</v>
      </c>
      <c r="AE229" s="116"/>
      <c r="AF229" s="26">
        <f>SUMIFS(DataPrixBillets!N$1:N$1000,DataPrixBillets!$J$1:$J$1000,ROI_Avions!$A229,DataPrixBillets!$K$1:$K$1000,ROI_Avions!$C229)</f>
        <v>0</v>
      </c>
      <c r="AG229" s="26">
        <f>SUMIFS(DataPrixBillets!O$1:O$1000,DataPrixBillets!$J$1:$J$1000,ROI_Avions!$A229,DataPrixBillets!$K$1:$K$1000,ROI_Avions!$C229)</f>
        <v>0</v>
      </c>
      <c r="AH229" s="26">
        <f>SUMIFS(DataPrixBillets!P$1:P$1000,DataPrixBillets!$J$1:$J$1000,ROI_Avions!$A229,DataPrixBillets!$K$1:$K$1000,ROI_Avions!$C229)</f>
        <v>0</v>
      </c>
      <c r="AI229" s="26">
        <f>SUMIFS(DataPrixBillets!Q$1:Q$1000,DataPrixBillets!$J$1:$J$1000,ROI_Avions!$A229,DataPrixBillets!$K$1:$K$1000,ROI_Avions!$C229)</f>
        <v>0</v>
      </c>
      <c r="AJ229" s="116"/>
      <c r="AK229" s="8">
        <f t="shared" si="815"/>
        <v>0</v>
      </c>
      <c r="AL229" s="8" t="e">
        <f t="shared" ca="1" si="816"/>
        <v>#REF!</v>
      </c>
      <c r="AM229" s="8" t="e">
        <f t="shared" ca="1" si="817"/>
        <v>#REF!</v>
      </c>
      <c r="AN229" s="8" t="e">
        <f t="shared" ca="1" si="818"/>
        <v>#REF!</v>
      </c>
      <c r="AO229" s="8" t="e">
        <f t="shared" ca="1" si="819"/>
        <v>#REF!</v>
      </c>
      <c r="AP229" s="8" t="e">
        <f t="shared" ca="1" si="820"/>
        <v>#REF!</v>
      </c>
      <c r="AQ229" s="8" t="e">
        <f t="shared" ca="1" si="821"/>
        <v>#REF!</v>
      </c>
      <c r="AR229" s="190">
        <f t="shared" ca="1" si="859"/>
        <v>0</v>
      </c>
      <c r="AS229" s="120">
        <f t="shared" ca="1" si="860"/>
        <v>0</v>
      </c>
      <c r="AT229" s="8" t="e">
        <f t="shared" ca="1" si="822"/>
        <v>#REF!</v>
      </c>
    </row>
    <row r="230" spans="1:55" s="189" customFormat="1" x14ac:dyDescent="0.3">
      <c r="A230" s="160" t="s">
        <v>728</v>
      </c>
      <c r="B230" s="161">
        <v>449814960</v>
      </c>
      <c r="C230" s="160" t="s">
        <v>1006</v>
      </c>
      <c r="D230" s="145" t="str">
        <f t="shared" si="746"/>
        <v>NSI/CAN</v>
      </c>
      <c r="E230" s="161">
        <v>55374649</v>
      </c>
      <c r="F230" s="162" t="str">
        <f>"A380-A-"&amp;A230&amp;"-"&amp;C230&amp;"-"&amp;15</f>
        <v>A380-A-NSI-CAN-15</v>
      </c>
      <c r="G230" s="161">
        <v>304668000</v>
      </c>
      <c r="H230" s="116"/>
      <c r="I230" s="8">
        <v>0</v>
      </c>
      <c r="J230" s="8">
        <v>0</v>
      </c>
      <c r="K230" s="8">
        <v>0</v>
      </c>
      <c r="N230" s="116"/>
      <c r="O230" s="140"/>
      <c r="P230" s="133">
        <f>SUMIFS(GestionLignesDemande!D$4:D$1000,GestionLignesDemande!$B$4:$B$1000,ROI_Avions!$A230,GestionLignesDemande!$C$4:$C$1000,ROI_Avions!$C230)</f>
        <v>0</v>
      </c>
      <c r="Q230" s="133">
        <f>SUMIFS(GestionLignesDemande!E$4:E$1000,GestionLignesDemande!$B$4:$B$1000,ROI_Avions!$A230,GestionLignesDemande!$C$4:$C$1000,ROI_Avions!$C230)</f>
        <v>0</v>
      </c>
      <c r="R230" s="133">
        <f>SUMIFS(GestionLignesDemande!F$4:F$1000,GestionLignesDemande!$B$4:$B$1000,ROI_Avions!$A230,GestionLignesDemande!$C$4:$C$1000,ROI_Avions!$C230)</f>
        <v>0</v>
      </c>
      <c r="S230" s="133">
        <f>SUMIFS(GestionLignesDemande!G$4:G$1000,GestionLignesDemande!$B$4:$B$1000,ROI_Avions!$A230,GestionLignesDemande!$C$4:$C$1000,ROI_Avions!$C230)</f>
        <v>0</v>
      </c>
      <c r="T230" s="116"/>
      <c r="U230" s="8">
        <f t="shared" si="1"/>
        <v>790</v>
      </c>
      <c r="V230" s="8">
        <v>738</v>
      </c>
      <c r="W230" s="8">
        <v>36</v>
      </c>
      <c r="X230" s="8">
        <v>6</v>
      </c>
      <c r="Y230" s="8">
        <v>10</v>
      </c>
      <c r="Z230" s="116"/>
      <c r="AA230" s="8">
        <f t="shared" si="861"/>
        <v>-4428</v>
      </c>
      <c r="AB230" s="8">
        <f t="shared" si="862"/>
        <v>-216</v>
      </c>
      <c r="AC230" s="8">
        <f t="shared" si="863"/>
        <v>-36</v>
      </c>
      <c r="AD230" s="8">
        <f t="shared" si="864"/>
        <v>-60</v>
      </c>
      <c r="AE230" s="116"/>
      <c r="AF230" s="26">
        <f>SUMIFS(DataPrixBillets!N$1:N$1000,DataPrixBillets!$J$1:$J$1000,ROI_Avions!$A230,DataPrixBillets!$K$1:$K$1000,ROI_Avions!$C230)</f>
        <v>0</v>
      </c>
      <c r="AG230" s="26">
        <f>SUMIFS(DataPrixBillets!O$1:O$1000,DataPrixBillets!$J$1:$J$1000,ROI_Avions!$A230,DataPrixBillets!$K$1:$K$1000,ROI_Avions!$C230)</f>
        <v>0</v>
      </c>
      <c r="AH230" s="26">
        <f>SUMIFS(DataPrixBillets!P$1:P$1000,DataPrixBillets!$J$1:$J$1000,ROI_Avions!$A230,DataPrixBillets!$K$1:$K$1000,ROI_Avions!$C230)</f>
        <v>0</v>
      </c>
      <c r="AI230" s="26">
        <f>SUMIFS(DataPrixBillets!Q$1:Q$1000,DataPrixBillets!$J$1:$J$1000,ROI_Avions!$A230,DataPrixBillets!$K$1:$K$1000,ROI_Avions!$C230)</f>
        <v>0</v>
      </c>
      <c r="AJ230" s="116"/>
      <c r="AK230" s="8">
        <f t="shared" si="815"/>
        <v>0</v>
      </c>
      <c r="AL230" s="8" t="e">
        <f t="shared" ca="1" si="816"/>
        <v>#REF!</v>
      </c>
      <c r="AM230" s="8" t="e">
        <f t="shared" ca="1" si="817"/>
        <v>#REF!</v>
      </c>
      <c r="AN230" s="8" t="e">
        <f t="shared" ca="1" si="818"/>
        <v>#REF!</v>
      </c>
      <c r="AO230" s="8" t="e">
        <f t="shared" ca="1" si="819"/>
        <v>#REF!</v>
      </c>
      <c r="AP230" s="8" t="e">
        <f t="shared" ca="1" si="820"/>
        <v>#REF!</v>
      </c>
      <c r="AQ230" s="8" t="e">
        <f t="shared" ca="1" si="821"/>
        <v>#REF!</v>
      </c>
      <c r="AR230" s="190">
        <f t="shared" ca="1" si="859"/>
        <v>0</v>
      </c>
      <c r="AS230" s="120">
        <f t="shared" ca="1" si="860"/>
        <v>0</v>
      </c>
      <c r="AT230" s="8" t="e">
        <f t="shared" ca="1" si="822"/>
        <v>#REF!</v>
      </c>
    </row>
    <row r="231" spans="1:55" s="189" customFormat="1" x14ac:dyDescent="0.3">
      <c r="A231" s="160" t="s">
        <v>728</v>
      </c>
      <c r="B231" s="161">
        <v>449814960</v>
      </c>
      <c r="C231" s="160" t="s">
        <v>1006</v>
      </c>
      <c r="D231" s="145" t="str">
        <f t="shared" si="746"/>
        <v>NSI/CAN</v>
      </c>
      <c r="E231" s="161">
        <v>55374649</v>
      </c>
      <c r="F231" s="162" t="str">
        <f>"A380-A-"&amp;A231&amp;"-"&amp;C231&amp;"-"&amp;16</f>
        <v>A380-A-NSI-CAN-16</v>
      </c>
      <c r="G231" s="161">
        <v>304668000</v>
      </c>
      <c r="H231" s="116"/>
      <c r="I231" s="8">
        <v>0</v>
      </c>
      <c r="J231" s="8">
        <v>0</v>
      </c>
      <c r="K231" s="8">
        <v>0</v>
      </c>
      <c r="N231" s="116"/>
      <c r="O231" s="140"/>
      <c r="P231" s="133">
        <f>SUMIFS(GestionLignesDemande!D$4:D$1000,GestionLignesDemande!$B$4:$B$1000,ROI_Avions!$A231,GestionLignesDemande!$C$4:$C$1000,ROI_Avions!$C231)</f>
        <v>0</v>
      </c>
      <c r="Q231" s="133">
        <f>SUMIFS(GestionLignesDemande!E$4:E$1000,GestionLignesDemande!$B$4:$B$1000,ROI_Avions!$A231,GestionLignesDemande!$C$4:$C$1000,ROI_Avions!$C231)</f>
        <v>0</v>
      </c>
      <c r="R231" s="133">
        <f>SUMIFS(GestionLignesDemande!F$4:F$1000,GestionLignesDemande!$B$4:$B$1000,ROI_Avions!$A231,GestionLignesDemande!$C$4:$C$1000,ROI_Avions!$C231)</f>
        <v>0</v>
      </c>
      <c r="S231" s="133">
        <f>SUMIFS(GestionLignesDemande!G$4:G$1000,GestionLignesDemande!$B$4:$B$1000,ROI_Avions!$A231,GestionLignesDemande!$C$4:$C$1000,ROI_Avions!$C231)</f>
        <v>0</v>
      </c>
      <c r="T231" s="116"/>
      <c r="U231" s="8">
        <f t="shared" si="1"/>
        <v>790</v>
      </c>
      <c r="V231" s="8">
        <v>738</v>
      </c>
      <c r="W231" s="8">
        <v>36</v>
      </c>
      <c r="X231" s="8">
        <v>6</v>
      </c>
      <c r="Y231" s="8">
        <v>10</v>
      </c>
      <c r="Z231" s="116"/>
      <c r="AA231" s="132">
        <f t="shared" ref="AA231" si="865">P231-(V231*2)</f>
        <v>-1476</v>
      </c>
      <c r="AB231" s="132">
        <f t="shared" ref="AB231" si="866">Q231-(W231*2)</f>
        <v>-72</v>
      </c>
      <c r="AC231" s="132">
        <f t="shared" ref="AC231" si="867">R231-(X231*2)</f>
        <v>-12</v>
      </c>
      <c r="AD231" s="132">
        <f t="shared" ref="AD231" si="868">S231-(Y231*2)</f>
        <v>-20</v>
      </c>
      <c r="AE231" s="116"/>
      <c r="AF231" s="26">
        <f>SUMIFS(DataPrixBillets!N$1:N$1000,DataPrixBillets!$J$1:$J$1000,ROI_Avions!$A231,DataPrixBillets!$K$1:$K$1000,ROI_Avions!$C231)</f>
        <v>0</v>
      </c>
      <c r="AG231" s="26">
        <f>SUMIFS(DataPrixBillets!O$1:O$1000,DataPrixBillets!$J$1:$J$1000,ROI_Avions!$A231,DataPrixBillets!$K$1:$K$1000,ROI_Avions!$C231)</f>
        <v>0</v>
      </c>
      <c r="AH231" s="26">
        <f>SUMIFS(DataPrixBillets!P$1:P$1000,DataPrixBillets!$J$1:$J$1000,ROI_Avions!$A231,DataPrixBillets!$K$1:$K$1000,ROI_Avions!$C231)</f>
        <v>0</v>
      </c>
      <c r="AI231" s="26">
        <f>SUMIFS(DataPrixBillets!Q$1:Q$1000,DataPrixBillets!$J$1:$J$1000,ROI_Avions!$A231,DataPrixBillets!$K$1:$K$1000,ROI_Avions!$C231)</f>
        <v>0</v>
      </c>
      <c r="AJ231" s="116"/>
      <c r="AK231" s="8">
        <f t="shared" si="815"/>
        <v>0</v>
      </c>
      <c r="AL231" s="8" t="e">
        <f t="shared" ca="1" si="816"/>
        <v>#REF!</v>
      </c>
      <c r="AM231" s="8" t="e">
        <f t="shared" ca="1" si="817"/>
        <v>#REF!</v>
      </c>
      <c r="AN231" s="8" t="e">
        <f t="shared" ca="1" si="818"/>
        <v>#REF!</v>
      </c>
      <c r="AO231" s="8" t="e">
        <f t="shared" ca="1" si="819"/>
        <v>#REF!</v>
      </c>
      <c r="AP231" s="8" t="e">
        <f t="shared" ca="1" si="820"/>
        <v>#REF!</v>
      </c>
      <c r="AQ231" s="8" t="e">
        <f t="shared" ca="1" si="821"/>
        <v>#REF!</v>
      </c>
      <c r="AR231" s="190">
        <f t="shared" ca="1" si="859"/>
        <v>0</v>
      </c>
      <c r="AS231" s="120">
        <f t="shared" ca="1" si="860"/>
        <v>0</v>
      </c>
      <c r="AT231" s="8" t="e">
        <f t="shared" ca="1" si="822"/>
        <v>#REF!</v>
      </c>
    </row>
    <row r="232" spans="1:55" s="189" customFormat="1" x14ac:dyDescent="0.3">
      <c r="A232" s="160" t="s">
        <v>728</v>
      </c>
      <c r="B232" s="161">
        <v>449814960</v>
      </c>
      <c r="C232" s="160" t="s">
        <v>995</v>
      </c>
      <c r="D232" s="145" t="str">
        <f t="shared" si="746"/>
        <v>NSI/PEK</v>
      </c>
      <c r="E232" s="161">
        <v>46671595</v>
      </c>
      <c r="F232" s="162" t="str">
        <f>"A380-A-"&amp;A232&amp;"-"&amp;C232&amp;"-"&amp;17</f>
        <v>A380-A-NSI-PEK-17</v>
      </c>
      <c r="G232" s="161">
        <v>304668000</v>
      </c>
      <c r="H232" s="116"/>
      <c r="I232" s="8">
        <v>0</v>
      </c>
      <c r="J232" s="8">
        <v>0</v>
      </c>
      <c r="K232" s="8">
        <v>0</v>
      </c>
      <c r="N232" s="116"/>
      <c r="O232" s="140"/>
      <c r="P232" s="133">
        <f>SUMIFS(GestionLignesDemande!D$4:D$1000,GestionLignesDemande!$B$4:$B$1000,ROI_Avions!$A232,GestionLignesDemande!$C$4:$C$1000,ROI_Avions!$C232)</f>
        <v>0</v>
      </c>
      <c r="Q232" s="133">
        <f>SUMIFS(GestionLignesDemande!E$4:E$1000,GestionLignesDemande!$B$4:$B$1000,ROI_Avions!$A232,GestionLignesDemande!$C$4:$C$1000,ROI_Avions!$C232)</f>
        <v>0</v>
      </c>
      <c r="R232" s="133">
        <f>SUMIFS(GestionLignesDemande!F$4:F$1000,GestionLignesDemande!$B$4:$B$1000,ROI_Avions!$A232,GestionLignesDemande!$C$4:$C$1000,ROI_Avions!$C232)</f>
        <v>0</v>
      </c>
      <c r="S232" s="133">
        <f>SUMIFS(GestionLignesDemande!G$4:G$1000,GestionLignesDemande!$B$4:$B$1000,ROI_Avions!$A232,GestionLignesDemande!$C$4:$C$1000,ROI_Avions!$C232)</f>
        <v>0</v>
      </c>
      <c r="T232" s="116"/>
      <c r="U232" s="8">
        <f t="shared" si="1"/>
        <v>790</v>
      </c>
      <c r="V232" s="8">
        <v>738</v>
      </c>
      <c r="W232" s="8">
        <v>36</v>
      </c>
      <c r="X232" s="8">
        <v>6</v>
      </c>
      <c r="Y232" s="8">
        <v>10</v>
      </c>
      <c r="Z232" s="116"/>
      <c r="AA232" s="8">
        <f t="shared" ref="AA232:AA233" si="869">AA231-V232*2</f>
        <v>-2952</v>
      </c>
      <c r="AB232" s="8">
        <f t="shared" ref="AB232:AB233" si="870">AB231-W232*2</f>
        <v>-144</v>
      </c>
      <c r="AC232" s="8">
        <f t="shared" ref="AC232:AC233" si="871">AC231-X232*2</f>
        <v>-24</v>
      </c>
      <c r="AD232" s="8">
        <f t="shared" ref="AD232:AD233" si="872">AD231-Y232*2</f>
        <v>-40</v>
      </c>
      <c r="AE232" s="116"/>
      <c r="AF232" s="26">
        <f>SUMIFS(DataPrixBillets!N$1:N$1000,DataPrixBillets!$J$1:$J$1000,ROI_Avions!$A232,DataPrixBillets!$K$1:$K$1000,ROI_Avions!$C232)</f>
        <v>0</v>
      </c>
      <c r="AG232" s="26">
        <f>SUMIFS(DataPrixBillets!O$1:O$1000,DataPrixBillets!$J$1:$J$1000,ROI_Avions!$A232,DataPrixBillets!$K$1:$K$1000,ROI_Avions!$C232)</f>
        <v>0</v>
      </c>
      <c r="AH232" s="26">
        <f>SUMIFS(DataPrixBillets!P$1:P$1000,DataPrixBillets!$J$1:$J$1000,ROI_Avions!$A232,DataPrixBillets!$K$1:$K$1000,ROI_Avions!$C232)</f>
        <v>0</v>
      </c>
      <c r="AI232" s="26">
        <f>SUMIFS(DataPrixBillets!Q$1:Q$1000,DataPrixBillets!$J$1:$J$1000,ROI_Avions!$A232,DataPrixBillets!$K$1:$K$1000,ROI_Avions!$C232)</f>
        <v>0</v>
      </c>
      <c r="AJ232" s="116"/>
      <c r="AK232" s="8">
        <f t="shared" si="815"/>
        <v>0</v>
      </c>
      <c r="AL232" s="8" t="e">
        <f t="shared" ca="1" si="816"/>
        <v>#REF!</v>
      </c>
      <c r="AM232" s="8" t="e">
        <f t="shared" ca="1" si="817"/>
        <v>#REF!</v>
      </c>
      <c r="AN232" s="8" t="e">
        <f t="shared" ca="1" si="818"/>
        <v>#REF!</v>
      </c>
      <c r="AO232" s="8" t="e">
        <f t="shared" ca="1" si="819"/>
        <v>#REF!</v>
      </c>
      <c r="AP232" s="8" t="e">
        <f t="shared" ca="1" si="820"/>
        <v>#REF!</v>
      </c>
      <c r="AQ232" s="8" t="e">
        <f t="shared" ca="1" si="821"/>
        <v>#REF!</v>
      </c>
      <c r="AR232" s="190">
        <f t="shared" ca="1" si="859"/>
        <v>0</v>
      </c>
      <c r="AS232" s="120">
        <f t="shared" ca="1" si="860"/>
        <v>0</v>
      </c>
      <c r="AT232" s="8" t="e">
        <f t="shared" ca="1" si="822"/>
        <v>#REF!</v>
      </c>
    </row>
    <row r="233" spans="1:55" s="189" customFormat="1" x14ac:dyDescent="0.3">
      <c r="A233" s="160" t="s">
        <v>728</v>
      </c>
      <c r="B233" s="161">
        <v>449814960</v>
      </c>
      <c r="C233" s="160" t="s">
        <v>995</v>
      </c>
      <c r="D233" s="145" t="str">
        <f t="shared" si="746"/>
        <v>NSI/PEK</v>
      </c>
      <c r="E233" s="161">
        <v>46671595</v>
      </c>
      <c r="F233" s="162" t="str">
        <f>"A380-A-"&amp;A233&amp;"-"&amp;C233&amp;"-"&amp;18</f>
        <v>A380-A-NSI-PEK-18</v>
      </c>
      <c r="G233" s="161">
        <v>304668000</v>
      </c>
      <c r="H233" s="116"/>
      <c r="I233" s="8">
        <v>0</v>
      </c>
      <c r="J233" s="8">
        <v>0</v>
      </c>
      <c r="K233" s="8">
        <v>0</v>
      </c>
      <c r="N233" s="116"/>
      <c r="O233" s="140"/>
      <c r="P233" s="133">
        <f>SUMIFS(GestionLignesDemande!D$4:D$1000,GestionLignesDemande!$B$4:$B$1000,ROI_Avions!$A233,GestionLignesDemande!$C$4:$C$1000,ROI_Avions!$C233)</f>
        <v>0</v>
      </c>
      <c r="Q233" s="133">
        <f>SUMIFS(GestionLignesDemande!E$4:E$1000,GestionLignesDemande!$B$4:$B$1000,ROI_Avions!$A233,GestionLignesDemande!$C$4:$C$1000,ROI_Avions!$C233)</f>
        <v>0</v>
      </c>
      <c r="R233" s="133">
        <f>SUMIFS(GestionLignesDemande!F$4:F$1000,GestionLignesDemande!$B$4:$B$1000,ROI_Avions!$A233,GestionLignesDemande!$C$4:$C$1000,ROI_Avions!$C233)</f>
        <v>0</v>
      </c>
      <c r="S233" s="133">
        <f>SUMIFS(GestionLignesDemande!G$4:G$1000,GestionLignesDemande!$B$4:$B$1000,ROI_Avions!$A233,GestionLignesDemande!$C$4:$C$1000,ROI_Avions!$C233)</f>
        <v>0</v>
      </c>
      <c r="T233" s="116"/>
      <c r="U233" s="8">
        <f t="shared" si="1"/>
        <v>790</v>
      </c>
      <c r="V233" s="8">
        <v>738</v>
      </c>
      <c r="W233" s="8">
        <v>36</v>
      </c>
      <c r="X233" s="8">
        <v>6</v>
      </c>
      <c r="Y233" s="8">
        <v>10</v>
      </c>
      <c r="Z233" s="116"/>
      <c r="AA233" s="8">
        <f t="shared" si="869"/>
        <v>-4428</v>
      </c>
      <c r="AB233" s="8">
        <f t="shared" si="870"/>
        <v>-216</v>
      </c>
      <c r="AC233" s="8">
        <f t="shared" si="871"/>
        <v>-36</v>
      </c>
      <c r="AD233" s="8">
        <f t="shared" si="872"/>
        <v>-60</v>
      </c>
      <c r="AE233" s="116"/>
      <c r="AF233" s="26">
        <f>SUMIFS(DataPrixBillets!N$1:N$1000,DataPrixBillets!$J$1:$J$1000,ROI_Avions!$A233,DataPrixBillets!$K$1:$K$1000,ROI_Avions!$C233)</f>
        <v>0</v>
      </c>
      <c r="AG233" s="26">
        <f>SUMIFS(DataPrixBillets!O$1:O$1000,DataPrixBillets!$J$1:$J$1000,ROI_Avions!$A233,DataPrixBillets!$K$1:$K$1000,ROI_Avions!$C233)</f>
        <v>0</v>
      </c>
      <c r="AH233" s="26">
        <f>SUMIFS(DataPrixBillets!P$1:P$1000,DataPrixBillets!$J$1:$J$1000,ROI_Avions!$A233,DataPrixBillets!$K$1:$K$1000,ROI_Avions!$C233)</f>
        <v>0</v>
      </c>
      <c r="AI233" s="26">
        <f>SUMIFS(DataPrixBillets!Q$1:Q$1000,DataPrixBillets!$J$1:$J$1000,ROI_Avions!$A233,DataPrixBillets!$K$1:$K$1000,ROI_Avions!$C233)</f>
        <v>0</v>
      </c>
      <c r="AJ233" s="116"/>
      <c r="AK233" s="8">
        <f t="shared" si="815"/>
        <v>0</v>
      </c>
      <c r="AL233" s="8" t="e">
        <f t="shared" ca="1" si="816"/>
        <v>#REF!</v>
      </c>
      <c r="AM233" s="8" t="e">
        <f t="shared" ca="1" si="817"/>
        <v>#REF!</v>
      </c>
      <c r="AN233" s="8" t="e">
        <f t="shared" ca="1" si="818"/>
        <v>#REF!</v>
      </c>
      <c r="AO233" s="8" t="e">
        <f t="shared" ca="1" si="819"/>
        <v>#REF!</v>
      </c>
      <c r="AP233" s="8" t="e">
        <f t="shared" ca="1" si="820"/>
        <v>#REF!</v>
      </c>
      <c r="AQ233" s="8" t="e">
        <f t="shared" ca="1" si="821"/>
        <v>#REF!</v>
      </c>
      <c r="AR233" s="190">
        <f t="shared" ca="1" si="859"/>
        <v>0</v>
      </c>
      <c r="AS233" s="120">
        <f t="shared" ca="1" si="860"/>
        <v>0</v>
      </c>
      <c r="AT233" s="8" t="e">
        <f t="shared" ca="1" si="822"/>
        <v>#REF!</v>
      </c>
    </row>
    <row r="234" spans="1:55" s="189" customFormat="1" x14ac:dyDescent="0.3">
      <c r="A234" s="160" t="s">
        <v>728</v>
      </c>
      <c r="B234" s="161">
        <v>449814960</v>
      </c>
      <c r="C234" s="160" t="s">
        <v>995</v>
      </c>
      <c r="D234" s="145" t="str">
        <f t="shared" si="746"/>
        <v>NSI/PEK</v>
      </c>
      <c r="E234" s="161">
        <v>46671595</v>
      </c>
      <c r="F234" s="162" t="str">
        <f>"A380-A-"&amp;A234&amp;"-"&amp;C234&amp;"-"&amp;19</f>
        <v>A380-A-NSI-PEK-19</v>
      </c>
      <c r="G234" s="161">
        <v>304668000</v>
      </c>
      <c r="H234" s="116"/>
      <c r="I234" s="8">
        <v>0</v>
      </c>
      <c r="J234" s="8">
        <v>0</v>
      </c>
      <c r="K234" s="8">
        <v>0</v>
      </c>
      <c r="N234" s="116"/>
      <c r="O234" s="140"/>
      <c r="P234" s="133">
        <f>SUMIFS(GestionLignesDemande!D$4:D$1000,GestionLignesDemande!$B$4:$B$1000,ROI_Avions!$A234,GestionLignesDemande!$C$4:$C$1000,ROI_Avions!$C234)</f>
        <v>0</v>
      </c>
      <c r="Q234" s="133">
        <f>SUMIFS(GestionLignesDemande!E$4:E$1000,GestionLignesDemande!$B$4:$B$1000,ROI_Avions!$A234,GestionLignesDemande!$C$4:$C$1000,ROI_Avions!$C234)</f>
        <v>0</v>
      </c>
      <c r="R234" s="133">
        <f>SUMIFS(GestionLignesDemande!F$4:F$1000,GestionLignesDemande!$B$4:$B$1000,ROI_Avions!$A234,GestionLignesDemande!$C$4:$C$1000,ROI_Avions!$C234)</f>
        <v>0</v>
      </c>
      <c r="S234" s="133">
        <f>SUMIFS(GestionLignesDemande!G$4:G$1000,GestionLignesDemande!$B$4:$B$1000,ROI_Avions!$A234,GestionLignesDemande!$C$4:$C$1000,ROI_Avions!$C234)</f>
        <v>0</v>
      </c>
      <c r="T234" s="116"/>
      <c r="U234" s="8">
        <f t="shared" si="1"/>
        <v>790</v>
      </c>
      <c r="V234" s="8">
        <v>738</v>
      </c>
      <c r="W234" s="8">
        <v>36</v>
      </c>
      <c r="X234" s="8">
        <v>6</v>
      </c>
      <c r="Y234" s="8">
        <v>10</v>
      </c>
      <c r="Z234" s="116"/>
      <c r="AA234" s="8">
        <f t="shared" ref="AA234:AA236" si="873">AA233-V234*2</f>
        <v>-5904</v>
      </c>
      <c r="AB234" s="8">
        <f t="shared" ref="AB234:AB236" si="874">AB233-W234*2</f>
        <v>-288</v>
      </c>
      <c r="AC234" s="8">
        <f t="shared" ref="AC234:AC236" si="875">AC233-X234*2</f>
        <v>-48</v>
      </c>
      <c r="AD234" s="8">
        <f t="shared" ref="AD234:AD236" si="876">AD233-Y234*2</f>
        <v>-80</v>
      </c>
      <c r="AE234" s="116"/>
      <c r="AF234" s="26">
        <f>SUMIFS(DataPrixBillets!N$1:N$1000,DataPrixBillets!$J$1:$J$1000,ROI_Avions!$A234,DataPrixBillets!$K$1:$K$1000,ROI_Avions!$C234)</f>
        <v>0</v>
      </c>
      <c r="AG234" s="26">
        <f>SUMIFS(DataPrixBillets!O$1:O$1000,DataPrixBillets!$J$1:$J$1000,ROI_Avions!$A234,DataPrixBillets!$K$1:$K$1000,ROI_Avions!$C234)</f>
        <v>0</v>
      </c>
      <c r="AH234" s="26">
        <f>SUMIFS(DataPrixBillets!P$1:P$1000,DataPrixBillets!$J$1:$J$1000,ROI_Avions!$A234,DataPrixBillets!$K$1:$K$1000,ROI_Avions!$C234)</f>
        <v>0</v>
      </c>
      <c r="AI234" s="26">
        <f>SUMIFS(DataPrixBillets!Q$1:Q$1000,DataPrixBillets!$J$1:$J$1000,ROI_Avions!$A234,DataPrixBillets!$K$1:$K$1000,ROI_Avions!$C234)</f>
        <v>0</v>
      </c>
      <c r="AJ234" s="116"/>
      <c r="AK234" s="8">
        <f t="shared" si="815"/>
        <v>0</v>
      </c>
      <c r="AL234" s="8" t="e">
        <f t="shared" ca="1" si="816"/>
        <v>#REF!</v>
      </c>
      <c r="AM234" s="8" t="e">
        <f t="shared" ca="1" si="817"/>
        <v>#REF!</v>
      </c>
      <c r="AN234" s="8" t="e">
        <f t="shared" ca="1" si="818"/>
        <v>#REF!</v>
      </c>
      <c r="AO234" s="8" t="e">
        <f t="shared" ca="1" si="819"/>
        <v>#REF!</v>
      </c>
      <c r="AP234" s="8" t="e">
        <f t="shared" ca="1" si="820"/>
        <v>#REF!</v>
      </c>
      <c r="AQ234" s="8" t="e">
        <f t="shared" ca="1" si="821"/>
        <v>#REF!</v>
      </c>
      <c r="AR234" s="190">
        <f t="shared" ca="1" si="859"/>
        <v>0</v>
      </c>
      <c r="AS234" s="120">
        <f t="shared" ca="1" si="860"/>
        <v>0</v>
      </c>
      <c r="AT234" s="8" t="e">
        <f t="shared" ca="1" si="822"/>
        <v>#REF!</v>
      </c>
    </row>
    <row r="235" spans="1:55" s="189" customFormat="1" x14ac:dyDescent="0.3">
      <c r="A235" s="160" t="s">
        <v>728</v>
      </c>
      <c r="B235" s="161">
        <v>449814960</v>
      </c>
      <c r="C235" s="160" t="s">
        <v>995</v>
      </c>
      <c r="D235" s="145" t="str">
        <f t="shared" si="746"/>
        <v>NSI/PEK</v>
      </c>
      <c r="E235" s="161">
        <v>46671595</v>
      </c>
      <c r="F235" s="162" t="str">
        <f>"A380-A-"&amp;A235&amp;"-"&amp;C235&amp;"-"&amp;20</f>
        <v>A380-A-NSI-PEK-20</v>
      </c>
      <c r="G235" s="161">
        <v>304668000</v>
      </c>
      <c r="H235" s="116"/>
      <c r="I235" s="8">
        <v>0</v>
      </c>
      <c r="J235" s="8">
        <v>0</v>
      </c>
      <c r="K235" s="8">
        <v>0</v>
      </c>
      <c r="N235" s="116"/>
      <c r="O235" s="140"/>
      <c r="P235" s="133">
        <f>SUMIFS(GestionLignesDemande!D$4:D$1000,GestionLignesDemande!$B$4:$B$1000,ROI_Avions!$A235,GestionLignesDemande!$C$4:$C$1000,ROI_Avions!$C235)</f>
        <v>0</v>
      </c>
      <c r="Q235" s="133">
        <f>SUMIFS(GestionLignesDemande!E$4:E$1000,GestionLignesDemande!$B$4:$B$1000,ROI_Avions!$A235,GestionLignesDemande!$C$4:$C$1000,ROI_Avions!$C235)</f>
        <v>0</v>
      </c>
      <c r="R235" s="133">
        <f>SUMIFS(GestionLignesDemande!F$4:F$1000,GestionLignesDemande!$B$4:$B$1000,ROI_Avions!$A235,GestionLignesDemande!$C$4:$C$1000,ROI_Avions!$C235)</f>
        <v>0</v>
      </c>
      <c r="S235" s="133">
        <f>SUMIFS(GestionLignesDemande!G$4:G$1000,GestionLignesDemande!$B$4:$B$1000,ROI_Avions!$A235,GestionLignesDemande!$C$4:$C$1000,ROI_Avions!$C235)</f>
        <v>0</v>
      </c>
      <c r="T235" s="116"/>
      <c r="U235" s="8">
        <f t="shared" si="1"/>
        <v>790</v>
      </c>
      <c r="V235" s="8">
        <v>738</v>
      </c>
      <c r="W235" s="8">
        <v>36</v>
      </c>
      <c r="X235" s="8">
        <v>6</v>
      </c>
      <c r="Y235" s="8">
        <v>10</v>
      </c>
      <c r="Z235" s="116"/>
      <c r="AA235" s="8">
        <f t="shared" si="873"/>
        <v>-7380</v>
      </c>
      <c r="AB235" s="8">
        <f t="shared" si="874"/>
        <v>-360</v>
      </c>
      <c r="AC235" s="8">
        <f t="shared" si="875"/>
        <v>-60</v>
      </c>
      <c r="AD235" s="8">
        <f t="shared" si="876"/>
        <v>-100</v>
      </c>
      <c r="AE235" s="116"/>
      <c r="AF235" s="26">
        <f>SUMIFS(DataPrixBillets!N$1:N$1000,DataPrixBillets!$J$1:$J$1000,ROI_Avions!$A235,DataPrixBillets!$K$1:$K$1000,ROI_Avions!$C235)</f>
        <v>0</v>
      </c>
      <c r="AG235" s="26">
        <f>SUMIFS(DataPrixBillets!O$1:O$1000,DataPrixBillets!$J$1:$J$1000,ROI_Avions!$A235,DataPrixBillets!$K$1:$K$1000,ROI_Avions!$C235)</f>
        <v>0</v>
      </c>
      <c r="AH235" s="26">
        <f>SUMIFS(DataPrixBillets!P$1:P$1000,DataPrixBillets!$J$1:$J$1000,ROI_Avions!$A235,DataPrixBillets!$K$1:$K$1000,ROI_Avions!$C235)</f>
        <v>0</v>
      </c>
      <c r="AI235" s="26">
        <f>SUMIFS(DataPrixBillets!Q$1:Q$1000,DataPrixBillets!$J$1:$J$1000,ROI_Avions!$A235,DataPrixBillets!$K$1:$K$1000,ROI_Avions!$C235)</f>
        <v>0</v>
      </c>
      <c r="AJ235" s="116"/>
      <c r="AK235" s="8">
        <f t="shared" si="815"/>
        <v>0</v>
      </c>
      <c r="AL235" s="8" t="e">
        <f t="shared" ca="1" si="816"/>
        <v>#REF!</v>
      </c>
      <c r="AM235" s="8" t="e">
        <f t="shared" ca="1" si="817"/>
        <v>#REF!</v>
      </c>
      <c r="AN235" s="8" t="e">
        <f t="shared" ca="1" si="818"/>
        <v>#REF!</v>
      </c>
      <c r="AO235" s="8" t="e">
        <f t="shared" ca="1" si="819"/>
        <v>#REF!</v>
      </c>
      <c r="AP235" s="8" t="e">
        <f t="shared" ca="1" si="820"/>
        <v>#REF!</v>
      </c>
      <c r="AQ235" s="8" t="e">
        <f t="shared" ca="1" si="821"/>
        <v>#REF!</v>
      </c>
      <c r="AR235" s="190">
        <f t="shared" ca="1" si="859"/>
        <v>0</v>
      </c>
      <c r="AS235" s="120">
        <f t="shared" ca="1" si="860"/>
        <v>0</v>
      </c>
      <c r="AT235" s="8" t="e">
        <f t="shared" ca="1" si="822"/>
        <v>#REF!</v>
      </c>
    </row>
    <row r="236" spans="1:55" s="189" customFormat="1" x14ac:dyDescent="0.3">
      <c r="A236" s="160" t="s">
        <v>728</v>
      </c>
      <c r="B236" s="161">
        <v>449814960</v>
      </c>
      <c r="C236" s="160" t="s">
        <v>995</v>
      </c>
      <c r="D236" s="145" t="str">
        <f t="shared" si="746"/>
        <v>NSI/PEK</v>
      </c>
      <c r="E236" s="161">
        <v>46671595</v>
      </c>
      <c r="F236" s="162" t="str">
        <f>"A380-A-"&amp;A236&amp;"-"&amp;C236&amp;"-"&amp;21</f>
        <v>A380-A-NSI-PEK-21</v>
      </c>
      <c r="G236" s="161">
        <v>304668000</v>
      </c>
      <c r="H236" s="116"/>
      <c r="I236" s="8">
        <v>0</v>
      </c>
      <c r="J236" s="8">
        <v>0</v>
      </c>
      <c r="K236" s="8">
        <v>0</v>
      </c>
      <c r="N236" s="116"/>
      <c r="O236" s="140"/>
      <c r="P236" s="133">
        <f>SUMIFS(GestionLignesDemande!D$4:D$1000,GestionLignesDemande!$B$4:$B$1000,ROI_Avions!$A236,GestionLignesDemande!$C$4:$C$1000,ROI_Avions!$C236)</f>
        <v>0</v>
      </c>
      <c r="Q236" s="133">
        <f>SUMIFS(GestionLignesDemande!E$4:E$1000,GestionLignesDemande!$B$4:$B$1000,ROI_Avions!$A236,GestionLignesDemande!$C$4:$C$1000,ROI_Avions!$C236)</f>
        <v>0</v>
      </c>
      <c r="R236" s="133">
        <f>SUMIFS(GestionLignesDemande!F$4:F$1000,GestionLignesDemande!$B$4:$B$1000,ROI_Avions!$A236,GestionLignesDemande!$C$4:$C$1000,ROI_Avions!$C236)</f>
        <v>0</v>
      </c>
      <c r="S236" s="133">
        <f>SUMIFS(GestionLignesDemande!G$4:G$1000,GestionLignesDemande!$B$4:$B$1000,ROI_Avions!$A236,GestionLignesDemande!$C$4:$C$1000,ROI_Avions!$C236)</f>
        <v>0</v>
      </c>
      <c r="T236" s="116"/>
      <c r="U236" s="8">
        <f t="shared" si="1"/>
        <v>790</v>
      </c>
      <c r="V236" s="8">
        <v>738</v>
      </c>
      <c r="W236" s="8">
        <v>36</v>
      </c>
      <c r="X236" s="8">
        <v>6</v>
      </c>
      <c r="Y236" s="8">
        <v>10</v>
      </c>
      <c r="Z236" s="116"/>
      <c r="AA236" s="8">
        <f t="shared" si="873"/>
        <v>-8856</v>
      </c>
      <c r="AB236" s="8">
        <f t="shared" si="874"/>
        <v>-432</v>
      </c>
      <c r="AC236" s="8">
        <f t="shared" si="875"/>
        <v>-72</v>
      </c>
      <c r="AD236" s="8">
        <f t="shared" si="876"/>
        <v>-120</v>
      </c>
      <c r="AE236" s="116"/>
      <c r="AF236" s="26">
        <f>SUMIFS(DataPrixBillets!N$1:N$1000,DataPrixBillets!$J$1:$J$1000,ROI_Avions!$A236,DataPrixBillets!$K$1:$K$1000,ROI_Avions!$C236)</f>
        <v>0</v>
      </c>
      <c r="AG236" s="26">
        <f>SUMIFS(DataPrixBillets!O$1:O$1000,DataPrixBillets!$J$1:$J$1000,ROI_Avions!$A236,DataPrixBillets!$K$1:$K$1000,ROI_Avions!$C236)</f>
        <v>0</v>
      </c>
      <c r="AH236" s="26">
        <f>SUMIFS(DataPrixBillets!P$1:P$1000,DataPrixBillets!$J$1:$J$1000,ROI_Avions!$A236,DataPrixBillets!$K$1:$K$1000,ROI_Avions!$C236)</f>
        <v>0</v>
      </c>
      <c r="AI236" s="26">
        <f>SUMIFS(DataPrixBillets!Q$1:Q$1000,DataPrixBillets!$J$1:$J$1000,ROI_Avions!$A236,DataPrixBillets!$K$1:$K$1000,ROI_Avions!$C236)</f>
        <v>0</v>
      </c>
      <c r="AJ236" s="116"/>
      <c r="AK236" s="8">
        <f t="shared" si="815"/>
        <v>0</v>
      </c>
      <c r="AL236" s="8" t="e">
        <f t="shared" ca="1" si="816"/>
        <v>#REF!</v>
      </c>
      <c r="AM236" s="8" t="e">
        <f t="shared" ca="1" si="817"/>
        <v>#REF!</v>
      </c>
      <c r="AN236" s="8" t="e">
        <f t="shared" ca="1" si="818"/>
        <v>#REF!</v>
      </c>
      <c r="AO236" s="8" t="e">
        <f t="shared" ca="1" si="819"/>
        <v>#REF!</v>
      </c>
      <c r="AP236" s="8" t="e">
        <f t="shared" ca="1" si="820"/>
        <v>#REF!</v>
      </c>
      <c r="AQ236" s="8" t="e">
        <f t="shared" ca="1" si="821"/>
        <v>#REF!</v>
      </c>
      <c r="AR236" s="190">
        <f t="shared" ca="1" si="859"/>
        <v>0</v>
      </c>
      <c r="AS236" s="120">
        <f t="shared" ca="1" si="860"/>
        <v>0</v>
      </c>
      <c r="AT236" s="8" t="e">
        <f t="shared" ca="1" si="822"/>
        <v>#REF!</v>
      </c>
    </row>
    <row r="237" spans="1:55" s="185" customFormat="1" x14ac:dyDescent="0.3">
      <c r="A237" s="163" t="s">
        <v>725</v>
      </c>
      <c r="B237" s="164">
        <v>494238733</v>
      </c>
      <c r="C237" s="163" t="s">
        <v>322</v>
      </c>
      <c r="D237" s="145" t="str">
        <f t="shared" si="746"/>
        <v>SDD/AMS</v>
      </c>
      <c r="E237" s="164">
        <v>14260398</v>
      </c>
      <c r="F237" s="165" t="s">
        <v>828</v>
      </c>
      <c r="G237" s="164">
        <v>344565000</v>
      </c>
      <c r="H237" s="116"/>
      <c r="I237" s="8">
        <v>0</v>
      </c>
      <c r="J237" s="8">
        <v>0</v>
      </c>
      <c r="K237" s="8">
        <v>0</v>
      </c>
      <c r="L237" s="53"/>
      <c r="M237" s="53"/>
      <c r="N237" s="116"/>
      <c r="O237" s="140"/>
      <c r="P237" s="133">
        <f>SUMIFS(GestionLignesDemande!D$4:D$1000,GestionLignesDemande!$B$4:$B$1000,ROI_Avions!$A237,GestionLignesDemande!$C$4:$C$1000,ROI_Avions!$C237)</f>
        <v>0</v>
      </c>
      <c r="Q237" s="133">
        <f>SUMIFS(GestionLignesDemande!E$4:E$1000,GestionLignesDemande!$B$4:$B$1000,ROI_Avions!$A237,GestionLignesDemande!$C$4:$C$1000,ROI_Avions!$C237)</f>
        <v>0</v>
      </c>
      <c r="R237" s="133">
        <f>SUMIFS(GestionLignesDemande!F$4:F$1000,GestionLignesDemande!$B$4:$B$1000,ROI_Avions!$A237,GestionLignesDemande!$C$4:$C$1000,ROI_Avions!$C237)</f>
        <v>0</v>
      </c>
      <c r="S237" s="133">
        <f>SUMIFS(GestionLignesDemande!G$4:G$1000,GestionLignesDemande!$B$4:$B$1000,ROI_Avions!$A237,GestionLignesDemande!$C$4:$C$1000,ROI_Avions!$C237)</f>
        <v>0</v>
      </c>
      <c r="T237" s="116"/>
      <c r="U237" s="8">
        <f t="shared" si="1"/>
        <v>576</v>
      </c>
      <c r="V237" s="8">
        <v>390</v>
      </c>
      <c r="W237" s="8">
        <v>129</v>
      </c>
      <c r="X237" s="8">
        <v>27</v>
      </c>
      <c r="Y237" s="8">
        <v>30</v>
      </c>
      <c r="Z237" s="116"/>
      <c r="AA237" s="132">
        <f t="shared" ref="AA237" si="877">P237-(V237*2)</f>
        <v>-780</v>
      </c>
      <c r="AB237" s="132">
        <f t="shared" ref="AB237" si="878">Q237-(W237*2)</f>
        <v>-258</v>
      </c>
      <c r="AC237" s="132">
        <f t="shared" ref="AC237" si="879">R237-(X237*2)</f>
        <v>-54</v>
      </c>
      <c r="AD237" s="132">
        <f t="shared" ref="AD237" si="880">S237-(Y237*2)</f>
        <v>-60</v>
      </c>
      <c r="AE237" s="116"/>
      <c r="AF237" s="26">
        <f>SUMIFS(DataPrixBillets!N$1:N$1000,DataPrixBillets!$J$1:$J$1000,ROI_Avions!$A237,DataPrixBillets!$K$1:$K$1000,ROI_Avions!$C237)</f>
        <v>0</v>
      </c>
      <c r="AG237" s="26">
        <f>SUMIFS(DataPrixBillets!O$1:O$1000,DataPrixBillets!$J$1:$J$1000,ROI_Avions!$A237,DataPrixBillets!$K$1:$K$1000,ROI_Avions!$C237)</f>
        <v>0</v>
      </c>
      <c r="AH237" s="26">
        <f>SUMIFS(DataPrixBillets!P$1:P$1000,DataPrixBillets!$J$1:$J$1000,ROI_Avions!$A237,DataPrixBillets!$K$1:$K$1000,ROI_Avions!$C237)</f>
        <v>0</v>
      </c>
      <c r="AI237" s="26">
        <f>SUMIFS(DataPrixBillets!Q$1:Q$1000,DataPrixBillets!$J$1:$J$1000,ROI_Avions!$A237,DataPrixBillets!$K$1:$K$1000,ROI_Avions!$C237)</f>
        <v>0</v>
      </c>
      <c r="AJ237" s="116"/>
      <c r="AK237" s="8">
        <f t="shared" si="20"/>
        <v>0</v>
      </c>
      <c r="AL237" s="8" t="e">
        <f t="shared" ca="1" si="21"/>
        <v>#REF!</v>
      </c>
      <c r="AM237" s="8" t="e">
        <f t="shared" ca="1" si="22"/>
        <v>#REF!</v>
      </c>
      <c r="AN237" s="8" t="e">
        <f t="shared" ca="1" si="23"/>
        <v>#REF!</v>
      </c>
      <c r="AO237" s="8" t="e">
        <f t="shared" ca="1" si="24"/>
        <v>#REF!</v>
      </c>
      <c r="AP237" s="8" t="e">
        <f t="shared" ca="1" si="25"/>
        <v>#REF!</v>
      </c>
      <c r="AQ237" s="8" t="e">
        <f t="shared" ca="1" si="26"/>
        <v>#REF!</v>
      </c>
      <c r="AR237" s="7">
        <f t="shared" ca="1" si="859"/>
        <v>0</v>
      </c>
      <c r="AS237" s="120">
        <f t="shared" ca="1" si="860"/>
        <v>0</v>
      </c>
      <c r="AT237" s="8" t="e">
        <f t="shared" ca="1" si="28"/>
        <v>#REF!</v>
      </c>
      <c r="AU237" s="38">
        <f ca="1">AS237/7</f>
        <v>0</v>
      </c>
      <c r="AV237" s="189"/>
      <c r="AW237" s="189"/>
      <c r="AX237" s="189"/>
      <c r="AY237" s="189"/>
      <c r="BA237" s="189"/>
      <c r="BB237" s="189"/>
      <c r="BC237" s="189"/>
    </row>
    <row r="238" spans="1:55" s="185" customFormat="1" x14ac:dyDescent="0.3">
      <c r="A238" s="163" t="s">
        <v>725</v>
      </c>
      <c r="B238" s="164">
        <v>494238733</v>
      </c>
      <c r="C238" s="163" t="s">
        <v>322</v>
      </c>
      <c r="D238" s="145" t="str">
        <f t="shared" si="746"/>
        <v>SDD/AMS</v>
      </c>
      <c r="E238" s="164">
        <v>14260398</v>
      </c>
      <c r="F238" s="165" t="s">
        <v>829</v>
      </c>
      <c r="G238" s="164">
        <v>344565000</v>
      </c>
      <c r="H238" s="116"/>
      <c r="I238" s="8">
        <v>0</v>
      </c>
      <c r="J238" s="8">
        <v>0</v>
      </c>
      <c r="K238" s="8">
        <v>0</v>
      </c>
      <c r="L238" s="53"/>
      <c r="M238" s="53"/>
      <c r="N238" s="116"/>
      <c r="O238" s="140"/>
      <c r="P238" s="133">
        <f>SUMIFS(GestionLignesDemande!D$4:D$1000,GestionLignesDemande!$B$4:$B$1000,ROI_Avions!$A238,GestionLignesDemande!$C$4:$C$1000,ROI_Avions!$C238)</f>
        <v>0</v>
      </c>
      <c r="Q238" s="133">
        <f>SUMIFS(GestionLignesDemande!E$4:E$1000,GestionLignesDemande!$B$4:$B$1000,ROI_Avions!$A238,GestionLignesDemande!$C$4:$C$1000,ROI_Avions!$C238)</f>
        <v>0</v>
      </c>
      <c r="R238" s="133">
        <f>SUMIFS(GestionLignesDemande!F$4:F$1000,GestionLignesDemande!$B$4:$B$1000,ROI_Avions!$A238,GestionLignesDemande!$C$4:$C$1000,ROI_Avions!$C238)</f>
        <v>0</v>
      </c>
      <c r="S238" s="133">
        <f>SUMIFS(GestionLignesDemande!G$4:G$1000,GestionLignesDemande!$B$4:$B$1000,ROI_Avions!$A238,GestionLignesDemande!$C$4:$C$1000,ROI_Avions!$C238)</f>
        <v>0</v>
      </c>
      <c r="T238" s="116"/>
      <c r="U238" s="8">
        <f t="shared" si="1"/>
        <v>853</v>
      </c>
      <c r="V238" s="8">
        <v>853</v>
      </c>
      <c r="W238" s="8">
        <v>0</v>
      </c>
      <c r="X238" s="8">
        <v>0</v>
      </c>
      <c r="Y238" s="8">
        <v>0</v>
      </c>
      <c r="Z238" s="116"/>
      <c r="AA238" s="132">
        <f t="shared" ref="AA238" si="881">AA237-V238*2</f>
        <v>-2486</v>
      </c>
      <c r="AB238" s="132">
        <f t="shared" ref="AB238" si="882">AB237-W238*2</f>
        <v>-258</v>
      </c>
      <c r="AC238" s="132">
        <f t="shared" ref="AC238" si="883">AC237-X238*2</f>
        <v>-54</v>
      </c>
      <c r="AD238" s="132">
        <f t="shared" ref="AD238" si="884">AD237-Y238*2</f>
        <v>-60</v>
      </c>
      <c r="AE238" s="116"/>
      <c r="AF238" s="26">
        <f>SUMIFS(DataPrixBillets!N$1:N$1000,DataPrixBillets!$J$1:$J$1000,ROI_Avions!$A238,DataPrixBillets!$K$1:$K$1000,ROI_Avions!$C238)</f>
        <v>0</v>
      </c>
      <c r="AG238" s="26">
        <f>SUMIFS(DataPrixBillets!O$1:O$1000,DataPrixBillets!$J$1:$J$1000,ROI_Avions!$A238,DataPrixBillets!$K$1:$K$1000,ROI_Avions!$C238)</f>
        <v>0</v>
      </c>
      <c r="AH238" s="26">
        <f>SUMIFS(DataPrixBillets!P$1:P$1000,DataPrixBillets!$J$1:$J$1000,ROI_Avions!$A238,DataPrixBillets!$K$1:$K$1000,ROI_Avions!$C238)</f>
        <v>0</v>
      </c>
      <c r="AI238" s="26">
        <f>SUMIFS(DataPrixBillets!Q$1:Q$1000,DataPrixBillets!$J$1:$J$1000,ROI_Avions!$A238,DataPrixBillets!$K$1:$K$1000,ROI_Avions!$C238)</f>
        <v>0</v>
      </c>
      <c r="AJ238" s="116"/>
      <c r="AK238" s="8">
        <f t="shared" ref="AK238" si="885">(((AF238*V238)*2+(AG238*W238)*2+(AH238*X238)*2+(AI238*Y238)*2)*7)</f>
        <v>0</v>
      </c>
      <c r="AL238" s="8" t="e">
        <f t="shared" ref="AL238" ca="1" si="886">AK238-AM238</f>
        <v>#REF!</v>
      </c>
      <c r="AM238" s="8" t="e">
        <f t="shared" ref="AM238" ca="1" si="887">AK238*$AM$2</f>
        <v>#REF!</v>
      </c>
      <c r="AN238" s="8" t="e">
        <f t="shared" ref="AN238" ca="1" si="888">AL238*$AN$2</f>
        <v>#REF!</v>
      </c>
      <c r="AO238" s="8" t="e">
        <f t="shared" ref="AO238" ca="1" si="889">(AL238-AN238-I238)*$AO$2</f>
        <v>#REF!</v>
      </c>
      <c r="AP238" s="8" t="e">
        <f t="shared" ref="AP238" ca="1" si="890">AL238-AN238-(I238/7)-(AO238/7)</f>
        <v>#REF!</v>
      </c>
      <c r="AQ238" s="8" t="e">
        <f t="shared" ref="AQ238" ca="1" si="891">AP238/7</f>
        <v>#REF!</v>
      </c>
      <c r="AR238" s="7">
        <f t="shared" ca="1" si="859"/>
        <v>0</v>
      </c>
      <c r="AS238" s="120">
        <f t="shared" ca="1" si="860"/>
        <v>0</v>
      </c>
      <c r="AT238" s="8" t="e">
        <f t="shared" ref="AT238" ca="1" si="892">IF(K238&gt;=1,AP238*K238,AP238*$AT$1)</f>
        <v>#REF!</v>
      </c>
      <c r="AV238" s="189"/>
      <c r="AW238" s="189"/>
      <c r="AX238" s="189"/>
      <c r="AY238" s="189"/>
      <c r="BA238" s="189"/>
      <c r="BB238" s="189"/>
      <c r="BC238" s="189"/>
    </row>
    <row r="239" spans="1:55" s="204" customFormat="1" x14ac:dyDescent="0.3">
      <c r="A239" s="163" t="s">
        <v>725</v>
      </c>
      <c r="B239" s="164">
        <v>494238733</v>
      </c>
      <c r="C239" s="163" t="s">
        <v>1126</v>
      </c>
      <c r="D239" s="145" t="str">
        <f t="shared" si="746"/>
        <v>SDD/ATL</v>
      </c>
      <c r="E239" s="164">
        <v>27257466</v>
      </c>
      <c r="F239" s="165" t="str">
        <f>"A380-A-"&amp;A239&amp;"-"&amp;C239&amp;"-"&amp;1</f>
        <v>A380-A-SDD-ATL-1</v>
      </c>
      <c r="G239" s="164">
        <v>362700000</v>
      </c>
      <c r="H239" s="116"/>
      <c r="I239" s="206">
        <v>0</v>
      </c>
      <c r="J239" s="206">
        <v>0</v>
      </c>
      <c r="K239" s="206">
        <v>0</v>
      </c>
      <c r="L239" s="53"/>
      <c r="M239" s="53"/>
      <c r="N239" s="116"/>
      <c r="O239" s="140"/>
      <c r="P239" s="133">
        <f>SUMIFS(GestionLignesDemande!D$4:D$1000,GestionLignesDemande!$B$4:$B$1000,ROI_Avions!$A239,GestionLignesDemande!$C$4:$C$1000,ROI_Avions!$C239)</f>
        <v>0</v>
      </c>
      <c r="Q239" s="133">
        <f>SUMIFS(GestionLignesDemande!E$4:E$1000,GestionLignesDemande!$B$4:$B$1000,ROI_Avions!$A239,GestionLignesDemande!$C$4:$C$1000,ROI_Avions!$C239)</f>
        <v>0</v>
      </c>
      <c r="R239" s="133">
        <f>SUMIFS(GestionLignesDemande!F$4:F$1000,GestionLignesDemande!$B$4:$B$1000,ROI_Avions!$A239,GestionLignesDemande!$C$4:$C$1000,ROI_Avions!$C239)</f>
        <v>0</v>
      </c>
      <c r="S239" s="133">
        <f>SUMIFS(GestionLignesDemande!G$4:G$1000,GestionLignesDemande!$B$4:$B$1000,ROI_Avions!$A239,GestionLignesDemande!$C$4:$C$1000,ROI_Avions!$C239)</f>
        <v>0</v>
      </c>
      <c r="T239" s="116"/>
      <c r="U239" s="206">
        <f t="shared" si="1"/>
        <v>853</v>
      </c>
      <c r="V239" s="206">
        <v>853</v>
      </c>
      <c r="W239" s="206">
        <v>0</v>
      </c>
      <c r="X239" s="206">
        <v>0</v>
      </c>
      <c r="Y239" s="206">
        <v>0</v>
      </c>
      <c r="Z239" s="116"/>
      <c r="AA239" s="132">
        <f t="shared" ref="AA239" si="893">P239-(V239*2)</f>
        <v>-1706</v>
      </c>
      <c r="AB239" s="132">
        <f t="shared" ref="AB239" si="894">Q239-(W239*2)</f>
        <v>0</v>
      </c>
      <c r="AC239" s="132">
        <f t="shared" ref="AC239" si="895">R239-(X239*2)</f>
        <v>0</v>
      </c>
      <c r="AD239" s="132">
        <f t="shared" ref="AD239" si="896">S239-(Y239*2)</f>
        <v>0</v>
      </c>
      <c r="AE239" s="116"/>
      <c r="AF239" s="26">
        <f>SUMIFS(DataPrixBillets!N$1:N$1000,DataPrixBillets!$J$1:$J$1000,ROI_Avions!$A239,DataPrixBillets!$K$1:$K$1000,ROI_Avions!$C239)</f>
        <v>0</v>
      </c>
      <c r="AG239" s="26">
        <f>SUMIFS(DataPrixBillets!O$1:O$1000,DataPrixBillets!$J$1:$J$1000,ROI_Avions!$A239,DataPrixBillets!$K$1:$K$1000,ROI_Avions!$C239)</f>
        <v>0</v>
      </c>
      <c r="AH239" s="26">
        <f>SUMIFS(DataPrixBillets!P$1:P$1000,DataPrixBillets!$J$1:$J$1000,ROI_Avions!$A239,DataPrixBillets!$K$1:$K$1000,ROI_Avions!$C239)</f>
        <v>0</v>
      </c>
      <c r="AI239" s="26">
        <f>SUMIFS(DataPrixBillets!Q$1:Q$1000,DataPrixBillets!$J$1:$J$1000,ROI_Avions!$A239,DataPrixBillets!$K$1:$K$1000,ROI_Avions!$C239)</f>
        <v>0</v>
      </c>
      <c r="AJ239" s="116"/>
      <c r="AK239" s="206">
        <f t="shared" ref="AK239:AK272" si="897">(((AF239*V239)*2+(AG239*W239)*2+(AH239*X239)*2+(AI239*Y239)*2)*7)</f>
        <v>0</v>
      </c>
      <c r="AL239" s="206" t="e">
        <f t="shared" ref="AL239:AL272" ca="1" si="898">AK239-AM239</f>
        <v>#REF!</v>
      </c>
      <c r="AM239" s="206" t="e">
        <f t="shared" ref="AM239:AM272" ca="1" si="899">AK239*$AM$2</f>
        <v>#REF!</v>
      </c>
      <c r="AN239" s="206" t="e">
        <f t="shared" ref="AN239:AN272" ca="1" si="900">AL239*$AN$2</f>
        <v>#REF!</v>
      </c>
      <c r="AO239" s="206" t="e">
        <f t="shared" ref="AO239:AO272" ca="1" si="901">(AL239-AN239-I239)*$AO$2</f>
        <v>#REF!</v>
      </c>
      <c r="AP239" s="206" t="e">
        <f t="shared" ref="AP239:AP272" ca="1" si="902">AL239-AN239-(I239/7)-(AO239/7)</f>
        <v>#REF!</v>
      </c>
      <c r="AQ239" s="206" t="e">
        <f t="shared" ref="AQ239:AQ272" ca="1" si="903">AP239/7</f>
        <v>#REF!</v>
      </c>
      <c r="AR239" s="207">
        <f t="shared" ca="1" si="859"/>
        <v>0</v>
      </c>
      <c r="AS239" s="120">
        <f t="shared" ca="1" si="860"/>
        <v>0</v>
      </c>
      <c r="AT239" s="206" t="e">
        <f t="shared" ref="AT239:AT272" ca="1" si="904">IF(K239&gt;=1,AP239*K239,AP239*$AT$1)</f>
        <v>#REF!</v>
      </c>
      <c r="AV239" s="189"/>
      <c r="AW239" s="189"/>
      <c r="AX239" s="189"/>
      <c r="AY239" s="189"/>
      <c r="BA239" s="189"/>
      <c r="BB239" s="189"/>
      <c r="BC239" s="189"/>
    </row>
    <row r="240" spans="1:55" s="204" customFormat="1" x14ac:dyDescent="0.3">
      <c r="A240" s="163" t="s">
        <v>725</v>
      </c>
      <c r="B240" s="164">
        <v>494238733</v>
      </c>
      <c r="C240" s="163" t="s">
        <v>1126</v>
      </c>
      <c r="D240" s="145" t="str">
        <f t="shared" si="746"/>
        <v>SDD/ATL</v>
      </c>
      <c r="E240" s="164">
        <v>27257466</v>
      </c>
      <c r="F240" s="165" t="str">
        <f>"A380-A-"&amp;A240&amp;"-"&amp;C240&amp;"-"&amp;2</f>
        <v>A380-A-SDD-ATL-2</v>
      </c>
      <c r="G240" s="164">
        <v>362700000</v>
      </c>
      <c r="H240" s="116"/>
      <c r="I240" s="206">
        <v>0</v>
      </c>
      <c r="J240" s="206">
        <v>0</v>
      </c>
      <c r="K240" s="206">
        <v>0</v>
      </c>
      <c r="L240" s="53"/>
      <c r="M240" s="53"/>
      <c r="N240" s="116"/>
      <c r="O240" s="140"/>
      <c r="P240" s="133">
        <f>SUMIFS(GestionLignesDemande!D$4:D$1000,GestionLignesDemande!$B$4:$B$1000,ROI_Avions!$A240,GestionLignesDemande!$C$4:$C$1000,ROI_Avions!$C240)</f>
        <v>0</v>
      </c>
      <c r="Q240" s="133">
        <f>SUMIFS(GestionLignesDemande!E$4:E$1000,GestionLignesDemande!$B$4:$B$1000,ROI_Avions!$A240,GestionLignesDemande!$C$4:$C$1000,ROI_Avions!$C240)</f>
        <v>0</v>
      </c>
      <c r="R240" s="133">
        <f>SUMIFS(GestionLignesDemande!F$4:F$1000,GestionLignesDemande!$B$4:$B$1000,ROI_Avions!$A240,GestionLignesDemande!$C$4:$C$1000,ROI_Avions!$C240)</f>
        <v>0</v>
      </c>
      <c r="S240" s="133">
        <f>SUMIFS(GestionLignesDemande!G$4:G$1000,GestionLignesDemande!$B$4:$B$1000,ROI_Avions!$A240,GestionLignesDemande!$C$4:$C$1000,ROI_Avions!$C240)</f>
        <v>0</v>
      </c>
      <c r="T240" s="116"/>
      <c r="U240" s="206">
        <f t="shared" si="1"/>
        <v>602</v>
      </c>
      <c r="V240" s="206">
        <v>457</v>
      </c>
      <c r="W240" s="206">
        <v>82</v>
      </c>
      <c r="X240" s="206">
        <v>35</v>
      </c>
      <c r="Y240" s="206">
        <v>28</v>
      </c>
      <c r="Z240" s="116"/>
      <c r="AA240" s="132">
        <f t="shared" ref="AA240" si="905">AA239-V240*2</f>
        <v>-2620</v>
      </c>
      <c r="AB240" s="132">
        <f t="shared" ref="AB240" si="906">AB239-W240*2</f>
        <v>-164</v>
      </c>
      <c r="AC240" s="132">
        <f t="shared" ref="AC240" si="907">AC239-X240*2</f>
        <v>-70</v>
      </c>
      <c r="AD240" s="132">
        <f t="shared" ref="AD240" si="908">AD239-Y240*2</f>
        <v>-56</v>
      </c>
      <c r="AE240" s="116"/>
      <c r="AF240" s="26">
        <f>SUMIFS(DataPrixBillets!N$1:N$1000,DataPrixBillets!$J$1:$J$1000,ROI_Avions!$A240,DataPrixBillets!$K$1:$K$1000,ROI_Avions!$C240)</f>
        <v>0</v>
      </c>
      <c r="AG240" s="26">
        <f>SUMIFS(DataPrixBillets!O$1:O$1000,DataPrixBillets!$J$1:$J$1000,ROI_Avions!$A240,DataPrixBillets!$K$1:$K$1000,ROI_Avions!$C240)</f>
        <v>0</v>
      </c>
      <c r="AH240" s="26">
        <f>SUMIFS(DataPrixBillets!P$1:P$1000,DataPrixBillets!$J$1:$J$1000,ROI_Avions!$A240,DataPrixBillets!$K$1:$K$1000,ROI_Avions!$C240)</f>
        <v>0</v>
      </c>
      <c r="AI240" s="26">
        <f>SUMIFS(DataPrixBillets!Q$1:Q$1000,DataPrixBillets!$J$1:$J$1000,ROI_Avions!$A240,DataPrixBillets!$K$1:$K$1000,ROI_Avions!$C240)</f>
        <v>0</v>
      </c>
      <c r="AJ240" s="116"/>
      <c r="AK240" s="206">
        <f t="shared" si="897"/>
        <v>0</v>
      </c>
      <c r="AL240" s="206" t="e">
        <f t="shared" ca="1" si="898"/>
        <v>#REF!</v>
      </c>
      <c r="AM240" s="206" t="e">
        <f t="shared" ca="1" si="899"/>
        <v>#REF!</v>
      </c>
      <c r="AN240" s="206" t="e">
        <f t="shared" ca="1" si="900"/>
        <v>#REF!</v>
      </c>
      <c r="AO240" s="206" t="e">
        <f t="shared" ca="1" si="901"/>
        <v>#REF!</v>
      </c>
      <c r="AP240" s="206" t="e">
        <f t="shared" ca="1" si="902"/>
        <v>#REF!</v>
      </c>
      <c r="AQ240" s="206" t="e">
        <f t="shared" ca="1" si="903"/>
        <v>#REF!</v>
      </c>
      <c r="AR240" s="207">
        <f t="shared" ca="1" si="859"/>
        <v>0</v>
      </c>
      <c r="AS240" s="120">
        <f t="shared" ca="1" si="860"/>
        <v>0</v>
      </c>
      <c r="AT240" s="206" t="e">
        <f t="shared" ca="1" si="904"/>
        <v>#REF!</v>
      </c>
      <c r="AV240" s="189"/>
      <c r="AW240" s="189"/>
      <c r="AX240" s="189"/>
      <c r="AY240" s="189"/>
      <c r="BA240" s="185"/>
      <c r="BB240" s="185"/>
      <c r="BC240" s="185"/>
    </row>
    <row r="241" spans="1:46" s="204" customFormat="1" x14ac:dyDescent="0.3">
      <c r="A241" s="163" t="s">
        <v>725</v>
      </c>
      <c r="B241" s="164">
        <v>494238733</v>
      </c>
      <c r="C241" s="163" t="s">
        <v>1127</v>
      </c>
      <c r="D241" s="145" t="str">
        <f t="shared" si="746"/>
        <v>SDD/ORD</v>
      </c>
      <c r="E241" s="164">
        <v>32921825</v>
      </c>
      <c r="F241" s="165" t="str">
        <f>"A380-A-"&amp;A241&amp;"-"&amp;C241&amp;"-"&amp;3</f>
        <v>A380-A-SDD-ORD-3</v>
      </c>
      <c r="G241" s="164">
        <v>362700000</v>
      </c>
      <c r="H241" s="116"/>
      <c r="I241" s="206">
        <v>0</v>
      </c>
      <c r="J241" s="206">
        <v>0</v>
      </c>
      <c r="K241" s="206">
        <v>0</v>
      </c>
      <c r="L241" s="53"/>
      <c r="M241" s="53"/>
      <c r="N241" s="116"/>
      <c r="O241" s="140"/>
      <c r="P241" s="133">
        <f>SUMIFS(GestionLignesDemande!D$4:D$1000,GestionLignesDemande!$B$4:$B$1000,ROI_Avions!$A241,GestionLignesDemande!$C$4:$C$1000,ROI_Avions!$C241)</f>
        <v>0</v>
      </c>
      <c r="Q241" s="133">
        <f>SUMIFS(GestionLignesDemande!E$4:E$1000,GestionLignesDemande!$B$4:$B$1000,ROI_Avions!$A241,GestionLignesDemande!$C$4:$C$1000,ROI_Avions!$C241)</f>
        <v>0</v>
      </c>
      <c r="R241" s="133">
        <f>SUMIFS(GestionLignesDemande!F$4:F$1000,GestionLignesDemande!$B$4:$B$1000,ROI_Avions!$A241,GestionLignesDemande!$C$4:$C$1000,ROI_Avions!$C241)</f>
        <v>0</v>
      </c>
      <c r="S241" s="133">
        <f>SUMIFS(GestionLignesDemande!G$4:G$1000,GestionLignesDemande!$B$4:$B$1000,ROI_Avions!$A241,GestionLignesDemande!$C$4:$C$1000,ROI_Avions!$C241)</f>
        <v>0</v>
      </c>
      <c r="T241" s="116"/>
      <c r="U241" s="206">
        <f t="shared" si="1"/>
        <v>853</v>
      </c>
      <c r="V241" s="206">
        <v>853</v>
      </c>
      <c r="W241" s="206">
        <v>0</v>
      </c>
      <c r="X241" s="206">
        <v>0</v>
      </c>
      <c r="Y241" s="206">
        <v>0</v>
      </c>
      <c r="Z241" s="116"/>
      <c r="AA241" s="132">
        <f t="shared" ref="AA241" si="909">P241-(V241*2)</f>
        <v>-1706</v>
      </c>
      <c r="AB241" s="132">
        <f t="shared" ref="AB241" si="910">Q241-(W241*2)</f>
        <v>0</v>
      </c>
      <c r="AC241" s="132">
        <f t="shared" ref="AC241" si="911">R241-(X241*2)</f>
        <v>0</v>
      </c>
      <c r="AD241" s="132">
        <f t="shared" ref="AD241" si="912">S241-(Y241*2)</f>
        <v>0</v>
      </c>
      <c r="AE241" s="116"/>
      <c r="AF241" s="26">
        <f>SUMIFS(DataPrixBillets!N$1:N$1000,DataPrixBillets!$J$1:$J$1000,ROI_Avions!$A241,DataPrixBillets!$K$1:$K$1000,ROI_Avions!$C241)</f>
        <v>0</v>
      </c>
      <c r="AG241" s="26">
        <f>SUMIFS(DataPrixBillets!O$1:O$1000,DataPrixBillets!$J$1:$J$1000,ROI_Avions!$A241,DataPrixBillets!$K$1:$K$1000,ROI_Avions!$C241)</f>
        <v>0</v>
      </c>
      <c r="AH241" s="26">
        <f>SUMIFS(DataPrixBillets!P$1:P$1000,DataPrixBillets!$J$1:$J$1000,ROI_Avions!$A241,DataPrixBillets!$K$1:$K$1000,ROI_Avions!$C241)</f>
        <v>0</v>
      </c>
      <c r="AI241" s="26">
        <f>SUMIFS(DataPrixBillets!Q$1:Q$1000,DataPrixBillets!$J$1:$J$1000,ROI_Avions!$A241,DataPrixBillets!$K$1:$K$1000,ROI_Avions!$C241)</f>
        <v>0</v>
      </c>
      <c r="AJ241" s="116"/>
      <c r="AK241" s="206">
        <f t="shared" si="897"/>
        <v>0</v>
      </c>
      <c r="AL241" s="206" t="e">
        <f t="shared" ca="1" si="898"/>
        <v>#REF!</v>
      </c>
      <c r="AM241" s="206" t="e">
        <f t="shared" ca="1" si="899"/>
        <v>#REF!</v>
      </c>
      <c r="AN241" s="206" t="e">
        <f t="shared" ca="1" si="900"/>
        <v>#REF!</v>
      </c>
      <c r="AO241" s="206" t="e">
        <f t="shared" ca="1" si="901"/>
        <v>#REF!</v>
      </c>
      <c r="AP241" s="206" t="e">
        <f t="shared" ca="1" si="902"/>
        <v>#REF!</v>
      </c>
      <c r="AQ241" s="206" t="e">
        <f t="shared" ca="1" si="903"/>
        <v>#REF!</v>
      </c>
      <c r="AR241" s="207">
        <f t="shared" ca="1" si="859"/>
        <v>0</v>
      </c>
      <c r="AS241" s="120">
        <f t="shared" ca="1" si="860"/>
        <v>0</v>
      </c>
      <c r="AT241" s="206" t="e">
        <f t="shared" ca="1" si="904"/>
        <v>#REF!</v>
      </c>
    </row>
    <row r="242" spans="1:46" s="204" customFormat="1" x14ac:dyDescent="0.3">
      <c r="A242" s="163" t="s">
        <v>725</v>
      </c>
      <c r="B242" s="164">
        <v>494238733</v>
      </c>
      <c r="C242" s="163" t="s">
        <v>1127</v>
      </c>
      <c r="D242" s="145" t="str">
        <f t="shared" si="746"/>
        <v>SDD/ORD</v>
      </c>
      <c r="E242" s="164">
        <v>32921825</v>
      </c>
      <c r="F242" s="165" t="str">
        <f>"A380-A-"&amp;A242&amp;"-"&amp;C242&amp;"-"&amp;4</f>
        <v>A380-A-SDD-ORD-4</v>
      </c>
      <c r="G242" s="164">
        <v>362700000</v>
      </c>
      <c r="H242" s="116"/>
      <c r="I242" s="206">
        <v>0</v>
      </c>
      <c r="J242" s="206">
        <v>0</v>
      </c>
      <c r="K242" s="206">
        <v>0</v>
      </c>
      <c r="L242" s="53"/>
      <c r="M242" s="53"/>
      <c r="N242" s="116"/>
      <c r="O242" s="140"/>
      <c r="P242" s="133">
        <f>SUMIFS(GestionLignesDemande!D$4:D$1000,GestionLignesDemande!$B$4:$B$1000,ROI_Avions!$A242,GestionLignesDemande!$C$4:$C$1000,ROI_Avions!$C242)</f>
        <v>0</v>
      </c>
      <c r="Q242" s="133">
        <f>SUMIFS(GestionLignesDemande!E$4:E$1000,GestionLignesDemande!$B$4:$B$1000,ROI_Avions!$A242,GestionLignesDemande!$C$4:$C$1000,ROI_Avions!$C242)</f>
        <v>0</v>
      </c>
      <c r="R242" s="133">
        <f>SUMIFS(GestionLignesDemande!F$4:F$1000,GestionLignesDemande!$B$4:$B$1000,ROI_Avions!$A242,GestionLignesDemande!$C$4:$C$1000,ROI_Avions!$C242)</f>
        <v>0</v>
      </c>
      <c r="S242" s="133">
        <f>SUMIFS(GestionLignesDemande!G$4:G$1000,GestionLignesDemande!$B$4:$B$1000,ROI_Avions!$A242,GestionLignesDemande!$C$4:$C$1000,ROI_Avions!$C242)</f>
        <v>0</v>
      </c>
      <c r="T242" s="116"/>
      <c r="U242" s="206">
        <f t="shared" si="1"/>
        <v>602</v>
      </c>
      <c r="V242" s="206">
        <v>457</v>
      </c>
      <c r="W242" s="206">
        <v>82</v>
      </c>
      <c r="X242" s="206">
        <v>35</v>
      </c>
      <c r="Y242" s="206">
        <v>28</v>
      </c>
      <c r="Z242" s="116"/>
      <c r="AA242" s="132">
        <f t="shared" ref="AA242" si="913">AA241-V242*2</f>
        <v>-2620</v>
      </c>
      <c r="AB242" s="132">
        <f t="shared" ref="AB242" si="914">AB241-W242*2</f>
        <v>-164</v>
      </c>
      <c r="AC242" s="132">
        <f t="shared" ref="AC242" si="915">AC241-X242*2</f>
        <v>-70</v>
      </c>
      <c r="AD242" s="132">
        <f t="shared" ref="AD242" si="916">AD241-Y242*2</f>
        <v>-56</v>
      </c>
      <c r="AE242" s="116"/>
      <c r="AF242" s="26">
        <f>SUMIFS(DataPrixBillets!N$1:N$1000,DataPrixBillets!$J$1:$J$1000,ROI_Avions!$A242,DataPrixBillets!$K$1:$K$1000,ROI_Avions!$C242)</f>
        <v>0</v>
      </c>
      <c r="AG242" s="26">
        <f>SUMIFS(DataPrixBillets!O$1:O$1000,DataPrixBillets!$J$1:$J$1000,ROI_Avions!$A242,DataPrixBillets!$K$1:$K$1000,ROI_Avions!$C242)</f>
        <v>0</v>
      </c>
      <c r="AH242" s="26">
        <f>SUMIFS(DataPrixBillets!P$1:P$1000,DataPrixBillets!$J$1:$J$1000,ROI_Avions!$A242,DataPrixBillets!$K$1:$K$1000,ROI_Avions!$C242)</f>
        <v>0</v>
      </c>
      <c r="AI242" s="26">
        <f>SUMIFS(DataPrixBillets!Q$1:Q$1000,DataPrixBillets!$J$1:$J$1000,ROI_Avions!$A242,DataPrixBillets!$K$1:$K$1000,ROI_Avions!$C242)</f>
        <v>0</v>
      </c>
      <c r="AJ242" s="116"/>
      <c r="AK242" s="206">
        <f t="shared" si="897"/>
        <v>0</v>
      </c>
      <c r="AL242" s="206" t="e">
        <f t="shared" ca="1" si="898"/>
        <v>#REF!</v>
      </c>
      <c r="AM242" s="206" t="e">
        <f t="shared" ca="1" si="899"/>
        <v>#REF!</v>
      </c>
      <c r="AN242" s="206" t="e">
        <f t="shared" ca="1" si="900"/>
        <v>#REF!</v>
      </c>
      <c r="AO242" s="206" t="e">
        <f t="shared" ca="1" si="901"/>
        <v>#REF!</v>
      </c>
      <c r="AP242" s="206" t="e">
        <f t="shared" ca="1" si="902"/>
        <v>#REF!</v>
      </c>
      <c r="AQ242" s="206" t="e">
        <f t="shared" ca="1" si="903"/>
        <v>#REF!</v>
      </c>
      <c r="AR242" s="207">
        <f t="shared" ca="1" si="859"/>
        <v>0</v>
      </c>
      <c r="AS242" s="120">
        <f t="shared" ca="1" si="860"/>
        <v>0</v>
      </c>
      <c r="AT242" s="206" t="e">
        <f t="shared" ca="1" si="904"/>
        <v>#REF!</v>
      </c>
    </row>
    <row r="243" spans="1:46" s="204" customFormat="1" x14ac:dyDescent="0.3">
      <c r="A243" s="163" t="s">
        <v>725</v>
      </c>
      <c r="B243" s="164">
        <v>494238733</v>
      </c>
      <c r="C243" s="163" t="s">
        <v>1128</v>
      </c>
      <c r="D243" s="145" t="str">
        <f t="shared" si="746"/>
        <v>SDD/DFW</v>
      </c>
      <c r="E243" s="164">
        <v>58698807</v>
      </c>
      <c r="F243" s="165" t="str">
        <f>"A380-A-"&amp;A243&amp;"-"&amp;C243&amp;"-"&amp;5</f>
        <v>A380-A-SDD-DFW-5</v>
      </c>
      <c r="G243" s="164">
        <v>362700000</v>
      </c>
      <c r="H243" s="116"/>
      <c r="I243" s="206">
        <v>0</v>
      </c>
      <c r="J243" s="206">
        <v>0</v>
      </c>
      <c r="K243" s="206">
        <v>0</v>
      </c>
      <c r="L243" s="53"/>
      <c r="M243" s="53"/>
      <c r="N243" s="116"/>
      <c r="O243" s="140"/>
      <c r="P243" s="133">
        <f>SUMIFS(GestionLignesDemande!D$4:D$1000,GestionLignesDemande!$B$4:$B$1000,ROI_Avions!$A243,GestionLignesDemande!$C$4:$C$1000,ROI_Avions!$C243)</f>
        <v>0</v>
      </c>
      <c r="Q243" s="133">
        <f>SUMIFS(GestionLignesDemande!E$4:E$1000,GestionLignesDemande!$B$4:$B$1000,ROI_Avions!$A243,GestionLignesDemande!$C$4:$C$1000,ROI_Avions!$C243)</f>
        <v>0</v>
      </c>
      <c r="R243" s="133">
        <f>SUMIFS(GestionLignesDemande!F$4:F$1000,GestionLignesDemande!$B$4:$B$1000,ROI_Avions!$A243,GestionLignesDemande!$C$4:$C$1000,ROI_Avions!$C243)</f>
        <v>0</v>
      </c>
      <c r="S243" s="133">
        <f>SUMIFS(GestionLignesDemande!G$4:G$1000,GestionLignesDemande!$B$4:$B$1000,ROI_Avions!$A243,GestionLignesDemande!$C$4:$C$1000,ROI_Avions!$C243)</f>
        <v>0</v>
      </c>
      <c r="T243" s="116"/>
      <c r="U243" s="206">
        <f t="shared" si="1"/>
        <v>853</v>
      </c>
      <c r="V243" s="206">
        <v>853</v>
      </c>
      <c r="W243" s="206">
        <v>0</v>
      </c>
      <c r="X243" s="206">
        <v>0</v>
      </c>
      <c r="Y243" s="206">
        <v>0</v>
      </c>
      <c r="Z243" s="116"/>
      <c r="AA243" s="132">
        <f t="shared" ref="AA243" si="917">P243-(V243*2)</f>
        <v>-1706</v>
      </c>
      <c r="AB243" s="132">
        <f t="shared" ref="AB243" si="918">Q243-(W243*2)</f>
        <v>0</v>
      </c>
      <c r="AC243" s="132">
        <f t="shared" ref="AC243" si="919">R243-(X243*2)</f>
        <v>0</v>
      </c>
      <c r="AD243" s="132">
        <f t="shared" ref="AD243" si="920">S243-(Y243*2)</f>
        <v>0</v>
      </c>
      <c r="AE243" s="116"/>
      <c r="AF243" s="26">
        <f>SUMIFS(DataPrixBillets!N$1:N$1000,DataPrixBillets!$J$1:$J$1000,ROI_Avions!$A243,DataPrixBillets!$K$1:$K$1000,ROI_Avions!$C243)</f>
        <v>0</v>
      </c>
      <c r="AG243" s="26">
        <f>SUMIFS(DataPrixBillets!O$1:O$1000,DataPrixBillets!$J$1:$J$1000,ROI_Avions!$A243,DataPrixBillets!$K$1:$K$1000,ROI_Avions!$C243)</f>
        <v>0</v>
      </c>
      <c r="AH243" s="26">
        <f>SUMIFS(DataPrixBillets!P$1:P$1000,DataPrixBillets!$J$1:$J$1000,ROI_Avions!$A243,DataPrixBillets!$K$1:$K$1000,ROI_Avions!$C243)</f>
        <v>0</v>
      </c>
      <c r="AI243" s="26">
        <f>SUMIFS(DataPrixBillets!Q$1:Q$1000,DataPrixBillets!$J$1:$J$1000,ROI_Avions!$A243,DataPrixBillets!$K$1:$K$1000,ROI_Avions!$C243)</f>
        <v>0</v>
      </c>
      <c r="AJ243" s="116"/>
      <c r="AK243" s="206">
        <f t="shared" si="897"/>
        <v>0</v>
      </c>
      <c r="AL243" s="206" t="e">
        <f t="shared" ca="1" si="898"/>
        <v>#REF!</v>
      </c>
      <c r="AM243" s="206" t="e">
        <f t="shared" ca="1" si="899"/>
        <v>#REF!</v>
      </c>
      <c r="AN243" s="206" t="e">
        <f t="shared" ca="1" si="900"/>
        <v>#REF!</v>
      </c>
      <c r="AO243" s="206" t="e">
        <f t="shared" ca="1" si="901"/>
        <v>#REF!</v>
      </c>
      <c r="AP243" s="206" t="e">
        <f t="shared" ca="1" si="902"/>
        <v>#REF!</v>
      </c>
      <c r="AQ243" s="206" t="e">
        <f t="shared" ca="1" si="903"/>
        <v>#REF!</v>
      </c>
      <c r="AR243" s="207">
        <f t="shared" ca="1" si="859"/>
        <v>0</v>
      </c>
      <c r="AS243" s="120">
        <f t="shared" ca="1" si="860"/>
        <v>0</v>
      </c>
      <c r="AT243" s="206" t="e">
        <f t="shared" ca="1" si="904"/>
        <v>#REF!</v>
      </c>
    </row>
    <row r="244" spans="1:46" s="204" customFormat="1" x14ac:dyDescent="0.3">
      <c r="A244" s="163" t="s">
        <v>725</v>
      </c>
      <c r="B244" s="164">
        <v>494238733</v>
      </c>
      <c r="C244" s="163" t="s">
        <v>1128</v>
      </c>
      <c r="D244" s="145" t="str">
        <f t="shared" si="746"/>
        <v>SDD/DFW</v>
      </c>
      <c r="E244" s="164">
        <v>58698807</v>
      </c>
      <c r="F244" s="165" t="str">
        <f>"A380-A-"&amp;A244&amp;"-"&amp;C244&amp;"-"&amp;6</f>
        <v>A380-A-SDD-DFW-6</v>
      </c>
      <c r="G244" s="164">
        <v>362700000</v>
      </c>
      <c r="H244" s="116"/>
      <c r="I244" s="206">
        <v>0</v>
      </c>
      <c r="J244" s="206">
        <v>0</v>
      </c>
      <c r="K244" s="206">
        <v>0</v>
      </c>
      <c r="L244" s="53"/>
      <c r="M244" s="53"/>
      <c r="N244" s="116"/>
      <c r="O244" s="140"/>
      <c r="P244" s="133">
        <f>SUMIFS(GestionLignesDemande!D$4:D$1000,GestionLignesDemande!$B$4:$B$1000,ROI_Avions!$A244,GestionLignesDemande!$C$4:$C$1000,ROI_Avions!$C244)</f>
        <v>0</v>
      </c>
      <c r="Q244" s="133">
        <f>SUMIFS(GestionLignesDemande!E$4:E$1000,GestionLignesDemande!$B$4:$B$1000,ROI_Avions!$A244,GestionLignesDemande!$C$4:$C$1000,ROI_Avions!$C244)</f>
        <v>0</v>
      </c>
      <c r="R244" s="133">
        <f>SUMIFS(GestionLignesDemande!F$4:F$1000,GestionLignesDemande!$B$4:$B$1000,ROI_Avions!$A244,GestionLignesDemande!$C$4:$C$1000,ROI_Avions!$C244)</f>
        <v>0</v>
      </c>
      <c r="S244" s="133">
        <f>SUMIFS(GestionLignesDemande!G$4:G$1000,GestionLignesDemande!$B$4:$B$1000,ROI_Avions!$A244,GestionLignesDemande!$C$4:$C$1000,ROI_Avions!$C244)</f>
        <v>0</v>
      </c>
      <c r="T244" s="116"/>
      <c r="U244" s="206">
        <f t="shared" si="1"/>
        <v>602</v>
      </c>
      <c r="V244" s="206">
        <v>457</v>
      </c>
      <c r="W244" s="206">
        <v>82</v>
      </c>
      <c r="X244" s="206">
        <v>35</v>
      </c>
      <c r="Y244" s="206">
        <v>28</v>
      </c>
      <c r="Z244" s="116"/>
      <c r="AA244" s="132">
        <f t="shared" ref="AA244" si="921">AA243-V244*2</f>
        <v>-2620</v>
      </c>
      <c r="AB244" s="132">
        <f t="shared" ref="AB244" si="922">AB243-W244*2</f>
        <v>-164</v>
      </c>
      <c r="AC244" s="132">
        <f t="shared" ref="AC244" si="923">AC243-X244*2</f>
        <v>-70</v>
      </c>
      <c r="AD244" s="132">
        <f t="shared" ref="AD244" si="924">AD243-Y244*2</f>
        <v>-56</v>
      </c>
      <c r="AE244" s="116"/>
      <c r="AF244" s="26">
        <f>SUMIFS(DataPrixBillets!N$1:N$1000,DataPrixBillets!$J$1:$J$1000,ROI_Avions!$A244,DataPrixBillets!$K$1:$K$1000,ROI_Avions!$C244)</f>
        <v>0</v>
      </c>
      <c r="AG244" s="26">
        <f>SUMIFS(DataPrixBillets!O$1:O$1000,DataPrixBillets!$J$1:$J$1000,ROI_Avions!$A244,DataPrixBillets!$K$1:$K$1000,ROI_Avions!$C244)</f>
        <v>0</v>
      </c>
      <c r="AH244" s="26">
        <f>SUMIFS(DataPrixBillets!P$1:P$1000,DataPrixBillets!$J$1:$J$1000,ROI_Avions!$A244,DataPrixBillets!$K$1:$K$1000,ROI_Avions!$C244)</f>
        <v>0</v>
      </c>
      <c r="AI244" s="26">
        <f>SUMIFS(DataPrixBillets!Q$1:Q$1000,DataPrixBillets!$J$1:$J$1000,ROI_Avions!$A244,DataPrixBillets!$K$1:$K$1000,ROI_Avions!$C244)</f>
        <v>0</v>
      </c>
      <c r="AJ244" s="116"/>
      <c r="AK244" s="206">
        <f t="shared" si="897"/>
        <v>0</v>
      </c>
      <c r="AL244" s="206" t="e">
        <f t="shared" ca="1" si="898"/>
        <v>#REF!</v>
      </c>
      <c r="AM244" s="206" t="e">
        <f t="shared" ca="1" si="899"/>
        <v>#REF!</v>
      </c>
      <c r="AN244" s="206" t="e">
        <f t="shared" ca="1" si="900"/>
        <v>#REF!</v>
      </c>
      <c r="AO244" s="206" t="e">
        <f t="shared" ca="1" si="901"/>
        <v>#REF!</v>
      </c>
      <c r="AP244" s="206" t="e">
        <f t="shared" ca="1" si="902"/>
        <v>#REF!</v>
      </c>
      <c r="AQ244" s="206" t="e">
        <f t="shared" ca="1" si="903"/>
        <v>#REF!</v>
      </c>
      <c r="AR244" s="207">
        <f t="shared" ca="1" si="859"/>
        <v>0</v>
      </c>
      <c r="AS244" s="120">
        <f t="shared" ca="1" si="860"/>
        <v>0</v>
      </c>
      <c r="AT244" s="206" t="e">
        <f t="shared" ca="1" si="904"/>
        <v>#REF!</v>
      </c>
    </row>
    <row r="245" spans="1:46" s="204" customFormat="1" x14ac:dyDescent="0.3">
      <c r="A245" s="163" t="s">
        <v>725</v>
      </c>
      <c r="B245" s="164">
        <v>494238733</v>
      </c>
      <c r="C245" s="163" t="s">
        <v>1129</v>
      </c>
      <c r="D245" s="145" t="str">
        <f t="shared" si="746"/>
        <v>SDD/DEN</v>
      </c>
      <c r="E245" s="164">
        <v>50114446</v>
      </c>
      <c r="F245" s="165" t="str">
        <f>"A380-A-"&amp;A245&amp;"-"&amp;C245&amp;"-"&amp;7</f>
        <v>A380-A-SDD-DEN-7</v>
      </c>
      <c r="G245" s="164">
        <v>362700000</v>
      </c>
      <c r="H245" s="116"/>
      <c r="I245" s="206">
        <v>0</v>
      </c>
      <c r="J245" s="206">
        <v>0</v>
      </c>
      <c r="K245" s="206">
        <v>0</v>
      </c>
      <c r="L245" s="53"/>
      <c r="M245" s="53"/>
      <c r="N245" s="116"/>
      <c r="O245" s="140"/>
      <c r="P245" s="133">
        <f>SUMIFS(GestionLignesDemande!D$4:D$1000,GestionLignesDemande!$B$4:$B$1000,ROI_Avions!$A245,GestionLignesDemande!$C$4:$C$1000,ROI_Avions!$C245)</f>
        <v>0</v>
      </c>
      <c r="Q245" s="133">
        <f>SUMIFS(GestionLignesDemande!E$4:E$1000,GestionLignesDemande!$B$4:$B$1000,ROI_Avions!$A245,GestionLignesDemande!$C$4:$C$1000,ROI_Avions!$C245)</f>
        <v>0</v>
      </c>
      <c r="R245" s="133">
        <f>SUMIFS(GestionLignesDemande!F$4:F$1000,GestionLignesDemande!$B$4:$B$1000,ROI_Avions!$A245,GestionLignesDemande!$C$4:$C$1000,ROI_Avions!$C245)</f>
        <v>0</v>
      </c>
      <c r="S245" s="133">
        <f>SUMIFS(GestionLignesDemande!G$4:G$1000,GestionLignesDemande!$B$4:$B$1000,ROI_Avions!$A245,GestionLignesDemande!$C$4:$C$1000,ROI_Avions!$C245)</f>
        <v>0</v>
      </c>
      <c r="T245" s="116"/>
      <c r="U245" s="206">
        <f t="shared" si="1"/>
        <v>853</v>
      </c>
      <c r="V245" s="206">
        <v>853</v>
      </c>
      <c r="W245" s="206">
        <v>0</v>
      </c>
      <c r="X245" s="206">
        <v>0</v>
      </c>
      <c r="Y245" s="206">
        <v>0</v>
      </c>
      <c r="Z245" s="116"/>
      <c r="AA245" s="132">
        <f t="shared" ref="AA245" si="925">P245-(V245*2)</f>
        <v>-1706</v>
      </c>
      <c r="AB245" s="132">
        <f t="shared" ref="AB245" si="926">Q245-(W245*2)</f>
        <v>0</v>
      </c>
      <c r="AC245" s="132">
        <f t="shared" ref="AC245" si="927">R245-(X245*2)</f>
        <v>0</v>
      </c>
      <c r="AD245" s="132">
        <f t="shared" ref="AD245" si="928">S245-(Y245*2)</f>
        <v>0</v>
      </c>
      <c r="AE245" s="116"/>
      <c r="AF245" s="26">
        <f>SUMIFS(DataPrixBillets!N$1:N$1000,DataPrixBillets!$J$1:$J$1000,ROI_Avions!$A245,DataPrixBillets!$K$1:$K$1000,ROI_Avions!$C245)</f>
        <v>0</v>
      </c>
      <c r="AG245" s="26">
        <f>SUMIFS(DataPrixBillets!O$1:O$1000,DataPrixBillets!$J$1:$J$1000,ROI_Avions!$A245,DataPrixBillets!$K$1:$K$1000,ROI_Avions!$C245)</f>
        <v>0</v>
      </c>
      <c r="AH245" s="26">
        <f>SUMIFS(DataPrixBillets!P$1:P$1000,DataPrixBillets!$J$1:$J$1000,ROI_Avions!$A245,DataPrixBillets!$K$1:$K$1000,ROI_Avions!$C245)</f>
        <v>0</v>
      </c>
      <c r="AI245" s="26">
        <f>SUMIFS(DataPrixBillets!Q$1:Q$1000,DataPrixBillets!$J$1:$J$1000,ROI_Avions!$A245,DataPrixBillets!$K$1:$K$1000,ROI_Avions!$C245)</f>
        <v>0</v>
      </c>
      <c r="AJ245" s="116"/>
      <c r="AK245" s="206">
        <f t="shared" si="897"/>
        <v>0</v>
      </c>
      <c r="AL245" s="206" t="e">
        <f t="shared" ca="1" si="898"/>
        <v>#REF!</v>
      </c>
      <c r="AM245" s="206" t="e">
        <f t="shared" ca="1" si="899"/>
        <v>#REF!</v>
      </c>
      <c r="AN245" s="206" t="e">
        <f t="shared" ca="1" si="900"/>
        <v>#REF!</v>
      </c>
      <c r="AO245" s="206" t="e">
        <f t="shared" ca="1" si="901"/>
        <v>#REF!</v>
      </c>
      <c r="AP245" s="206" t="e">
        <f t="shared" ca="1" si="902"/>
        <v>#REF!</v>
      </c>
      <c r="AQ245" s="206" t="e">
        <f t="shared" ca="1" si="903"/>
        <v>#REF!</v>
      </c>
      <c r="AR245" s="207">
        <f t="shared" ca="1" si="859"/>
        <v>0</v>
      </c>
      <c r="AS245" s="120">
        <f t="shared" ca="1" si="860"/>
        <v>0</v>
      </c>
      <c r="AT245" s="206" t="e">
        <f t="shared" ca="1" si="904"/>
        <v>#REF!</v>
      </c>
    </row>
    <row r="246" spans="1:46" s="204" customFormat="1" x14ac:dyDescent="0.3">
      <c r="A246" s="163" t="s">
        <v>725</v>
      </c>
      <c r="B246" s="164">
        <v>494238733</v>
      </c>
      <c r="C246" s="163" t="s">
        <v>1129</v>
      </c>
      <c r="D246" s="145" t="str">
        <f t="shared" si="746"/>
        <v>SDD/DEN</v>
      </c>
      <c r="E246" s="164">
        <v>50114446</v>
      </c>
      <c r="F246" s="165" t="str">
        <f>"A380-A-"&amp;A246&amp;"-"&amp;C246&amp;"-"&amp;8</f>
        <v>A380-A-SDD-DEN-8</v>
      </c>
      <c r="G246" s="164">
        <v>362700000</v>
      </c>
      <c r="H246" s="116"/>
      <c r="I246" s="206">
        <v>0</v>
      </c>
      <c r="J246" s="206">
        <v>0</v>
      </c>
      <c r="K246" s="206">
        <v>0</v>
      </c>
      <c r="L246" s="53"/>
      <c r="M246" s="53"/>
      <c r="N246" s="116"/>
      <c r="O246" s="140"/>
      <c r="P246" s="133">
        <f>SUMIFS(GestionLignesDemande!D$4:D$1000,GestionLignesDemande!$B$4:$B$1000,ROI_Avions!$A246,GestionLignesDemande!$C$4:$C$1000,ROI_Avions!$C246)</f>
        <v>0</v>
      </c>
      <c r="Q246" s="133">
        <f>SUMIFS(GestionLignesDemande!E$4:E$1000,GestionLignesDemande!$B$4:$B$1000,ROI_Avions!$A246,GestionLignesDemande!$C$4:$C$1000,ROI_Avions!$C246)</f>
        <v>0</v>
      </c>
      <c r="R246" s="133">
        <f>SUMIFS(GestionLignesDemande!F$4:F$1000,GestionLignesDemande!$B$4:$B$1000,ROI_Avions!$A246,GestionLignesDemande!$C$4:$C$1000,ROI_Avions!$C246)</f>
        <v>0</v>
      </c>
      <c r="S246" s="133">
        <f>SUMIFS(GestionLignesDemande!G$4:G$1000,GestionLignesDemande!$B$4:$B$1000,ROI_Avions!$A246,GestionLignesDemande!$C$4:$C$1000,ROI_Avions!$C246)</f>
        <v>0</v>
      </c>
      <c r="T246" s="116"/>
      <c r="U246" s="206">
        <f t="shared" si="1"/>
        <v>602</v>
      </c>
      <c r="V246" s="206">
        <v>457</v>
      </c>
      <c r="W246" s="206">
        <v>82</v>
      </c>
      <c r="X246" s="206">
        <v>35</v>
      </c>
      <c r="Y246" s="206">
        <v>28</v>
      </c>
      <c r="Z246" s="116"/>
      <c r="AA246" s="132">
        <f t="shared" ref="AA246" si="929">AA245-V246*2</f>
        <v>-2620</v>
      </c>
      <c r="AB246" s="132">
        <f t="shared" ref="AB246" si="930">AB245-W246*2</f>
        <v>-164</v>
      </c>
      <c r="AC246" s="132">
        <f t="shared" ref="AC246" si="931">AC245-X246*2</f>
        <v>-70</v>
      </c>
      <c r="AD246" s="132">
        <f t="shared" ref="AD246" si="932">AD245-Y246*2</f>
        <v>-56</v>
      </c>
      <c r="AE246" s="116"/>
      <c r="AF246" s="26">
        <f>SUMIFS(DataPrixBillets!N$1:N$1000,DataPrixBillets!$J$1:$J$1000,ROI_Avions!$A246,DataPrixBillets!$K$1:$K$1000,ROI_Avions!$C246)</f>
        <v>0</v>
      </c>
      <c r="AG246" s="26">
        <f>SUMIFS(DataPrixBillets!O$1:O$1000,DataPrixBillets!$J$1:$J$1000,ROI_Avions!$A246,DataPrixBillets!$K$1:$K$1000,ROI_Avions!$C246)</f>
        <v>0</v>
      </c>
      <c r="AH246" s="26">
        <f>SUMIFS(DataPrixBillets!P$1:P$1000,DataPrixBillets!$J$1:$J$1000,ROI_Avions!$A246,DataPrixBillets!$K$1:$K$1000,ROI_Avions!$C246)</f>
        <v>0</v>
      </c>
      <c r="AI246" s="26">
        <f>SUMIFS(DataPrixBillets!Q$1:Q$1000,DataPrixBillets!$J$1:$J$1000,ROI_Avions!$A246,DataPrixBillets!$K$1:$K$1000,ROI_Avions!$C246)</f>
        <v>0</v>
      </c>
      <c r="AJ246" s="116"/>
      <c r="AK246" s="206">
        <f t="shared" si="897"/>
        <v>0</v>
      </c>
      <c r="AL246" s="206" t="e">
        <f t="shared" ca="1" si="898"/>
        <v>#REF!</v>
      </c>
      <c r="AM246" s="206" t="e">
        <f t="shared" ca="1" si="899"/>
        <v>#REF!</v>
      </c>
      <c r="AN246" s="206" t="e">
        <f t="shared" ca="1" si="900"/>
        <v>#REF!</v>
      </c>
      <c r="AO246" s="206" t="e">
        <f t="shared" ca="1" si="901"/>
        <v>#REF!</v>
      </c>
      <c r="AP246" s="206" t="e">
        <f t="shared" ca="1" si="902"/>
        <v>#REF!</v>
      </c>
      <c r="AQ246" s="206" t="e">
        <f t="shared" ca="1" si="903"/>
        <v>#REF!</v>
      </c>
      <c r="AR246" s="207">
        <f t="shared" ca="1" si="859"/>
        <v>0</v>
      </c>
      <c r="AS246" s="120">
        <f t="shared" ca="1" si="860"/>
        <v>0</v>
      </c>
      <c r="AT246" s="206" t="e">
        <f t="shared" ca="1" si="904"/>
        <v>#REF!</v>
      </c>
    </row>
    <row r="247" spans="1:46" s="204" customFormat="1" x14ac:dyDescent="0.3">
      <c r="A247" s="163" t="s">
        <v>725</v>
      </c>
      <c r="B247" s="164">
        <v>494238733</v>
      </c>
      <c r="C247" s="163" t="s">
        <v>341</v>
      </c>
      <c r="D247" s="145" t="str">
        <f t="shared" si="746"/>
        <v>SDD/JFK</v>
      </c>
      <c r="E247" s="164">
        <v>22399198</v>
      </c>
      <c r="F247" s="165" t="str">
        <f>"A380-A-"&amp;A247&amp;"-"&amp;C247&amp;"-"&amp;9</f>
        <v>A380-A-SDD-JFK-9</v>
      </c>
      <c r="G247" s="164">
        <v>362700000</v>
      </c>
      <c r="H247" s="116"/>
      <c r="I247" s="206">
        <v>0</v>
      </c>
      <c r="J247" s="206">
        <v>0</v>
      </c>
      <c r="K247" s="206">
        <v>0</v>
      </c>
      <c r="L247" s="53"/>
      <c r="M247" s="53"/>
      <c r="N247" s="116"/>
      <c r="O247" s="140"/>
      <c r="P247" s="133">
        <f>SUMIFS(GestionLignesDemande!D$4:D$1000,GestionLignesDemande!$B$4:$B$1000,ROI_Avions!$A247,GestionLignesDemande!$C$4:$C$1000,ROI_Avions!$C247)</f>
        <v>0</v>
      </c>
      <c r="Q247" s="133">
        <f>SUMIFS(GestionLignesDemande!E$4:E$1000,GestionLignesDemande!$B$4:$B$1000,ROI_Avions!$A247,GestionLignesDemande!$C$4:$C$1000,ROI_Avions!$C247)</f>
        <v>0</v>
      </c>
      <c r="R247" s="133">
        <f>SUMIFS(GestionLignesDemande!F$4:F$1000,GestionLignesDemande!$B$4:$B$1000,ROI_Avions!$A247,GestionLignesDemande!$C$4:$C$1000,ROI_Avions!$C247)</f>
        <v>0</v>
      </c>
      <c r="S247" s="133">
        <f>SUMIFS(GestionLignesDemande!G$4:G$1000,GestionLignesDemande!$B$4:$B$1000,ROI_Avions!$A247,GestionLignesDemande!$C$4:$C$1000,ROI_Avions!$C247)</f>
        <v>0</v>
      </c>
      <c r="T247" s="116"/>
      <c r="U247" s="206">
        <f t="shared" si="1"/>
        <v>853</v>
      </c>
      <c r="V247" s="206">
        <v>853</v>
      </c>
      <c r="W247" s="206">
        <v>0</v>
      </c>
      <c r="X247" s="206">
        <v>0</v>
      </c>
      <c r="Y247" s="206">
        <v>0</v>
      </c>
      <c r="Z247" s="116"/>
      <c r="AA247" s="132">
        <f t="shared" ref="AA247" si="933">P247-(V247*2)</f>
        <v>-1706</v>
      </c>
      <c r="AB247" s="132">
        <f t="shared" ref="AB247" si="934">Q247-(W247*2)</f>
        <v>0</v>
      </c>
      <c r="AC247" s="132">
        <f t="shared" ref="AC247" si="935">R247-(X247*2)</f>
        <v>0</v>
      </c>
      <c r="AD247" s="132">
        <f t="shared" ref="AD247" si="936">S247-(Y247*2)</f>
        <v>0</v>
      </c>
      <c r="AE247" s="116"/>
      <c r="AF247" s="26">
        <f>SUMIFS(DataPrixBillets!N$1:N$1000,DataPrixBillets!$J$1:$J$1000,ROI_Avions!$A247,DataPrixBillets!$K$1:$K$1000,ROI_Avions!$C247)</f>
        <v>0</v>
      </c>
      <c r="AG247" s="26">
        <f>SUMIFS(DataPrixBillets!O$1:O$1000,DataPrixBillets!$J$1:$J$1000,ROI_Avions!$A247,DataPrixBillets!$K$1:$K$1000,ROI_Avions!$C247)</f>
        <v>0</v>
      </c>
      <c r="AH247" s="26">
        <f>SUMIFS(DataPrixBillets!P$1:P$1000,DataPrixBillets!$J$1:$J$1000,ROI_Avions!$A247,DataPrixBillets!$K$1:$K$1000,ROI_Avions!$C247)</f>
        <v>0</v>
      </c>
      <c r="AI247" s="26">
        <f>SUMIFS(DataPrixBillets!Q$1:Q$1000,DataPrixBillets!$J$1:$J$1000,ROI_Avions!$A247,DataPrixBillets!$K$1:$K$1000,ROI_Avions!$C247)</f>
        <v>0</v>
      </c>
      <c r="AJ247" s="116"/>
      <c r="AK247" s="206">
        <f t="shared" si="897"/>
        <v>0</v>
      </c>
      <c r="AL247" s="206" t="e">
        <f t="shared" ca="1" si="898"/>
        <v>#REF!</v>
      </c>
      <c r="AM247" s="206" t="e">
        <f t="shared" ca="1" si="899"/>
        <v>#REF!</v>
      </c>
      <c r="AN247" s="206" t="e">
        <f t="shared" ca="1" si="900"/>
        <v>#REF!</v>
      </c>
      <c r="AO247" s="206" t="e">
        <f t="shared" ca="1" si="901"/>
        <v>#REF!</v>
      </c>
      <c r="AP247" s="206" t="e">
        <f t="shared" ca="1" si="902"/>
        <v>#REF!</v>
      </c>
      <c r="AQ247" s="206" t="e">
        <f t="shared" ca="1" si="903"/>
        <v>#REF!</v>
      </c>
      <c r="AR247" s="207">
        <f t="shared" ca="1" si="859"/>
        <v>0</v>
      </c>
      <c r="AS247" s="120">
        <f t="shared" ca="1" si="860"/>
        <v>0</v>
      </c>
      <c r="AT247" s="206" t="e">
        <f t="shared" ca="1" si="904"/>
        <v>#REF!</v>
      </c>
    </row>
    <row r="248" spans="1:46" s="204" customFormat="1" x14ac:dyDescent="0.3">
      <c r="A248" s="163" t="s">
        <v>725</v>
      </c>
      <c r="B248" s="164">
        <v>494238733</v>
      </c>
      <c r="C248" s="163" t="s">
        <v>341</v>
      </c>
      <c r="D248" s="145" t="str">
        <f t="shared" si="746"/>
        <v>SDD/JFK</v>
      </c>
      <c r="E248" s="164">
        <v>22399198</v>
      </c>
      <c r="F248" s="165" t="str">
        <f>"A380-A-"&amp;A248&amp;"-"&amp;C248&amp;"-"&amp;10</f>
        <v>A380-A-SDD-JFK-10</v>
      </c>
      <c r="G248" s="164">
        <v>362700000</v>
      </c>
      <c r="H248" s="116"/>
      <c r="I248" s="206">
        <v>0</v>
      </c>
      <c r="J248" s="206">
        <v>0</v>
      </c>
      <c r="K248" s="206">
        <v>0</v>
      </c>
      <c r="L248" s="53"/>
      <c r="M248" s="53"/>
      <c r="N248" s="116"/>
      <c r="O248" s="140"/>
      <c r="P248" s="133">
        <f>SUMIFS(GestionLignesDemande!D$4:D$1000,GestionLignesDemande!$B$4:$B$1000,ROI_Avions!$A248,GestionLignesDemande!$C$4:$C$1000,ROI_Avions!$C248)</f>
        <v>0</v>
      </c>
      <c r="Q248" s="133">
        <f>SUMIFS(GestionLignesDemande!E$4:E$1000,GestionLignesDemande!$B$4:$B$1000,ROI_Avions!$A248,GestionLignesDemande!$C$4:$C$1000,ROI_Avions!$C248)</f>
        <v>0</v>
      </c>
      <c r="R248" s="133">
        <f>SUMIFS(GestionLignesDemande!F$4:F$1000,GestionLignesDemande!$B$4:$B$1000,ROI_Avions!$A248,GestionLignesDemande!$C$4:$C$1000,ROI_Avions!$C248)</f>
        <v>0</v>
      </c>
      <c r="S248" s="133">
        <f>SUMIFS(GestionLignesDemande!G$4:G$1000,GestionLignesDemande!$B$4:$B$1000,ROI_Avions!$A248,GestionLignesDemande!$C$4:$C$1000,ROI_Avions!$C248)</f>
        <v>0</v>
      </c>
      <c r="T248" s="116"/>
      <c r="U248" s="206">
        <f t="shared" si="1"/>
        <v>602</v>
      </c>
      <c r="V248" s="206">
        <v>457</v>
      </c>
      <c r="W248" s="206">
        <v>82</v>
      </c>
      <c r="X248" s="206">
        <v>35</v>
      </c>
      <c r="Y248" s="206">
        <v>28</v>
      </c>
      <c r="Z248" s="116"/>
      <c r="AA248" s="132">
        <f t="shared" ref="AA248" si="937">AA247-V248*2</f>
        <v>-2620</v>
      </c>
      <c r="AB248" s="132">
        <f t="shared" ref="AB248" si="938">AB247-W248*2</f>
        <v>-164</v>
      </c>
      <c r="AC248" s="132">
        <f t="shared" ref="AC248" si="939">AC247-X248*2</f>
        <v>-70</v>
      </c>
      <c r="AD248" s="132">
        <f t="shared" ref="AD248" si="940">AD247-Y248*2</f>
        <v>-56</v>
      </c>
      <c r="AE248" s="116"/>
      <c r="AF248" s="26">
        <f>SUMIFS(DataPrixBillets!N$1:N$1000,DataPrixBillets!$J$1:$J$1000,ROI_Avions!$A248,DataPrixBillets!$K$1:$K$1000,ROI_Avions!$C248)</f>
        <v>0</v>
      </c>
      <c r="AG248" s="26">
        <f>SUMIFS(DataPrixBillets!O$1:O$1000,DataPrixBillets!$J$1:$J$1000,ROI_Avions!$A248,DataPrixBillets!$K$1:$K$1000,ROI_Avions!$C248)</f>
        <v>0</v>
      </c>
      <c r="AH248" s="26">
        <f>SUMIFS(DataPrixBillets!P$1:P$1000,DataPrixBillets!$J$1:$J$1000,ROI_Avions!$A248,DataPrixBillets!$K$1:$K$1000,ROI_Avions!$C248)</f>
        <v>0</v>
      </c>
      <c r="AI248" s="26">
        <f>SUMIFS(DataPrixBillets!Q$1:Q$1000,DataPrixBillets!$J$1:$J$1000,ROI_Avions!$A248,DataPrixBillets!$K$1:$K$1000,ROI_Avions!$C248)</f>
        <v>0</v>
      </c>
      <c r="AJ248" s="116"/>
      <c r="AK248" s="206">
        <f t="shared" si="897"/>
        <v>0</v>
      </c>
      <c r="AL248" s="206" t="e">
        <f t="shared" ca="1" si="898"/>
        <v>#REF!</v>
      </c>
      <c r="AM248" s="206" t="e">
        <f t="shared" ca="1" si="899"/>
        <v>#REF!</v>
      </c>
      <c r="AN248" s="206" t="e">
        <f t="shared" ca="1" si="900"/>
        <v>#REF!</v>
      </c>
      <c r="AO248" s="206" t="e">
        <f t="shared" ca="1" si="901"/>
        <v>#REF!</v>
      </c>
      <c r="AP248" s="206" t="e">
        <f t="shared" ca="1" si="902"/>
        <v>#REF!</v>
      </c>
      <c r="AQ248" s="206" t="e">
        <f t="shared" ca="1" si="903"/>
        <v>#REF!</v>
      </c>
      <c r="AR248" s="207">
        <f t="shared" ca="1" si="859"/>
        <v>0</v>
      </c>
      <c r="AS248" s="120">
        <f t="shared" ca="1" si="860"/>
        <v>0</v>
      </c>
      <c r="AT248" s="206" t="e">
        <f t="shared" ca="1" si="904"/>
        <v>#REF!</v>
      </c>
    </row>
    <row r="249" spans="1:46" s="204" customFormat="1" x14ac:dyDescent="0.3">
      <c r="A249" s="163" t="s">
        <v>725</v>
      </c>
      <c r="B249" s="164">
        <v>494238733</v>
      </c>
      <c r="C249" s="163" t="s">
        <v>1130</v>
      </c>
      <c r="D249" s="145" t="str">
        <f t="shared" si="746"/>
        <v>SDD/CEK</v>
      </c>
      <c r="E249" s="164">
        <v>17394570</v>
      </c>
      <c r="F249" s="165" t="str">
        <f>"A380-A-"&amp;A249&amp;"-"&amp;C249&amp;"-"&amp;11</f>
        <v>A380-A-SDD-CEK-11</v>
      </c>
      <c r="G249" s="164">
        <v>362700000</v>
      </c>
      <c r="H249" s="116"/>
      <c r="I249" s="206">
        <v>0</v>
      </c>
      <c r="J249" s="206">
        <v>0</v>
      </c>
      <c r="K249" s="206">
        <v>0</v>
      </c>
      <c r="L249" s="53"/>
      <c r="M249" s="53"/>
      <c r="N249" s="116"/>
      <c r="O249" s="140"/>
      <c r="P249" s="133">
        <f>SUMIFS(GestionLignesDemande!D$4:D$1000,GestionLignesDemande!$B$4:$B$1000,ROI_Avions!$A249,GestionLignesDemande!$C$4:$C$1000,ROI_Avions!$C249)</f>
        <v>0</v>
      </c>
      <c r="Q249" s="133">
        <f>SUMIFS(GestionLignesDemande!E$4:E$1000,GestionLignesDemande!$B$4:$B$1000,ROI_Avions!$A249,GestionLignesDemande!$C$4:$C$1000,ROI_Avions!$C249)</f>
        <v>0</v>
      </c>
      <c r="R249" s="133">
        <f>SUMIFS(GestionLignesDemande!F$4:F$1000,GestionLignesDemande!$B$4:$B$1000,ROI_Avions!$A249,GestionLignesDemande!$C$4:$C$1000,ROI_Avions!$C249)</f>
        <v>0</v>
      </c>
      <c r="S249" s="133">
        <f>SUMIFS(GestionLignesDemande!G$4:G$1000,GestionLignesDemande!$B$4:$B$1000,ROI_Avions!$A249,GestionLignesDemande!$C$4:$C$1000,ROI_Avions!$C249)</f>
        <v>0</v>
      </c>
      <c r="T249" s="116"/>
      <c r="U249" s="206">
        <f t="shared" si="1"/>
        <v>602</v>
      </c>
      <c r="V249" s="206">
        <v>457</v>
      </c>
      <c r="W249" s="206">
        <v>82</v>
      </c>
      <c r="X249" s="206">
        <v>35</v>
      </c>
      <c r="Y249" s="206">
        <v>28</v>
      </c>
      <c r="Z249" s="116"/>
      <c r="AA249" s="132">
        <f t="shared" ref="AA249" si="941">P249-(V249*2)</f>
        <v>-914</v>
      </c>
      <c r="AB249" s="132">
        <f t="shared" ref="AB249" si="942">Q249-(W249*2)</f>
        <v>-164</v>
      </c>
      <c r="AC249" s="132">
        <f t="shared" ref="AC249" si="943">R249-(X249*2)</f>
        <v>-70</v>
      </c>
      <c r="AD249" s="132">
        <f t="shared" ref="AD249" si="944">S249-(Y249*2)</f>
        <v>-56</v>
      </c>
      <c r="AE249" s="116"/>
      <c r="AF249" s="26">
        <f>SUMIFS(DataPrixBillets!N$1:N$1000,DataPrixBillets!$J$1:$J$1000,ROI_Avions!$A249,DataPrixBillets!$K$1:$K$1000,ROI_Avions!$C249)</f>
        <v>0</v>
      </c>
      <c r="AG249" s="26">
        <f>SUMIFS(DataPrixBillets!O$1:O$1000,DataPrixBillets!$J$1:$J$1000,ROI_Avions!$A249,DataPrixBillets!$K$1:$K$1000,ROI_Avions!$C249)</f>
        <v>0</v>
      </c>
      <c r="AH249" s="26">
        <f>SUMIFS(DataPrixBillets!P$1:P$1000,DataPrixBillets!$J$1:$J$1000,ROI_Avions!$A249,DataPrixBillets!$K$1:$K$1000,ROI_Avions!$C249)</f>
        <v>0</v>
      </c>
      <c r="AI249" s="26">
        <f>SUMIFS(DataPrixBillets!Q$1:Q$1000,DataPrixBillets!$J$1:$J$1000,ROI_Avions!$A249,DataPrixBillets!$K$1:$K$1000,ROI_Avions!$C249)</f>
        <v>0</v>
      </c>
      <c r="AJ249" s="116"/>
      <c r="AK249" s="206">
        <f t="shared" si="897"/>
        <v>0</v>
      </c>
      <c r="AL249" s="206" t="e">
        <f t="shared" ca="1" si="898"/>
        <v>#REF!</v>
      </c>
      <c r="AM249" s="206" t="e">
        <f t="shared" ca="1" si="899"/>
        <v>#REF!</v>
      </c>
      <c r="AN249" s="206" t="e">
        <f t="shared" ca="1" si="900"/>
        <v>#REF!</v>
      </c>
      <c r="AO249" s="206" t="e">
        <f t="shared" ca="1" si="901"/>
        <v>#REF!</v>
      </c>
      <c r="AP249" s="206" t="e">
        <f t="shared" ca="1" si="902"/>
        <v>#REF!</v>
      </c>
      <c r="AQ249" s="206" t="e">
        <f t="shared" ca="1" si="903"/>
        <v>#REF!</v>
      </c>
      <c r="AR249" s="207">
        <f t="shared" ca="1" si="859"/>
        <v>0</v>
      </c>
      <c r="AS249" s="120">
        <f t="shared" ca="1" si="860"/>
        <v>0</v>
      </c>
      <c r="AT249" s="206" t="e">
        <f t="shared" ca="1" si="904"/>
        <v>#REF!</v>
      </c>
    </row>
    <row r="250" spans="1:46" s="204" customFormat="1" x14ac:dyDescent="0.3">
      <c r="A250" s="163" t="s">
        <v>725</v>
      </c>
      <c r="B250" s="164">
        <v>494238733</v>
      </c>
      <c r="C250" s="163" t="s">
        <v>1130</v>
      </c>
      <c r="D250" s="145" t="str">
        <f t="shared" si="746"/>
        <v>SDD/CEK</v>
      </c>
      <c r="E250" s="164">
        <v>17394570</v>
      </c>
      <c r="F250" s="165" t="str">
        <f>"A380-A-"&amp;A250&amp;"-"&amp;C250&amp;"-"&amp;12</f>
        <v>A380-A-SDD-CEK-12</v>
      </c>
      <c r="G250" s="164">
        <v>362700000</v>
      </c>
      <c r="H250" s="116"/>
      <c r="I250" s="206">
        <v>0</v>
      </c>
      <c r="J250" s="206">
        <v>0</v>
      </c>
      <c r="K250" s="206">
        <v>0</v>
      </c>
      <c r="L250" s="53"/>
      <c r="M250" s="53"/>
      <c r="N250" s="116"/>
      <c r="O250" s="140"/>
      <c r="P250" s="133">
        <f>SUMIFS(GestionLignesDemande!D$4:D$1000,GestionLignesDemande!$B$4:$B$1000,ROI_Avions!$A250,GestionLignesDemande!$C$4:$C$1000,ROI_Avions!$C250)</f>
        <v>0</v>
      </c>
      <c r="Q250" s="133">
        <f>SUMIFS(GestionLignesDemande!E$4:E$1000,GestionLignesDemande!$B$4:$B$1000,ROI_Avions!$A250,GestionLignesDemande!$C$4:$C$1000,ROI_Avions!$C250)</f>
        <v>0</v>
      </c>
      <c r="R250" s="133">
        <f>SUMIFS(GestionLignesDemande!F$4:F$1000,GestionLignesDemande!$B$4:$B$1000,ROI_Avions!$A250,GestionLignesDemande!$C$4:$C$1000,ROI_Avions!$C250)</f>
        <v>0</v>
      </c>
      <c r="S250" s="133">
        <f>SUMIFS(GestionLignesDemande!G$4:G$1000,GestionLignesDemande!$B$4:$B$1000,ROI_Avions!$A250,GestionLignesDemande!$C$4:$C$1000,ROI_Avions!$C250)</f>
        <v>0</v>
      </c>
      <c r="T250" s="116"/>
      <c r="U250" s="206">
        <f t="shared" si="1"/>
        <v>602</v>
      </c>
      <c r="V250" s="206">
        <v>457</v>
      </c>
      <c r="W250" s="206">
        <v>82</v>
      </c>
      <c r="X250" s="206">
        <v>35</v>
      </c>
      <c r="Y250" s="206">
        <v>28</v>
      </c>
      <c r="Z250" s="116"/>
      <c r="AA250" s="132">
        <f t="shared" ref="AA250" si="945">AA249-V250*2</f>
        <v>-1828</v>
      </c>
      <c r="AB250" s="132">
        <f t="shared" ref="AB250" si="946">AB249-W250*2</f>
        <v>-328</v>
      </c>
      <c r="AC250" s="132">
        <f t="shared" ref="AC250" si="947">AC249-X250*2</f>
        <v>-140</v>
      </c>
      <c r="AD250" s="132">
        <f t="shared" ref="AD250" si="948">AD249-Y250*2</f>
        <v>-112</v>
      </c>
      <c r="AE250" s="116"/>
      <c r="AF250" s="26">
        <f>SUMIFS(DataPrixBillets!N$1:N$1000,DataPrixBillets!$J$1:$J$1000,ROI_Avions!$A250,DataPrixBillets!$K$1:$K$1000,ROI_Avions!$C250)</f>
        <v>0</v>
      </c>
      <c r="AG250" s="26">
        <f>SUMIFS(DataPrixBillets!O$1:O$1000,DataPrixBillets!$J$1:$J$1000,ROI_Avions!$A250,DataPrixBillets!$K$1:$K$1000,ROI_Avions!$C250)</f>
        <v>0</v>
      </c>
      <c r="AH250" s="26">
        <f>SUMIFS(DataPrixBillets!P$1:P$1000,DataPrixBillets!$J$1:$J$1000,ROI_Avions!$A250,DataPrixBillets!$K$1:$K$1000,ROI_Avions!$C250)</f>
        <v>0</v>
      </c>
      <c r="AI250" s="26">
        <f>SUMIFS(DataPrixBillets!Q$1:Q$1000,DataPrixBillets!$J$1:$J$1000,ROI_Avions!$A250,DataPrixBillets!$K$1:$K$1000,ROI_Avions!$C250)</f>
        <v>0</v>
      </c>
      <c r="AJ250" s="116"/>
      <c r="AK250" s="206">
        <f t="shared" si="897"/>
        <v>0</v>
      </c>
      <c r="AL250" s="206" t="e">
        <f t="shared" ca="1" si="898"/>
        <v>#REF!</v>
      </c>
      <c r="AM250" s="206" t="e">
        <f t="shared" ca="1" si="899"/>
        <v>#REF!</v>
      </c>
      <c r="AN250" s="206" t="e">
        <f t="shared" ca="1" si="900"/>
        <v>#REF!</v>
      </c>
      <c r="AO250" s="206" t="e">
        <f t="shared" ca="1" si="901"/>
        <v>#REF!</v>
      </c>
      <c r="AP250" s="206" t="e">
        <f t="shared" ca="1" si="902"/>
        <v>#REF!</v>
      </c>
      <c r="AQ250" s="206" t="e">
        <f t="shared" ca="1" si="903"/>
        <v>#REF!</v>
      </c>
      <c r="AR250" s="207">
        <f t="shared" ca="1" si="859"/>
        <v>0</v>
      </c>
      <c r="AS250" s="120">
        <f t="shared" ca="1" si="860"/>
        <v>0</v>
      </c>
      <c r="AT250" s="206" t="e">
        <f t="shared" ca="1" si="904"/>
        <v>#REF!</v>
      </c>
    </row>
    <row r="251" spans="1:46" s="204" customFormat="1" x14ac:dyDescent="0.3">
      <c r="A251" s="163" t="s">
        <v>725</v>
      </c>
      <c r="B251" s="164">
        <v>494238733</v>
      </c>
      <c r="C251" s="163" t="s">
        <v>1130</v>
      </c>
      <c r="D251" s="145" t="str">
        <f t="shared" si="746"/>
        <v>SDD/CEK</v>
      </c>
      <c r="E251" s="164">
        <v>17394570</v>
      </c>
      <c r="F251" s="165" t="str">
        <f>"A380-A-"&amp;A251&amp;"-"&amp;C251&amp;"-"&amp;13</f>
        <v>A380-A-SDD-CEK-13</v>
      </c>
      <c r="G251" s="164">
        <v>362700000</v>
      </c>
      <c r="H251" s="116"/>
      <c r="I251" s="206">
        <v>0</v>
      </c>
      <c r="J251" s="206">
        <v>0</v>
      </c>
      <c r="K251" s="206">
        <v>0</v>
      </c>
      <c r="L251" s="53"/>
      <c r="M251" s="53"/>
      <c r="N251" s="116"/>
      <c r="O251" s="140"/>
      <c r="P251" s="133">
        <f>SUMIFS(GestionLignesDemande!D$4:D$1000,GestionLignesDemande!$B$4:$B$1000,ROI_Avions!$A251,GestionLignesDemande!$C$4:$C$1000,ROI_Avions!$C251)</f>
        <v>0</v>
      </c>
      <c r="Q251" s="133">
        <f>SUMIFS(GestionLignesDemande!E$4:E$1000,GestionLignesDemande!$B$4:$B$1000,ROI_Avions!$A251,GestionLignesDemande!$C$4:$C$1000,ROI_Avions!$C251)</f>
        <v>0</v>
      </c>
      <c r="R251" s="133">
        <f>SUMIFS(GestionLignesDemande!F$4:F$1000,GestionLignesDemande!$B$4:$B$1000,ROI_Avions!$A251,GestionLignesDemande!$C$4:$C$1000,ROI_Avions!$C251)</f>
        <v>0</v>
      </c>
      <c r="S251" s="133">
        <f>SUMIFS(GestionLignesDemande!G$4:G$1000,GestionLignesDemande!$B$4:$B$1000,ROI_Avions!$A251,GestionLignesDemande!$C$4:$C$1000,ROI_Avions!$C251)</f>
        <v>0</v>
      </c>
      <c r="T251" s="116"/>
      <c r="U251" s="206">
        <f t="shared" si="1"/>
        <v>602</v>
      </c>
      <c r="V251" s="206">
        <v>457</v>
      </c>
      <c r="W251" s="206">
        <v>82</v>
      </c>
      <c r="X251" s="206">
        <v>35</v>
      </c>
      <c r="Y251" s="206">
        <v>28</v>
      </c>
      <c r="Z251" s="116"/>
      <c r="AA251" s="132">
        <f t="shared" ref="AA251:AA252" si="949">AA250-V251*2</f>
        <v>-2742</v>
      </c>
      <c r="AB251" s="132">
        <f t="shared" ref="AB251:AB252" si="950">AB250-W251*2</f>
        <v>-492</v>
      </c>
      <c r="AC251" s="132">
        <f t="shared" ref="AC251:AC252" si="951">AC250-X251*2</f>
        <v>-210</v>
      </c>
      <c r="AD251" s="132">
        <f t="shared" ref="AD251:AD252" si="952">AD250-Y251*2</f>
        <v>-168</v>
      </c>
      <c r="AE251" s="116"/>
      <c r="AF251" s="26">
        <f>SUMIFS(DataPrixBillets!N$1:N$1000,DataPrixBillets!$J$1:$J$1000,ROI_Avions!$A251,DataPrixBillets!$K$1:$K$1000,ROI_Avions!$C251)</f>
        <v>0</v>
      </c>
      <c r="AG251" s="26">
        <f>SUMIFS(DataPrixBillets!O$1:O$1000,DataPrixBillets!$J$1:$J$1000,ROI_Avions!$A251,DataPrixBillets!$K$1:$K$1000,ROI_Avions!$C251)</f>
        <v>0</v>
      </c>
      <c r="AH251" s="26">
        <f>SUMIFS(DataPrixBillets!P$1:P$1000,DataPrixBillets!$J$1:$J$1000,ROI_Avions!$A251,DataPrixBillets!$K$1:$K$1000,ROI_Avions!$C251)</f>
        <v>0</v>
      </c>
      <c r="AI251" s="26">
        <f>SUMIFS(DataPrixBillets!Q$1:Q$1000,DataPrixBillets!$J$1:$J$1000,ROI_Avions!$A251,DataPrixBillets!$K$1:$K$1000,ROI_Avions!$C251)</f>
        <v>0</v>
      </c>
      <c r="AJ251" s="116"/>
      <c r="AK251" s="206">
        <f t="shared" si="897"/>
        <v>0</v>
      </c>
      <c r="AL251" s="206" t="e">
        <f t="shared" ca="1" si="898"/>
        <v>#REF!</v>
      </c>
      <c r="AM251" s="206" t="e">
        <f t="shared" ca="1" si="899"/>
        <v>#REF!</v>
      </c>
      <c r="AN251" s="206" t="e">
        <f t="shared" ca="1" si="900"/>
        <v>#REF!</v>
      </c>
      <c r="AO251" s="206" t="e">
        <f t="shared" ca="1" si="901"/>
        <v>#REF!</v>
      </c>
      <c r="AP251" s="206" t="e">
        <f t="shared" ca="1" si="902"/>
        <v>#REF!</v>
      </c>
      <c r="AQ251" s="206" t="e">
        <f t="shared" ca="1" si="903"/>
        <v>#REF!</v>
      </c>
      <c r="AR251" s="207">
        <f t="shared" ca="1" si="859"/>
        <v>0</v>
      </c>
      <c r="AS251" s="120">
        <f t="shared" ca="1" si="860"/>
        <v>0</v>
      </c>
      <c r="AT251" s="206" t="e">
        <f t="shared" ca="1" si="904"/>
        <v>#REF!</v>
      </c>
    </row>
    <row r="252" spans="1:46" s="204" customFormat="1" x14ac:dyDescent="0.3">
      <c r="A252" s="163" t="s">
        <v>725</v>
      </c>
      <c r="B252" s="164">
        <v>494238733</v>
      </c>
      <c r="C252" s="163" t="s">
        <v>1154</v>
      </c>
      <c r="D252" s="145" t="str">
        <f t="shared" si="746"/>
        <v>SDD/CHC</v>
      </c>
      <c r="E252" s="164">
        <v>60792152</v>
      </c>
      <c r="F252" s="165" t="str">
        <f>"A380-A-"&amp;A252&amp;"-"&amp;C252&amp;"-"&amp;14</f>
        <v>A380-A-SDD-CHC-14</v>
      </c>
      <c r="G252" s="164">
        <v>362700000</v>
      </c>
      <c r="H252" s="116"/>
      <c r="I252" s="206">
        <v>0</v>
      </c>
      <c r="J252" s="206">
        <v>0</v>
      </c>
      <c r="K252" s="206">
        <v>0</v>
      </c>
      <c r="L252" s="53"/>
      <c r="M252" s="53"/>
      <c r="N252" s="116"/>
      <c r="O252" s="140"/>
      <c r="P252" s="133">
        <f>SUMIFS(GestionLignesDemande!D$4:D$1000,GestionLignesDemande!$B$4:$B$1000,ROI_Avions!$A252,GestionLignesDemande!$C$4:$C$1000,ROI_Avions!$C252)</f>
        <v>0</v>
      </c>
      <c r="Q252" s="133">
        <f>SUMIFS(GestionLignesDemande!E$4:E$1000,GestionLignesDemande!$B$4:$B$1000,ROI_Avions!$A252,GestionLignesDemande!$C$4:$C$1000,ROI_Avions!$C252)</f>
        <v>0</v>
      </c>
      <c r="R252" s="133">
        <f>SUMIFS(GestionLignesDemande!F$4:F$1000,GestionLignesDemande!$B$4:$B$1000,ROI_Avions!$A252,GestionLignesDemande!$C$4:$C$1000,ROI_Avions!$C252)</f>
        <v>0</v>
      </c>
      <c r="S252" s="133">
        <f>SUMIFS(GestionLignesDemande!G$4:G$1000,GestionLignesDemande!$B$4:$B$1000,ROI_Avions!$A252,GestionLignesDemande!$C$4:$C$1000,ROI_Avions!$C252)</f>
        <v>0</v>
      </c>
      <c r="T252" s="116"/>
      <c r="U252" s="206">
        <f t="shared" si="1"/>
        <v>602</v>
      </c>
      <c r="V252" s="206">
        <v>457</v>
      </c>
      <c r="W252" s="206">
        <v>82</v>
      </c>
      <c r="X252" s="206">
        <v>35</v>
      </c>
      <c r="Y252" s="206">
        <v>28</v>
      </c>
      <c r="Z252" s="116"/>
      <c r="AA252" s="132">
        <f t="shared" si="949"/>
        <v>-3656</v>
      </c>
      <c r="AB252" s="132">
        <f t="shared" si="950"/>
        <v>-656</v>
      </c>
      <c r="AC252" s="132">
        <f t="shared" si="951"/>
        <v>-280</v>
      </c>
      <c r="AD252" s="132">
        <f t="shared" si="952"/>
        <v>-224</v>
      </c>
      <c r="AE252" s="116"/>
      <c r="AF252" s="26">
        <f>SUMIFS(DataPrixBillets!N$1:N$1000,DataPrixBillets!$J$1:$J$1000,ROI_Avions!$A252,DataPrixBillets!$K$1:$K$1000,ROI_Avions!$C252)</f>
        <v>0</v>
      </c>
      <c r="AG252" s="26">
        <f>SUMIFS(DataPrixBillets!O$1:O$1000,DataPrixBillets!$J$1:$J$1000,ROI_Avions!$A252,DataPrixBillets!$K$1:$K$1000,ROI_Avions!$C252)</f>
        <v>0</v>
      </c>
      <c r="AH252" s="26">
        <f>SUMIFS(DataPrixBillets!P$1:P$1000,DataPrixBillets!$J$1:$J$1000,ROI_Avions!$A252,DataPrixBillets!$K$1:$K$1000,ROI_Avions!$C252)</f>
        <v>0</v>
      </c>
      <c r="AI252" s="26">
        <f>SUMIFS(DataPrixBillets!Q$1:Q$1000,DataPrixBillets!$J$1:$J$1000,ROI_Avions!$A252,DataPrixBillets!$K$1:$K$1000,ROI_Avions!$C252)</f>
        <v>0</v>
      </c>
      <c r="AJ252" s="116"/>
      <c r="AK252" s="206">
        <f t="shared" si="897"/>
        <v>0</v>
      </c>
      <c r="AL252" s="206" t="e">
        <f t="shared" ca="1" si="898"/>
        <v>#REF!</v>
      </c>
      <c r="AM252" s="206" t="e">
        <f t="shared" ca="1" si="899"/>
        <v>#REF!</v>
      </c>
      <c r="AN252" s="206" t="e">
        <f t="shared" ca="1" si="900"/>
        <v>#REF!</v>
      </c>
      <c r="AO252" s="206" t="e">
        <f t="shared" ca="1" si="901"/>
        <v>#REF!</v>
      </c>
      <c r="AP252" s="206" t="e">
        <f t="shared" ca="1" si="902"/>
        <v>#REF!</v>
      </c>
      <c r="AQ252" s="206" t="e">
        <f t="shared" ca="1" si="903"/>
        <v>#REF!</v>
      </c>
      <c r="AR252" s="207">
        <f t="shared" ca="1" si="859"/>
        <v>0</v>
      </c>
      <c r="AS252" s="120">
        <f t="shared" ca="1" si="860"/>
        <v>0</v>
      </c>
      <c r="AT252" s="206" t="e">
        <f t="shared" ca="1" si="904"/>
        <v>#REF!</v>
      </c>
    </row>
    <row r="253" spans="1:46" s="204" customFormat="1" x14ac:dyDescent="0.3">
      <c r="A253" s="163" t="s">
        <v>725</v>
      </c>
      <c r="B253" s="164">
        <v>494238734</v>
      </c>
      <c r="C253" s="163" t="s">
        <v>1154</v>
      </c>
      <c r="D253" s="145" t="str">
        <f t="shared" si="746"/>
        <v>SDD/CHC</v>
      </c>
      <c r="E253" s="164"/>
      <c r="F253" s="165" t="str">
        <f t="shared" ref="F253:F271" si="953">"A380-A-"&amp;A253&amp;"-"&amp;C253&amp;"-"&amp;14</f>
        <v>A380-A-SDD-CHC-14</v>
      </c>
      <c r="G253" s="164"/>
      <c r="H253" s="116"/>
      <c r="I253" s="206"/>
      <c r="J253" s="206"/>
      <c r="K253" s="206"/>
      <c r="L253" s="53"/>
      <c r="M253" s="53"/>
      <c r="N253" s="116"/>
      <c r="O253" s="140"/>
      <c r="P253" s="133"/>
      <c r="Q253" s="133"/>
      <c r="R253" s="133"/>
      <c r="S253" s="133"/>
      <c r="T253" s="116"/>
      <c r="U253" s="206"/>
      <c r="V253" s="206"/>
      <c r="W253" s="206"/>
      <c r="X253" s="206"/>
      <c r="Y253" s="206"/>
      <c r="Z253" s="116"/>
      <c r="AA253" s="132"/>
      <c r="AB253" s="132"/>
      <c r="AC253" s="132"/>
      <c r="AD253" s="132"/>
      <c r="AE253" s="116"/>
      <c r="AF253" s="26"/>
      <c r="AG253" s="26"/>
      <c r="AH253" s="26"/>
      <c r="AI253" s="26"/>
      <c r="AJ253" s="116"/>
      <c r="AK253" s="206"/>
      <c r="AL253" s="206"/>
      <c r="AM253" s="206"/>
      <c r="AN253" s="206"/>
      <c r="AO253" s="206"/>
      <c r="AP253" s="206"/>
      <c r="AQ253" s="206"/>
      <c r="AR253" s="207"/>
      <c r="AS253" s="120"/>
      <c r="AT253" s="206"/>
    </row>
    <row r="254" spans="1:46" s="204" customFormat="1" x14ac:dyDescent="0.3">
      <c r="A254" s="163" t="s">
        <v>725</v>
      </c>
      <c r="B254" s="164">
        <v>494238735</v>
      </c>
      <c r="C254" s="163" t="s">
        <v>1010</v>
      </c>
      <c r="D254" s="145" t="str">
        <f t="shared" si="746"/>
        <v>SDD/KMG</v>
      </c>
      <c r="E254" s="164">
        <v>76590382</v>
      </c>
      <c r="F254" s="165" t="str">
        <f t="shared" si="953"/>
        <v>A380-A-SDD-KMG-14</v>
      </c>
      <c r="G254" s="164"/>
      <c r="H254" s="116"/>
      <c r="I254" s="206"/>
      <c r="J254" s="206"/>
      <c r="K254" s="206"/>
      <c r="L254" s="53"/>
      <c r="M254" s="53"/>
      <c r="N254" s="116"/>
      <c r="O254" s="140"/>
      <c r="P254" s="133"/>
      <c r="Q254" s="133"/>
      <c r="R254" s="133"/>
      <c r="S254" s="133"/>
      <c r="T254" s="116"/>
      <c r="U254" s="206"/>
      <c r="V254" s="206"/>
      <c r="W254" s="206"/>
      <c r="X254" s="206"/>
      <c r="Y254" s="206"/>
      <c r="Z254" s="116"/>
      <c r="AA254" s="132"/>
      <c r="AB254" s="132"/>
      <c r="AC254" s="132"/>
      <c r="AD254" s="132"/>
      <c r="AE254" s="116"/>
      <c r="AF254" s="26"/>
      <c r="AG254" s="26"/>
      <c r="AH254" s="26"/>
      <c r="AI254" s="26"/>
      <c r="AJ254" s="116"/>
      <c r="AK254" s="206"/>
      <c r="AL254" s="206"/>
      <c r="AM254" s="206"/>
      <c r="AN254" s="206"/>
      <c r="AO254" s="206"/>
      <c r="AP254" s="206"/>
      <c r="AQ254" s="206"/>
      <c r="AR254" s="207"/>
      <c r="AS254" s="120"/>
      <c r="AT254" s="206"/>
    </row>
    <row r="255" spans="1:46" s="204" customFormat="1" x14ac:dyDescent="0.3">
      <c r="A255" s="163" t="s">
        <v>725</v>
      </c>
      <c r="B255" s="164">
        <v>494238736</v>
      </c>
      <c r="C255" s="163" t="s">
        <v>1010</v>
      </c>
      <c r="D255" s="145" t="str">
        <f t="shared" si="746"/>
        <v>SDD/KMG</v>
      </c>
      <c r="E255" s="164"/>
      <c r="F255" s="165" t="str">
        <f t="shared" si="953"/>
        <v>A380-A-SDD-KMG-14</v>
      </c>
      <c r="G255" s="164"/>
      <c r="H255" s="116"/>
      <c r="I255" s="206"/>
      <c r="J255" s="206"/>
      <c r="K255" s="206"/>
      <c r="L255" s="53"/>
      <c r="M255" s="53"/>
      <c r="N255" s="116"/>
      <c r="O255" s="140"/>
      <c r="P255" s="133"/>
      <c r="Q255" s="133"/>
      <c r="R255" s="133"/>
      <c r="S255" s="133"/>
      <c r="T255" s="116"/>
      <c r="U255" s="206"/>
      <c r="V255" s="206"/>
      <c r="W255" s="206"/>
      <c r="X255" s="206"/>
      <c r="Y255" s="206"/>
      <c r="Z255" s="116"/>
      <c r="AA255" s="132"/>
      <c r="AB255" s="132"/>
      <c r="AC255" s="132"/>
      <c r="AD255" s="132"/>
      <c r="AE255" s="116"/>
      <c r="AF255" s="26"/>
      <c r="AG255" s="26"/>
      <c r="AH255" s="26"/>
      <c r="AI255" s="26"/>
      <c r="AJ255" s="116"/>
      <c r="AK255" s="206"/>
      <c r="AL255" s="206"/>
      <c r="AM255" s="206"/>
      <c r="AN255" s="206"/>
      <c r="AO255" s="206"/>
      <c r="AP255" s="206"/>
      <c r="AQ255" s="206"/>
      <c r="AR255" s="207"/>
      <c r="AS255" s="120"/>
      <c r="AT255" s="206"/>
    </row>
    <row r="256" spans="1:46" s="204" customFormat="1" x14ac:dyDescent="0.3">
      <c r="A256" s="163" t="s">
        <v>725</v>
      </c>
      <c r="B256" s="164">
        <v>494238737</v>
      </c>
      <c r="C256" s="163"/>
      <c r="D256" s="145" t="str">
        <f t="shared" si="746"/>
        <v>SDD/</v>
      </c>
      <c r="E256" s="164"/>
      <c r="F256" s="165" t="str">
        <f t="shared" si="953"/>
        <v>A380-A-SDD--14</v>
      </c>
      <c r="G256" s="164"/>
      <c r="H256" s="116"/>
      <c r="I256" s="206"/>
      <c r="J256" s="206"/>
      <c r="K256" s="206"/>
      <c r="L256" s="53"/>
      <c r="M256" s="53"/>
      <c r="N256" s="116"/>
      <c r="O256" s="140"/>
      <c r="P256" s="133"/>
      <c r="Q256" s="133"/>
      <c r="R256" s="133"/>
      <c r="S256" s="133"/>
      <c r="T256" s="116"/>
      <c r="U256" s="206"/>
      <c r="V256" s="206"/>
      <c r="W256" s="206"/>
      <c r="X256" s="206"/>
      <c r="Y256" s="206"/>
      <c r="Z256" s="116"/>
      <c r="AA256" s="132"/>
      <c r="AB256" s="132"/>
      <c r="AC256" s="132"/>
      <c r="AD256" s="132"/>
      <c r="AE256" s="116"/>
      <c r="AF256" s="26"/>
      <c r="AG256" s="26"/>
      <c r="AH256" s="26"/>
      <c r="AI256" s="26"/>
      <c r="AJ256" s="116"/>
      <c r="AK256" s="206"/>
      <c r="AL256" s="206"/>
      <c r="AM256" s="206"/>
      <c r="AN256" s="206"/>
      <c r="AO256" s="206"/>
      <c r="AP256" s="206"/>
      <c r="AQ256" s="206"/>
      <c r="AR256" s="207"/>
      <c r="AS256" s="120"/>
      <c r="AT256" s="206"/>
    </row>
    <row r="257" spans="1:55" s="204" customFormat="1" x14ac:dyDescent="0.3">
      <c r="A257" s="163" t="s">
        <v>725</v>
      </c>
      <c r="B257" s="164">
        <v>494238738</v>
      </c>
      <c r="C257" s="163" t="s">
        <v>1009</v>
      </c>
      <c r="D257" s="145" t="str">
        <f t="shared" si="746"/>
        <v>SDD/CTU</v>
      </c>
      <c r="E257" s="164">
        <v>65391938</v>
      </c>
      <c r="F257" s="165" t="str">
        <f t="shared" si="953"/>
        <v>A380-A-SDD-CTU-14</v>
      </c>
      <c r="G257" s="164"/>
      <c r="H257" s="116"/>
      <c r="I257" s="206"/>
      <c r="J257" s="206"/>
      <c r="K257" s="206"/>
      <c r="L257" s="53"/>
      <c r="M257" s="53"/>
      <c r="N257" s="116"/>
      <c r="O257" s="140"/>
      <c r="P257" s="133"/>
      <c r="Q257" s="133"/>
      <c r="R257" s="133"/>
      <c r="S257" s="133"/>
      <c r="T257" s="116"/>
      <c r="U257" s="206"/>
      <c r="V257" s="206"/>
      <c r="W257" s="206"/>
      <c r="X257" s="206"/>
      <c r="Y257" s="206"/>
      <c r="Z257" s="116"/>
      <c r="AA257" s="132"/>
      <c r="AB257" s="132"/>
      <c r="AC257" s="132"/>
      <c r="AD257" s="132"/>
      <c r="AE257" s="116"/>
      <c r="AF257" s="26"/>
      <c r="AG257" s="26"/>
      <c r="AH257" s="26"/>
      <c r="AI257" s="26"/>
      <c r="AJ257" s="116"/>
      <c r="AK257" s="206"/>
      <c r="AL257" s="206"/>
      <c r="AM257" s="206"/>
      <c r="AN257" s="206"/>
      <c r="AO257" s="206"/>
      <c r="AP257" s="206"/>
      <c r="AQ257" s="206"/>
      <c r="AR257" s="207"/>
      <c r="AS257" s="120"/>
      <c r="AT257" s="206"/>
    </row>
    <row r="258" spans="1:55" s="204" customFormat="1" x14ac:dyDescent="0.3">
      <c r="A258" s="163" t="s">
        <v>725</v>
      </c>
      <c r="B258" s="164">
        <v>494238739</v>
      </c>
      <c r="C258" s="163" t="s">
        <v>1009</v>
      </c>
      <c r="D258" s="145" t="str">
        <f t="shared" si="746"/>
        <v>SDD/CTU</v>
      </c>
      <c r="E258" s="164"/>
      <c r="F258" s="165" t="str">
        <f t="shared" si="953"/>
        <v>A380-A-SDD-CTU-14</v>
      </c>
      <c r="G258" s="164"/>
      <c r="H258" s="116"/>
      <c r="I258" s="206"/>
      <c r="J258" s="206"/>
      <c r="K258" s="206"/>
      <c r="L258" s="53"/>
      <c r="M258" s="53"/>
      <c r="N258" s="116"/>
      <c r="O258" s="140"/>
      <c r="P258" s="133"/>
      <c r="Q258" s="133"/>
      <c r="R258" s="133"/>
      <c r="S258" s="133"/>
      <c r="T258" s="116"/>
      <c r="U258" s="206"/>
      <c r="V258" s="206"/>
      <c r="W258" s="206"/>
      <c r="X258" s="206"/>
      <c r="Y258" s="206"/>
      <c r="Z258" s="116"/>
      <c r="AA258" s="132"/>
      <c r="AB258" s="132"/>
      <c r="AC258" s="132"/>
      <c r="AD258" s="132"/>
      <c r="AE258" s="116"/>
      <c r="AF258" s="26"/>
      <c r="AG258" s="26"/>
      <c r="AH258" s="26"/>
      <c r="AI258" s="26"/>
      <c r="AJ258" s="116"/>
      <c r="AK258" s="206"/>
      <c r="AL258" s="206"/>
      <c r="AM258" s="206"/>
      <c r="AN258" s="206"/>
      <c r="AO258" s="206"/>
      <c r="AP258" s="206"/>
      <c r="AQ258" s="206"/>
      <c r="AR258" s="207"/>
      <c r="AS258" s="120"/>
      <c r="AT258" s="206"/>
    </row>
    <row r="259" spans="1:55" s="204" customFormat="1" x14ac:dyDescent="0.3">
      <c r="A259" s="163" t="s">
        <v>725</v>
      </c>
      <c r="B259" s="164">
        <v>494238740</v>
      </c>
      <c r="C259" s="163" t="s">
        <v>1150</v>
      </c>
      <c r="D259" s="145" t="str">
        <f t="shared" si="746"/>
        <v>SDD/CKG</v>
      </c>
      <c r="E259" s="164">
        <v>92730103</v>
      </c>
      <c r="F259" s="165" t="str">
        <f t="shared" si="953"/>
        <v>A380-A-SDD-CKG-14</v>
      </c>
      <c r="G259" s="164"/>
      <c r="H259" s="116"/>
      <c r="I259" s="206"/>
      <c r="J259" s="206"/>
      <c r="K259" s="206"/>
      <c r="L259" s="53"/>
      <c r="M259" s="53"/>
      <c r="N259" s="116"/>
      <c r="O259" s="140"/>
      <c r="P259" s="133"/>
      <c r="Q259" s="133"/>
      <c r="R259" s="133"/>
      <c r="S259" s="133"/>
      <c r="T259" s="116"/>
      <c r="U259" s="206"/>
      <c r="V259" s="206"/>
      <c r="W259" s="206"/>
      <c r="X259" s="206"/>
      <c r="Y259" s="206"/>
      <c r="Z259" s="116"/>
      <c r="AA259" s="132"/>
      <c r="AB259" s="132"/>
      <c r="AC259" s="132"/>
      <c r="AD259" s="132"/>
      <c r="AE259" s="116"/>
      <c r="AF259" s="26"/>
      <c r="AG259" s="26"/>
      <c r="AH259" s="26"/>
      <c r="AI259" s="26"/>
      <c r="AJ259" s="116"/>
      <c r="AK259" s="206"/>
      <c r="AL259" s="206"/>
      <c r="AM259" s="206"/>
      <c r="AN259" s="206"/>
      <c r="AO259" s="206"/>
      <c r="AP259" s="206"/>
      <c r="AQ259" s="206"/>
      <c r="AR259" s="207"/>
      <c r="AS259" s="120"/>
      <c r="AT259" s="206"/>
    </row>
    <row r="260" spans="1:55" s="204" customFormat="1" x14ac:dyDescent="0.3">
      <c r="A260" s="163" t="s">
        <v>725</v>
      </c>
      <c r="B260" s="164">
        <v>494238741</v>
      </c>
      <c r="C260" s="163" t="s">
        <v>1150</v>
      </c>
      <c r="D260" s="145" t="str">
        <f t="shared" si="746"/>
        <v>SDD/CKG</v>
      </c>
      <c r="E260" s="164"/>
      <c r="F260" s="165" t="str">
        <f t="shared" si="953"/>
        <v>A380-A-SDD-CKG-14</v>
      </c>
      <c r="G260" s="164"/>
      <c r="H260" s="116"/>
      <c r="I260" s="206"/>
      <c r="J260" s="206"/>
      <c r="K260" s="206"/>
      <c r="L260" s="53"/>
      <c r="M260" s="53"/>
      <c r="N260" s="116"/>
      <c r="O260" s="140"/>
      <c r="P260" s="133"/>
      <c r="Q260" s="133"/>
      <c r="R260" s="133"/>
      <c r="S260" s="133"/>
      <c r="T260" s="116"/>
      <c r="U260" s="206"/>
      <c r="V260" s="206"/>
      <c r="W260" s="206"/>
      <c r="X260" s="206"/>
      <c r="Y260" s="206"/>
      <c r="Z260" s="116"/>
      <c r="AA260" s="132"/>
      <c r="AB260" s="132"/>
      <c r="AC260" s="132"/>
      <c r="AD260" s="132"/>
      <c r="AE260" s="116"/>
      <c r="AF260" s="26"/>
      <c r="AG260" s="26"/>
      <c r="AH260" s="26"/>
      <c r="AI260" s="26"/>
      <c r="AJ260" s="116"/>
      <c r="AK260" s="206"/>
      <c r="AL260" s="206"/>
      <c r="AM260" s="206"/>
      <c r="AN260" s="206"/>
      <c r="AO260" s="206"/>
      <c r="AP260" s="206"/>
      <c r="AQ260" s="206"/>
      <c r="AR260" s="207"/>
      <c r="AS260" s="120"/>
      <c r="AT260" s="206"/>
    </row>
    <row r="261" spans="1:55" s="204" customFormat="1" x14ac:dyDescent="0.3">
      <c r="A261" s="163" t="s">
        <v>725</v>
      </c>
      <c r="B261" s="164">
        <v>494238742</v>
      </c>
      <c r="C261" s="163" t="s">
        <v>1011</v>
      </c>
      <c r="D261" s="145" t="str">
        <f t="shared" si="746"/>
        <v>SDD/XIY</v>
      </c>
      <c r="E261" s="164">
        <v>111363286</v>
      </c>
      <c r="F261" s="165" t="str">
        <f t="shared" si="953"/>
        <v>A380-A-SDD-XIY-14</v>
      </c>
      <c r="G261" s="164"/>
      <c r="H261" s="116"/>
      <c r="I261" s="206"/>
      <c r="J261" s="206"/>
      <c r="K261" s="206"/>
      <c r="L261" s="53"/>
      <c r="M261" s="53"/>
      <c r="N261" s="116"/>
      <c r="O261" s="140"/>
      <c r="P261" s="133"/>
      <c r="Q261" s="133"/>
      <c r="R261" s="133"/>
      <c r="S261" s="133"/>
      <c r="T261" s="116"/>
      <c r="U261" s="206"/>
      <c r="V261" s="206"/>
      <c r="W261" s="206"/>
      <c r="X261" s="206"/>
      <c r="Y261" s="206"/>
      <c r="Z261" s="116"/>
      <c r="AA261" s="132"/>
      <c r="AB261" s="132"/>
      <c r="AC261" s="132"/>
      <c r="AD261" s="132"/>
      <c r="AE261" s="116"/>
      <c r="AF261" s="26"/>
      <c r="AG261" s="26"/>
      <c r="AH261" s="26"/>
      <c r="AI261" s="26"/>
      <c r="AJ261" s="116"/>
      <c r="AK261" s="206"/>
      <c r="AL261" s="206"/>
      <c r="AM261" s="206"/>
      <c r="AN261" s="206"/>
      <c r="AO261" s="206"/>
      <c r="AP261" s="206"/>
      <c r="AQ261" s="206"/>
      <c r="AR261" s="207"/>
      <c r="AS261" s="120"/>
      <c r="AT261" s="206"/>
    </row>
    <row r="262" spans="1:55" s="204" customFormat="1" x14ac:dyDescent="0.3">
      <c r="A262" s="163" t="s">
        <v>725</v>
      </c>
      <c r="B262" s="164">
        <v>494238743</v>
      </c>
      <c r="C262" s="163" t="s">
        <v>1011</v>
      </c>
      <c r="D262" s="145" t="str">
        <f t="shared" si="746"/>
        <v>SDD/XIY</v>
      </c>
      <c r="E262" s="164"/>
      <c r="F262" s="165" t="str">
        <f t="shared" si="953"/>
        <v>A380-A-SDD-XIY-14</v>
      </c>
      <c r="G262" s="164"/>
      <c r="H262" s="116"/>
      <c r="I262" s="206"/>
      <c r="J262" s="206"/>
      <c r="K262" s="206"/>
      <c r="L262" s="53"/>
      <c r="M262" s="53"/>
      <c r="N262" s="116"/>
      <c r="O262" s="140"/>
      <c r="P262" s="133"/>
      <c r="Q262" s="133"/>
      <c r="R262" s="133"/>
      <c r="S262" s="133"/>
      <c r="T262" s="116"/>
      <c r="U262" s="206"/>
      <c r="V262" s="206"/>
      <c r="W262" s="206"/>
      <c r="X262" s="206"/>
      <c r="Y262" s="206"/>
      <c r="Z262" s="116"/>
      <c r="AA262" s="132"/>
      <c r="AB262" s="132"/>
      <c r="AC262" s="132"/>
      <c r="AD262" s="132"/>
      <c r="AE262" s="116"/>
      <c r="AF262" s="26"/>
      <c r="AG262" s="26"/>
      <c r="AH262" s="26"/>
      <c r="AI262" s="26"/>
      <c r="AJ262" s="116"/>
      <c r="AK262" s="206"/>
      <c r="AL262" s="206"/>
      <c r="AM262" s="206"/>
      <c r="AN262" s="206"/>
      <c r="AO262" s="206"/>
      <c r="AP262" s="206"/>
      <c r="AQ262" s="206"/>
      <c r="AR262" s="207"/>
      <c r="AS262" s="120"/>
      <c r="AT262" s="206"/>
    </row>
    <row r="263" spans="1:55" s="204" customFormat="1" x14ac:dyDescent="0.3">
      <c r="A263" s="163" t="s">
        <v>725</v>
      </c>
      <c r="B263" s="164">
        <v>494238744</v>
      </c>
      <c r="C263" s="163" t="s">
        <v>1110</v>
      </c>
      <c r="D263" s="145" t="str">
        <f t="shared" si="746"/>
        <v>SDD/HGH</v>
      </c>
      <c r="E263" s="164">
        <v>138409473</v>
      </c>
      <c r="F263" s="165" t="str">
        <f t="shared" si="953"/>
        <v>A380-A-SDD-HGH-14</v>
      </c>
      <c r="G263" s="164"/>
      <c r="H263" s="116"/>
      <c r="I263" s="206"/>
      <c r="J263" s="206"/>
      <c r="K263" s="206"/>
      <c r="L263" s="53"/>
      <c r="M263" s="53"/>
      <c r="N263" s="116"/>
      <c r="O263" s="140"/>
      <c r="P263" s="133"/>
      <c r="Q263" s="133"/>
      <c r="R263" s="133"/>
      <c r="S263" s="133"/>
      <c r="T263" s="116"/>
      <c r="U263" s="206"/>
      <c r="V263" s="206"/>
      <c r="W263" s="206"/>
      <c r="X263" s="206"/>
      <c r="Y263" s="206"/>
      <c r="Z263" s="116"/>
      <c r="AA263" s="132"/>
      <c r="AB263" s="132"/>
      <c r="AC263" s="132"/>
      <c r="AD263" s="132"/>
      <c r="AE263" s="116"/>
      <c r="AF263" s="26"/>
      <c r="AG263" s="26"/>
      <c r="AH263" s="26"/>
      <c r="AI263" s="26"/>
      <c r="AJ263" s="116"/>
      <c r="AK263" s="206"/>
      <c r="AL263" s="206"/>
      <c r="AM263" s="206"/>
      <c r="AN263" s="206"/>
      <c r="AO263" s="206"/>
      <c r="AP263" s="206"/>
      <c r="AQ263" s="206"/>
      <c r="AR263" s="207"/>
      <c r="AS263" s="120"/>
      <c r="AT263" s="206"/>
    </row>
    <row r="264" spans="1:55" s="204" customFormat="1" x14ac:dyDescent="0.3">
      <c r="A264" s="163" t="s">
        <v>725</v>
      </c>
      <c r="B264" s="164">
        <v>494238745</v>
      </c>
      <c r="C264" s="163" t="s">
        <v>1110</v>
      </c>
      <c r="D264" s="145" t="str">
        <f t="shared" si="746"/>
        <v>SDD/HGH</v>
      </c>
      <c r="E264" s="164"/>
      <c r="F264" s="165" t="str">
        <f t="shared" si="953"/>
        <v>A380-A-SDD-HGH-14</v>
      </c>
      <c r="G264" s="164"/>
      <c r="H264" s="116"/>
      <c r="I264" s="206"/>
      <c r="J264" s="206"/>
      <c r="K264" s="206"/>
      <c r="L264" s="53"/>
      <c r="M264" s="53"/>
      <c r="N264" s="116"/>
      <c r="O264" s="140"/>
      <c r="P264" s="133"/>
      <c r="Q264" s="133"/>
      <c r="R264" s="133"/>
      <c r="S264" s="133"/>
      <c r="T264" s="116"/>
      <c r="U264" s="206"/>
      <c r="V264" s="206"/>
      <c r="W264" s="206"/>
      <c r="X264" s="206"/>
      <c r="Y264" s="206"/>
      <c r="Z264" s="116"/>
      <c r="AA264" s="132"/>
      <c r="AB264" s="132"/>
      <c r="AC264" s="132"/>
      <c r="AD264" s="132"/>
      <c r="AE264" s="116"/>
      <c r="AF264" s="26"/>
      <c r="AG264" s="26"/>
      <c r="AH264" s="26"/>
      <c r="AI264" s="26"/>
      <c r="AJ264" s="116"/>
      <c r="AK264" s="206"/>
      <c r="AL264" s="206"/>
      <c r="AM264" s="206"/>
      <c r="AN264" s="206"/>
      <c r="AO264" s="206"/>
      <c r="AP264" s="206"/>
      <c r="AQ264" s="206"/>
      <c r="AR264" s="207"/>
      <c r="AS264" s="120"/>
      <c r="AT264" s="206"/>
    </row>
    <row r="265" spans="1:55" s="204" customFormat="1" x14ac:dyDescent="0.3">
      <c r="A265" s="163" t="s">
        <v>725</v>
      </c>
      <c r="B265" s="164">
        <v>494238746</v>
      </c>
      <c r="C265" s="163"/>
      <c r="D265" s="145" t="str">
        <f t="shared" si="746"/>
        <v>SDD/</v>
      </c>
      <c r="E265" s="164"/>
      <c r="F265" s="165" t="str">
        <f t="shared" si="953"/>
        <v>A380-A-SDD--14</v>
      </c>
      <c r="G265" s="164"/>
      <c r="H265" s="116"/>
      <c r="I265" s="206"/>
      <c r="J265" s="206"/>
      <c r="K265" s="206"/>
      <c r="L265" s="53"/>
      <c r="M265" s="53"/>
      <c r="N265" s="116"/>
      <c r="O265" s="140"/>
      <c r="P265" s="133"/>
      <c r="Q265" s="133"/>
      <c r="R265" s="133"/>
      <c r="S265" s="133"/>
      <c r="T265" s="116"/>
      <c r="U265" s="206"/>
      <c r="V265" s="206"/>
      <c r="W265" s="206"/>
      <c r="X265" s="206"/>
      <c r="Y265" s="206"/>
      <c r="Z265" s="116"/>
      <c r="AA265" s="132"/>
      <c r="AB265" s="132"/>
      <c r="AC265" s="132"/>
      <c r="AD265" s="132"/>
      <c r="AE265" s="116"/>
      <c r="AF265" s="26"/>
      <c r="AG265" s="26"/>
      <c r="AH265" s="26"/>
      <c r="AI265" s="26"/>
      <c r="AJ265" s="116"/>
      <c r="AK265" s="206"/>
      <c r="AL265" s="206"/>
      <c r="AM265" s="206"/>
      <c r="AN265" s="206"/>
      <c r="AO265" s="206"/>
      <c r="AP265" s="206"/>
      <c r="AQ265" s="206"/>
      <c r="AR265" s="207"/>
      <c r="AS265" s="120"/>
      <c r="AT265" s="206"/>
    </row>
    <row r="266" spans="1:55" s="204" customFormat="1" x14ac:dyDescent="0.3">
      <c r="A266" s="163" t="s">
        <v>725</v>
      </c>
      <c r="B266" s="164">
        <v>494238747</v>
      </c>
      <c r="C266" s="163"/>
      <c r="D266" s="145" t="str">
        <f t="shared" si="746"/>
        <v>SDD/</v>
      </c>
      <c r="E266" s="164"/>
      <c r="F266" s="165" t="str">
        <f t="shared" si="953"/>
        <v>A380-A-SDD--14</v>
      </c>
      <c r="G266" s="164"/>
      <c r="H266" s="116"/>
      <c r="I266" s="206"/>
      <c r="J266" s="206"/>
      <c r="K266" s="206"/>
      <c r="L266" s="53"/>
      <c r="M266" s="53"/>
      <c r="N266" s="116"/>
      <c r="O266" s="140"/>
      <c r="P266" s="133"/>
      <c r="Q266" s="133"/>
      <c r="R266" s="133"/>
      <c r="S266" s="133"/>
      <c r="T266" s="116"/>
      <c r="U266" s="206"/>
      <c r="V266" s="206"/>
      <c r="W266" s="206"/>
      <c r="X266" s="206"/>
      <c r="Y266" s="206"/>
      <c r="Z266" s="116"/>
      <c r="AA266" s="132"/>
      <c r="AB266" s="132"/>
      <c r="AC266" s="132"/>
      <c r="AD266" s="132"/>
      <c r="AE266" s="116"/>
      <c r="AF266" s="26"/>
      <c r="AG266" s="26"/>
      <c r="AH266" s="26"/>
      <c r="AI266" s="26"/>
      <c r="AJ266" s="116"/>
      <c r="AK266" s="206"/>
      <c r="AL266" s="206"/>
      <c r="AM266" s="206"/>
      <c r="AN266" s="206"/>
      <c r="AO266" s="206"/>
      <c r="AP266" s="206"/>
      <c r="AQ266" s="206"/>
      <c r="AR266" s="207"/>
      <c r="AS266" s="120"/>
      <c r="AT266" s="206"/>
    </row>
    <row r="267" spans="1:55" s="204" customFormat="1" x14ac:dyDescent="0.3">
      <c r="A267" s="163" t="s">
        <v>725</v>
      </c>
      <c r="B267" s="164">
        <v>494238748</v>
      </c>
      <c r="C267" s="163"/>
      <c r="D267" s="145" t="str">
        <f t="shared" si="746"/>
        <v>SDD/</v>
      </c>
      <c r="E267" s="164"/>
      <c r="F267" s="165" t="str">
        <f t="shared" si="953"/>
        <v>A380-A-SDD--14</v>
      </c>
      <c r="G267" s="164"/>
      <c r="H267" s="116"/>
      <c r="I267" s="206"/>
      <c r="J267" s="206"/>
      <c r="K267" s="206"/>
      <c r="L267" s="53"/>
      <c r="M267" s="53"/>
      <c r="N267" s="116"/>
      <c r="O267" s="140"/>
      <c r="P267" s="133"/>
      <c r="Q267" s="133"/>
      <c r="R267" s="133"/>
      <c r="S267" s="133"/>
      <c r="T267" s="116"/>
      <c r="U267" s="206"/>
      <c r="V267" s="206"/>
      <c r="W267" s="206"/>
      <c r="X267" s="206"/>
      <c r="Y267" s="206"/>
      <c r="Z267" s="116"/>
      <c r="AA267" s="132"/>
      <c r="AB267" s="132"/>
      <c r="AC267" s="132"/>
      <c r="AD267" s="132"/>
      <c r="AE267" s="116"/>
      <c r="AF267" s="26"/>
      <c r="AG267" s="26"/>
      <c r="AH267" s="26"/>
      <c r="AI267" s="26"/>
      <c r="AJ267" s="116"/>
      <c r="AK267" s="206"/>
      <c r="AL267" s="206"/>
      <c r="AM267" s="206"/>
      <c r="AN267" s="206"/>
      <c r="AO267" s="206"/>
      <c r="AP267" s="206"/>
      <c r="AQ267" s="206"/>
      <c r="AR267" s="207"/>
      <c r="AS267" s="120"/>
      <c r="AT267" s="206"/>
    </row>
    <row r="268" spans="1:55" s="204" customFormat="1" x14ac:dyDescent="0.3">
      <c r="A268" s="163" t="s">
        <v>725</v>
      </c>
      <c r="B268" s="164">
        <v>494238749</v>
      </c>
      <c r="C268" s="163"/>
      <c r="D268" s="145" t="str">
        <f t="shared" si="746"/>
        <v>SDD/</v>
      </c>
      <c r="E268" s="164"/>
      <c r="F268" s="165" t="str">
        <f t="shared" si="953"/>
        <v>A380-A-SDD--14</v>
      </c>
      <c r="G268" s="164"/>
      <c r="H268" s="116"/>
      <c r="I268" s="206"/>
      <c r="J268" s="206"/>
      <c r="K268" s="206"/>
      <c r="L268" s="53"/>
      <c r="M268" s="53"/>
      <c r="N268" s="116"/>
      <c r="O268" s="140"/>
      <c r="P268" s="133"/>
      <c r="Q268" s="133"/>
      <c r="R268" s="133"/>
      <c r="S268" s="133"/>
      <c r="T268" s="116"/>
      <c r="U268" s="206"/>
      <c r="V268" s="206"/>
      <c r="W268" s="206"/>
      <c r="X268" s="206"/>
      <c r="Y268" s="206"/>
      <c r="Z268" s="116"/>
      <c r="AA268" s="132"/>
      <c r="AB268" s="132"/>
      <c r="AC268" s="132"/>
      <c r="AD268" s="132"/>
      <c r="AE268" s="116"/>
      <c r="AF268" s="26"/>
      <c r="AG268" s="26"/>
      <c r="AH268" s="26"/>
      <c r="AI268" s="26"/>
      <c r="AJ268" s="116"/>
      <c r="AK268" s="206"/>
      <c r="AL268" s="206"/>
      <c r="AM268" s="206"/>
      <c r="AN268" s="206"/>
      <c r="AO268" s="206"/>
      <c r="AP268" s="206"/>
      <c r="AQ268" s="206"/>
      <c r="AR268" s="207"/>
      <c r="AS268" s="120"/>
      <c r="AT268" s="206"/>
    </row>
    <row r="269" spans="1:55" s="204" customFormat="1" x14ac:dyDescent="0.3">
      <c r="A269" s="163" t="s">
        <v>725</v>
      </c>
      <c r="B269" s="164">
        <v>494238750</v>
      </c>
      <c r="C269" s="163"/>
      <c r="D269" s="145" t="str">
        <f t="shared" si="746"/>
        <v>SDD/</v>
      </c>
      <c r="E269" s="164"/>
      <c r="F269" s="165" t="str">
        <f t="shared" si="953"/>
        <v>A380-A-SDD--14</v>
      </c>
      <c r="G269" s="164"/>
      <c r="H269" s="116"/>
      <c r="I269" s="206"/>
      <c r="J269" s="206"/>
      <c r="K269" s="206"/>
      <c r="L269" s="53"/>
      <c r="M269" s="53"/>
      <c r="N269" s="116"/>
      <c r="O269" s="140"/>
      <c r="P269" s="133"/>
      <c r="Q269" s="133"/>
      <c r="R269" s="133"/>
      <c r="S269" s="133"/>
      <c r="T269" s="116"/>
      <c r="U269" s="206"/>
      <c r="V269" s="206"/>
      <c r="W269" s="206"/>
      <c r="X269" s="206"/>
      <c r="Y269" s="206"/>
      <c r="Z269" s="116"/>
      <c r="AA269" s="132"/>
      <c r="AB269" s="132"/>
      <c r="AC269" s="132"/>
      <c r="AD269" s="132"/>
      <c r="AE269" s="116"/>
      <c r="AF269" s="26"/>
      <c r="AG269" s="26"/>
      <c r="AH269" s="26"/>
      <c r="AI269" s="26"/>
      <c r="AJ269" s="116"/>
      <c r="AK269" s="206"/>
      <c r="AL269" s="206"/>
      <c r="AM269" s="206"/>
      <c r="AN269" s="206"/>
      <c r="AO269" s="206"/>
      <c r="AP269" s="206"/>
      <c r="AQ269" s="206"/>
      <c r="AR269" s="207"/>
      <c r="AS269" s="120"/>
      <c r="AT269" s="206"/>
    </row>
    <row r="270" spans="1:55" s="204" customFormat="1" x14ac:dyDescent="0.3">
      <c r="A270" s="163" t="s">
        <v>725</v>
      </c>
      <c r="B270" s="164">
        <v>494238751</v>
      </c>
      <c r="C270" s="163"/>
      <c r="D270" s="145" t="str">
        <f t="shared" si="746"/>
        <v>SDD/</v>
      </c>
      <c r="E270" s="164"/>
      <c r="F270" s="165" t="str">
        <f t="shared" si="953"/>
        <v>A380-A-SDD--14</v>
      </c>
      <c r="G270" s="164"/>
      <c r="H270" s="116"/>
      <c r="I270" s="206"/>
      <c r="J270" s="206"/>
      <c r="K270" s="206"/>
      <c r="L270" s="53"/>
      <c r="M270" s="53"/>
      <c r="N270" s="116"/>
      <c r="O270" s="140"/>
      <c r="P270" s="133"/>
      <c r="Q270" s="133"/>
      <c r="R270" s="133"/>
      <c r="S270" s="133"/>
      <c r="T270" s="116"/>
      <c r="U270" s="206"/>
      <c r="V270" s="206"/>
      <c r="W270" s="206"/>
      <c r="X270" s="206"/>
      <c r="Y270" s="206"/>
      <c r="Z270" s="116"/>
      <c r="AA270" s="132"/>
      <c r="AB270" s="132"/>
      <c r="AC270" s="132"/>
      <c r="AD270" s="132"/>
      <c r="AE270" s="116"/>
      <c r="AF270" s="26"/>
      <c r="AG270" s="26"/>
      <c r="AH270" s="26"/>
      <c r="AI270" s="26"/>
      <c r="AJ270" s="116"/>
      <c r="AK270" s="206"/>
      <c r="AL270" s="206"/>
      <c r="AM270" s="206"/>
      <c r="AN270" s="206"/>
      <c r="AO270" s="206"/>
      <c r="AP270" s="206"/>
      <c r="AQ270" s="206"/>
      <c r="AR270" s="207"/>
      <c r="AS270" s="120"/>
      <c r="AT270" s="206"/>
    </row>
    <row r="271" spans="1:55" s="204" customFormat="1" x14ac:dyDescent="0.3">
      <c r="A271" s="163" t="s">
        <v>725</v>
      </c>
      <c r="B271" s="164">
        <v>494238752</v>
      </c>
      <c r="C271" s="163"/>
      <c r="D271" s="145" t="str">
        <f t="shared" si="746"/>
        <v>SDD/</v>
      </c>
      <c r="E271" s="164"/>
      <c r="F271" s="165" t="str">
        <f t="shared" si="953"/>
        <v>A380-A-SDD--14</v>
      </c>
      <c r="G271" s="164"/>
      <c r="H271" s="116"/>
      <c r="I271" s="206"/>
      <c r="J271" s="206"/>
      <c r="K271" s="206"/>
      <c r="L271" s="53"/>
      <c r="M271" s="53"/>
      <c r="N271" s="116"/>
      <c r="O271" s="140"/>
      <c r="P271" s="133"/>
      <c r="Q271" s="133"/>
      <c r="R271" s="133"/>
      <c r="S271" s="133"/>
      <c r="T271" s="116"/>
      <c r="U271" s="206"/>
      <c r="V271" s="206"/>
      <c r="W271" s="206"/>
      <c r="X271" s="206"/>
      <c r="Y271" s="206"/>
      <c r="Z271" s="116"/>
      <c r="AA271" s="132"/>
      <c r="AB271" s="132"/>
      <c r="AC271" s="132"/>
      <c r="AD271" s="132"/>
      <c r="AE271" s="116"/>
      <c r="AF271" s="26"/>
      <c r="AG271" s="26"/>
      <c r="AH271" s="26"/>
      <c r="AI271" s="26"/>
      <c r="AJ271" s="116"/>
      <c r="AK271" s="206"/>
      <c r="AL271" s="206"/>
      <c r="AM271" s="206"/>
      <c r="AN271" s="206"/>
      <c r="AO271" s="206"/>
      <c r="AP271" s="206"/>
      <c r="AQ271" s="206"/>
      <c r="AR271" s="207"/>
      <c r="AS271" s="120"/>
      <c r="AT271" s="206"/>
    </row>
    <row r="272" spans="1:55" s="185" customFormat="1" x14ac:dyDescent="0.3">
      <c r="A272" s="166" t="s">
        <v>733</v>
      </c>
      <c r="B272" s="167">
        <v>851125219</v>
      </c>
      <c r="C272" s="166" t="s">
        <v>731</v>
      </c>
      <c r="D272" s="145" t="str">
        <f t="shared" si="746"/>
        <v>BOM/DKR</v>
      </c>
      <c r="E272" s="167">
        <v>15598202</v>
      </c>
      <c r="F272" s="168" t="s">
        <v>825</v>
      </c>
      <c r="G272" s="77">
        <v>344565000</v>
      </c>
      <c r="H272" s="116"/>
      <c r="I272" s="206">
        <v>0</v>
      </c>
      <c r="J272" s="206">
        <v>0</v>
      </c>
      <c r="K272" s="206">
        <v>0</v>
      </c>
      <c r="L272" s="53"/>
      <c r="M272" s="53"/>
      <c r="N272" s="116"/>
      <c r="O272" s="140"/>
      <c r="P272" s="133">
        <f>SUMIFS(GestionLignesDemande!D$4:D$1000,GestionLignesDemande!$B$4:$B$1000,ROI_Avions!$A272,GestionLignesDemande!$C$4:$C$1000,ROI_Avions!$C272)</f>
        <v>5794</v>
      </c>
      <c r="Q272" s="133">
        <f>SUMIFS(GestionLignesDemande!E$4:E$1000,GestionLignesDemande!$B$4:$B$1000,ROI_Avions!$A272,GestionLignesDemande!$C$4:$C$1000,ROI_Avions!$C272)</f>
        <v>150</v>
      </c>
      <c r="R272" s="133">
        <f>SUMIFS(GestionLignesDemande!F$4:F$1000,GestionLignesDemande!$B$4:$B$1000,ROI_Avions!$A272,GestionLignesDemande!$C$4:$C$1000,ROI_Avions!$C272)</f>
        <v>6</v>
      </c>
      <c r="S272" s="133">
        <f>SUMIFS(GestionLignesDemande!G$4:G$1000,GestionLignesDemande!$B$4:$B$1000,ROI_Avions!$A272,GestionLignesDemande!$C$4:$C$1000,ROI_Avions!$C272)</f>
        <v>62</v>
      </c>
      <c r="T272" s="116"/>
      <c r="U272" s="8">
        <f t="shared" si="1"/>
        <v>792</v>
      </c>
      <c r="V272" s="8">
        <v>745</v>
      </c>
      <c r="W272" s="8">
        <v>36</v>
      </c>
      <c r="X272" s="8">
        <v>1</v>
      </c>
      <c r="Y272" s="8">
        <v>10</v>
      </c>
      <c r="Z272" s="116"/>
      <c r="AA272" s="132">
        <f>P272-(V272*2)</f>
        <v>4304</v>
      </c>
      <c r="AB272" s="132">
        <f>Q272-(W272*2)</f>
        <v>78</v>
      </c>
      <c r="AC272" s="132">
        <f>R272-(X272*2)</f>
        <v>4</v>
      </c>
      <c r="AD272" s="132">
        <f>S272-(Y272*2)</f>
        <v>42</v>
      </c>
      <c r="AE272" s="116"/>
      <c r="AF272" s="26">
        <f>SUMIFS(DataPrixBillets!N$1:N$1000,DataPrixBillets!$J$1:$J$1000,ROI_Avions!$A272,DataPrixBillets!$K$1:$K$1000,ROI_Avions!$C272)</f>
        <v>0</v>
      </c>
      <c r="AG272" s="26">
        <f>SUMIFS(DataPrixBillets!O$1:O$1000,DataPrixBillets!$J$1:$J$1000,ROI_Avions!$A272,DataPrixBillets!$K$1:$K$1000,ROI_Avions!$C272)</f>
        <v>0</v>
      </c>
      <c r="AH272" s="26">
        <f>SUMIFS(DataPrixBillets!P$1:P$1000,DataPrixBillets!$J$1:$J$1000,ROI_Avions!$A272,DataPrixBillets!$K$1:$K$1000,ROI_Avions!$C272)</f>
        <v>0</v>
      </c>
      <c r="AI272" s="26">
        <f>SUMIFS(DataPrixBillets!Q$1:Q$1000,DataPrixBillets!$J$1:$J$1000,ROI_Avions!$A272,DataPrixBillets!$K$1:$K$1000,ROI_Avions!$C272)</f>
        <v>0</v>
      </c>
      <c r="AJ272" s="116"/>
      <c r="AK272" s="206">
        <f t="shared" si="897"/>
        <v>0</v>
      </c>
      <c r="AL272" s="206" t="e">
        <f t="shared" ca="1" si="898"/>
        <v>#REF!</v>
      </c>
      <c r="AM272" s="206" t="e">
        <f t="shared" ca="1" si="899"/>
        <v>#REF!</v>
      </c>
      <c r="AN272" s="206" t="e">
        <f t="shared" ca="1" si="900"/>
        <v>#REF!</v>
      </c>
      <c r="AO272" s="206" t="e">
        <f t="shared" ca="1" si="901"/>
        <v>#REF!</v>
      </c>
      <c r="AP272" s="206" t="e">
        <f t="shared" ca="1" si="902"/>
        <v>#REF!</v>
      </c>
      <c r="AQ272" s="206" t="e">
        <f t="shared" ca="1" si="903"/>
        <v>#REF!</v>
      </c>
      <c r="AR272" s="207">
        <f t="shared" ref="AR272:AR274" ca="1" si="954">IFERROR((AP272/7)/((B272/COUNTIFS(A:A,A272))+(E272/COUNTIFS(A:A,A272,C:C,C272))+I272*K272+J272+G272),0)</f>
        <v>0</v>
      </c>
      <c r="AS272" s="120">
        <f t="shared" ref="AS272:AS274" ca="1" si="955">IFERROR(((B272/COUNTIFS(A:A,A272))+(E272/COUNTIFS(A:A,A272,C:C,C272))+I272*K272+J272+G272)/(AP272/7),0)</f>
        <v>0</v>
      </c>
      <c r="AT272" s="206" t="e">
        <f t="shared" ca="1" si="904"/>
        <v>#REF!</v>
      </c>
      <c r="AV272" s="204"/>
      <c r="AW272" s="204"/>
      <c r="AX272" s="204"/>
      <c r="AY272" s="204"/>
      <c r="BA272" s="204"/>
      <c r="BB272" s="204"/>
      <c r="BC272" s="204"/>
    </row>
    <row r="273" spans="1:55" s="185" customFormat="1" x14ac:dyDescent="0.3">
      <c r="A273" s="166" t="s">
        <v>733</v>
      </c>
      <c r="B273" s="167">
        <v>851125219</v>
      </c>
      <c r="C273" s="166" t="s">
        <v>731</v>
      </c>
      <c r="D273" s="145" t="str">
        <f t="shared" si="746"/>
        <v>BOM/DKR</v>
      </c>
      <c r="E273" s="167">
        <v>15598202</v>
      </c>
      <c r="F273" s="168" t="s">
        <v>826</v>
      </c>
      <c r="G273" s="77">
        <v>344565000</v>
      </c>
      <c r="H273" s="116"/>
      <c r="I273" s="8">
        <v>0</v>
      </c>
      <c r="J273" s="8">
        <v>0</v>
      </c>
      <c r="K273" s="8">
        <v>0</v>
      </c>
      <c r="L273" s="53"/>
      <c r="M273" s="53"/>
      <c r="N273" s="116"/>
      <c r="O273" s="140"/>
      <c r="P273" s="133">
        <f>SUMIFS(GestionLignesDemande!D$4:D$1000,GestionLignesDemande!$B$4:$B$1000,ROI_Avions!$A273,GestionLignesDemande!$C$4:$C$1000,ROI_Avions!$C273)</f>
        <v>5794</v>
      </c>
      <c r="Q273" s="133">
        <f>SUMIFS(GestionLignesDemande!E$4:E$1000,GestionLignesDemande!$B$4:$B$1000,ROI_Avions!$A273,GestionLignesDemande!$C$4:$C$1000,ROI_Avions!$C273)</f>
        <v>150</v>
      </c>
      <c r="R273" s="133">
        <f>SUMIFS(GestionLignesDemande!F$4:F$1000,GestionLignesDemande!$B$4:$B$1000,ROI_Avions!$A273,GestionLignesDemande!$C$4:$C$1000,ROI_Avions!$C273)</f>
        <v>6</v>
      </c>
      <c r="S273" s="133">
        <f>SUMIFS(GestionLignesDemande!G$4:G$1000,GestionLignesDemande!$B$4:$B$1000,ROI_Avions!$A273,GestionLignesDemande!$C$4:$C$1000,ROI_Avions!$C273)</f>
        <v>62</v>
      </c>
      <c r="T273" s="116"/>
      <c r="U273" s="8">
        <f t="shared" si="1"/>
        <v>792</v>
      </c>
      <c r="V273" s="8">
        <v>745</v>
      </c>
      <c r="W273" s="8">
        <v>36</v>
      </c>
      <c r="X273" s="8">
        <v>1</v>
      </c>
      <c r="Y273" s="8">
        <v>10</v>
      </c>
      <c r="Z273" s="116"/>
      <c r="AA273" s="132">
        <f t="shared" ref="AA273:AD274" si="956">AA272-V273*2</f>
        <v>2814</v>
      </c>
      <c r="AB273" s="132">
        <f t="shared" si="956"/>
        <v>6</v>
      </c>
      <c r="AC273" s="132">
        <f t="shared" si="956"/>
        <v>2</v>
      </c>
      <c r="AD273" s="132">
        <f t="shared" si="956"/>
        <v>22</v>
      </c>
      <c r="AE273" s="116"/>
      <c r="AF273" s="26">
        <f>SUMIFS(DataPrixBillets!N$1:N$1000,DataPrixBillets!$J$1:$J$1000,ROI_Avions!$A273,DataPrixBillets!$K$1:$K$1000,ROI_Avions!$C273)</f>
        <v>0</v>
      </c>
      <c r="AG273" s="26">
        <f>SUMIFS(DataPrixBillets!O$1:O$1000,DataPrixBillets!$J$1:$J$1000,ROI_Avions!$A273,DataPrixBillets!$K$1:$K$1000,ROI_Avions!$C273)</f>
        <v>0</v>
      </c>
      <c r="AH273" s="26">
        <f>SUMIFS(DataPrixBillets!P$1:P$1000,DataPrixBillets!$J$1:$J$1000,ROI_Avions!$A273,DataPrixBillets!$K$1:$K$1000,ROI_Avions!$C273)</f>
        <v>0</v>
      </c>
      <c r="AI273" s="26">
        <f>SUMIFS(DataPrixBillets!Q$1:Q$1000,DataPrixBillets!$J$1:$J$1000,ROI_Avions!$A273,DataPrixBillets!$K$1:$K$1000,ROI_Avions!$C273)</f>
        <v>0</v>
      </c>
      <c r="AJ273" s="116"/>
      <c r="AK273" s="8">
        <f t="shared" ref="AK273:AK274" si="957">(((AF273*V273)*2+(AG273*W273)*2+(AH273*X273)*2+(AI273*Y273)*2)*7)+AK278</f>
        <v>0</v>
      </c>
      <c r="AL273" s="8" t="e">
        <f t="shared" ca="1" si="21"/>
        <v>#REF!</v>
      </c>
      <c r="AM273" s="8" t="e">
        <f t="shared" ca="1" si="22"/>
        <v>#REF!</v>
      </c>
      <c r="AN273" s="8" t="e">
        <f t="shared" ca="1" si="23"/>
        <v>#REF!</v>
      </c>
      <c r="AO273" s="8" t="e">
        <f ca="1">(AL273-AN273-I273)*$AO$2</f>
        <v>#REF!</v>
      </c>
      <c r="AP273" s="8" t="e">
        <f ca="1">AL273-AN273-(I273/7)-(AO273/7)</f>
        <v>#REF!</v>
      </c>
      <c r="AQ273" s="8" t="e">
        <f t="shared" ca="1" si="26"/>
        <v>#REF!</v>
      </c>
      <c r="AR273" s="7">
        <f t="shared" ca="1" si="954"/>
        <v>0</v>
      </c>
      <c r="AS273" s="120">
        <f t="shared" ca="1" si="955"/>
        <v>0</v>
      </c>
      <c r="AT273" s="8" t="e">
        <f ca="1">IF(K273&gt;=1,AP273*K273,AP273*$AT$1)</f>
        <v>#REF!</v>
      </c>
      <c r="AU273" s="38"/>
      <c r="AV273" s="204"/>
      <c r="AW273" s="204"/>
      <c r="AX273" s="204"/>
      <c r="AY273" s="204"/>
      <c r="BA273" s="204"/>
      <c r="BB273" s="204"/>
      <c r="BC273" s="204"/>
    </row>
    <row r="274" spans="1:55" s="185" customFormat="1" x14ac:dyDescent="0.3">
      <c r="A274" s="166" t="s">
        <v>733</v>
      </c>
      <c r="B274" s="167">
        <v>851125219</v>
      </c>
      <c r="C274" s="166" t="s">
        <v>731</v>
      </c>
      <c r="D274" s="145" t="str">
        <f t="shared" si="746"/>
        <v>BOM/DKR</v>
      </c>
      <c r="E274" s="167">
        <v>15598202</v>
      </c>
      <c r="F274" s="168" t="s">
        <v>827</v>
      </c>
      <c r="G274" s="77">
        <v>344565000</v>
      </c>
      <c r="H274" s="116"/>
      <c r="I274" s="8">
        <v>0</v>
      </c>
      <c r="J274" s="8">
        <v>0</v>
      </c>
      <c r="K274" s="8">
        <v>0</v>
      </c>
      <c r="L274" s="53"/>
      <c r="M274" s="53"/>
      <c r="N274" s="116"/>
      <c r="O274" s="140"/>
      <c r="P274" s="133">
        <f>SUMIFS(GestionLignesDemande!D$4:D$1000,GestionLignesDemande!$B$4:$B$1000,ROI_Avions!$A274,GestionLignesDemande!$C$4:$C$1000,ROI_Avions!$C274)</f>
        <v>5794</v>
      </c>
      <c r="Q274" s="133">
        <f>SUMIFS(GestionLignesDemande!E$4:E$1000,GestionLignesDemande!$B$4:$B$1000,ROI_Avions!$A274,GestionLignesDemande!$C$4:$C$1000,ROI_Avions!$C274)</f>
        <v>150</v>
      </c>
      <c r="R274" s="133">
        <f>SUMIFS(GestionLignesDemande!F$4:F$1000,GestionLignesDemande!$B$4:$B$1000,ROI_Avions!$A274,GestionLignesDemande!$C$4:$C$1000,ROI_Avions!$C274)</f>
        <v>6</v>
      </c>
      <c r="S274" s="133">
        <f>SUMIFS(GestionLignesDemande!G$4:G$1000,GestionLignesDemande!$B$4:$B$1000,ROI_Avions!$A274,GestionLignesDemande!$C$4:$C$1000,ROI_Avions!$C274)</f>
        <v>62</v>
      </c>
      <c r="T274" s="116"/>
      <c r="U274" s="8">
        <f t="shared" si="1"/>
        <v>792</v>
      </c>
      <c r="V274" s="8">
        <v>745</v>
      </c>
      <c r="W274" s="8">
        <v>36</v>
      </c>
      <c r="X274" s="8">
        <v>1</v>
      </c>
      <c r="Y274" s="8">
        <v>10</v>
      </c>
      <c r="Z274" s="116"/>
      <c r="AA274" s="132">
        <f t="shared" si="956"/>
        <v>1324</v>
      </c>
      <c r="AB274" s="132">
        <f t="shared" si="956"/>
        <v>-66</v>
      </c>
      <c r="AC274" s="132">
        <f t="shared" si="956"/>
        <v>0</v>
      </c>
      <c r="AD274" s="132">
        <f t="shared" si="956"/>
        <v>2</v>
      </c>
      <c r="AE274" s="116"/>
      <c r="AF274" s="26">
        <f>SUMIFS(DataPrixBillets!N$1:N$1000,DataPrixBillets!$J$1:$J$1000,ROI_Avions!$A274,DataPrixBillets!$K$1:$K$1000,ROI_Avions!$C274)</f>
        <v>0</v>
      </c>
      <c r="AG274" s="26">
        <f>SUMIFS(DataPrixBillets!O$1:O$1000,DataPrixBillets!$J$1:$J$1000,ROI_Avions!$A274,DataPrixBillets!$K$1:$K$1000,ROI_Avions!$C274)</f>
        <v>0</v>
      </c>
      <c r="AH274" s="26">
        <f>SUMIFS(DataPrixBillets!P$1:P$1000,DataPrixBillets!$J$1:$J$1000,ROI_Avions!$A274,DataPrixBillets!$K$1:$K$1000,ROI_Avions!$C274)</f>
        <v>0</v>
      </c>
      <c r="AI274" s="26">
        <f>SUMIFS(DataPrixBillets!Q$1:Q$1000,DataPrixBillets!$J$1:$J$1000,ROI_Avions!$A274,DataPrixBillets!$K$1:$K$1000,ROI_Avions!$C274)</f>
        <v>0</v>
      </c>
      <c r="AJ274" s="116"/>
      <c r="AK274" s="8">
        <f t="shared" si="957"/>
        <v>0</v>
      </c>
      <c r="AL274" s="8" t="e">
        <f t="shared" ca="1" si="21"/>
        <v>#REF!</v>
      </c>
      <c r="AM274" s="8" t="e">
        <f t="shared" ca="1" si="22"/>
        <v>#REF!</v>
      </c>
      <c r="AN274" s="8" t="e">
        <f t="shared" ca="1" si="23"/>
        <v>#REF!</v>
      </c>
      <c r="AO274" s="8" t="e">
        <f ca="1">(AL274-AN274-I274)*$AO$2</f>
        <v>#REF!</v>
      </c>
      <c r="AP274" s="8" t="e">
        <f ca="1">AL274-AN274-(I274/7)-(AO274/7)</f>
        <v>#REF!</v>
      </c>
      <c r="AQ274" s="8" t="e">
        <f t="shared" ca="1" si="26"/>
        <v>#REF!</v>
      </c>
      <c r="AR274" s="7">
        <f t="shared" ca="1" si="954"/>
        <v>0</v>
      </c>
      <c r="AS274" s="120">
        <f t="shared" ca="1" si="955"/>
        <v>0</v>
      </c>
      <c r="AT274" s="8" t="e">
        <f ca="1">IF(K274&gt;=1,AP274*K274,AP274*$AT$1)</f>
        <v>#REF!</v>
      </c>
    </row>
    <row r="275" spans="1:55" s="185" customFormat="1" x14ac:dyDescent="0.3">
      <c r="A275" s="166"/>
      <c r="B275" s="167"/>
      <c r="C275" s="166"/>
      <c r="D275" s="145"/>
      <c r="E275" s="167"/>
      <c r="F275" s="168"/>
      <c r="G275" s="167"/>
      <c r="H275" s="116"/>
      <c r="I275" s="8"/>
      <c r="J275" s="8"/>
      <c r="K275" s="8"/>
      <c r="L275" s="53"/>
      <c r="M275" s="53"/>
      <c r="N275" s="116"/>
      <c r="O275" s="140"/>
      <c r="P275" s="133"/>
      <c r="Q275" s="133"/>
      <c r="R275" s="133"/>
      <c r="S275" s="133"/>
      <c r="T275" s="116"/>
      <c r="U275" s="8"/>
      <c r="V275" s="8"/>
      <c r="W275" s="8"/>
      <c r="X275" s="8"/>
      <c r="Y275" s="8"/>
      <c r="Z275" s="116"/>
      <c r="AA275" s="132"/>
      <c r="AB275" s="132"/>
      <c r="AC275" s="132"/>
      <c r="AD275" s="132"/>
      <c r="AE275" s="116"/>
      <c r="AF275" s="26"/>
      <c r="AG275" s="26"/>
      <c r="AH275" s="26"/>
      <c r="AI275" s="26"/>
      <c r="AJ275" s="116"/>
      <c r="AK275" s="8"/>
      <c r="AL275" s="8"/>
      <c r="AM275" s="8"/>
      <c r="AN275" s="8"/>
      <c r="AO275" s="8"/>
      <c r="AP275" s="8"/>
      <c r="AQ275" s="8"/>
      <c r="AR275" s="7"/>
      <c r="AS275" s="120"/>
      <c r="AT275" s="8"/>
      <c r="AU275" s="38"/>
    </row>
    <row r="276" spans="1:55" s="185" customFormat="1" x14ac:dyDescent="0.3">
      <c r="A276" s="166"/>
      <c r="B276" s="167"/>
      <c r="C276" s="166"/>
      <c r="D276" s="145"/>
      <c r="E276" s="167"/>
      <c r="F276" s="168"/>
      <c r="G276" s="167"/>
      <c r="H276" s="116"/>
      <c r="I276" s="8"/>
      <c r="J276" s="8"/>
      <c r="K276" s="8"/>
      <c r="L276" s="53"/>
      <c r="M276" s="53"/>
      <c r="N276" s="116"/>
      <c r="O276" s="140"/>
      <c r="P276" s="133"/>
      <c r="Q276" s="133"/>
      <c r="R276" s="133"/>
      <c r="S276" s="133"/>
      <c r="T276" s="116"/>
      <c r="U276" s="8"/>
      <c r="V276" s="8"/>
      <c r="W276" s="8"/>
      <c r="X276" s="8"/>
      <c r="Y276" s="8"/>
      <c r="Z276" s="116"/>
      <c r="AA276" s="132"/>
      <c r="AB276" s="132"/>
      <c r="AC276" s="132"/>
      <c r="AD276" s="132"/>
      <c r="AE276" s="116"/>
      <c r="AF276" s="26"/>
      <c r="AG276" s="26"/>
      <c r="AH276" s="26"/>
      <c r="AI276" s="26"/>
      <c r="AJ276" s="116"/>
      <c r="AK276" s="8"/>
      <c r="AL276" s="8"/>
      <c r="AM276" s="8"/>
      <c r="AN276" s="8"/>
      <c r="AO276" s="8"/>
      <c r="AP276" s="8"/>
      <c r="AQ276" s="8"/>
      <c r="AR276" s="7"/>
      <c r="AS276" s="120"/>
      <c r="AT276" s="8"/>
    </row>
    <row r="277" spans="1:55" s="185" customFormat="1" x14ac:dyDescent="0.3">
      <c r="A277" s="166"/>
      <c r="B277" s="167"/>
      <c r="C277" s="166"/>
      <c r="D277" s="145"/>
      <c r="E277" s="167"/>
      <c r="F277" s="168"/>
      <c r="G277" s="167"/>
      <c r="H277" s="116"/>
      <c r="I277" s="8"/>
      <c r="J277" s="8"/>
      <c r="K277" s="8"/>
      <c r="L277" s="53"/>
      <c r="M277" s="53"/>
      <c r="N277" s="116"/>
      <c r="O277" s="140"/>
      <c r="P277" s="133"/>
      <c r="Q277" s="133"/>
      <c r="R277" s="133"/>
      <c r="S277" s="133"/>
      <c r="T277" s="116"/>
      <c r="U277" s="8"/>
      <c r="V277" s="8"/>
      <c r="W277" s="8"/>
      <c r="X277" s="8"/>
      <c r="Y277" s="8"/>
      <c r="Z277" s="116"/>
      <c r="AA277" s="132"/>
      <c r="AB277" s="132"/>
      <c r="AC277" s="132"/>
      <c r="AD277" s="132"/>
      <c r="AE277" s="116"/>
      <c r="AF277" s="26"/>
      <c r="AG277" s="26"/>
      <c r="AH277" s="26"/>
      <c r="AI277" s="26"/>
      <c r="AJ277" s="116"/>
      <c r="AK277" s="8"/>
      <c r="AL277" s="8"/>
      <c r="AM277" s="8"/>
      <c r="AN277" s="8"/>
      <c r="AO277" s="8"/>
      <c r="AP277" s="8"/>
      <c r="AQ277" s="8"/>
      <c r="AR277" s="7"/>
      <c r="AS277" s="120"/>
      <c r="AT277" s="8"/>
    </row>
    <row r="278" spans="1:55" s="185" customFormat="1" x14ac:dyDescent="0.3">
      <c r="A278" s="166"/>
      <c r="B278" s="167"/>
      <c r="C278" s="166"/>
      <c r="D278" s="145"/>
      <c r="E278" s="167"/>
      <c r="F278" s="168"/>
      <c r="G278" s="167"/>
      <c r="H278" s="116"/>
      <c r="I278" s="8"/>
      <c r="J278" s="8"/>
      <c r="K278" s="8"/>
      <c r="L278" s="53"/>
      <c r="M278" s="53"/>
      <c r="N278" s="116"/>
      <c r="O278" s="140"/>
      <c r="P278" s="133"/>
      <c r="Q278" s="133"/>
      <c r="R278" s="133"/>
      <c r="S278" s="133"/>
      <c r="T278" s="116"/>
      <c r="U278" s="8"/>
      <c r="V278" s="8"/>
      <c r="W278" s="8"/>
      <c r="X278" s="8"/>
      <c r="Y278" s="8"/>
      <c r="Z278" s="116"/>
      <c r="AA278" s="132"/>
      <c r="AB278" s="132"/>
      <c r="AC278" s="132"/>
      <c r="AD278" s="132"/>
      <c r="AE278" s="116"/>
      <c r="AF278" s="26"/>
      <c r="AG278" s="26"/>
      <c r="AH278" s="26"/>
      <c r="AI278" s="26"/>
      <c r="AJ278" s="116"/>
      <c r="AK278" s="8"/>
      <c r="AL278" s="8"/>
      <c r="AM278" s="8"/>
      <c r="AN278" s="8"/>
      <c r="AO278" s="8"/>
      <c r="AP278" s="8"/>
      <c r="AQ278" s="8"/>
      <c r="AR278" s="7"/>
      <c r="AS278" s="120"/>
      <c r="AT278" s="8"/>
    </row>
    <row r="279" spans="1:55" s="185" customFormat="1" x14ac:dyDescent="0.3">
      <c r="A279" s="166"/>
      <c r="B279" s="167"/>
      <c r="C279" s="166"/>
      <c r="D279" s="145"/>
      <c r="E279" s="167"/>
      <c r="F279" s="168"/>
      <c r="G279" s="167"/>
      <c r="H279" s="116"/>
      <c r="I279" s="8"/>
      <c r="J279" s="8"/>
      <c r="K279" s="8"/>
      <c r="L279" s="53"/>
      <c r="M279" s="53"/>
      <c r="N279" s="116"/>
      <c r="O279" s="140"/>
      <c r="P279" s="133"/>
      <c r="Q279" s="133"/>
      <c r="R279" s="133"/>
      <c r="S279" s="133"/>
      <c r="T279" s="116"/>
      <c r="U279" s="8"/>
      <c r="V279" s="8"/>
      <c r="W279" s="8"/>
      <c r="X279" s="8"/>
      <c r="Y279" s="8"/>
      <c r="Z279" s="116"/>
      <c r="AA279" s="132"/>
      <c r="AB279" s="132"/>
      <c r="AC279" s="132"/>
      <c r="AD279" s="132"/>
      <c r="AE279" s="116"/>
      <c r="AF279" s="26"/>
      <c r="AG279" s="26"/>
      <c r="AH279" s="26"/>
      <c r="AI279" s="26"/>
      <c r="AJ279" s="116"/>
      <c r="AK279" s="8"/>
      <c r="AL279" s="8"/>
      <c r="AM279" s="8"/>
      <c r="AN279" s="8"/>
      <c r="AO279" s="8"/>
      <c r="AP279" s="8"/>
      <c r="AQ279" s="8"/>
      <c r="AR279" s="7"/>
      <c r="AS279" s="120"/>
      <c r="AT279" s="8"/>
    </row>
    <row r="280" spans="1:55" s="185" customFormat="1" x14ac:dyDescent="0.3">
      <c r="A280" s="166"/>
      <c r="B280" s="167"/>
      <c r="C280" s="166"/>
      <c r="D280" s="145"/>
      <c r="E280" s="167"/>
      <c r="F280" s="168"/>
      <c r="G280" s="167"/>
      <c r="H280" s="116"/>
      <c r="I280" s="8"/>
      <c r="J280" s="8"/>
      <c r="K280" s="8"/>
      <c r="L280" s="53"/>
      <c r="M280" s="53"/>
      <c r="N280" s="116"/>
      <c r="O280" s="140"/>
      <c r="P280" s="133"/>
      <c r="Q280" s="133"/>
      <c r="R280" s="133"/>
      <c r="S280" s="133"/>
      <c r="T280" s="116"/>
      <c r="U280" s="8"/>
      <c r="V280" s="8"/>
      <c r="W280" s="8"/>
      <c r="X280" s="8"/>
      <c r="Y280" s="8"/>
      <c r="Z280" s="116"/>
      <c r="AA280" s="132"/>
      <c r="AB280" s="132"/>
      <c r="AC280" s="132"/>
      <c r="AD280" s="132"/>
      <c r="AE280" s="116"/>
      <c r="AF280" s="26"/>
      <c r="AG280" s="26"/>
      <c r="AH280" s="26"/>
      <c r="AI280" s="26"/>
      <c r="AJ280" s="116"/>
      <c r="AK280" s="8"/>
      <c r="AL280" s="8"/>
      <c r="AM280" s="8"/>
      <c r="AN280" s="8"/>
      <c r="AO280" s="8"/>
      <c r="AP280" s="8"/>
      <c r="AQ280" s="8"/>
      <c r="AR280" s="7"/>
      <c r="AS280" s="120"/>
      <c r="AT280" s="8"/>
    </row>
    <row r="281" spans="1:55" s="185" customFormat="1" x14ac:dyDescent="0.3">
      <c r="A281" s="166"/>
      <c r="B281" s="167"/>
      <c r="C281" s="166"/>
      <c r="D281" s="145"/>
      <c r="E281" s="167"/>
      <c r="F281" s="168"/>
      <c r="G281" s="167"/>
      <c r="H281" s="116"/>
      <c r="I281" s="8"/>
      <c r="J281" s="8"/>
      <c r="K281" s="8"/>
      <c r="L281" s="53"/>
      <c r="M281" s="53"/>
      <c r="N281" s="116"/>
      <c r="O281" s="140"/>
      <c r="P281" s="133"/>
      <c r="Q281" s="133"/>
      <c r="R281" s="133"/>
      <c r="S281" s="133"/>
      <c r="T281" s="116"/>
      <c r="U281" s="8"/>
      <c r="V281" s="8"/>
      <c r="W281" s="8"/>
      <c r="X281" s="8"/>
      <c r="Y281" s="8"/>
      <c r="Z281" s="116"/>
      <c r="AA281" s="132"/>
      <c r="AB281" s="132"/>
      <c r="AC281" s="132"/>
      <c r="AD281" s="132"/>
      <c r="AE281" s="116"/>
      <c r="AF281" s="26"/>
      <c r="AG281" s="26"/>
      <c r="AH281" s="26"/>
      <c r="AI281" s="26"/>
      <c r="AJ281" s="116"/>
      <c r="AK281" s="8"/>
      <c r="AL281" s="8"/>
      <c r="AM281" s="8"/>
      <c r="AN281" s="8"/>
      <c r="AO281" s="8"/>
      <c r="AP281" s="8"/>
      <c r="AQ281" s="8"/>
      <c r="AR281" s="7"/>
      <c r="AS281" s="120"/>
      <c r="AT281" s="8"/>
    </row>
    <row r="282" spans="1:55" s="189" customFormat="1" x14ac:dyDescent="0.3">
      <c r="A282" s="166"/>
      <c r="B282" s="167"/>
      <c r="C282" s="166"/>
      <c r="D282" s="145"/>
      <c r="E282" s="167"/>
      <c r="F282" s="168"/>
      <c r="G282" s="167"/>
      <c r="H282" s="116"/>
      <c r="I282" s="8"/>
      <c r="J282" s="8"/>
      <c r="K282" s="8"/>
      <c r="L282" s="53"/>
      <c r="M282" s="53"/>
      <c r="N282" s="116"/>
      <c r="O282" s="140"/>
      <c r="P282" s="133"/>
      <c r="Q282" s="133"/>
      <c r="R282" s="133"/>
      <c r="S282" s="133"/>
      <c r="T282" s="116"/>
      <c r="U282" s="8"/>
      <c r="V282" s="8"/>
      <c r="W282" s="8"/>
      <c r="X282" s="8"/>
      <c r="Y282" s="8"/>
      <c r="Z282" s="116"/>
      <c r="AA282" s="132"/>
      <c r="AB282" s="132"/>
      <c r="AC282" s="132"/>
      <c r="AD282" s="132"/>
      <c r="AE282" s="116"/>
      <c r="AF282" s="26"/>
      <c r="AG282" s="26"/>
      <c r="AH282" s="26"/>
      <c r="AI282" s="26"/>
      <c r="AJ282" s="116"/>
      <c r="AK282" s="8"/>
      <c r="AL282" s="8"/>
      <c r="AM282" s="8"/>
      <c r="AN282" s="8"/>
      <c r="AO282" s="8"/>
      <c r="AP282" s="8"/>
      <c r="AQ282" s="8"/>
      <c r="AR282" s="190"/>
      <c r="AS282" s="120"/>
      <c r="AT282" s="8"/>
      <c r="AV282" s="185"/>
      <c r="AW282" s="185"/>
      <c r="AX282" s="185"/>
      <c r="AY282" s="185"/>
      <c r="BA282" s="185"/>
      <c r="BB282" s="185"/>
      <c r="BC282" s="185"/>
    </row>
    <row r="283" spans="1:55" s="189" customFormat="1" x14ac:dyDescent="0.3">
      <c r="A283" s="166"/>
      <c r="B283" s="167"/>
      <c r="C283" s="166"/>
      <c r="D283" s="145"/>
      <c r="E283" s="167"/>
      <c r="F283" s="168"/>
      <c r="G283" s="167"/>
      <c r="H283" s="116"/>
      <c r="I283" s="8"/>
      <c r="J283" s="8"/>
      <c r="K283" s="8"/>
      <c r="L283" s="53"/>
      <c r="M283" s="53"/>
      <c r="N283" s="116"/>
      <c r="O283" s="140"/>
      <c r="P283" s="133"/>
      <c r="Q283" s="133"/>
      <c r="R283" s="133"/>
      <c r="S283" s="133"/>
      <c r="T283" s="116"/>
      <c r="U283" s="8"/>
      <c r="V283" s="8"/>
      <c r="W283" s="8"/>
      <c r="X283" s="8"/>
      <c r="Y283" s="8"/>
      <c r="Z283" s="116"/>
      <c r="AA283" s="132"/>
      <c r="AB283" s="132"/>
      <c r="AC283" s="132"/>
      <c r="AD283" s="132"/>
      <c r="AE283" s="116"/>
      <c r="AF283" s="26"/>
      <c r="AG283" s="26"/>
      <c r="AH283" s="26"/>
      <c r="AI283" s="26"/>
      <c r="AJ283" s="116"/>
      <c r="AK283" s="8"/>
      <c r="AL283" s="8"/>
      <c r="AM283" s="8"/>
      <c r="AN283" s="8"/>
      <c r="AO283" s="8"/>
      <c r="AP283" s="8"/>
      <c r="AQ283" s="8"/>
      <c r="AR283" s="190"/>
      <c r="AS283" s="120"/>
      <c r="AT283" s="8"/>
      <c r="AV283" s="185"/>
      <c r="AW283" s="185"/>
      <c r="AX283" s="185"/>
      <c r="AY283" s="185"/>
      <c r="BA283" s="185"/>
      <c r="BB283" s="185"/>
      <c r="BC283" s="185"/>
    </row>
    <row r="284" spans="1:55" s="189" customFormat="1" x14ac:dyDescent="0.3">
      <c r="A284" s="166"/>
      <c r="B284" s="167"/>
      <c r="C284" s="166"/>
      <c r="D284" s="145"/>
      <c r="E284" s="167"/>
      <c r="F284" s="168"/>
      <c r="G284" s="167"/>
      <c r="H284" s="116"/>
      <c r="I284" s="8"/>
      <c r="J284" s="8"/>
      <c r="K284" s="8"/>
      <c r="L284" s="53"/>
      <c r="M284" s="53"/>
      <c r="N284" s="116"/>
      <c r="O284" s="140"/>
      <c r="P284" s="133"/>
      <c r="Q284" s="133"/>
      <c r="R284" s="133"/>
      <c r="S284" s="133"/>
      <c r="T284" s="116"/>
      <c r="U284" s="8"/>
      <c r="V284" s="8"/>
      <c r="W284" s="8"/>
      <c r="X284" s="8"/>
      <c r="Y284" s="8"/>
      <c r="Z284" s="116"/>
      <c r="AA284" s="132"/>
      <c r="AB284" s="132"/>
      <c r="AC284" s="132"/>
      <c r="AD284" s="132"/>
      <c r="AE284" s="116"/>
      <c r="AF284" s="26"/>
      <c r="AG284" s="26"/>
      <c r="AH284" s="26"/>
      <c r="AI284" s="26"/>
      <c r="AJ284" s="116"/>
      <c r="AK284" s="8"/>
      <c r="AL284" s="8"/>
      <c r="AM284" s="8"/>
      <c r="AN284" s="8"/>
      <c r="AO284" s="8"/>
      <c r="AP284" s="8"/>
      <c r="AQ284" s="8"/>
      <c r="AR284" s="190"/>
      <c r="AS284" s="120"/>
      <c r="AT284" s="8"/>
      <c r="AV284" s="185"/>
      <c r="AW284" s="185"/>
      <c r="AX284" s="185"/>
      <c r="AY284" s="185"/>
      <c r="BA284" s="185"/>
      <c r="BB284" s="185"/>
      <c r="BC284" s="185"/>
    </row>
    <row r="285" spans="1:55" s="189" customFormat="1" x14ac:dyDescent="0.3">
      <c r="A285" s="166"/>
      <c r="B285" s="167"/>
      <c r="C285" s="166"/>
      <c r="D285" s="145"/>
      <c r="E285" s="167"/>
      <c r="F285" s="168"/>
      <c r="G285" s="167"/>
      <c r="H285" s="116"/>
      <c r="I285" s="8"/>
      <c r="J285" s="8"/>
      <c r="K285" s="8"/>
      <c r="L285" s="53"/>
      <c r="M285" s="53"/>
      <c r="N285" s="116"/>
      <c r="O285" s="140"/>
      <c r="P285" s="133"/>
      <c r="Q285" s="133"/>
      <c r="R285" s="133"/>
      <c r="S285" s="133"/>
      <c r="T285" s="116"/>
      <c r="U285" s="8"/>
      <c r="V285" s="8"/>
      <c r="W285" s="8"/>
      <c r="X285" s="8"/>
      <c r="Y285" s="8"/>
      <c r="Z285" s="116"/>
      <c r="AA285" s="132"/>
      <c r="AB285" s="132"/>
      <c r="AC285" s="132"/>
      <c r="AD285" s="132"/>
      <c r="AE285" s="116"/>
      <c r="AF285" s="26"/>
      <c r="AG285" s="26"/>
      <c r="AH285" s="26"/>
      <c r="AI285" s="26"/>
      <c r="AJ285" s="116"/>
      <c r="AK285" s="8"/>
      <c r="AL285" s="8"/>
      <c r="AM285" s="8"/>
      <c r="AN285" s="8"/>
      <c r="AO285" s="8"/>
      <c r="AP285" s="8"/>
      <c r="AQ285" s="8"/>
      <c r="AR285" s="190"/>
      <c r="AS285" s="120"/>
      <c r="AT285" s="8"/>
      <c r="AV285" s="185"/>
      <c r="AW285" s="185"/>
      <c r="AX285" s="185"/>
      <c r="AY285" s="185"/>
    </row>
    <row r="286" spans="1:55" s="189" customFormat="1" x14ac:dyDescent="0.3">
      <c r="A286" s="166"/>
      <c r="B286" s="167"/>
      <c r="C286" s="166"/>
      <c r="D286" s="145"/>
      <c r="E286" s="167"/>
      <c r="F286" s="168"/>
      <c r="G286" s="167"/>
      <c r="H286" s="116"/>
      <c r="I286" s="8"/>
      <c r="J286" s="8"/>
      <c r="K286" s="8"/>
      <c r="L286" s="53"/>
      <c r="M286" s="53"/>
      <c r="N286" s="116"/>
      <c r="O286" s="140"/>
      <c r="P286" s="133"/>
      <c r="Q286" s="133"/>
      <c r="R286" s="133"/>
      <c r="S286" s="133"/>
      <c r="T286" s="116"/>
      <c r="U286" s="8"/>
      <c r="V286" s="8"/>
      <c r="W286" s="8"/>
      <c r="X286" s="8"/>
      <c r="Y286" s="8"/>
      <c r="Z286" s="116"/>
      <c r="AA286" s="132"/>
      <c r="AB286" s="132"/>
      <c r="AC286" s="132"/>
      <c r="AD286" s="132"/>
      <c r="AE286" s="116"/>
      <c r="AF286" s="26"/>
      <c r="AG286" s="26"/>
      <c r="AH286" s="26"/>
      <c r="AI286" s="26"/>
      <c r="AJ286" s="116"/>
      <c r="AK286" s="8"/>
      <c r="AL286" s="8"/>
      <c r="AM286" s="8"/>
      <c r="AN286" s="8"/>
      <c r="AO286" s="8"/>
      <c r="AP286" s="8"/>
      <c r="AQ286" s="8"/>
      <c r="AR286" s="190"/>
      <c r="AS286" s="120"/>
      <c r="AT286" s="8"/>
    </row>
    <row r="287" spans="1:55" s="185" customFormat="1" x14ac:dyDescent="0.3">
      <c r="A287" s="169" t="s">
        <v>732</v>
      </c>
      <c r="B287" s="170">
        <v>863516370</v>
      </c>
      <c r="C287" s="169" t="s">
        <v>322</v>
      </c>
      <c r="D287" s="145" t="str">
        <f t="shared" ref="D287:D344" si="958">A287&amp;"/"&amp;C287</f>
        <v>DEL/AMS</v>
      </c>
      <c r="E287" s="170">
        <v>171959976</v>
      </c>
      <c r="F287" s="171"/>
      <c r="G287" s="170">
        <v>0</v>
      </c>
      <c r="H287" s="116"/>
      <c r="I287" s="8">
        <v>0</v>
      </c>
      <c r="J287" s="8">
        <v>0</v>
      </c>
      <c r="K287" s="8">
        <v>0</v>
      </c>
      <c r="L287"/>
      <c r="M287"/>
      <c r="N287" s="116"/>
      <c r="O287" s="140"/>
      <c r="P287" s="133">
        <f>SUMIFS(GestionLignesDemande!D$4:D$1000,GestionLignesDemande!$B$4:$B$1000,ROI_Avions!$A287,GestionLignesDemande!$C$4:$C$1000,ROI_Avions!$C287)</f>
        <v>0</v>
      </c>
      <c r="Q287" s="133">
        <f>SUMIFS(GestionLignesDemande!E$4:E$1000,GestionLignesDemande!$B$4:$B$1000,ROI_Avions!$A287,GestionLignesDemande!$C$4:$C$1000,ROI_Avions!$C287)</f>
        <v>0</v>
      </c>
      <c r="R287" s="133">
        <f>SUMIFS(GestionLignesDemande!F$4:F$1000,GestionLignesDemande!$B$4:$B$1000,ROI_Avions!$A287,GestionLignesDemande!$C$4:$C$1000,ROI_Avions!$C287)</f>
        <v>0</v>
      </c>
      <c r="S287" s="133">
        <f>SUMIFS(GestionLignesDemande!G$4:G$1000,GestionLignesDemande!$B$4:$B$1000,ROI_Avions!$A287,GestionLignesDemande!$C$4:$C$1000,ROI_Avions!$C287)</f>
        <v>0</v>
      </c>
      <c r="T287" s="116"/>
      <c r="U287" s="8">
        <f t="shared" si="1"/>
        <v>0</v>
      </c>
      <c r="V287" s="8">
        <v>0</v>
      </c>
      <c r="W287" s="8">
        <v>0</v>
      </c>
      <c r="X287" s="8">
        <v>0</v>
      </c>
      <c r="Y287" s="8">
        <v>0</v>
      </c>
      <c r="Z287" s="116"/>
      <c r="AA287" s="42">
        <f t="shared" si="2"/>
        <v>0</v>
      </c>
      <c r="AB287" s="42">
        <f t="shared" si="3"/>
        <v>0</v>
      </c>
      <c r="AC287" s="42">
        <f t="shared" si="4"/>
        <v>0</v>
      </c>
      <c r="AD287" s="42">
        <f t="shared" si="5"/>
        <v>0</v>
      </c>
      <c r="AE287" s="116"/>
      <c r="AF287" s="26">
        <f>SUMIFS(DataPrixBillets!N$1:N$1000,DataPrixBillets!$J$1:$J$1000,ROI_Avions!$A287,DataPrixBillets!$K$1:$K$1000,ROI_Avions!$C287)</f>
        <v>0</v>
      </c>
      <c r="AG287" s="26">
        <f>SUMIFS(DataPrixBillets!O$1:O$1000,DataPrixBillets!$J$1:$J$1000,ROI_Avions!$A287,DataPrixBillets!$K$1:$K$1000,ROI_Avions!$C287)</f>
        <v>0</v>
      </c>
      <c r="AH287" s="26">
        <f>SUMIFS(DataPrixBillets!P$1:P$1000,DataPrixBillets!$J$1:$J$1000,ROI_Avions!$A287,DataPrixBillets!$K$1:$K$1000,ROI_Avions!$C287)</f>
        <v>0</v>
      </c>
      <c r="AI287" s="26">
        <f>SUMIFS(DataPrixBillets!Q$1:Q$1000,DataPrixBillets!$J$1:$J$1000,ROI_Avions!$A287,DataPrixBillets!$K$1:$K$1000,ROI_Avions!$C287)</f>
        <v>0</v>
      </c>
      <c r="AJ287" s="116"/>
      <c r="AK287" s="8">
        <f t="shared" ref="AK287:AK303" si="959">(((AF287*V287)*2+(AG287*W287)*2+(AH287*X287)*2+(AI287*Y287)*2)*7)</f>
        <v>0</v>
      </c>
      <c r="AL287" s="8" t="e">
        <f t="shared" ca="1" si="21"/>
        <v>#REF!</v>
      </c>
      <c r="AM287" s="8" t="e">
        <f t="shared" ca="1" si="22"/>
        <v>#REF!</v>
      </c>
      <c r="AN287" s="8" t="e">
        <f t="shared" ca="1" si="23"/>
        <v>#REF!</v>
      </c>
      <c r="AO287" s="8" t="e">
        <f t="shared" ca="1" si="24"/>
        <v>#REF!</v>
      </c>
      <c r="AP287" s="8" t="e">
        <f t="shared" ca="1" si="25"/>
        <v>#REF!</v>
      </c>
      <c r="AQ287" s="8" t="e">
        <f t="shared" ca="1" si="26"/>
        <v>#REF!</v>
      </c>
      <c r="AR287" s="7">
        <f t="shared" ref="AR287:AR295" ca="1" si="960">IFERROR((AP287/7)/((B287/COUNTIFS(A:A,A287))+(E287/COUNTIFS(A:A,A287,C:C,C287))+I287*K287+J287+G287),0)</f>
        <v>0</v>
      </c>
      <c r="AS287" s="120">
        <f t="shared" ref="AS287:AS318" ca="1" si="961">IFERROR(((B287/COUNTIFS(A:A,A287))+(E287/COUNTIFS(A:A,A287,C:C,C287))+I287*K287+J287+G287)/(AP287/7),0)</f>
        <v>0</v>
      </c>
      <c r="AT287" s="8" t="e">
        <f t="shared" ca="1" si="28"/>
        <v>#REF!</v>
      </c>
      <c r="AV287" s="189"/>
      <c r="AW287" s="189"/>
      <c r="AX287" s="189"/>
      <c r="AY287" s="189"/>
      <c r="BA287" s="189"/>
      <c r="BB287" s="189"/>
      <c r="BC287" s="189"/>
    </row>
    <row r="288" spans="1:55" s="185" customFormat="1" x14ac:dyDescent="0.3">
      <c r="A288" s="172" t="s">
        <v>731</v>
      </c>
      <c r="B288" s="173">
        <v>555155814</v>
      </c>
      <c r="C288" s="172" t="s">
        <v>322</v>
      </c>
      <c r="D288" s="145" t="str">
        <f t="shared" si="958"/>
        <v>DKR/AMS</v>
      </c>
      <c r="E288" s="173">
        <v>191172963</v>
      </c>
      <c r="F288" s="174"/>
      <c r="G288" s="173">
        <v>0</v>
      </c>
      <c r="H288" s="116"/>
      <c r="I288" s="8">
        <v>0</v>
      </c>
      <c r="J288" s="8">
        <v>0</v>
      </c>
      <c r="K288" s="8">
        <v>0</v>
      </c>
      <c r="L288"/>
      <c r="M288"/>
      <c r="N288" s="116"/>
      <c r="O288" s="140"/>
      <c r="P288" s="133">
        <f>SUMIFS(GestionLignesDemande!D$4:D$1000,GestionLignesDemande!$B$4:$B$1000,ROI_Avions!$A288,GestionLignesDemande!$C$4:$C$1000,ROI_Avions!$C288)</f>
        <v>0</v>
      </c>
      <c r="Q288" s="133">
        <f>SUMIFS(GestionLignesDemande!E$4:E$1000,GestionLignesDemande!$B$4:$B$1000,ROI_Avions!$A288,GestionLignesDemande!$C$4:$C$1000,ROI_Avions!$C288)</f>
        <v>0</v>
      </c>
      <c r="R288" s="133">
        <f>SUMIFS(GestionLignesDemande!F$4:F$1000,GestionLignesDemande!$B$4:$B$1000,ROI_Avions!$A288,GestionLignesDemande!$C$4:$C$1000,ROI_Avions!$C288)</f>
        <v>0</v>
      </c>
      <c r="S288" s="133">
        <f>SUMIFS(GestionLignesDemande!G$4:G$1000,GestionLignesDemande!$B$4:$B$1000,ROI_Avions!$A288,GestionLignesDemande!$C$4:$C$1000,ROI_Avions!$C288)</f>
        <v>0</v>
      </c>
      <c r="T288" s="116"/>
      <c r="U288" s="8">
        <f t="shared" ref="U288:U351" si="962">SUM(V288:Y288)</f>
        <v>0</v>
      </c>
      <c r="V288" s="8">
        <v>0</v>
      </c>
      <c r="W288" s="8">
        <v>0</v>
      </c>
      <c r="X288" s="8">
        <v>0</v>
      </c>
      <c r="Y288" s="8">
        <v>0</v>
      </c>
      <c r="Z288" s="116"/>
      <c r="AA288" s="42">
        <f t="shared" si="2"/>
        <v>0</v>
      </c>
      <c r="AB288" s="42">
        <f t="shared" si="3"/>
        <v>0</v>
      </c>
      <c r="AC288" s="42">
        <f t="shared" si="4"/>
        <v>0</v>
      </c>
      <c r="AD288" s="42">
        <f t="shared" si="5"/>
        <v>0</v>
      </c>
      <c r="AE288" s="116"/>
      <c r="AF288" s="26">
        <f>SUMIFS(DataPrixBillets!N$1:N$1000,DataPrixBillets!$J$1:$J$1000,ROI_Avions!$A288,DataPrixBillets!$K$1:$K$1000,ROI_Avions!$C288)</f>
        <v>0</v>
      </c>
      <c r="AG288" s="26">
        <f>SUMIFS(DataPrixBillets!O$1:O$1000,DataPrixBillets!$J$1:$J$1000,ROI_Avions!$A288,DataPrixBillets!$K$1:$K$1000,ROI_Avions!$C288)</f>
        <v>0</v>
      </c>
      <c r="AH288" s="26">
        <f>SUMIFS(DataPrixBillets!P$1:P$1000,DataPrixBillets!$J$1:$J$1000,ROI_Avions!$A288,DataPrixBillets!$K$1:$K$1000,ROI_Avions!$C288)</f>
        <v>0</v>
      </c>
      <c r="AI288" s="26">
        <f>SUMIFS(DataPrixBillets!Q$1:Q$1000,DataPrixBillets!$J$1:$J$1000,ROI_Avions!$A288,DataPrixBillets!$K$1:$K$1000,ROI_Avions!$C288)</f>
        <v>0</v>
      </c>
      <c r="AJ288" s="116"/>
      <c r="AK288" s="8">
        <f t="shared" si="959"/>
        <v>0</v>
      </c>
      <c r="AL288" s="8" t="e">
        <f t="shared" ca="1" si="21"/>
        <v>#REF!</v>
      </c>
      <c r="AM288" s="8" t="e">
        <f t="shared" ca="1" si="22"/>
        <v>#REF!</v>
      </c>
      <c r="AN288" s="8" t="e">
        <f t="shared" ca="1" si="23"/>
        <v>#REF!</v>
      </c>
      <c r="AO288" s="8" t="e">
        <f t="shared" ca="1" si="24"/>
        <v>#REF!</v>
      </c>
      <c r="AP288" s="8" t="e">
        <f t="shared" ca="1" si="25"/>
        <v>#REF!</v>
      </c>
      <c r="AQ288" s="8" t="e">
        <f t="shared" ca="1" si="26"/>
        <v>#REF!</v>
      </c>
      <c r="AR288" s="7">
        <f t="shared" ca="1" si="960"/>
        <v>0</v>
      </c>
      <c r="AS288" s="120">
        <f t="shared" ca="1" si="961"/>
        <v>0</v>
      </c>
      <c r="AT288" s="8" t="e">
        <f t="shared" ca="1" si="28"/>
        <v>#REF!</v>
      </c>
      <c r="AV288" s="189"/>
      <c r="AW288" s="189"/>
      <c r="AX288" s="189"/>
      <c r="AY288" s="189"/>
      <c r="BA288" s="189"/>
      <c r="BB288" s="189"/>
      <c r="BC288" s="189"/>
    </row>
    <row r="289" spans="1:55" s="185" customFormat="1" x14ac:dyDescent="0.3">
      <c r="A289" s="178" t="s">
        <v>428</v>
      </c>
      <c r="B289" s="179">
        <v>456350775</v>
      </c>
      <c r="C289" s="178" t="s">
        <v>322</v>
      </c>
      <c r="D289" s="145" t="str">
        <f t="shared" si="958"/>
        <v>FIH/AMS</v>
      </c>
      <c r="E289" s="179">
        <v>147619612</v>
      </c>
      <c r="F289" s="179"/>
      <c r="G289" s="179">
        <v>0</v>
      </c>
      <c r="H289" s="116"/>
      <c r="I289" s="8">
        <v>0</v>
      </c>
      <c r="J289" s="8">
        <v>0</v>
      </c>
      <c r="K289" s="8">
        <v>0</v>
      </c>
      <c r="L289"/>
      <c r="M289"/>
      <c r="N289" s="116"/>
      <c r="O289" s="140"/>
      <c r="P289" s="133">
        <f>SUMIFS(GestionLignesDemande!D$4:D$1000,GestionLignesDemande!$B$4:$B$1000,ROI_Avions!$A289,GestionLignesDemande!$C$4:$C$1000,ROI_Avions!$C289)</f>
        <v>0</v>
      </c>
      <c r="Q289" s="133">
        <f>SUMIFS(GestionLignesDemande!E$4:E$1000,GestionLignesDemande!$B$4:$B$1000,ROI_Avions!$A289,GestionLignesDemande!$C$4:$C$1000,ROI_Avions!$C289)</f>
        <v>0</v>
      </c>
      <c r="R289" s="133">
        <f>SUMIFS(GestionLignesDemande!F$4:F$1000,GestionLignesDemande!$B$4:$B$1000,ROI_Avions!$A289,GestionLignesDemande!$C$4:$C$1000,ROI_Avions!$C289)</f>
        <v>0</v>
      </c>
      <c r="S289" s="133">
        <f>SUMIFS(GestionLignesDemande!G$4:G$1000,GestionLignesDemande!$B$4:$B$1000,ROI_Avions!$A289,GestionLignesDemande!$C$4:$C$1000,ROI_Avions!$C289)</f>
        <v>0</v>
      </c>
      <c r="T289" s="116"/>
      <c r="U289" s="8">
        <f t="shared" si="962"/>
        <v>0</v>
      </c>
      <c r="V289" s="8">
        <v>0</v>
      </c>
      <c r="W289" s="8">
        <v>0</v>
      </c>
      <c r="X289" s="8">
        <v>0</v>
      </c>
      <c r="Y289" s="8">
        <v>0</v>
      </c>
      <c r="Z289" s="116"/>
      <c r="AA289" s="42">
        <f t="shared" si="2"/>
        <v>0</v>
      </c>
      <c r="AB289" s="42">
        <f t="shared" si="3"/>
        <v>0</v>
      </c>
      <c r="AC289" s="42">
        <f t="shared" si="4"/>
        <v>0</v>
      </c>
      <c r="AD289" s="42">
        <f t="shared" si="5"/>
        <v>0</v>
      </c>
      <c r="AE289" s="116"/>
      <c r="AF289" s="26">
        <f>SUMIFS(DataPrixBillets!N$1:N$1000,DataPrixBillets!$J$1:$J$1000,ROI_Avions!$A289,DataPrixBillets!$K$1:$K$1000,ROI_Avions!$C289)</f>
        <v>0</v>
      </c>
      <c r="AG289" s="26">
        <f>SUMIFS(DataPrixBillets!O$1:O$1000,DataPrixBillets!$J$1:$J$1000,ROI_Avions!$A289,DataPrixBillets!$K$1:$K$1000,ROI_Avions!$C289)</f>
        <v>0</v>
      </c>
      <c r="AH289" s="26">
        <f>SUMIFS(DataPrixBillets!P$1:P$1000,DataPrixBillets!$J$1:$J$1000,ROI_Avions!$A289,DataPrixBillets!$K$1:$K$1000,ROI_Avions!$C289)</f>
        <v>0</v>
      </c>
      <c r="AI289" s="26">
        <f>SUMIFS(DataPrixBillets!Q$1:Q$1000,DataPrixBillets!$J$1:$J$1000,ROI_Avions!$A289,DataPrixBillets!$K$1:$K$1000,ROI_Avions!$C289)</f>
        <v>0</v>
      </c>
      <c r="AJ289" s="116"/>
      <c r="AK289" s="8">
        <f t="shared" si="959"/>
        <v>0</v>
      </c>
      <c r="AL289" s="8" t="e">
        <f t="shared" ca="1" si="21"/>
        <v>#REF!</v>
      </c>
      <c r="AM289" s="8" t="e">
        <f t="shared" ca="1" si="22"/>
        <v>#REF!</v>
      </c>
      <c r="AN289" s="8" t="e">
        <f t="shared" ca="1" si="23"/>
        <v>#REF!</v>
      </c>
      <c r="AO289" s="8" t="e">
        <f t="shared" ca="1" si="24"/>
        <v>#REF!</v>
      </c>
      <c r="AP289" s="8" t="e">
        <f t="shared" ca="1" si="25"/>
        <v>#REF!</v>
      </c>
      <c r="AQ289" s="8" t="e">
        <f t="shared" ca="1" si="26"/>
        <v>#REF!</v>
      </c>
      <c r="AR289" s="7">
        <f t="shared" ca="1" si="960"/>
        <v>0</v>
      </c>
      <c r="AS289" s="120">
        <f t="shared" ca="1" si="961"/>
        <v>0</v>
      </c>
      <c r="AT289" s="8" t="e">
        <f t="shared" ca="1" si="28"/>
        <v>#REF!</v>
      </c>
      <c r="AV289" s="189"/>
      <c r="AW289" s="189"/>
      <c r="AX289" s="189"/>
      <c r="AY289" s="189"/>
      <c r="BA289" s="189"/>
      <c r="BB289" s="189"/>
      <c r="BC289" s="189"/>
    </row>
    <row r="290" spans="1:55" s="189" customFormat="1" ht="15.75" customHeight="1" x14ac:dyDescent="0.3">
      <c r="A290" s="178" t="s">
        <v>428</v>
      </c>
      <c r="B290" s="179">
        <v>456350775</v>
      </c>
      <c r="C290" s="178" t="s">
        <v>866</v>
      </c>
      <c r="D290" s="145" t="str">
        <f t="shared" si="958"/>
        <v>FIH/CNX</v>
      </c>
      <c r="E290" s="179">
        <v>40723911</v>
      </c>
      <c r="F290" s="179" t="str">
        <f>"B748-A-"&amp;A290&amp;"-"&amp;C290&amp;"-"&amp;1</f>
        <v>B748-A-FIH-CNX-1</v>
      </c>
      <c r="G290" s="179">
        <v>317520000</v>
      </c>
      <c r="H290" s="116"/>
      <c r="I290" s="8">
        <v>0</v>
      </c>
      <c r="J290" s="8">
        <v>0</v>
      </c>
      <c r="K290" s="8">
        <v>0</v>
      </c>
      <c r="N290" s="116"/>
      <c r="O290" s="140"/>
      <c r="P290" s="133">
        <f>SUMIFS(GestionLignesDemande!D$4:D$1000,GestionLignesDemande!$B$4:$B$1000,ROI_Avions!$A290,GestionLignesDemande!$C$4:$C$1000,ROI_Avions!$C290)</f>
        <v>0</v>
      </c>
      <c r="Q290" s="133">
        <f>SUMIFS(GestionLignesDemande!E$4:E$1000,GestionLignesDemande!$B$4:$B$1000,ROI_Avions!$A290,GestionLignesDemande!$C$4:$C$1000,ROI_Avions!$C290)</f>
        <v>0</v>
      </c>
      <c r="R290" s="133">
        <f>SUMIFS(GestionLignesDemande!F$4:F$1000,GestionLignesDemande!$B$4:$B$1000,ROI_Avions!$A290,GestionLignesDemande!$C$4:$C$1000,ROI_Avions!$C290)</f>
        <v>0</v>
      </c>
      <c r="S290" s="133">
        <f>SUMIFS(GestionLignesDemande!G$4:G$1000,GestionLignesDemande!$B$4:$B$1000,ROI_Avions!$A290,GestionLignesDemande!$C$4:$C$1000,ROI_Avions!$C290)</f>
        <v>0</v>
      </c>
      <c r="T290" s="116"/>
      <c r="U290" s="8">
        <f t="shared" si="962"/>
        <v>664</v>
      </c>
      <c r="V290" s="8">
        <v>633</v>
      </c>
      <c r="W290" s="8">
        <v>20</v>
      </c>
      <c r="X290" s="8">
        <v>1</v>
      </c>
      <c r="Y290" s="8">
        <v>10</v>
      </c>
      <c r="Z290" s="116"/>
      <c r="AA290" s="132">
        <f>P290-(V290*2)</f>
        <v>-1266</v>
      </c>
      <c r="AB290" s="132">
        <f>Q290-(W290*2)</f>
        <v>-40</v>
      </c>
      <c r="AC290" s="132">
        <f>R290-(X290*2)</f>
        <v>-2</v>
      </c>
      <c r="AD290" s="132">
        <f>S290-(Y290*2)</f>
        <v>-20</v>
      </c>
      <c r="AE290" s="116"/>
      <c r="AF290" s="26">
        <f>SUMIFS(DataPrixBillets!N$1:N$1000,DataPrixBillets!$J$1:$J$1000,ROI_Avions!$A290,DataPrixBillets!$K$1:$K$1000,ROI_Avions!$C290)</f>
        <v>0</v>
      </c>
      <c r="AG290" s="26">
        <f>SUMIFS(DataPrixBillets!O$1:O$1000,DataPrixBillets!$J$1:$J$1000,ROI_Avions!$A290,DataPrixBillets!$K$1:$K$1000,ROI_Avions!$C290)</f>
        <v>0</v>
      </c>
      <c r="AH290" s="26">
        <f>SUMIFS(DataPrixBillets!P$1:P$1000,DataPrixBillets!$J$1:$J$1000,ROI_Avions!$A290,DataPrixBillets!$K$1:$K$1000,ROI_Avions!$C290)</f>
        <v>0</v>
      </c>
      <c r="AI290" s="26">
        <f>SUMIFS(DataPrixBillets!Q$1:Q$1000,DataPrixBillets!$J$1:$J$1000,ROI_Avions!$A290,DataPrixBillets!$K$1:$K$1000,ROI_Avions!$C290)</f>
        <v>0</v>
      </c>
      <c r="AJ290" s="116"/>
      <c r="AK290" s="8">
        <f t="shared" ref="AK290" si="963">(((AF290*V290)*2+(AG290*W290)*2+(AH290*X290)*2+(AI290*Y290)*2)*7)</f>
        <v>0</v>
      </c>
      <c r="AL290" s="8" t="e">
        <f t="shared" ref="AL290" ca="1" si="964">AK290-AM290</f>
        <v>#REF!</v>
      </c>
      <c r="AM290" s="8" t="e">
        <f t="shared" ref="AM290" ca="1" si="965">AK290*$AM$2</f>
        <v>#REF!</v>
      </c>
      <c r="AN290" s="8" t="e">
        <f t="shared" ref="AN290" ca="1" si="966">AL290*$AN$2</f>
        <v>#REF!</v>
      </c>
      <c r="AO290" s="8" t="e">
        <f t="shared" ref="AO290" ca="1" si="967">(AL290-AN290-I290)*$AO$2</f>
        <v>#REF!</v>
      </c>
      <c r="AP290" s="8" t="e">
        <f t="shared" ref="AP290" ca="1" si="968">AL290-AN290-(I290/7)-(AO290/7)</f>
        <v>#REF!</v>
      </c>
      <c r="AQ290" s="8" t="e">
        <f t="shared" ref="AQ290" ca="1" si="969">AP290/7</f>
        <v>#REF!</v>
      </c>
      <c r="AR290" s="190">
        <f t="shared" ca="1" si="960"/>
        <v>0</v>
      </c>
      <c r="AS290" s="120">
        <f t="shared" ca="1" si="961"/>
        <v>0</v>
      </c>
      <c r="AT290" s="8" t="e">
        <f t="shared" ref="AT290" ca="1" si="970">IF(K290&gt;=1,AP290*K290,AP290*$AT$1)</f>
        <v>#REF!</v>
      </c>
      <c r="BA290" s="185"/>
      <c r="BB290" s="185"/>
      <c r="BC290" s="185"/>
    </row>
    <row r="291" spans="1:55" s="189" customFormat="1" x14ac:dyDescent="0.3">
      <c r="A291" s="178" t="s">
        <v>428</v>
      </c>
      <c r="B291" s="179">
        <v>456350775</v>
      </c>
      <c r="C291" s="178" t="s">
        <v>866</v>
      </c>
      <c r="D291" s="145" t="str">
        <f t="shared" si="958"/>
        <v>FIH/CNX</v>
      </c>
      <c r="E291" s="179">
        <v>40723911</v>
      </c>
      <c r="F291" s="179" t="str">
        <f>"B748-A-"&amp;A291&amp;"-"&amp;C291&amp;"-"&amp;2</f>
        <v>B748-A-FIH-CNX-2</v>
      </c>
      <c r="G291" s="179">
        <v>317520000</v>
      </c>
      <c r="H291" s="116"/>
      <c r="I291" s="8">
        <v>0</v>
      </c>
      <c r="J291" s="8">
        <v>0</v>
      </c>
      <c r="K291" s="8">
        <v>0</v>
      </c>
      <c r="N291" s="116"/>
      <c r="O291" s="140"/>
      <c r="P291" s="133">
        <f>SUMIFS(GestionLignesDemande!D$4:D$1000,GestionLignesDemande!$B$4:$B$1000,ROI_Avions!$A291,GestionLignesDemande!$C$4:$C$1000,ROI_Avions!$C291)</f>
        <v>0</v>
      </c>
      <c r="Q291" s="133">
        <f>SUMIFS(GestionLignesDemande!E$4:E$1000,GestionLignesDemande!$B$4:$B$1000,ROI_Avions!$A291,GestionLignesDemande!$C$4:$C$1000,ROI_Avions!$C291)</f>
        <v>0</v>
      </c>
      <c r="R291" s="133">
        <f>SUMIFS(GestionLignesDemande!F$4:F$1000,GestionLignesDemande!$B$4:$B$1000,ROI_Avions!$A291,GestionLignesDemande!$C$4:$C$1000,ROI_Avions!$C291)</f>
        <v>0</v>
      </c>
      <c r="S291" s="133">
        <f>SUMIFS(GestionLignesDemande!G$4:G$1000,GestionLignesDemande!$B$4:$B$1000,ROI_Avions!$A291,GestionLignesDemande!$C$4:$C$1000,ROI_Avions!$C291)</f>
        <v>0</v>
      </c>
      <c r="T291" s="116"/>
      <c r="U291" s="8">
        <f t="shared" si="962"/>
        <v>664</v>
      </c>
      <c r="V291" s="8">
        <v>633</v>
      </c>
      <c r="W291" s="8">
        <v>20</v>
      </c>
      <c r="X291" s="8">
        <v>1</v>
      </c>
      <c r="Y291" s="8">
        <v>10</v>
      </c>
      <c r="Z291" s="116"/>
      <c r="AA291" s="132">
        <f t="shared" ref="AA291" si="971">AA290-V291*2</f>
        <v>-2532</v>
      </c>
      <c r="AB291" s="132">
        <f t="shared" ref="AB291" si="972">AB290-W291*2</f>
        <v>-80</v>
      </c>
      <c r="AC291" s="132">
        <f t="shared" ref="AC291" si="973">AC290-X291*2</f>
        <v>-4</v>
      </c>
      <c r="AD291" s="132">
        <f t="shared" ref="AD291" si="974">AD290-Y291*2</f>
        <v>-40</v>
      </c>
      <c r="AE291" s="116"/>
      <c r="AF291" s="26">
        <f>SUMIFS(DataPrixBillets!N$1:N$1000,DataPrixBillets!$J$1:$J$1000,ROI_Avions!$A291,DataPrixBillets!$K$1:$K$1000,ROI_Avions!$C291)</f>
        <v>0</v>
      </c>
      <c r="AG291" s="26">
        <f>SUMIFS(DataPrixBillets!O$1:O$1000,DataPrixBillets!$J$1:$J$1000,ROI_Avions!$A291,DataPrixBillets!$K$1:$K$1000,ROI_Avions!$C291)</f>
        <v>0</v>
      </c>
      <c r="AH291" s="26">
        <f>SUMIFS(DataPrixBillets!P$1:P$1000,DataPrixBillets!$J$1:$J$1000,ROI_Avions!$A291,DataPrixBillets!$K$1:$K$1000,ROI_Avions!$C291)</f>
        <v>0</v>
      </c>
      <c r="AI291" s="26">
        <f>SUMIFS(DataPrixBillets!Q$1:Q$1000,DataPrixBillets!$J$1:$J$1000,ROI_Avions!$A291,DataPrixBillets!$K$1:$K$1000,ROI_Avions!$C291)</f>
        <v>0</v>
      </c>
      <c r="AJ291" s="116"/>
      <c r="AK291" s="8">
        <f t="shared" ref="AK291" si="975">(((AF291*V291)*2+(AG291*W291)*2+(AH291*X291)*2+(AI291*Y291)*2)*7)</f>
        <v>0</v>
      </c>
      <c r="AL291" s="8" t="e">
        <f t="shared" ref="AL291" ca="1" si="976">AK291-AM291</f>
        <v>#REF!</v>
      </c>
      <c r="AM291" s="8" t="e">
        <f t="shared" ref="AM291" ca="1" si="977">AK291*$AM$2</f>
        <v>#REF!</v>
      </c>
      <c r="AN291" s="8" t="e">
        <f t="shared" ref="AN291" ca="1" si="978">AL291*$AN$2</f>
        <v>#REF!</v>
      </c>
      <c r="AO291" s="8" t="e">
        <f t="shared" ref="AO291" ca="1" si="979">(AL291-AN291-I291)*$AO$2</f>
        <v>#REF!</v>
      </c>
      <c r="AP291" s="8" t="e">
        <f t="shared" ref="AP291" ca="1" si="980">AL291-AN291-(I291/7)-(AO291/7)</f>
        <v>#REF!</v>
      </c>
      <c r="AQ291" s="8" t="e">
        <f t="shared" ref="AQ291" ca="1" si="981">AP291/7</f>
        <v>#REF!</v>
      </c>
      <c r="AR291" s="190">
        <f t="shared" ca="1" si="960"/>
        <v>0</v>
      </c>
      <c r="AS291" s="120">
        <f t="shared" ca="1" si="961"/>
        <v>0</v>
      </c>
      <c r="AT291" s="8" t="e">
        <f t="shared" ref="AT291" ca="1" si="982">IF(K291&gt;=1,AP291*K291,AP291*$AT$1)</f>
        <v>#REF!</v>
      </c>
      <c r="AV291" s="185"/>
      <c r="AW291" s="185"/>
      <c r="AX291" s="185"/>
      <c r="AY291" s="185"/>
      <c r="BA291" s="185"/>
      <c r="BB291" s="185"/>
      <c r="BC291" s="185"/>
    </row>
    <row r="292" spans="1:55" s="189" customFormat="1" x14ac:dyDescent="0.3">
      <c r="A292" s="178" t="s">
        <v>428</v>
      </c>
      <c r="B292" s="179">
        <v>456350775</v>
      </c>
      <c r="C292" s="178" t="s">
        <v>860</v>
      </c>
      <c r="D292" s="145" t="str">
        <f t="shared" si="958"/>
        <v>FIH/HKT</v>
      </c>
      <c r="E292" s="179">
        <v>47334815</v>
      </c>
      <c r="F292" s="179"/>
      <c r="G292" s="179"/>
      <c r="H292" s="116"/>
      <c r="I292" s="8">
        <v>0</v>
      </c>
      <c r="J292" s="8">
        <v>0</v>
      </c>
      <c r="K292" s="8">
        <v>0</v>
      </c>
      <c r="N292" s="116"/>
      <c r="O292" s="140"/>
      <c r="P292" s="133">
        <f>SUMIFS(GestionLignesDemande!D$4:D$1000,GestionLignesDemande!$B$4:$B$1000,ROI_Avions!$A292,GestionLignesDemande!$C$4:$C$1000,ROI_Avions!$C292)</f>
        <v>0</v>
      </c>
      <c r="Q292" s="133">
        <f>SUMIFS(GestionLignesDemande!E$4:E$1000,GestionLignesDemande!$B$4:$B$1000,ROI_Avions!$A292,GestionLignesDemande!$C$4:$C$1000,ROI_Avions!$C292)</f>
        <v>0</v>
      </c>
      <c r="R292" s="133">
        <f>SUMIFS(GestionLignesDemande!F$4:F$1000,GestionLignesDemande!$B$4:$B$1000,ROI_Avions!$A292,GestionLignesDemande!$C$4:$C$1000,ROI_Avions!$C292)</f>
        <v>0</v>
      </c>
      <c r="S292" s="133">
        <f>SUMIFS(GestionLignesDemande!G$4:G$1000,GestionLignesDemande!$B$4:$B$1000,ROI_Avions!$A292,GestionLignesDemande!$C$4:$C$1000,ROI_Avions!$C292)</f>
        <v>0</v>
      </c>
      <c r="T292" s="116"/>
      <c r="U292" s="8">
        <f t="shared" ref="U292:U298" si="983">SUM(V292:Y292)</f>
        <v>0</v>
      </c>
      <c r="V292" s="8">
        <v>0</v>
      </c>
      <c r="W292" s="8">
        <v>0</v>
      </c>
      <c r="X292" s="8">
        <v>0</v>
      </c>
      <c r="Y292" s="8">
        <v>0</v>
      </c>
      <c r="Z292" s="116"/>
      <c r="AA292" s="132">
        <f t="shared" ref="AA292" si="984">AA291-V292*2</f>
        <v>-2532</v>
      </c>
      <c r="AB292" s="132">
        <f t="shared" ref="AB292" si="985">AB291-W292*2</f>
        <v>-80</v>
      </c>
      <c r="AC292" s="132">
        <f t="shared" ref="AC292" si="986">AC291-X292*2</f>
        <v>-4</v>
      </c>
      <c r="AD292" s="132">
        <f t="shared" ref="AD292" si="987">AD291-Y292*2</f>
        <v>-40</v>
      </c>
      <c r="AE292" s="116"/>
      <c r="AF292" s="26">
        <f>SUMIFS(DataPrixBillets!N$1:N$1000,DataPrixBillets!$J$1:$J$1000,ROI_Avions!$A292,DataPrixBillets!$K$1:$K$1000,ROI_Avions!$C292)</f>
        <v>0</v>
      </c>
      <c r="AG292" s="26">
        <f>SUMIFS(DataPrixBillets!O$1:O$1000,DataPrixBillets!$J$1:$J$1000,ROI_Avions!$A292,DataPrixBillets!$K$1:$K$1000,ROI_Avions!$C292)</f>
        <v>0</v>
      </c>
      <c r="AH292" s="26">
        <f>SUMIFS(DataPrixBillets!P$1:P$1000,DataPrixBillets!$J$1:$J$1000,ROI_Avions!$A292,DataPrixBillets!$K$1:$K$1000,ROI_Avions!$C292)</f>
        <v>0</v>
      </c>
      <c r="AI292" s="26">
        <f>SUMIFS(DataPrixBillets!Q$1:Q$1000,DataPrixBillets!$J$1:$J$1000,ROI_Avions!$A292,DataPrixBillets!$K$1:$K$1000,ROI_Avions!$C292)</f>
        <v>0</v>
      </c>
      <c r="AJ292" s="116"/>
      <c r="AK292" s="8">
        <f t="shared" ref="AK292:AK295" si="988">(((AF292*V292)*2+(AG292*W292)*2+(AH292*X292)*2+(AI292*Y292)*2)*7)</f>
        <v>0</v>
      </c>
      <c r="AL292" s="8" t="e">
        <f t="shared" ref="AL292:AL295" ca="1" si="989">AK292-AM292</f>
        <v>#REF!</v>
      </c>
      <c r="AM292" s="8" t="e">
        <f t="shared" ref="AM292:AM295" ca="1" si="990">AK292*$AM$2</f>
        <v>#REF!</v>
      </c>
      <c r="AN292" s="8" t="e">
        <f t="shared" ref="AN292:AN295" ca="1" si="991">AL292*$AN$2</f>
        <v>#REF!</v>
      </c>
      <c r="AO292" s="8" t="e">
        <f t="shared" ref="AO292:AO295" ca="1" si="992">(AL292-AN292-I292)*$AO$2</f>
        <v>#REF!</v>
      </c>
      <c r="AP292" s="8" t="e">
        <f t="shared" ref="AP292:AP295" ca="1" si="993">AL292-AN292-(I292/7)-(AO292/7)</f>
        <v>#REF!</v>
      </c>
      <c r="AQ292" s="8" t="e">
        <f t="shared" ref="AQ292:AQ295" ca="1" si="994">AP292/7</f>
        <v>#REF!</v>
      </c>
      <c r="AR292" s="190">
        <f t="shared" ca="1" si="960"/>
        <v>0</v>
      </c>
      <c r="AS292" s="120">
        <f t="shared" ca="1" si="961"/>
        <v>0</v>
      </c>
      <c r="AT292" s="8" t="e">
        <f t="shared" ref="AT292:AT295" ca="1" si="995">IF(K292&gt;=1,AP292*K292,AP292*$AT$1)</f>
        <v>#REF!</v>
      </c>
      <c r="AV292" s="185"/>
      <c r="AW292" s="185"/>
      <c r="AX292" s="185"/>
      <c r="AY292" s="185"/>
      <c r="BA292" s="185"/>
      <c r="BB292" s="185"/>
      <c r="BC292" s="185"/>
    </row>
    <row r="293" spans="1:55" s="189" customFormat="1" x14ac:dyDescent="0.3">
      <c r="A293" s="178" t="s">
        <v>428</v>
      </c>
      <c r="B293" s="179">
        <v>456350775</v>
      </c>
      <c r="C293" s="178" t="s">
        <v>1015</v>
      </c>
      <c r="D293" s="145" t="str">
        <f t="shared" si="958"/>
        <v>FIH/SDQ</v>
      </c>
      <c r="E293" s="179">
        <v>125586476</v>
      </c>
      <c r="F293" s="179" t="str">
        <f>"B788-A-"&amp;A293&amp;"-"&amp;C293&amp;"-"&amp;1</f>
        <v>B788-A-FIH-SDQ-1</v>
      </c>
      <c r="G293" s="179">
        <v>174952800</v>
      </c>
      <c r="H293" s="116"/>
      <c r="I293" s="8"/>
      <c r="J293" s="8"/>
      <c r="K293" s="8"/>
      <c r="N293" s="116"/>
      <c r="O293" s="140"/>
      <c r="P293" s="133">
        <f>SUMIFS(GestionLignesDemande!D$4:D$1000,GestionLignesDemande!$B$4:$B$1000,ROI_Avions!$A293,GestionLignesDemande!$C$4:$C$1000,ROI_Avions!$C293)</f>
        <v>0</v>
      </c>
      <c r="Q293" s="133">
        <f>SUMIFS(GestionLignesDemande!E$4:E$1000,GestionLignesDemande!$B$4:$B$1000,ROI_Avions!$A293,GestionLignesDemande!$C$4:$C$1000,ROI_Avions!$C293)</f>
        <v>0</v>
      </c>
      <c r="R293" s="133">
        <f>SUMIFS(GestionLignesDemande!F$4:F$1000,GestionLignesDemande!$B$4:$B$1000,ROI_Avions!$A293,GestionLignesDemande!$C$4:$C$1000,ROI_Avions!$C293)</f>
        <v>0</v>
      </c>
      <c r="S293" s="133">
        <f>SUMIFS(GestionLignesDemande!G$4:G$1000,GestionLignesDemande!$B$4:$B$1000,ROI_Avions!$A293,GestionLignesDemande!$C$4:$C$1000,ROI_Avions!$C293)</f>
        <v>0</v>
      </c>
      <c r="T293" s="116"/>
      <c r="U293" s="8">
        <f t="shared" si="983"/>
        <v>386</v>
      </c>
      <c r="V293" s="8">
        <v>381</v>
      </c>
      <c r="W293" s="8">
        <v>0</v>
      </c>
      <c r="X293" s="8">
        <v>0</v>
      </c>
      <c r="Y293" s="8">
        <v>5</v>
      </c>
      <c r="Z293" s="116"/>
      <c r="AA293" s="132">
        <f>P293-(V293*2)</f>
        <v>-762</v>
      </c>
      <c r="AB293" s="132">
        <f>Q293-(W293*2)</f>
        <v>0</v>
      </c>
      <c r="AC293" s="132">
        <f>R293-(X293*2)</f>
        <v>0</v>
      </c>
      <c r="AD293" s="132">
        <f>S293-(Y293*2)</f>
        <v>-10</v>
      </c>
      <c r="AE293" s="116"/>
      <c r="AF293" s="26">
        <f>SUMIFS(DataPrixBillets!N$1:N$1000,DataPrixBillets!$J$1:$J$1000,ROI_Avions!$A293,DataPrixBillets!$K$1:$K$1000,ROI_Avions!$C293)</f>
        <v>0</v>
      </c>
      <c r="AG293" s="26">
        <f>SUMIFS(DataPrixBillets!O$1:O$1000,DataPrixBillets!$J$1:$J$1000,ROI_Avions!$A293,DataPrixBillets!$K$1:$K$1000,ROI_Avions!$C293)</f>
        <v>0</v>
      </c>
      <c r="AH293" s="26">
        <f>SUMIFS(DataPrixBillets!P$1:P$1000,DataPrixBillets!$J$1:$J$1000,ROI_Avions!$A293,DataPrixBillets!$K$1:$K$1000,ROI_Avions!$C293)</f>
        <v>0</v>
      </c>
      <c r="AI293" s="26">
        <f>SUMIFS(DataPrixBillets!Q$1:Q$1000,DataPrixBillets!$J$1:$J$1000,ROI_Avions!$A293,DataPrixBillets!$K$1:$K$1000,ROI_Avions!$C293)</f>
        <v>0</v>
      </c>
      <c r="AJ293" s="116"/>
      <c r="AK293" s="8">
        <f t="shared" si="988"/>
        <v>0</v>
      </c>
      <c r="AL293" s="8" t="e">
        <f t="shared" ca="1" si="989"/>
        <v>#REF!</v>
      </c>
      <c r="AM293" s="8" t="e">
        <f t="shared" ca="1" si="990"/>
        <v>#REF!</v>
      </c>
      <c r="AN293" s="8" t="e">
        <f t="shared" ca="1" si="991"/>
        <v>#REF!</v>
      </c>
      <c r="AO293" s="8" t="e">
        <f t="shared" ca="1" si="992"/>
        <v>#REF!</v>
      </c>
      <c r="AP293" s="8" t="e">
        <f t="shared" ca="1" si="993"/>
        <v>#REF!</v>
      </c>
      <c r="AQ293" s="8" t="e">
        <f t="shared" ca="1" si="994"/>
        <v>#REF!</v>
      </c>
      <c r="AR293" s="190">
        <f t="shared" ca="1" si="960"/>
        <v>0</v>
      </c>
      <c r="AS293" s="120">
        <f t="shared" ca="1" si="961"/>
        <v>0</v>
      </c>
      <c r="AT293" s="8" t="e">
        <f t="shared" ca="1" si="995"/>
        <v>#REF!</v>
      </c>
      <c r="AV293" s="185"/>
      <c r="AW293" s="185"/>
      <c r="AX293" s="185"/>
      <c r="AY293" s="185"/>
    </row>
    <row r="294" spans="1:55" s="189" customFormat="1" x14ac:dyDescent="0.3">
      <c r="A294" s="178" t="s">
        <v>428</v>
      </c>
      <c r="B294" s="179">
        <v>456350775</v>
      </c>
      <c r="C294" s="178" t="s">
        <v>1015</v>
      </c>
      <c r="D294" s="145" t="str">
        <f t="shared" si="958"/>
        <v>FIH/SDQ</v>
      </c>
      <c r="E294" s="179">
        <v>125586476</v>
      </c>
      <c r="F294" s="179" t="str">
        <f>"B747-A-"&amp;A294&amp;"-"&amp;C294&amp;"-"&amp;2</f>
        <v>B747-A-FIH-SDQ-2</v>
      </c>
      <c r="G294" s="179">
        <v>253336500</v>
      </c>
      <c r="H294" s="116"/>
      <c r="I294" s="8"/>
      <c r="J294" s="8"/>
      <c r="K294" s="8"/>
      <c r="N294" s="116"/>
      <c r="O294" s="140"/>
      <c r="P294" s="133">
        <f>SUMIFS(GestionLignesDemande!D$4:D$1000,GestionLignesDemande!$B$4:$B$1000,ROI_Avions!$A294,GestionLignesDemande!$C$4:$C$1000,ROI_Avions!$C294)</f>
        <v>0</v>
      </c>
      <c r="Q294" s="133">
        <f>SUMIFS(GestionLignesDemande!E$4:E$1000,GestionLignesDemande!$B$4:$B$1000,ROI_Avions!$A294,GestionLignesDemande!$C$4:$C$1000,ROI_Avions!$C294)</f>
        <v>0</v>
      </c>
      <c r="R294" s="133">
        <f>SUMIFS(GestionLignesDemande!F$4:F$1000,GestionLignesDemande!$B$4:$B$1000,ROI_Avions!$A294,GestionLignesDemande!$C$4:$C$1000,ROI_Avions!$C294)</f>
        <v>0</v>
      </c>
      <c r="S294" s="133">
        <f>SUMIFS(GestionLignesDemande!G$4:G$1000,GestionLignesDemande!$B$4:$B$1000,ROI_Avions!$A294,GestionLignesDemande!$C$4:$C$1000,ROI_Avions!$C294)</f>
        <v>0</v>
      </c>
      <c r="T294" s="116"/>
      <c r="U294" s="8">
        <f t="shared" si="983"/>
        <v>733</v>
      </c>
      <c r="V294" s="8">
        <v>730</v>
      </c>
      <c r="W294" s="8">
        <v>0</v>
      </c>
      <c r="X294" s="8">
        <v>0</v>
      </c>
      <c r="Y294" s="8">
        <v>3</v>
      </c>
      <c r="Z294" s="116"/>
      <c r="AA294" s="132">
        <f t="shared" ref="AA294" si="996">AA293-V294*2</f>
        <v>-2222</v>
      </c>
      <c r="AB294" s="132">
        <f t="shared" ref="AB294" si="997">AB293-W294*2</f>
        <v>0</v>
      </c>
      <c r="AC294" s="132">
        <f t="shared" ref="AC294" si="998">AC293-X294*2</f>
        <v>0</v>
      </c>
      <c r="AD294" s="132">
        <f t="shared" ref="AD294" si="999">AD293-Y294*2</f>
        <v>-16</v>
      </c>
      <c r="AE294" s="116"/>
      <c r="AF294" s="26">
        <f>SUMIFS(DataPrixBillets!N$1:N$1000,DataPrixBillets!$J$1:$J$1000,ROI_Avions!$A294,DataPrixBillets!$K$1:$K$1000,ROI_Avions!$C294)</f>
        <v>0</v>
      </c>
      <c r="AG294" s="26">
        <f>SUMIFS(DataPrixBillets!O$1:O$1000,DataPrixBillets!$J$1:$J$1000,ROI_Avions!$A294,DataPrixBillets!$K$1:$K$1000,ROI_Avions!$C294)</f>
        <v>0</v>
      </c>
      <c r="AH294" s="26">
        <f>SUMIFS(DataPrixBillets!P$1:P$1000,DataPrixBillets!$J$1:$J$1000,ROI_Avions!$A294,DataPrixBillets!$K$1:$K$1000,ROI_Avions!$C294)</f>
        <v>0</v>
      </c>
      <c r="AI294" s="26">
        <f>SUMIFS(DataPrixBillets!Q$1:Q$1000,DataPrixBillets!$J$1:$J$1000,ROI_Avions!$A294,DataPrixBillets!$K$1:$K$1000,ROI_Avions!$C294)</f>
        <v>0</v>
      </c>
      <c r="AJ294" s="116"/>
      <c r="AK294" s="8">
        <f t="shared" si="988"/>
        <v>0</v>
      </c>
      <c r="AL294" s="8" t="e">
        <f t="shared" ca="1" si="989"/>
        <v>#REF!</v>
      </c>
      <c r="AM294" s="8" t="e">
        <f t="shared" ca="1" si="990"/>
        <v>#REF!</v>
      </c>
      <c r="AN294" s="8" t="e">
        <f t="shared" ca="1" si="991"/>
        <v>#REF!</v>
      </c>
      <c r="AO294" s="8" t="e">
        <f t="shared" ca="1" si="992"/>
        <v>#REF!</v>
      </c>
      <c r="AP294" s="8" t="e">
        <f t="shared" ca="1" si="993"/>
        <v>#REF!</v>
      </c>
      <c r="AQ294" s="8" t="e">
        <f t="shared" ca="1" si="994"/>
        <v>#REF!</v>
      </c>
      <c r="AR294" s="190">
        <f t="shared" ca="1" si="960"/>
        <v>0</v>
      </c>
      <c r="AS294" s="120">
        <f t="shared" ca="1" si="961"/>
        <v>0</v>
      </c>
      <c r="AT294" s="8" t="e">
        <f t="shared" ca="1" si="995"/>
        <v>#REF!</v>
      </c>
    </row>
    <row r="295" spans="1:55" s="189" customFormat="1" x14ac:dyDescent="0.3">
      <c r="A295" s="178" t="s">
        <v>428</v>
      </c>
      <c r="B295" s="179">
        <v>456350775</v>
      </c>
      <c r="C295" s="178" t="s">
        <v>1015</v>
      </c>
      <c r="D295" s="145" t="str">
        <f t="shared" si="958"/>
        <v>FIH/SDQ</v>
      </c>
      <c r="E295" s="179">
        <v>125586476</v>
      </c>
      <c r="F295" s="179" t="str">
        <f>"B789-A-"&amp;A295&amp;"-"&amp;C295&amp;"-"&amp;3</f>
        <v>B789-A-FIH-SDQ-3</v>
      </c>
      <c r="G295" s="179">
        <v>213322500</v>
      </c>
      <c r="H295" s="116"/>
      <c r="I295" s="8"/>
      <c r="J295" s="8"/>
      <c r="K295" s="8"/>
      <c r="N295" s="116"/>
      <c r="O295" s="140"/>
      <c r="P295" s="133">
        <f>SUMIFS(GestionLignesDemande!D$4:D$1000,GestionLignesDemande!$B$4:$B$1000,ROI_Avions!$A295,GestionLignesDemande!$C$4:$C$1000,ROI_Avions!$C295)</f>
        <v>0</v>
      </c>
      <c r="Q295" s="133">
        <f>SUMIFS(GestionLignesDemande!E$4:E$1000,GestionLignesDemande!$B$4:$B$1000,ROI_Avions!$A295,GestionLignesDemande!$C$4:$C$1000,ROI_Avions!$C295)</f>
        <v>0</v>
      </c>
      <c r="R295" s="133">
        <f>SUMIFS(GestionLignesDemande!F$4:F$1000,GestionLignesDemande!$B$4:$B$1000,ROI_Avions!$A295,GestionLignesDemande!$C$4:$C$1000,ROI_Avions!$C295)</f>
        <v>0</v>
      </c>
      <c r="S295" s="133">
        <f>SUMIFS(GestionLignesDemande!G$4:G$1000,GestionLignesDemande!$B$4:$B$1000,ROI_Avions!$A295,GestionLignesDemande!$C$4:$C$1000,ROI_Avions!$C295)</f>
        <v>0</v>
      </c>
      <c r="T295" s="116"/>
      <c r="U295" s="8">
        <f t="shared" si="983"/>
        <v>420</v>
      </c>
      <c r="V295" s="8">
        <v>420</v>
      </c>
      <c r="W295" s="8">
        <v>0</v>
      </c>
      <c r="X295" s="8">
        <v>0</v>
      </c>
      <c r="Y295" s="8">
        <v>0</v>
      </c>
      <c r="Z295" s="116"/>
      <c r="AA295" s="132">
        <f t="shared" ref="AA295" si="1000">AA294-V295*2</f>
        <v>-3062</v>
      </c>
      <c r="AB295" s="132">
        <f t="shared" ref="AB295" si="1001">AB294-W295*2</f>
        <v>0</v>
      </c>
      <c r="AC295" s="132">
        <f t="shared" ref="AC295" si="1002">AC294-X295*2</f>
        <v>0</v>
      </c>
      <c r="AD295" s="132">
        <f t="shared" ref="AD295" si="1003">AD294-Y295*2</f>
        <v>-16</v>
      </c>
      <c r="AE295" s="116"/>
      <c r="AF295" s="26">
        <f>SUMIFS(DataPrixBillets!N$1:N$1000,DataPrixBillets!$J$1:$J$1000,ROI_Avions!$A295,DataPrixBillets!$K$1:$K$1000,ROI_Avions!$C295)</f>
        <v>0</v>
      </c>
      <c r="AG295" s="26">
        <f>SUMIFS(DataPrixBillets!O$1:O$1000,DataPrixBillets!$J$1:$J$1000,ROI_Avions!$A295,DataPrixBillets!$K$1:$K$1000,ROI_Avions!$C295)</f>
        <v>0</v>
      </c>
      <c r="AH295" s="26">
        <f>SUMIFS(DataPrixBillets!P$1:P$1000,DataPrixBillets!$J$1:$J$1000,ROI_Avions!$A295,DataPrixBillets!$K$1:$K$1000,ROI_Avions!$C295)</f>
        <v>0</v>
      </c>
      <c r="AI295" s="26">
        <f>SUMIFS(DataPrixBillets!Q$1:Q$1000,DataPrixBillets!$J$1:$J$1000,ROI_Avions!$A295,DataPrixBillets!$K$1:$K$1000,ROI_Avions!$C295)</f>
        <v>0</v>
      </c>
      <c r="AJ295" s="116"/>
      <c r="AK295" s="8">
        <f t="shared" si="988"/>
        <v>0</v>
      </c>
      <c r="AL295" s="8" t="e">
        <f t="shared" ca="1" si="989"/>
        <v>#REF!</v>
      </c>
      <c r="AM295" s="8" t="e">
        <f t="shared" ca="1" si="990"/>
        <v>#REF!</v>
      </c>
      <c r="AN295" s="8" t="e">
        <f t="shared" ca="1" si="991"/>
        <v>#REF!</v>
      </c>
      <c r="AO295" s="8" t="e">
        <f t="shared" ca="1" si="992"/>
        <v>#REF!</v>
      </c>
      <c r="AP295" s="8" t="e">
        <f t="shared" ca="1" si="993"/>
        <v>#REF!</v>
      </c>
      <c r="AQ295" s="8" t="e">
        <f t="shared" ca="1" si="994"/>
        <v>#REF!</v>
      </c>
      <c r="AR295" s="190">
        <f t="shared" ca="1" si="960"/>
        <v>0</v>
      </c>
      <c r="AS295" s="120">
        <f t="shared" ca="1" si="961"/>
        <v>0</v>
      </c>
      <c r="AT295" s="8" t="e">
        <f t="shared" ca="1" si="995"/>
        <v>#REF!</v>
      </c>
    </row>
    <row r="296" spans="1:55" s="189" customFormat="1" x14ac:dyDescent="0.3">
      <c r="A296" s="178" t="s">
        <v>428</v>
      </c>
      <c r="B296" s="179">
        <v>456350775</v>
      </c>
      <c r="C296" s="178" t="s">
        <v>1016</v>
      </c>
      <c r="D296" s="145" t="str">
        <f t="shared" si="958"/>
        <v>FIH/PDG</v>
      </c>
      <c r="E296" s="179">
        <v>76778199</v>
      </c>
      <c r="F296" s="179"/>
      <c r="G296" s="179"/>
      <c r="H296" s="116"/>
      <c r="I296" s="8"/>
      <c r="J296" s="8"/>
      <c r="K296" s="8"/>
      <c r="N296" s="116"/>
      <c r="O296" s="140"/>
      <c r="P296" s="133"/>
      <c r="Q296" s="133"/>
      <c r="R296" s="133"/>
      <c r="S296" s="133"/>
      <c r="T296" s="116"/>
      <c r="U296" s="8">
        <f t="shared" si="983"/>
        <v>0</v>
      </c>
      <c r="V296" s="8">
        <v>0</v>
      </c>
      <c r="W296" s="8">
        <v>0</v>
      </c>
      <c r="X296" s="8">
        <v>0</v>
      </c>
      <c r="Y296" s="8">
        <v>0</v>
      </c>
      <c r="Z296" s="116"/>
      <c r="AA296" s="132"/>
      <c r="AB296" s="132"/>
      <c r="AC296" s="132"/>
      <c r="AD296" s="132"/>
      <c r="AE296" s="116"/>
      <c r="AF296" s="26"/>
      <c r="AG296" s="26"/>
      <c r="AH296" s="26"/>
      <c r="AI296" s="26"/>
      <c r="AJ296" s="116"/>
      <c r="AK296" s="8"/>
      <c r="AL296" s="8"/>
      <c r="AM296" s="8"/>
      <c r="AN296" s="8"/>
      <c r="AO296" s="8"/>
      <c r="AP296" s="8"/>
      <c r="AQ296" s="8"/>
      <c r="AR296" s="190"/>
      <c r="AS296" s="120">
        <f t="shared" si="961"/>
        <v>0</v>
      </c>
      <c r="AT296" s="8"/>
    </row>
    <row r="297" spans="1:55" s="189" customFormat="1" x14ac:dyDescent="0.3">
      <c r="A297" s="178" t="s">
        <v>428</v>
      </c>
      <c r="B297" s="179">
        <v>456350775</v>
      </c>
      <c r="C297" s="178" t="s">
        <v>863</v>
      </c>
      <c r="D297" s="145" t="str">
        <f t="shared" si="958"/>
        <v>FIH/MES</v>
      </c>
      <c r="E297" s="179">
        <v>65012080</v>
      </c>
      <c r="F297" s="179"/>
      <c r="G297" s="179"/>
      <c r="H297" s="116"/>
      <c r="I297" s="8"/>
      <c r="J297" s="8"/>
      <c r="K297" s="8"/>
      <c r="N297" s="116"/>
      <c r="O297" s="140"/>
      <c r="P297" s="133"/>
      <c r="Q297" s="133"/>
      <c r="R297" s="133"/>
      <c r="S297" s="133"/>
      <c r="T297" s="116"/>
      <c r="U297" s="8">
        <f t="shared" si="983"/>
        <v>0</v>
      </c>
      <c r="V297" s="8">
        <v>0</v>
      </c>
      <c r="W297" s="8">
        <v>0</v>
      </c>
      <c r="X297" s="8">
        <v>0</v>
      </c>
      <c r="Y297" s="8">
        <v>0</v>
      </c>
      <c r="Z297" s="116"/>
      <c r="AA297" s="132"/>
      <c r="AB297" s="132"/>
      <c r="AC297" s="132"/>
      <c r="AD297" s="132"/>
      <c r="AE297" s="116"/>
      <c r="AF297" s="26"/>
      <c r="AG297" s="26"/>
      <c r="AH297" s="26"/>
      <c r="AI297" s="26"/>
      <c r="AJ297" s="116"/>
      <c r="AK297" s="8"/>
      <c r="AL297" s="8"/>
      <c r="AM297" s="8"/>
      <c r="AN297" s="8"/>
      <c r="AO297" s="8"/>
      <c r="AP297" s="8"/>
      <c r="AQ297" s="8"/>
      <c r="AR297" s="190"/>
      <c r="AS297" s="120">
        <f t="shared" si="961"/>
        <v>0</v>
      </c>
      <c r="AT297" s="8"/>
    </row>
    <row r="298" spans="1:55" s="189" customFormat="1" x14ac:dyDescent="0.3">
      <c r="A298" s="178" t="s">
        <v>428</v>
      </c>
      <c r="B298" s="179">
        <v>456350775</v>
      </c>
      <c r="C298" s="178" t="s">
        <v>1017</v>
      </c>
      <c r="D298" s="145" t="str">
        <f t="shared" si="958"/>
        <v>FIH/PUJ</v>
      </c>
      <c r="E298" s="179">
        <v>106370212</v>
      </c>
      <c r="F298" s="179"/>
      <c r="G298" s="179"/>
      <c r="H298" s="116"/>
      <c r="I298" s="8"/>
      <c r="J298" s="8"/>
      <c r="K298" s="8"/>
      <c r="N298" s="116"/>
      <c r="O298" s="140"/>
      <c r="P298" s="133"/>
      <c r="Q298" s="133"/>
      <c r="R298" s="133"/>
      <c r="S298" s="133"/>
      <c r="T298" s="116"/>
      <c r="U298" s="8">
        <f t="shared" si="983"/>
        <v>0</v>
      </c>
      <c r="V298" s="8">
        <v>0</v>
      </c>
      <c r="W298" s="8">
        <v>0</v>
      </c>
      <c r="X298" s="8">
        <v>0</v>
      </c>
      <c r="Y298" s="8">
        <v>0</v>
      </c>
      <c r="Z298" s="116"/>
      <c r="AA298" s="132"/>
      <c r="AB298" s="132"/>
      <c r="AC298" s="132"/>
      <c r="AD298" s="132"/>
      <c r="AE298" s="116"/>
      <c r="AF298" s="26"/>
      <c r="AG298" s="26"/>
      <c r="AH298" s="26"/>
      <c r="AI298" s="26"/>
      <c r="AJ298" s="116"/>
      <c r="AK298" s="8"/>
      <c r="AL298" s="8"/>
      <c r="AM298" s="8"/>
      <c r="AN298" s="8"/>
      <c r="AO298" s="8"/>
      <c r="AP298" s="8"/>
      <c r="AQ298" s="8"/>
      <c r="AR298" s="190"/>
      <c r="AS298" s="120">
        <f t="shared" si="961"/>
        <v>0</v>
      </c>
      <c r="AT298" s="8"/>
    </row>
    <row r="299" spans="1:55" s="185" customFormat="1" x14ac:dyDescent="0.3">
      <c r="A299" s="175" t="s">
        <v>427</v>
      </c>
      <c r="B299" s="176">
        <v>650382948</v>
      </c>
      <c r="C299" s="175" t="s">
        <v>337</v>
      </c>
      <c r="D299" s="145" t="str">
        <f t="shared" si="958"/>
        <v>LOS/HND</v>
      </c>
      <c r="E299" s="176">
        <v>293791097</v>
      </c>
      <c r="F299" s="177" t="s">
        <v>876</v>
      </c>
      <c r="G299" s="176">
        <v>362700000</v>
      </c>
      <c r="H299" s="116"/>
      <c r="I299" s="8">
        <v>0</v>
      </c>
      <c r="J299" s="8">
        <v>0</v>
      </c>
      <c r="K299" s="8">
        <v>0</v>
      </c>
      <c r="L299"/>
      <c r="M299"/>
      <c r="N299" s="116"/>
      <c r="O299" s="140"/>
      <c r="P299" s="133">
        <f>SUMIFS(GestionLignesDemande!D$4:D$1000,GestionLignesDemande!$B$4:$B$1000,ROI_Avions!$A299,GestionLignesDemande!$C$4:$C$1000,ROI_Avions!$C299)</f>
        <v>0</v>
      </c>
      <c r="Q299" s="133">
        <f>SUMIFS(GestionLignesDemande!E$4:E$1000,GestionLignesDemande!$B$4:$B$1000,ROI_Avions!$A299,GestionLignesDemande!$C$4:$C$1000,ROI_Avions!$C299)</f>
        <v>0</v>
      </c>
      <c r="R299" s="133">
        <f>SUMIFS(GestionLignesDemande!F$4:F$1000,GestionLignesDemande!$B$4:$B$1000,ROI_Avions!$A299,GestionLignesDemande!$C$4:$C$1000,ROI_Avions!$C299)</f>
        <v>0</v>
      </c>
      <c r="S299" s="133">
        <f>SUMIFS(GestionLignesDemande!G$4:G$1000,GestionLignesDemande!$B$4:$B$1000,ROI_Avions!$A299,GestionLignesDemande!$C$4:$C$1000,ROI_Avions!$C299)</f>
        <v>0</v>
      </c>
      <c r="T299" s="116"/>
      <c r="U299" s="8">
        <f t="shared" si="962"/>
        <v>554</v>
      </c>
      <c r="V299" s="8">
        <v>377</v>
      </c>
      <c r="W299" s="8">
        <v>125</v>
      </c>
      <c r="X299" s="8">
        <v>19</v>
      </c>
      <c r="Y299" s="8">
        <v>33</v>
      </c>
      <c r="Z299" s="116"/>
      <c r="AA299" s="42">
        <f t="shared" si="2"/>
        <v>-754</v>
      </c>
      <c r="AB299" s="42">
        <f t="shared" si="3"/>
        <v>-250</v>
      </c>
      <c r="AC299" s="42">
        <f t="shared" si="4"/>
        <v>-38</v>
      </c>
      <c r="AD299" s="42">
        <f t="shared" si="5"/>
        <v>-66</v>
      </c>
      <c r="AE299" s="116"/>
      <c r="AF299" s="26">
        <f>SUMIFS(DataPrixBillets!N$1:N$1000,DataPrixBillets!$J$1:$J$1000,ROI_Avions!$A299,DataPrixBillets!$K$1:$K$1000,ROI_Avions!$C299)</f>
        <v>0</v>
      </c>
      <c r="AG299" s="26">
        <f>SUMIFS(DataPrixBillets!O$1:O$1000,DataPrixBillets!$J$1:$J$1000,ROI_Avions!$A299,DataPrixBillets!$K$1:$K$1000,ROI_Avions!$C299)</f>
        <v>0</v>
      </c>
      <c r="AH299" s="26">
        <f>SUMIFS(DataPrixBillets!P$1:P$1000,DataPrixBillets!$J$1:$J$1000,ROI_Avions!$A299,DataPrixBillets!$K$1:$K$1000,ROI_Avions!$C299)</f>
        <v>0</v>
      </c>
      <c r="AI299" s="26">
        <f>SUMIFS(DataPrixBillets!Q$1:Q$1000,DataPrixBillets!$J$1:$J$1000,ROI_Avions!$A299,DataPrixBillets!$K$1:$K$1000,ROI_Avions!$C299)</f>
        <v>0</v>
      </c>
      <c r="AJ299" s="116"/>
      <c r="AK299" s="8">
        <f t="shared" si="959"/>
        <v>0</v>
      </c>
      <c r="AL299" s="8" t="e">
        <f t="shared" ca="1" si="21"/>
        <v>#REF!</v>
      </c>
      <c r="AM299" s="8" t="e">
        <f t="shared" ca="1" si="22"/>
        <v>#REF!</v>
      </c>
      <c r="AN299" s="8" t="e">
        <f t="shared" ca="1" si="23"/>
        <v>#REF!</v>
      </c>
      <c r="AO299" s="8" t="e">
        <f t="shared" ca="1" si="24"/>
        <v>#REF!</v>
      </c>
      <c r="AP299" s="8" t="e">
        <f t="shared" ca="1" si="25"/>
        <v>#REF!</v>
      </c>
      <c r="AQ299" s="8" t="e">
        <f t="shared" ca="1" si="26"/>
        <v>#REF!</v>
      </c>
      <c r="AR299" s="7">
        <f t="shared" ref="AR299:AR330" ca="1" si="1004">IFERROR((AP299/7)/((B299/COUNTIFS(A:A,A299))+(E299/COUNTIFS(A:A,A299,C:C,C299))+I299*K299+J299+G299),0)</f>
        <v>0</v>
      </c>
      <c r="AS299" s="120">
        <f t="shared" ca="1" si="961"/>
        <v>0</v>
      </c>
      <c r="AT299" s="8" t="e">
        <f t="shared" ca="1" si="28"/>
        <v>#REF!</v>
      </c>
      <c r="AV299" s="189"/>
      <c r="AW299" s="189"/>
      <c r="AX299" s="189"/>
      <c r="AY299" s="189"/>
      <c r="BA299" s="189"/>
      <c r="BB299" s="189"/>
      <c r="BC299" s="189"/>
    </row>
    <row r="300" spans="1:55" s="185" customFormat="1" x14ac:dyDescent="0.3">
      <c r="A300" s="175" t="s">
        <v>427</v>
      </c>
      <c r="B300" s="176">
        <v>650382948</v>
      </c>
      <c r="C300" s="175" t="s">
        <v>337</v>
      </c>
      <c r="D300" s="145" t="str">
        <f t="shared" si="958"/>
        <v>LOS/HND</v>
      </c>
      <c r="E300" s="176">
        <v>293791097</v>
      </c>
      <c r="F300" s="177" t="s">
        <v>877</v>
      </c>
      <c r="G300" s="176">
        <v>362700000</v>
      </c>
      <c r="H300" s="116"/>
      <c r="I300" s="8">
        <v>0</v>
      </c>
      <c r="J300" s="8">
        <v>0</v>
      </c>
      <c r="K300" s="8">
        <v>0</v>
      </c>
      <c r="N300" s="116"/>
      <c r="O300" s="140"/>
      <c r="P300" s="133">
        <f>SUMIFS(GestionLignesDemande!D$4:D$1000,GestionLignesDemande!$B$4:$B$1000,ROI_Avions!$A300,GestionLignesDemande!$C$4:$C$1000,ROI_Avions!$C300)</f>
        <v>0</v>
      </c>
      <c r="Q300" s="133">
        <f>SUMIFS(GestionLignesDemande!E$4:E$1000,GestionLignesDemande!$B$4:$B$1000,ROI_Avions!$A300,GestionLignesDemande!$C$4:$C$1000,ROI_Avions!$C300)</f>
        <v>0</v>
      </c>
      <c r="R300" s="133">
        <f>SUMIFS(GestionLignesDemande!F$4:F$1000,GestionLignesDemande!$B$4:$B$1000,ROI_Avions!$A300,GestionLignesDemande!$C$4:$C$1000,ROI_Avions!$C300)</f>
        <v>0</v>
      </c>
      <c r="S300" s="133">
        <f>SUMIFS(GestionLignesDemande!G$4:G$1000,GestionLignesDemande!$B$4:$B$1000,ROI_Avions!$A300,GestionLignesDemande!$C$4:$C$1000,ROI_Avions!$C300)</f>
        <v>0</v>
      </c>
      <c r="T300" s="116"/>
      <c r="U300" s="8">
        <f t="shared" si="962"/>
        <v>853</v>
      </c>
      <c r="V300" s="8">
        <v>853</v>
      </c>
      <c r="W300" s="8">
        <v>0</v>
      </c>
      <c r="X300" s="8">
        <v>0</v>
      </c>
      <c r="Y300" s="8">
        <v>0</v>
      </c>
      <c r="Z300" s="116"/>
      <c r="AA300" s="132">
        <f t="shared" ref="AA300:AA303" si="1005">AA299-V300*2</f>
        <v>-2460</v>
      </c>
      <c r="AB300" s="132">
        <f t="shared" ref="AB300:AB303" si="1006">AB299-W300*2</f>
        <v>-250</v>
      </c>
      <c r="AC300" s="132">
        <f t="shared" ref="AC300:AC303" si="1007">AC299-X300*2</f>
        <v>-38</v>
      </c>
      <c r="AD300" s="132">
        <f t="shared" ref="AD300:AD303" si="1008">AD299-Y300*2</f>
        <v>-66</v>
      </c>
      <c r="AE300" s="116"/>
      <c r="AF300" s="26">
        <f>SUMIFS(DataPrixBillets!N$1:N$1000,DataPrixBillets!$J$1:$J$1000,ROI_Avions!$A300,DataPrixBillets!$K$1:$K$1000,ROI_Avions!$C300)</f>
        <v>0</v>
      </c>
      <c r="AG300" s="26">
        <f>SUMIFS(DataPrixBillets!O$1:O$1000,DataPrixBillets!$J$1:$J$1000,ROI_Avions!$A300,DataPrixBillets!$K$1:$K$1000,ROI_Avions!$C300)</f>
        <v>0</v>
      </c>
      <c r="AH300" s="26">
        <f>SUMIFS(DataPrixBillets!P$1:P$1000,DataPrixBillets!$J$1:$J$1000,ROI_Avions!$A300,DataPrixBillets!$K$1:$K$1000,ROI_Avions!$C300)</f>
        <v>0</v>
      </c>
      <c r="AI300" s="26">
        <f>SUMIFS(DataPrixBillets!Q$1:Q$1000,DataPrixBillets!$J$1:$J$1000,ROI_Avions!$A300,DataPrixBillets!$K$1:$K$1000,ROI_Avions!$C300)</f>
        <v>0</v>
      </c>
      <c r="AJ300" s="116"/>
      <c r="AK300" s="8">
        <f t="shared" si="959"/>
        <v>0</v>
      </c>
      <c r="AL300" s="8" t="e">
        <f t="shared" ref="AL300:AL303" ca="1" si="1009">AK300-AM300</f>
        <v>#REF!</v>
      </c>
      <c r="AM300" s="8" t="e">
        <f t="shared" ref="AM300:AM303" ca="1" si="1010">AK300*$AM$2</f>
        <v>#REF!</v>
      </c>
      <c r="AN300" s="8" t="e">
        <f t="shared" ref="AN300:AN303" ca="1" si="1011">AL300*$AN$2</f>
        <v>#REF!</v>
      </c>
      <c r="AO300" s="8" t="e">
        <f t="shared" ref="AO300:AO303" ca="1" si="1012">(AL300-AN300-I300)*$AO$2</f>
        <v>#REF!</v>
      </c>
      <c r="AP300" s="8" t="e">
        <f t="shared" ref="AP300:AP303" ca="1" si="1013">AL300-AN300-(I300/7)-(AO300/7)</f>
        <v>#REF!</v>
      </c>
      <c r="AQ300" s="8" t="e">
        <f t="shared" ref="AQ300:AQ303" ca="1" si="1014">AP300/7</f>
        <v>#REF!</v>
      </c>
      <c r="AR300" s="7">
        <f t="shared" ca="1" si="1004"/>
        <v>0</v>
      </c>
      <c r="AS300" s="120">
        <f t="shared" ca="1" si="961"/>
        <v>0</v>
      </c>
      <c r="AT300" s="8" t="e">
        <f t="shared" ref="AT300:AT303" ca="1" si="1015">IF(K300&gt;=1,AP300*K300,AP300*$AT$1)</f>
        <v>#REF!</v>
      </c>
      <c r="AV300" s="189"/>
      <c r="AW300" s="189"/>
      <c r="AX300" s="189"/>
      <c r="AY300" s="189"/>
      <c r="BA300" s="189"/>
      <c r="BB300" s="189"/>
      <c r="BC300" s="189"/>
    </row>
    <row r="301" spans="1:55" s="185" customFormat="1" x14ac:dyDescent="0.3">
      <c r="A301" s="175" t="s">
        <v>427</v>
      </c>
      <c r="B301" s="176">
        <v>650382948</v>
      </c>
      <c r="C301" s="175" t="s">
        <v>337</v>
      </c>
      <c r="D301" s="145" t="str">
        <f t="shared" si="958"/>
        <v>LOS/HND</v>
      </c>
      <c r="E301" s="176">
        <v>293791097</v>
      </c>
      <c r="F301" s="177" t="s">
        <v>882</v>
      </c>
      <c r="G301" s="176">
        <v>213322500</v>
      </c>
      <c r="H301" s="116"/>
      <c r="I301" s="8">
        <v>0</v>
      </c>
      <c r="J301" s="8">
        <v>0</v>
      </c>
      <c r="K301" s="8">
        <v>0</v>
      </c>
      <c r="N301" s="116"/>
      <c r="O301" s="140"/>
      <c r="P301" s="133">
        <f>SUMIFS(GestionLignesDemande!D$4:D$1000,GestionLignesDemande!$B$4:$B$1000,ROI_Avions!$A301,GestionLignesDemande!$C$4:$C$1000,ROI_Avions!$C301)</f>
        <v>0</v>
      </c>
      <c r="Q301" s="133">
        <f>SUMIFS(GestionLignesDemande!E$4:E$1000,GestionLignesDemande!$B$4:$B$1000,ROI_Avions!$A301,GestionLignesDemande!$C$4:$C$1000,ROI_Avions!$C301)</f>
        <v>0</v>
      </c>
      <c r="R301" s="133">
        <f>SUMIFS(GestionLignesDemande!F$4:F$1000,GestionLignesDemande!$B$4:$B$1000,ROI_Avions!$A301,GestionLignesDemande!$C$4:$C$1000,ROI_Avions!$C301)</f>
        <v>0</v>
      </c>
      <c r="S301" s="133">
        <f>SUMIFS(GestionLignesDemande!G$4:G$1000,GestionLignesDemande!$B$4:$B$1000,ROI_Avions!$A301,GestionLignesDemande!$C$4:$C$1000,ROI_Avions!$C301)</f>
        <v>0</v>
      </c>
      <c r="T301" s="116"/>
      <c r="U301" s="8">
        <f t="shared" si="962"/>
        <v>398</v>
      </c>
      <c r="V301" s="8">
        <v>384</v>
      </c>
      <c r="W301" s="8">
        <v>11</v>
      </c>
      <c r="X301" s="8">
        <v>1</v>
      </c>
      <c r="Y301" s="8">
        <v>2</v>
      </c>
      <c r="Z301" s="116"/>
      <c r="AA301" s="132">
        <f t="shared" si="1005"/>
        <v>-3228</v>
      </c>
      <c r="AB301" s="132">
        <f t="shared" si="1006"/>
        <v>-272</v>
      </c>
      <c r="AC301" s="132">
        <f t="shared" si="1007"/>
        <v>-40</v>
      </c>
      <c r="AD301" s="132">
        <f t="shared" si="1008"/>
        <v>-70</v>
      </c>
      <c r="AE301" s="116"/>
      <c r="AF301" s="26">
        <f>SUMIFS(DataPrixBillets!N$1:N$1000,DataPrixBillets!$J$1:$J$1000,ROI_Avions!$A301,DataPrixBillets!$K$1:$K$1000,ROI_Avions!$C301)</f>
        <v>0</v>
      </c>
      <c r="AG301" s="26">
        <f>SUMIFS(DataPrixBillets!O$1:O$1000,DataPrixBillets!$J$1:$J$1000,ROI_Avions!$A301,DataPrixBillets!$K$1:$K$1000,ROI_Avions!$C301)</f>
        <v>0</v>
      </c>
      <c r="AH301" s="26">
        <f>SUMIFS(DataPrixBillets!P$1:P$1000,DataPrixBillets!$J$1:$J$1000,ROI_Avions!$A301,DataPrixBillets!$K$1:$K$1000,ROI_Avions!$C301)</f>
        <v>0</v>
      </c>
      <c r="AI301" s="26">
        <f>SUMIFS(DataPrixBillets!Q$1:Q$1000,DataPrixBillets!$J$1:$J$1000,ROI_Avions!$A301,DataPrixBillets!$K$1:$K$1000,ROI_Avions!$C301)</f>
        <v>0</v>
      </c>
      <c r="AJ301" s="116"/>
      <c r="AK301" s="8">
        <f t="shared" si="959"/>
        <v>0</v>
      </c>
      <c r="AL301" s="8" t="e">
        <f t="shared" ca="1" si="1009"/>
        <v>#REF!</v>
      </c>
      <c r="AM301" s="8" t="e">
        <f t="shared" ca="1" si="1010"/>
        <v>#REF!</v>
      </c>
      <c r="AN301" s="8" t="e">
        <f t="shared" ca="1" si="1011"/>
        <v>#REF!</v>
      </c>
      <c r="AO301" s="8" t="e">
        <f t="shared" ca="1" si="1012"/>
        <v>#REF!</v>
      </c>
      <c r="AP301" s="8" t="e">
        <f t="shared" ca="1" si="1013"/>
        <v>#REF!</v>
      </c>
      <c r="AQ301" s="8" t="e">
        <f t="shared" ca="1" si="1014"/>
        <v>#REF!</v>
      </c>
      <c r="AR301" s="7">
        <f t="shared" ca="1" si="1004"/>
        <v>0</v>
      </c>
      <c r="AS301" s="120">
        <f t="shared" ca="1" si="961"/>
        <v>0</v>
      </c>
      <c r="AT301" s="8" t="e">
        <f t="shared" ca="1" si="1015"/>
        <v>#REF!</v>
      </c>
      <c r="AV301" s="189"/>
      <c r="AW301" s="189"/>
      <c r="AX301" s="189"/>
      <c r="AY301" s="189"/>
      <c r="BA301" s="189"/>
      <c r="BB301" s="189"/>
      <c r="BC301" s="189"/>
    </row>
    <row r="302" spans="1:55" s="185" customFormat="1" x14ac:dyDescent="0.3">
      <c r="A302" s="175" t="s">
        <v>427</v>
      </c>
      <c r="B302" s="176">
        <v>650382948</v>
      </c>
      <c r="C302" s="175" t="s">
        <v>337</v>
      </c>
      <c r="D302" s="145" t="str">
        <f t="shared" si="958"/>
        <v>LOS/HND</v>
      </c>
      <c r="E302" s="176">
        <v>293791097</v>
      </c>
      <c r="F302" s="177" t="s">
        <v>887</v>
      </c>
      <c r="G302" s="176">
        <v>213322500</v>
      </c>
      <c r="H302" s="116"/>
      <c r="I302" s="8">
        <v>0</v>
      </c>
      <c r="J302" s="8">
        <v>0</v>
      </c>
      <c r="K302" s="8">
        <v>0</v>
      </c>
      <c r="N302" s="116"/>
      <c r="O302" s="140"/>
      <c r="P302" s="133">
        <f>SUMIFS(GestionLignesDemande!D$4:D$1000,GestionLignesDemande!$B$4:$B$1000,ROI_Avions!$A302,GestionLignesDemande!$C$4:$C$1000,ROI_Avions!$C302)</f>
        <v>0</v>
      </c>
      <c r="Q302" s="133">
        <f>SUMIFS(GestionLignesDemande!E$4:E$1000,GestionLignesDemande!$B$4:$B$1000,ROI_Avions!$A302,GestionLignesDemande!$C$4:$C$1000,ROI_Avions!$C302)</f>
        <v>0</v>
      </c>
      <c r="R302" s="133">
        <f>SUMIFS(GestionLignesDemande!F$4:F$1000,GestionLignesDemande!$B$4:$B$1000,ROI_Avions!$A302,GestionLignesDemande!$C$4:$C$1000,ROI_Avions!$C302)</f>
        <v>0</v>
      </c>
      <c r="S302" s="133">
        <f>SUMIFS(GestionLignesDemande!G$4:G$1000,GestionLignesDemande!$B$4:$B$1000,ROI_Avions!$A302,GestionLignesDemande!$C$4:$C$1000,ROI_Avions!$C302)</f>
        <v>0</v>
      </c>
      <c r="T302" s="116"/>
      <c r="U302" s="8">
        <f t="shared" si="962"/>
        <v>398</v>
      </c>
      <c r="V302" s="8">
        <v>384</v>
      </c>
      <c r="W302" s="8">
        <v>11</v>
      </c>
      <c r="X302" s="8">
        <v>1</v>
      </c>
      <c r="Y302" s="8">
        <v>2</v>
      </c>
      <c r="Z302" s="116"/>
      <c r="AA302" s="132">
        <f t="shared" si="1005"/>
        <v>-3996</v>
      </c>
      <c r="AB302" s="132">
        <f t="shared" si="1006"/>
        <v>-294</v>
      </c>
      <c r="AC302" s="132">
        <f t="shared" si="1007"/>
        <v>-42</v>
      </c>
      <c r="AD302" s="132">
        <f t="shared" si="1008"/>
        <v>-74</v>
      </c>
      <c r="AE302" s="116"/>
      <c r="AF302" s="26">
        <f>SUMIFS(DataPrixBillets!N$1:N$1000,DataPrixBillets!$J$1:$J$1000,ROI_Avions!$A302,DataPrixBillets!$K$1:$K$1000,ROI_Avions!$C302)</f>
        <v>0</v>
      </c>
      <c r="AG302" s="26">
        <f>SUMIFS(DataPrixBillets!O$1:O$1000,DataPrixBillets!$J$1:$J$1000,ROI_Avions!$A302,DataPrixBillets!$K$1:$K$1000,ROI_Avions!$C302)</f>
        <v>0</v>
      </c>
      <c r="AH302" s="26">
        <f>SUMIFS(DataPrixBillets!P$1:P$1000,DataPrixBillets!$J$1:$J$1000,ROI_Avions!$A302,DataPrixBillets!$K$1:$K$1000,ROI_Avions!$C302)</f>
        <v>0</v>
      </c>
      <c r="AI302" s="26">
        <f>SUMIFS(DataPrixBillets!Q$1:Q$1000,DataPrixBillets!$J$1:$J$1000,ROI_Avions!$A302,DataPrixBillets!$K$1:$K$1000,ROI_Avions!$C302)</f>
        <v>0</v>
      </c>
      <c r="AJ302" s="116"/>
      <c r="AK302" s="8">
        <f t="shared" si="959"/>
        <v>0</v>
      </c>
      <c r="AL302" s="8" t="e">
        <f t="shared" ca="1" si="1009"/>
        <v>#REF!</v>
      </c>
      <c r="AM302" s="8" t="e">
        <f t="shared" ca="1" si="1010"/>
        <v>#REF!</v>
      </c>
      <c r="AN302" s="8" t="e">
        <f t="shared" ca="1" si="1011"/>
        <v>#REF!</v>
      </c>
      <c r="AO302" s="8" t="e">
        <f t="shared" ca="1" si="1012"/>
        <v>#REF!</v>
      </c>
      <c r="AP302" s="8" t="e">
        <f t="shared" ca="1" si="1013"/>
        <v>#REF!</v>
      </c>
      <c r="AQ302" s="8" t="e">
        <f t="shared" ca="1" si="1014"/>
        <v>#REF!</v>
      </c>
      <c r="AR302" s="7">
        <f t="shared" ca="1" si="1004"/>
        <v>0</v>
      </c>
      <c r="AS302" s="120">
        <f t="shared" ca="1" si="961"/>
        <v>0</v>
      </c>
      <c r="AT302" s="8" t="e">
        <f t="shared" ca="1" si="1015"/>
        <v>#REF!</v>
      </c>
      <c r="AV302" s="189"/>
      <c r="AW302" s="189"/>
      <c r="AX302" s="189"/>
      <c r="AY302" s="189"/>
    </row>
    <row r="303" spans="1:55" x14ac:dyDescent="0.3">
      <c r="A303" s="175" t="s">
        <v>427</v>
      </c>
      <c r="B303" s="176">
        <v>650382948</v>
      </c>
      <c r="C303" s="175" t="s">
        <v>337</v>
      </c>
      <c r="D303" s="145" t="str">
        <f t="shared" si="958"/>
        <v>LOS/HND</v>
      </c>
      <c r="E303" s="176">
        <v>293791097</v>
      </c>
      <c r="F303" s="177" t="s">
        <v>888</v>
      </c>
      <c r="G303" s="176">
        <v>213322500</v>
      </c>
      <c r="I303" s="8">
        <v>0</v>
      </c>
      <c r="J303" s="8">
        <v>0</v>
      </c>
      <c r="K303" s="8">
        <v>0</v>
      </c>
      <c r="L303" s="185"/>
      <c r="M303" s="185"/>
      <c r="O303" s="140"/>
      <c r="P303" s="133">
        <f>SUMIFS(GestionLignesDemande!D$4:D$1000,GestionLignesDemande!$B$4:$B$1000,ROI_Avions!$A303,GestionLignesDemande!$C$4:$C$1000,ROI_Avions!$C303)</f>
        <v>0</v>
      </c>
      <c r="Q303" s="133">
        <f>SUMIFS(GestionLignesDemande!E$4:E$1000,GestionLignesDemande!$B$4:$B$1000,ROI_Avions!$A303,GestionLignesDemande!$C$4:$C$1000,ROI_Avions!$C303)</f>
        <v>0</v>
      </c>
      <c r="R303" s="133">
        <f>SUMIFS(GestionLignesDemande!F$4:F$1000,GestionLignesDemande!$B$4:$B$1000,ROI_Avions!$A303,GestionLignesDemande!$C$4:$C$1000,ROI_Avions!$C303)</f>
        <v>0</v>
      </c>
      <c r="S303" s="133">
        <f>SUMIFS(GestionLignesDemande!G$4:G$1000,GestionLignesDemande!$B$4:$B$1000,ROI_Avions!$A303,GestionLignesDemande!$C$4:$C$1000,ROI_Avions!$C303)</f>
        <v>0</v>
      </c>
      <c r="U303" s="8">
        <f t="shared" si="962"/>
        <v>398</v>
      </c>
      <c r="V303" s="8">
        <v>384</v>
      </c>
      <c r="W303" s="8">
        <v>11</v>
      </c>
      <c r="X303" s="8">
        <v>1</v>
      </c>
      <c r="Y303" s="8">
        <v>2</v>
      </c>
      <c r="AA303" s="132">
        <f t="shared" si="1005"/>
        <v>-4764</v>
      </c>
      <c r="AB303" s="132">
        <f t="shared" si="1006"/>
        <v>-316</v>
      </c>
      <c r="AC303" s="132">
        <f t="shared" si="1007"/>
        <v>-44</v>
      </c>
      <c r="AD303" s="132">
        <f t="shared" si="1008"/>
        <v>-78</v>
      </c>
      <c r="AF303" s="26">
        <f>SUMIFS(DataPrixBillets!N$1:N$1000,DataPrixBillets!$J$1:$J$1000,ROI_Avions!$A303,DataPrixBillets!$K$1:$K$1000,ROI_Avions!$C303)</f>
        <v>0</v>
      </c>
      <c r="AG303" s="26">
        <f>SUMIFS(DataPrixBillets!O$1:O$1000,DataPrixBillets!$J$1:$J$1000,ROI_Avions!$A303,DataPrixBillets!$K$1:$K$1000,ROI_Avions!$C303)</f>
        <v>0</v>
      </c>
      <c r="AH303" s="26">
        <f>SUMIFS(DataPrixBillets!P$1:P$1000,DataPrixBillets!$J$1:$J$1000,ROI_Avions!$A303,DataPrixBillets!$K$1:$K$1000,ROI_Avions!$C303)</f>
        <v>0</v>
      </c>
      <c r="AI303" s="26">
        <f>SUMIFS(DataPrixBillets!Q$1:Q$1000,DataPrixBillets!$J$1:$J$1000,ROI_Avions!$A303,DataPrixBillets!$K$1:$K$1000,ROI_Avions!$C303)</f>
        <v>0</v>
      </c>
      <c r="AK303" s="8">
        <f t="shared" si="959"/>
        <v>0</v>
      </c>
      <c r="AL303" s="8" t="e">
        <f t="shared" ca="1" si="1009"/>
        <v>#REF!</v>
      </c>
      <c r="AM303" s="8" t="e">
        <f t="shared" ca="1" si="1010"/>
        <v>#REF!</v>
      </c>
      <c r="AN303" s="8" t="e">
        <f t="shared" ca="1" si="1011"/>
        <v>#REF!</v>
      </c>
      <c r="AO303" s="8" t="e">
        <f t="shared" ca="1" si="1012"/>
        <v>#REF!</v>
      </c>
      <c r="AP303" s="8" t="e">
        <f t="shared" ca="1" si="1013"/>
        <v>#REF!</v>
      </c>
      <c r="AQ303" s="8" t="e">
        <f t="shared" ca="1" si="1014"/>
        <v>#REF!</v>
      </c>
      <c r="AR303" s="7">
        <f t="shared" ca="1" si="1004"/>
        <v>0</v>
      </c>
      <c r="AS303" s="120">
        <f t="shared" ca="1" si="961"/>
        <v>0</v>
      </c>
      <c r="AT303" s="8" t="e">
        <f t="shared" ca="1" si="1015"/>
        <v>#REF!</v>
      </c>
      <c r="AV303" s="185"/>
      <c r="AW303" s="185"/>
      <c r="AX303" s="185"/>
      <c r="AY303" s="185"/>
      <c r="BA303" s="185"/>
      <c r="BB303" s="185"/>
      <c r="BC303" s="185"/>
    </row>
    <row r="304" spans="1:55" s="116" customFormat="1" ht="15" customHeight="1" x14ac:dyDescent="0.3">
      <c r="A304" s="175" t="s">
        <v>427</v>
      </c>
      <c r="B304" s="176">
        <v>650382949</v>
      </c>
      <c r="C304" s="175" t="s">
        <v>337</v>
      </c>
      <c r="D304" s="145" t="str">
        <f t="shared" si="958"/>
        <v>LOS/HND</v>
      </c>
      <c r="E304" s="176">
        <v>293791098</v>
      </c>
      <c r="F304" s="177" t="s">
        <v>889</v>
      </c>
      <c r="G304" s="176">
        <v>213322500</v>
      </c>
      <c r="I304" s="8">
        <v>0</v>
      </c>
      <c r="J304" s="8">
        <v>0</v>
      </c>
      <c r="K304" s="8">
        <v>0</v>
      </c>
      <c r="L304" s="185"/>
      <c r="M304" s="185"/>
      <c r="O304" s="140"/>
      <c r="P304" s="133">
        <f>SUMIFS(GestionLignesDemande!D$4:D$1000,GestionLignesDemande!$B$4:$B$1000,ROI_Avions!$A304,GestionLignesDemande!$C$4:$C$1000,ROI_Avions!$C304)</f>
        <v>0</v>
      </c>
      <c r="Q304" s="133">
        <f>SUMIFS(GestionLignesDemande!E$4:E$1000,GestionLignesDemande!$B$4:$B$1000,ROI_Avions!$A304,GestionLignesDemande!$C$4:$C$1000,ROI_Avions!$C304)</f>
        <v>0</v>
      </c>
      <c r="R304" s="133">
        <f>SUMIFS(GestionLignesDemande!F$4:F$1000,GestionLignesDemande!$B$4:$B$1000,ROI_Avions!$A304,GestionLignesDemande!$C$4:$C$1000,ROI_Avions!$C304)</f>
        <v>0</v>
      </c>
      <c r="S304" s="133">
        <f>SUMIFS(GestionLignesDemande!G$4:G$1000,GestionLignesDemande!$B$4:$B$1000,ROI_Avions!$A304,GestionLignesDemande!$C$4:$C$1000,ROI_Avions!$C304)</f>
        <v>0</v>
      </c>
      <c r="U304" s="8">
        <f t="shared" si="962"/>
        <v>398</v>
      </c>
      <c r="V304" s="8">
        <v>384</v>
      </c>
      <c r="W304" s="8">
        <v>11</v>
      </c>
      <c r="X304" s="8">
        <v>1</v>
      </c>
      <c r="Y304" s="8">
        <v>2</v>
      </c>
      <c r="AA304" s="132">
        <v>89</v>
      </c>
      <c r="AB304" s="132">
        <v>-1</v>
      </c>
      <c r="AC304" s="132">
        <v>1</v>
      </c>
      <c r="AD304" s="132">
        <v>-2</v>
      </c>
      <c r="AF304" s="26">
        <f>SUMIFS(DataPrixBillets!N$1:N$1000,DataPrixBillets!$J$1:$J$1000,ROI_Avions!$A304,DataPrixBillets!$K$1:$K$1000,ROI_Avions!$C304)</f>
        <v>0</v>
      </c>
      <c r="AG304" s="26">
        <f>SUMIFS(DataPrixBillets!O$1:O$1000,DataPrixBillets!$J$1:$J$1000,ROI_Avions!$A304,DataPrixBillets!$K$1:$K$1000,ROI_Avions!$C304)</f>
        <v>0</v>
      </c>
      <c r="AH304" s="26">
        <f>SUMIFS(DataPrixBillets!P$1:P$1000,DataPrixBillets!$J$1:$J$1000,ROI_Avions!$A304,DataPrixBillets!$K$1:$K$1000,ROI_Avions!$C304)</f>
        <v>0</v>
      </c>
      <c r="AI304" s="26">
        <f>SUMIFS(DataPrixBillets!Q$1:Q$1000,DataPrixBillets!$J$1:$J$1000,ROI_Avions!$A304,DataPrixBillets!$K$1:$K$1000,ROI_Avions!$C304)</f>
        <v>0</v>
      </c>
      <c r="AK304" s="8">
        <f t="shared" ref="AK304:AK308" si="1016">(((AF304*V304)*2+(AG304*W304)*2+(AH304*X304)*2+(AI304*Y304)*2)*7)</f>
        <v>0</v>
      </c>
      <c r="AL304" s="8" t="e">
        <f t="shared" ref="AL304:AL308" ca="1" si="1017">AK304-AM304</f>
        <v>#REF!</v>
      </c>
      <c r="AM304" s="8" t="e">
        <f t="shared" ref="AM304:AM308" ca="1" si="1018">AK304*$AM$2</f>
        <v>#REF!</v>
      </c>
      <c r="AN304" s="8" t="e">
        <f t="shared" ref="AN304:AN308" ca="1" si="1019">AL304*$AN$2</f>
        <v>#REF!</v>
      </c>
      <c r="AO304" s="8" t="e">
        <f t="shared" ref="AO304:AO308" ca="1" si="1020">(AL304-AN304-I304)*$AO$2</f>
        <v>#REF!</v>
      </c>
      <c r="AP304" s="8" t="e">
        <f t="shared" ref="AP304:AP308" ca="1" si="1021">AL304-AN304-(I304/7)-(AO304/7)</f>
        <v>#REF!</v>
      </c>
      <c r="AQ304" s="8" t="e">
        <f t="shared" ref="AQ304:AQ308" ca="1" si="1022">AP304/7</f>
        <v>#REF!</v>
      </c>
      <c r="AR304" s="7">
        <f t="shared" ca="1" si="1004"/>
        <v>0</v>
      </c>
      <c r="AS304" s="120">
        <f t="shared" ca="1" si="961"/>
        <v>0</v>
      </c>
      <c r="AT304" s="8" t="e">
        <f t="shared" ref="AT304:AT308" ca="1" si="1023">IF(K304&gt;=1,AP304*K304,AP304*$AT$1)</f>
        <v>#REF!</v>
      </c>
      <c r="AV304" s="185"/>
      <c r="AW304" s="185"/>
      <c r="AX304" s="185"/>
      <c r="AY304" s="185"/>
      <c r="BA304" s="185"/>
      <c r="BB304" s="185"/>
      <c r="BC304" s="185"/>
    </row>
    <row r="305" spans="1:55" x14ac:dyDescent="0.3">
      <c r="A305" s="175" t="s">
        <v>427</v>
      </c>
      <c r="B305" s="176">
        <v>650382950</v>
      </c>
      <c r="C305" s="175" t="s">
        <v>337</v>
      </c>
      <c r="D305" s="145" t="str">
        <f t="shared" si="958"/>
        <v>LOS/HND</v>
      </c>
      <c r="E305" s="176">
        <v>293791099</v>
      </c>
      <c r="F305" s="177" t="s">
        <v>890</v>
      </c>
      <c r="G305" s="176">
        <v>213322500</v>
      </c>
      <c r="I305" s="8">
        <v>0</v>
      </c>
      <c r="J305" s="8">
        <v>0</v>
      </c>
      <c r="K305" s="8">
        <v>0</v>
      </c>
      <c r="L305" s="185"/>
      <c r="M305" s="185"/>
      <c r="O305" s="140"/>
      <c r="P305" s="133">
        <f>SUMIFS(GestionLignesDemande!D$4:D$1000,GestionLignesDemande!$B$4:$B$1000,ROI_Avions!$A305,GestionLignesDemande!$C$4:$C$1000,ROI_Avions!$C305)</f>
        <v>0</v>
      </c>
      <c r="Q305" s="133">
        <f>SUMIFS(GestionLignesDemande!E$4:E$1000,GestionLignesDemande!$B$4:$B$1000,ROI_Avions!$A305,GestionLignesDemande!$C$4:$C$1000,ROI_Avions!$C305)</f>
        <v>0</v>
      </c>
      <c r="R305" s="133">
        <f>SUMIFS(GestionLignesDemande!F$4:F$1000,GestionLignesDemande!$B$4:$B$1000,ROI_Avions!$A305,GestionLignesDemande!$C$4:$C$1000,ROI_Avions!$C305)</f>
        <v>0</v>
      </c>
      <c r="S305" s="133">
        <f>SUMIFS(GestionLignesDemande!G$4:G$1000,GestionLignesDemande!$B$4:$B$1000,ROI_Avions!$A305,GestionLignesDemande!$C$4:$C$1000,ROI_Avions!$C305)</f>
        <v>0</v>
      </c>
      <c r="U305" s="8">
        <f t="shared" si="962"/>
        <v>398</v>
      </c>
      <c r="V305" s="8">
        <v>384</v>
      </c>
      <c r="W305" s="8">
        <v>11</v>
      </c>
      <c r="X305" s="8">
        <v>1</v>
      </c>
      <c r="Y305" s="8">
        <v>2</v>
      </c>
      <c r="AA305" s="132">
        <v>89</v>
      </c>
      <c r="AB305" s="132">
        <v>-1</v>
      </c>
      <c r="AC305" s="132">
        <v>1</v>
      </c>
      <c r="AD305" s="132">
        <v>-2</v>
      </c>
      <c r="AF305" s="26">
        <f>SUMIFS(DataPrixBillets!N$1:N$1000,DataPrixBillets!$J$1:$J$1000,ROI_Avions!$A305,DataPrixBillets!$K$1:$K$1000,ROI_Avions!$C305)</f>
        <v>0</v>
      </c>
      <c r="AG305" s="26">
        <f>SUMIFS(DataPrixBillets!O$1:O$1000,DataPrixBillets!$J$1:$J$1000,ROI_Avions!$A305,DataPrixBillets!$K$1:$K$1000,ROI_Avions!$C305)</f>
        <v>0</v>
      </c>
      <c r="AH305" s="26">
        <f>SUMIFS(DataPrixBillets!P$1:P$1000,DataPrixBillets!$J$1:$J$1000,ROI_Avions!$A305,DataPrixBillets!$K$1:$K$1000,ROI_Avions!$C305)</f>
        <v>0</v>
      </c>
      <c r="AI305" s="26">
        <f>SUMIFS(DataPrixBillets!Q$1:Q$1000,DataPrixBillets!$J$1:$J$1000,ROI_Avions!$A305,DataPrixBillets!$K$1:$K$1000,ROI_Avions!$C305)</f>
        <v>0</v>
      </c>
      <c r="AK305" s="8">
        <f t="shared" si="1016"/>
        <v>0</v>
      </c>
      <c r="AL305" s="8" t="e">
        <f t="shared" ca="1" si="1017"/>
        <v>#REF!</v>
      </c>
      <c r="AM305" s="8" t="e">
        <f t="shared" ca="1" si="1018"/>
        <v>#REF!</v>
      </c>
      <c r="AN305" s="8" t="e">
        <f t="shared" ca="1" si="1019"/>
        <v>#REF!</v>
      </c>
      <c r="AO305" s="8" t="e">
        <f t="shared" ca="1" si="1020"/>
        <v>#REF!</v>
      </c>
      <c r="AP305" s="8" t="e">
        <f t="shared" ca="1" si="1021"/>
        <v>#REF!</v>
      </c>
      <c r="AQ305" s="8" t="e">
        <f t="shared" ca="1" si="1022"/>
        <v>#REF!</v>
      </c>
      <c r="AR305" s="7">
        <f t="shared" ca="1" si="1004"/>
        <v>0</v>
      </c>
      <c r="AS305" s="120">
        <f t="shared" ca="1" si="961"/>
        <v>0</v>
      </c>
      <c r="AT305" s="8" t="e">
        <f t="shared" ca="1" si="1023"/>
        <v>#REF!</v>
      </c>
      <c r="AV305" s="185"/>
      <c r="AW305" s="185"/>
      <c r="AX305" s="185"/>
      <c r="AY305" s="185"/>
    </row>
    <row r="306" spans="1:55" x14ac:dyDescent="0.3">
      <c r="A306" s="175" t="s">
        <v>427</v>
      </c>
      <c r="B306" s="176">
        <v>650382951</v>
      </c>
      <c r="C306" s="175" t="s">
        <v>337</v>
      </c>
      <c r="D306" s="145" t="str">
        <f t="shared" si="958"/>
        <v>LOS/HND</v>
      </c>
      <c r="E306" s="176">
        <v>293791100</v>
      </c>
      <c r="F306" s="177" t="s">
        <v>891</v>
      </c>
      <c r="G306" s="176">
        <v>213322500</v>
      </c>
      <c r="I306" s="8">
        <v>0</v>
      </c>
      <c r="J306" s="8">
        <v>0</v>
      </c>
      <c r="K306" s="8">
        <v>0</v>
      </c>
      <c r="L306" s="185"/>
      <c r="M306" s="185"/>
      <c r="O306" s="140"/>
      <c r="P306" s="133">
        <f>SUMIFS(GestionLignesDemande!D$4:D$1000,GestionLignesDemande!$B$4:$B$1000,ROI_Avions!$A306,GestionLignesDemande!$C$4:$C$1000,ROI_Avions!$C306)</f>
        <v>0</v>
      </c>
      <c r="Q306" s="133">
        <f>SUMIFS(GestionLignesDemande!E$4:E$1000,GestionLignesDemande!$B$4:$B$1000,ROI_Avions!$A306,GestionLignesDemande!$C$4:$C$1000,ROI_Avions!$C306)</f>
        <v>0</v>
      </c>
      <c r="R306" s="133">
        <f>SUMIFS(GestionLignesDemande!F$4:F$1000,GestionLignesDemande!$B$4:$B$1000,ROI_Avions!$A306,GestionLignesDemande!$C$4:$C$1000,ROI_Avions!$C306)</f>
        <v>0</v>
      </c>
      <c r="S306" s="133">
        <f>SUMIFS(GestionLignesDemande!G$4:G$1000,GestionLignesDemande!$B$4:$B$1000,ROI_Avions!$A306,GestionLignesDemande!$C$4:$C$1000,ROI_Avions!$C306)</f>
        <v>0</v>
      </c>
      <c r="U306" s="8">
        <f t="shared" si="962"/>
        <v>398</v>
      </c>
      <c r="V306" s="8">
        <v>384</v>
      </c>
      <c r="W306" s="8">
        <v>11</v>
      </c>
      <c r="X306" s="8">
        <v>1</v>
      </c>
      <c r="Y306" s="8">
        <v>2</v>
      </c>
      <c r="AA306" s="132">
        <v>89</v>
      </c>
      <c r="AB306" s="132">
        <v>-1</v>
      </c>
      <c r="AC306" s="132">
        <v>1</v>
      </c>
      <c r="AD306" s="132">
        <v>-2</v>
      </c>
      <c r="AF306" s="26">
        <f>SUMIFS(DataPrixBillets!N$1:N$1000,DataPrixBillets!$J$1:$J$1000,ROI_Avions!$A306,DataPrixBillets!$K$1:$K$1000,ROI_Avions!$C306)</f>
        <v>0</v>
      </c>
      <c r="AG306" s="26">
        <f>SUMIFS(DataPrixBillets!O$1:O$1000,DataPrixBillets!$J$1:$J$1000,ROI_Avions!$A306,DataPrixBillets!$K$1:$K$1000,ROI_Avions!$C306)</f>
        <v>0</v>
      </c>
      <c r="AH306" s="26">
        <f>SUMIFS(DataPrixBillets!P$1:P$1000,DataPrixBillets!$J$1:$J$1000,ROI_Avions!$A306,DataPrixBillets!$K$1:$K$1000,ROI_Avions!$C306)</f>
        <v>0</v>
      </c>
      <c r="AI306" s="26">
        <f>SUMIFS(DataPrixBillets!Q$1:Q$1000,DataPrixBillets!$J$1:$J$1000,ROI_Avions!$A306,DataPrixBillets!$K$1:$K$1000,ROI_Avions!$C306)</f>
        <v>0</v>
      </c>
      <c r="AK306" s="8">
        <f t="shared" si="1016"/>
        <v>0</v>
      </c>
      <c r="AL306" s="8" t="e">
        <f t="shared" ca="1" si="1017"/>
        <v>#REF!</v>
      </c>
      <c r="AM306" s="8" t="e">
        <f t="shared" ca="1" si="1018"/>
        <v>#REF!</v>
      </c>
      <c r="AN306" s="8" t="e">
        <f t="shared" ca="1" si="1019"/>
        <v>#REF!</v>
      </c>
      <c r="AO306" s="8" t="e">
        <f t="shared" ca="1" si="1020"/>
        <v>#REF!</v>
      </c>
      <c r="AP306" s="8" t="e">
        <f t="shared" ca="1" si="1021"/>
        <v>#REF!</v>
      </c>
      <c r="AQ306" s="8" t="e">
        <f t="shared" ca="1" si="1022"/>
        <v>#REF!</v>
      </c>
      <c r="AR306" s="7">
        <f t="shared" ca="1" si="1004"/>
        <v>0</v>
      </c>
      <c r="AS306" s="120">
        <f t="shared" ca="1" si="961"/>
        <v>0</v>
      </c>
      <c r="AT306" s="8" t="e">
        <f t="shared" ca="1" si="1023"/>
        <v>#REF!</v>
      </c>
      <c r="BA306" s="116"/>
      <c r="BB306" s="116"/>
      <c r="BC306" s="116"/>
    </row>
    <row r="307" spans="1:55" x14ac:dyDescent="0.3">
      <c r="A307" s="175" t="s">
        <v>427</v>
      </c>
      <c r="B307" s="176">
        <v>650382952</v>
      </c>
      <c r="C307" s="175" t="s">
        <v>337</v>
      </c>
      <c r="D307" s="145" t="str">
        <f t="shared" si="958"/>
        <v>LOS/HND</v>
      </c>
      <c r="E307" s="176">
        <v>293791101</v>
      </c>
      <c r="F307" s="177" t="s">
        <v>892</v>
      </c>
      <c r="G307" s="176">
        <v>213322500</v>
      </c>
      <c r="I307" s="8">
        <v>0</v>
      </c>
      <c r="J307" s="8">
        <v>0</v>
      </c>
      <c r="K307" s="8">
        <v>0</v>
      </c>
      <c r="L307" s="185"/>
      <c r="M307" s="185"/>
      <c r="O307" s="140"/>
      <c r="P307" s="133">
        <f>SUMIFS(GestionLignesDemande!D$4:D$1000,GestionLignesDemande!$B$4:$B$1000,ROI_Avions!$A307,GestionLignesDemande!$C$4:$C$1000,ROI_Avions!$C307)</f>
        <v>0</v>
      </c>
      <c r="Q307" s="133">
        <f>SUMIFS(GestionLignesDemande!E$4:E$1000,GestionLignesDemande!$B$4:$B$1000,ROI_Avions!$A307,GestionLignesDemande!$C$4:$C$1000,ROI_Avions!$C307)</f>
        <v>0</v>
      </c>
      <c r="R307" s="133">
        <f>SUMIFS(GestionLignesDemande!F$4:F$1000,GestionLignesDemande!$B$4:$B$1000,ROI_Avions!$A307,GestionLignesDemande!$C$4:$C$1000,ROI_Avions!$C307)</f>
        <v>0</v>
      </c>
      <c r="S307" s="133">
        <f>SUMIFS(GestionLignesDemande!G$4:G$1000,GestionLignesDemande!$B$4:$B$1000,ROI_Avions!$A307,GestionLignesDemande!$C$4:$C$1000,ROI_Avions!$C307)</f>
        <v>0</v>
      </c>
      <c r="U307" s="8">
        <f t="shared" si="962"/>
        <v>398</v>
      </c>
      <c r="V307" s="8">
        <v>384</v>
      </c>
      <c r="W307" s="8">
        <v>11</v>
      </c>
      <c r="X307" s="8">
        <v>1</v>
      </c>
      <c r="Y307" s="8">
        <v>2</v>
      </c>
      <c r="AA307" s="132">
        <v>89</v>
      </c>
      <c r="AB307" s="132">
        <v>-1</v>
      </c>
      <c r="AC307" s="132">
        <v>1</v>
      </c>
      <c r="AD307" s="132">
        <v>-2</v>
      </c>
      <c r="AF307" s="26">
        <f>SUMIFS(DataPrixBillets!N$1:N$1000,DataPrixBillets!$J$1:$J$1000,ROI_Avions!$A307,DataPrixBillets!$K$1:$K$1000,ROI_Avions!$C307)</f>
        <v>0</v>
      </c>
      <c r="AG307" s="26">
        <f>SUMIFS(DataPrixBillets!O$1:O$1000,DataPrixBillets!$J$1:$J$1000,ROI_Avions!$A307,DataPrixBillets!$K$1:$K$1000,ROI_Avions!$C307)</f>
        <v>0</v>
      </c>
      <c r="AH307" s="26">
        <f>SUMIFS(DataPrixBillets!P$1:P$1000,DataPrixBillets!$J$1:$J$1000,ROI_Avions!$A307,DataPrixBillets!$K$1:$K$1000,ROI_Avions!$C307)</f>
        <v>0</v>
      </c>
      <c r="AI307" s="26">
        <f>SUMIFS(DataPrixBillets!Q$1:Q$1000,DataPrixBillets!$J$1:$J$1000,ROI_Avions!$A307,DataPrixBillets!$K$1:$K$1000,ROI_Avions!$C307)</f>
        <v>0</v>
      </c>
      <c r="AK307" s="8">
        <f t="shared" si="1016"/>
        <v>0</v>
      </c>
      <c r="AL307" s="8" t="e">
        <f t="shared" ca="1" si="1017"/>
        <v>#REF!</v>
      </c>
      <c r="AM307" s="8" t="e">
        <f t="shared" ca="1" si="1018"/>
        <v>#REF!</v>
      </c>
      <c r="AN307" s="8" t="e">
        <f t="shared" ca="1" si="1019"/>
        <v>#REF!</v>
      </c>
      <c r="AO307" s="8" t="e">
        <f t="shared" ca="1" si="1020"/>
        <v>#REF!</v>
      </c>
      <c r="AP307" s="8" t="e">
        <f t="shared" ca="1" si="1021"/>
        <v>#REF!</v>
      </c>
      <c r="AQ307" s="8" t="e">
        <f t="shared" ca="1" si="1022"/>
        <v>#REF!</v>
      </c>
      <c r="AR307" s="7">
        <f t="shared" ca="1" si="1004"/>
        <v>0</v>
      </c>
      <c r="AS307" s="120">
        <f t="shared" ca="1" si="961"/>
        <v>0</v>
      </c>
      <c r="AT307" s="8" t="e">
        <f t="shared" ca="1" si="1023"/>
        <v>#REF!</v>
      </c>
      <c r="AV307" s="116"/>
      <c r="AW307" s="116"/>
      <c r="AX307" s="116"/>
      <c r="AY307" s="116"/>
    </row>
    <row r="308" spans="1:55" x14ac:dyDescent="0.3">
      <c r="A308" s="175" t="s">
        <v>427</v>
      </c>
      <c r="B308" s="176">
        <v>650382948</v>
      </c>
      <c r="C308" s="175" t="s">
        <v>878</v>
      </c>
      <c r="D308" s="145" t="str">
        <f t="shared" si="958"/>
        <v>LOS/CBR</v>
      </c>
      <c r="E308" s="176">
        <v>274667311</v>
      </c>
      <c r="F308" s="177" t="s">
        <v>893</v>
      </c>
      <c r="G308" s="176">
        <v>213322500</v>
      </c>
      <c r="I308" s="8">
        <v>0</v>
      </c>
      <c r="J308" s="8">
        <v>0</v>
      </c>
      <c r="K308" s="8">
        <v>0</v>
      </c>
      <c r="L308" s="185"/>
      <c r="M308" s="185"/>
      <c r="O308" s="140"/>
      <c r="P308" s="133">
        <f>SUMIFS(GestionLignesDemande!D$4:D$1000,GestionLignesDemande!$B$4:$B$1000,ROI_Avions!$A308,GestionLignesDemande!$C$4:$C$1000,ROI_Avions!$C308)</f>
        <v>0</v>
      </c>
      <c r="Q308" s="133">
        <f>SUMIFS(GestionLignesDemande!E$4:E$1000,GestionLignesDemande!$B$4:$B$1000,ROI_Avions!$A308,GestionLignesDemande!$C$4:$C$1000,ROI_Avions!$C308)</f>
        <v>0</v>
      </c>
      <c r="R308" s="133">
        <f>SUMIFS(GestionLignesDemande!F$4:F$1000,GestionLignesDemande!$B$4:$B$1000,ROI_Avions!$A308,GestionLignesDemande!$C$4:$C$1000,ROI_Avions!$C308)</f>
        <v>0</v>
      </c>
      <c r="S308" s="133">
        <f>SUMIFS(GestionLignesDemande!G$4:G$1000,GestionLignesDemande!$B$4:$B$1000,ROI_Avions!$A308,GestionLignesDemande!$C$4:$C$1000,ROI_Avions!$C308)</f>
        <v>0</v>
      </c>
      <c r="U308" s="8">
        <f t="shared" si="962"/>
        <v>398</v>
      </c>
      <c r="V308" s="8">
        <v>384</v>
      </c>
      <c r="W308" s="8">
        <v>11</v>
      </c>
      <c r="X308" s="8">
        <v>1</v>
      </c>
      <c r="Y308" s="8">
        <v>2</v>
      </c>
      <c r="AA308" s="132">
        <f t="shared" ref="AA308:AA317" si="1024">P308-(V308*2)</f>
        <v>-768</v>
      </c>
      <c r="AB308" s="132">
        <f t="shared" ref="AB308:AB317" si="1025">Q308-(W308*2)</f>
        <v>-22</v>
      </c>
      <c r="AC308" s="132">
        <f t="shared" ref="AC308:AC317" si="1026">R308-(X308*2)</f>
        <v>-2</v>
      </c>
      <c r="AD308" s="132">
        <f t="shared" ref="AD308:AD317" si="1027">S308-(Y308*2)</f>
        <v>-4</v>
      </c>
      <c r="AF308" s="26">
        <f>SUMIFS(DataPrixBillets!N$1:N$1000,DataPrixBillets!$J$1:$J$1000,ROI_Avions!$A308,DataPrixBillets!$K$1:$K$1000,ROI_Avions!$C308)</f>
        <v>0</v>
      </c>
      <c r="AG308" s="26">
        <f>SUMIFS(DataPrixBillets!O$1:O$1000,DataPrixBillets!$J$1:$J$1000,ROI_Avions!$A308,DataPrixBillets!$K$1:$K$1000,ROI_Avions!$C308)</f>
        <v>0</v>
      </c>
      <c r="AH308" s="26">
        <f>SUMIFS(DataPrixBillets!P$1:P$1000,DataPrixBillets!$J$1:$J$1000,ROI_Avions!$A308,DataPrixBillets!$K$1:$K$1000,ROI_Avions!$C308)</f>
        <v>0</v>
      </c>
      <c r="AI308" s="26">
        <f>SUMIFS(DataPrixBillets!Q$1:Q$1000,DataPrixBillets!$J$1:$J$1000,ROI_Avions!$A308,DataPrixBillets!$K$1:$K$1000,ROI_Avions!$C308)</f>
        <v>0</v>
      </c>
      <c r="AK308" s="8">
        <f t="shared" si="1016"/>
        <v>0</v>
      </c>
      <c r="AL308" s="8" t="e">
        <f t="shared" ca="1" si="1017"/>
        <v>#REF!</v>
      </c>
      <c r="AM308" s="8" t="e">
        <f t="shared" ca="1" si="1018"/>
        <v>#REF!</v>
      </c>
      <c r="AN308" s="8" t="e">
        <f t="shared" ca="1" si="1019"/>
        <v>#REF!</v>
      </c>
      <c r="AO308" s="8" t="e">
        <f t="shared" ca="1" si="1020"/>
        <v>#REF!</v>
      </c>
      <c r="AP308" s="8" t="e">
        <f t="shared" ca="1" si="1021"/>
        <v>#REF!</v>
      </c>
      <c r="AQ308" s="8" t="e">
        <f t="shared" ca="1" si="1022"/>
        <v>#REF!</v>
      </c>
      <c r="AR308" s="7">
        <f t="shared" ca="1" si="1004"/>
        <v>0</v>
      </c>
      <c r="AS308" s="120">
        <f t="shared" ca="1" si="961"/>
        <v>0</v>
      </c>
      <c r="AT308" s="8" t="e">
        <f t="shared" ca="1" si="1023"/>
        <v>#REF!</v>
      </c>
    </row>
    <row r="309" spans="1:55" x14ac:dyDescent="0.3">
      <c r="A309" s="175" t="s">
        <v>427</v>
      </c>
      <c r="B309" s="176">
        <v>650382948</v>
      </c>
      <c r="C309" s="175" t="s">
        <v>878</v>
      </c>
      <c r="D309" s="145" t="str">
        <f t="shared" si="958"/>
        <v>LOS/CBR</v>
      </c>
      <c r="E309" s="176">
        <v>274667311</v>
      </c>
      <c r="F309" s="177" t="s">
        <v>897</v>
      </c>
      <c r="G309" s="176">
        <v>213322500</v>
      </c>
      <c r="I309" s="8">
        <v>0</v>
      </c>
      <c r="J309" s="8">
        <v>0</v>
      </c>
      <c r="K309" s="8">
        <v>0</v>
      </c>
      <c r="L309" s="185"/>
      <c r="M309" s="185"/>
      <c r="O309" s="140"/>
      <c r="P309" s="133">
        <f>SUMIFS(GestionLignesDemande!D$4:D$1000,GestionLignesDemande!$B$4:$B$1000,ROI_Avions!$A309,GestionLignesDemande!$C$4:$C$1000,ROI_Avions!$C309)</f>
        <v>0</v>
      </c>
      <c r="Q309" s="133">
        <f>SUMIFS(GestionLignesDemande!E$4:E$1000,GestionLignesDemande!$B$4:$B$1000,ROI_Avions!$A309,GestionLignesDemande!$C$4:$C$1000,ROI_Avions!$C309)</f>
        <v>0</v>
      </c>
      <c r="R309" s="133">
        <f>SUMIFS(GestionLignesDemande!F$4:F$1000,GestionLignesDemande!$B$4:$B$1000,ROI_Avions!$A309,GestionLignesDemande!$C$4:$C$1000,ROI_Avions!$C309)</f>
        <v>0</v>
      </c>
      <c r="S309" s="133">
        <f>SUMIFS(GestionLignesDemande!G$4:G$1000,GestionLignesDemande!$B$4:$B$1000,ROI_Avions!$A309,GestionLignesDemande!$C$4:$C$1000,ROI_Avions!$C309)</f>
        <v>0</v>
      </c>
      <c r="U309" s="8">
        <f t="shared" si="962"/>
        <v>398</v>
      </c>
      <c r="V309" s="8">
        <v>384</v>
      </c>
      <c r="W309" s="8">
        <v>11</v>
      </c>
      <c r="X309" s="8">
        <v>1</v>
      </c>
      <c r="Y309" s="8">
        <v>2</v>
      </c>
      <c r="AA309" s="132">
        <f t="shared" ref="AA309:AA310" si="1028">AA308-V309*2</f>
        <v>-1536</v>
      </c>
      <c r="AB309" s="132">
        <f t="shared" ref="AB309:AB310" si="1029">AB308-W309*2</f>
        <v>-44</v>
      </c>
      <c r="AC309" s="132">
        <f t="shared" ref="AC309:AC310" si="1030">AC308-X309*2</f>
        <v>-4</v>
      </c>
      <c r="AD309" s="132">
        <f t="shared" ref="AD309:AD310" si="1031">AD308-Y309*2</f>
        <v>-8</v>
      </c>
      <c r="AF309" s="26">
        <f>SUMIFS(DataPrixBillets!N$1:N$1000,DataPrixBillets!$J$1:$J$1000,ROI_Avions!$A309,DataPrixBillets!$K$1:$K$1000,ROI_Avions!$C309)</f>
        <v>0</v>
      </c>
      <c r="AG309" s="26">
        <f>SUMIFS(DataPrixBillets!O$1:O$1000,DataPrixBillets!$J$1:$J$1000,ROI_Avions!$A309,DataPrixBillets!$K$1:$K$1000,ROI_Avions!$C309)</f>
        <v>0</v>
      </c>
      <c r="AH309" s="26">
        <f>SUMIFS(DataPrixBillets!P$1:P$1000,DataPrixBillets!$J$1:$J$1000,ROI_Avions!$A309,DataPrixBillets!$K$1:$K$1000,ROI_Avions!$C309)</f>
        <v>0</v>
      </c>
      <c r="AI309" s="26">
        <f>SUMIFS(DataPrixBillets!Q$1:Q$1000,DataPrixBillets!$J$1:$J$1000,ROI_Avions!$A309,DataPrixBillets!$K$1:$K$1000,ROI_Avions!$C309)</f>
        <v>0</v>
      </c>
      <c r="AK309" s="8">
        <f t="shared" ref="AK309:AK329" si="1032">(((AF309*V309)*2+(AG309*W309)*2+(AH309*X309)*2+(AI309*Y309)*2)*7)</f>
        <v>0</v>
      </c>
      <c r="AL309" s="8" t="e">
        <f t="shared" ref="AL309:AL329" ca="1" si="1033">AK309-AM309</f>
        <v>#REF!</v>
      </c>
      <c r="AM309" s="8" t="e">
        <f t="shared" ref="AM309:AM329" ca="1" si="1034">AK309*$AM$2</f>
        <v>#REF!</v>
      </c>
      <c r="AN309" s="8" t="e">
        <f t="shared" ref="AN309:AN329" ca="1" si="1035">AL309*$AN$2</f>
        <v>#REF!</v>
      </c>
      <c r="AO309" s="8" t="e">
        <f t="shared" ref="AO309:AO329" ca="1" si="1036">(AL309-AN309-I309)*$AO$2</f>
        <v>#REF!</v>
      </c>
      <c r="AP309" s="8" t="e">
        <f t="shared" ref="AP309:AP329" ca="1" si="1037">AL309-AN309-(I309/7)-(AO309/7)</f>
        <v>#REF!</v>
      </c>
      <c r="AQ309" s="8" t="e">
        <f t="shared" ref="AQ309:AQ329" ca="1" si="1038">AP309/7</f>
        <v>#REF!</v>
      </c>
      <c r="AR309" s="7">
        <f t="shared" ca="1" si="1004"/>
        <v>0</v>
      </c>
      <c r="AS309" s="120">
        <f t="shared" ca="1" si="961"/>
        <v>0</v>
      </c>
      <c r="AT309" s="8" t="e">
        <f t="shared" ref="AT309:AT329" ca="1" si="1039">IF(K309&gt;=1,AP309*K309,AP309*$AT$1)</f>
        <v>#REF!</v>
      </c>
    </row>
    <row r="310" spans="1:55" x14ac:dyDescent="0.3">
      <c r="A310" s="175" t="s">
        <v>427</v>
      </c>
      <c r="B310" s="176">
        <v>650382948</v>
      </c>
      <c r="C310" s="175" t="s">
        <v>878</v>
      </c>
      <c r="D310" s="145" t="str">
        <f t="shared" si="958"/>
        <v>LOS/CBR</v>
      </c>
      <c r="E310" s="176">
        <v>274667311</v>
      </c>
      <c r="F310" s="177" t="s">
        <v>883</v>
      </c>
      <c r="G310" s="176">
        <v>213322500</v>
      </c>
      <c r="I310" s="8">
        <v>0</v>
      </c>
      <c r="J310" s="8">
        <v>0</v>
      </c>
      <c r="K310" s="8">
        <v>0</v>
      </c>
      <c r="L310" s="185"/>
      <c r="M310" s="185"/>
      <c r="O310" s="140"/>
      <c r="P310" s="133">
        <f>SUMIFS(GestionLignesDemande!D$4:D$1000,GestionLignesDemande!$B$4:$B$1000,ROI_Avions!$A310,GestionLignesDemande!$C$4:$C$1000,ROI_Avions!$C310)</f>
        <v>0</v>
      </c>
      <c r="Q310" s="133">
        <f>SUMIFS(GestionLignesDemande!E$4:E$1000,GestionLignesDemande!$B$4:$B$1000,ROI_Avions!$A310,GestionLignesDemande!$C$4:$C$1000,ROI_Avions!$C310)</f>
        <v>0</v>
      </c>
      <c r="R310" s="133">
        <f>SUMIFS(GestionLignesDemande!F$4:F$1000,GestionLignesDemande!$B$4:$B$1000,ROI_Avions!$A310,GestionLignesDemande!$C$4:$C$1000,ROI_Avions!$C310)</f>
        <v>0</v>
      </c>
      <c r="S310" s="133">
        <f>SUMIFS(GestionLignesDemande!G$4:G$1000,GestionLignesDemande!$B$4:$B$1000,ROI_Avions!$A310,GestionLignesDemande!$C$4:$C$1000,ROI_Avions!$C310)</f>
        <v>0</v>
      </c>
      <c r="U310" s="8">
        <f t="shared" si="962"/>
        <v>398</v>
      </c>
      <c r="V310" s="8">
        <v>384</v>
      </c>
      <c r="W310" s="8">
        <v>11</v>
      </c>
      <c r="X310" s="8">
        <v>1</v>
      </c>
      <c r="Y310" s="8">
        <v>2</v>
      </c>
      <c r="AA310" s="132">
        <f t="shared" si="1028"/>
        <v>-2304</v>
      </c>
      <c r="AB310" s="132">
        <f t="shared" si="1029"/>
        <v>-66</v>
      </c>
      <c r="AC310" s="132">
        <f t="shared" si="1030"/>
        <v>-6</v>
      </c>
      <c r="AD310" s="132">
        <f t="shared" si="1031"/>
        <v>-12</v>
      </c>
      <c r="AF310" s="26">
        <f>SUMIFS(DataPrixBillets!N$1:N$1000,DataPrixBillets!$J$1:$J$1000,ROI_Avions!$A310,DataPrixBillets!$K$1:$K$1000,ROI_Avions!$C310)</f>
        <v>0</v>
      </c>
      <c r="AG310" s="26">
        <f>SUMIFS(DataPrixBillets!O$1:O$1000,DataPrixBillets!$J$1:$J$1000,ROI_Avions!$A310,DataPrixBillets!$K$1:$K$1000,ROI_Avions!$C310)</f>
        <v>0</v>
      </c>
      <c r="AH310" s="26">
        <f>SUMIFS(DataPrixBillets!P$1:P$1000,DataPrixBillets!$J$1:$J$1000,ROI_Avions!$A310,DataPrixBillets!$K$1:$K$1000,ROI_Avions!$C310)</f>
        <v>0</v>
      </c>
      <c r="AI310" s="26">
        <f>SUMIFS(DataPrixBillets!Q$1:Q$1000,DataPrixBillets!$J$1:$J$1000,ROI_Avions!$A310,DataPrixBillets!$K$1:$K$1000,ROI_Avions!$C310)</f>
        <v>0</v>
      </c>
      <c r="AK310" s="8">
        <f t="shared" si="1032"/>
        <v>0</v>
      </c>
      <c r="AL310" s="8" t="e">
        <f t="shared" ca="1" si="1033"/>
        <v>#REF!</v>
      </c>
      <c r="AM310" s="8" t="e">
        <f t="shared" ca="1" si="1034"/>
        <v>#REF!</v>
      </c>
      <c r="AN310" s="8" t="e">
        <f t="shared" ca="1" si="1035"/>
        <v>#REF!</v>
      </c>
      <c r="AO310" s="8" t="e">
        <f t="shared" ca="1" si="1036"/>
        <v>#REF!</v>
      </c>
      <c r="AP310" s="8" t="e">
        <f t="shared" ca="1" si="1037"/>
        <v>#REF!</v>
      </c>
      <c r="AQ310" s="8" t="e">
        <f t="shared" ca="1" si="1038"/>
        <v>#REF!</v>
      </c>
      <c r="AR310" s="7">
        <f t="shared" ca="1" si="1004"/>
        <v>0</v>
      </c>
      <c r="AS310" s="120">
        <f t="shared" ca="1" si="961"/>
        <v>0</v>
      </c>
      <c r="AT310" s="8" t="e">
        <f t="shared" ca="1" si="1039"/>
        <v>#REF!</v>
      </c>
    </row>
    <row r="311" spans="1:55" x14ac:dyDescent="0.3">
      <c r="A311" s="175" t="s">
        <v>427</v>
      </c>
      <c r="B311" s="176">
        <v>650382948</v>
      </c>
      <c r="C311" s="175" t="s">
        <v>879</v>
      </c>
      <c r="D311" s="145" t="str">
        <f t="shared" si="958"/>
        <v>LOS/DRW</v>
      </c>
      <c r="E311" s="176">
        <v>258445443</v>
      </c>
      <c r="F311" s="177" t="s">
        <v>894</v>
      </c>
      <c r="G311" s="176">
        <v>213322500</v>
      </c>
      <c r="I311" s="8">
        <v>0</v>
      </c>
      <c r="J311" s="8">
        <v>0</v>
      </c>
      <c r="K311" s="8">
        <v>0</v>
      </c>
      <c r="L311" s="185"/>
      <c r="M311" s="185"/>
      <c r="O311" s="140"/>
      <c r="P311" s="133">
        <f>SUMIFS(GestionLignesDemande!D$4:D$1000,GestionLignesDemande!$B$4:$B$1000,ROI_Avions!$A311,GestionLignesDemande!$C$4:$C$1000,ROI_Avions!$C311)</f>
        <v>0</v>
      </c>
      <c r="Q311" s="133">
        <f>SUMIFS(GestionLignesDemande!E$4:E$1000,GestionLignesDemande!$B$4:$B$1000,ROI_Avions!$A311,GestionLignesDemande!$C$4:$C$1000,ROI_Avions!$C311)</f>
        <v>0</v>
      </c>
      <c r="R311" s="133">
        <f>SUMIFS(GestionLignesDemande!F$4:F$1000,GestionLignesDemande!$B$4:$B$1000,ROI_Avions!$A311,GestionLignesDemande!$C$4:$C$1000,ROI_Avions!$C311)</f>
        <v>0</v>
      </c>
      <c r="S311" s="133">
        <f>SUMIFS(GestionLignesDemande!G$4:G$1000,GestionLignesDemande!$B$4:$B$1000,ROI_Avions!$A311,GestionLignesDemande!$C$4:$C$1000,ROI_Avions!$C311)</f>
        <v>0</v>
      </c>
      <c r="U311" s="8">
        <f t="shared" si="962"/>
        <v>398</v>
      </c>
      <c r="V311" s="8">
        <v>384</v>
      </c>
      <c r="W311" s="8">
        <v>11</v>
      </c>
      <c r="X311" s="8">
        <v>1</v>
      </c>
      <c r="Y311" s="8">
        <v>2</v>
      </c>
      <c r="AA311" s="132">
        <f t="shared" si="1024"/>
        <v>-768</v>
      </c>
      <c r="AB311" s="132">
        <f t="shared" si="1025"/>
        <v>-22</v>
      </c>
      <c r="AC311" s="132">
        <f t="shared" si="1026"/>
        <v>-2</v>
      </c>
      <c r="AD311" s="132">
        <f t="shared" si="1027"/>
        <v>-4</v>
      </c>
      <c r="AF311" s="26">
        <f>SUMIFS(DataPrixBillets!N$1:N$1000,DataPrixBillets!$J$1:$J$1000,ROI_Avions!$A311,DataPrixBillets!$K$1:$K$1000,ROI_Avions!$C311)</f>
        <v>0</v>
      </c>
      <c r="AG311" s="26">
        <f>SUMIFS(DataPrixBillets!O$1:O$1000,DataPrixBillets!$J$1:$J$1000,ROI_Avions!$A311,DataPrixBillets!$K$1:$K$1000,ROI_Avions!$C311)</f>
        <v>0</v>
      </c>
      <c r="AH311" s="26">
        <f>SUMIFS(DataPrixBillets!P$1:P$1000,DataPrixBillets!$J$1:$J$1000,ROI_Avions!$A311,DataPrixBillets!$K$1:$K$1000,ROI_Avions!$C311)</f>
        <v>0</v>
      </c>
      <c r="AI311" s="26">
        <f>SUMIFS(DataPrixBillets!Q$1:Q$1000,DataPrixBillets!$J$1:$J$1000,ROI_Avions!$A311,DataPrixBillets!$K$1:$K$1000,ROI_Avions!$C311)</f>
        <v>0</v>
      </c>
      <c r="AK311" s="8">
        <f t="shared" si="1032"/>
        <v>0</v>
      </c>
      <c r="AL311" s="8" t="e">
        <f t="shared" ca="1" si="1033"/>
        <v>#REF!</v>
      </c>
      <c r="AM311" s="8" t="e">
        <f t="shared" ca="1" si="1034"/>
        <v>#REF!</v>
      </c>
      <c r="AN311" s="8" t="e">
        <f t="shared" ca="1" si="1035"/>
        <v>#REF!</v>
      </c>
      <c r="AO311" s="8" t="e">
        <f t="shared" ca="1" si="1036"/>
        <v>#REF!</v>
      </c>
      <c r="AP311" s="8" t="e">
        <f t="shared" ca="1" si="1037"/>
        <v>#REF!</v>
      </c>
      <c r="AQ311" s="8" t="e">
        <f t="shared" ca="1" si="1038"/>
        <v>#REF!</v>
      </c>
      <c r="AR311" s="7">
        <f t="shared" ca="1" si="1004"/>
        <v>0</v>
      </c>
      <c r="AS311" s="120">
        <f t="shared" ca="1" si="961"/>
        <v>0</v>
      </c>
      <c r="AT311" s="8" t="e">
        <f t="shared" ca="1" si="1039"/>
        <v>#REF!</v>
      </c>
    </row>
    <row r="312" spans="1:55" x14ac:dyDescent="0.3">
      <c r="A312" s="175" t="s">
        <v>427</v>
      </c>
      <c r="B312" s="176">
        <v>650382948</v>
      </c>
      <c r="C312" s="175" t="s">
        <v>879</v>
      </c>
      <c r="D312" s="145" t="str">
        <f t="shared" si="958"/>
        <v>LOS/DRW</v>
      </c>
      <c r="E312" s="176">
        <v>258445443</v>
      </c>
      <c r="F312" s="177" t="s">
        <v>898</v>
      </c>
      <c r="G312" s="176">
        <v>213322500</v>
      </c>
      <c r="I312" s="8">
        <v>0</v>
      </c>
      <c r="J312" s="8">
        <v>0</v>
      </c>
      <c r="K312" s="8">
        <v>0</v>
      </c>
      <c r="L312" s="185"/>
      <c r="M312" s="185"/>
      <c r="O312" s="140"/>
      <c r="P312" s="133">
        <f>SUMIFS(GestionLignesDemande!D$4:D$1000,GestionLignesDemande!$B$4:$B$1000,ROI_Avions!$A312,GestionLignesDemande!$C$4:$C$1000,ROI_Avions!$C312)</f>
        <v>0</v>
      </c>
      <c r="Q312" s="133">
        <f>SUMIFS(GestionLignesDemande!E$4:E$1000,GestionLignesDemande!$B$4:$B$1000,ROI_Avions!$A312,GestionLignesDemande!$C$4:$C$1000,ROI_Avions!$C312)</f>
        <v>0</v>
      </c>
      <c r="R312" s="133">
        <f>SUMIFS(GestionLignesDemande!F$4:F$1000,GestionLignesDemande!$B$4:$B$1000,ROI_Avions!$A312,GestionLignesDemande!$C$4:$C$1000,ROI_Avions!$C312)</f>
        <v>0</v>
      </c>
      <c r="S312" s="133">
        <f>SUMIFS(GestionLignesDemande!G$4:G$1000,GestionLignesDemande!$B$4:$B$1000,ROI_Avions!$A312,GestionLignesDemande!$C$4:$C$1000,ROI_Avions!$C312)</f>
        <v>0</v>
      </c>
      <c r="U312" s="8">
        <f t="shared" si="962"/>
        <v>398</v>
      </c>
      <c r="V312" s="8">
        <v>384</v>
      </c>
      <c r="W312" s="8">
        <v>11</v>
      </c>
      <c r="X312" s="8">
        <v>1</v>
      </c>
      <c r="Y312" s="8">
        <v>2</v>
      </c>
      <c r="AA312" s="132">
        <f t="shared" ref="AA312:AA313" si="1040">AA311-V312*2</f>
        <v>-1536</v>
      </c>
      <c r="AB312" s="132">
        <f t="shared" ref="AB312:AB313" si="1041">AB311-W312*2</f>
        <v>-44</v>
      </c>
      <c r="AC312" s="132">
        <f t="shared" ref="AC312:AC313" si="1042">AC311-X312*2</f>
        <v>-4</v>
      </c>
      <c r="AD312" s="132">
        <f t="shared" ref="AD312:AD313" si="1043">AD311-Y312*2</f>
        <v>-8</v>
      </c>
      <c r="AF312" s="26">
        <f>SUMIFS(DataPrixBillets!N$1:N$1000,DataPrixBillets!$J$1:$J$1000,ROI_Avions!$A312,DataPrixBillets!$K$1:$K$1000,ROI_Avions!$C312)</f>
        <v>0</v>
      </c>
      <c r="AG312" s="26">
        <f>SUMIFS(DataPrixBillets!O$1:O$1000,DataPrixBillets!$J$1:$J$1000,ROI_Avions!$A312,DataPrixBillets!$K$1:$K$1000,ROI_Avions!$C312)</f>
        <v>0</v>
      </c>
      <c r="AH312" s="26">
        <f>SUMIFS(DataPrixBillets!P$1:P$1000,DataPrixBillets!$J$1:$J$1000,ROI_Avions!$A312,DataPrixBillets!$K$1:$K$1000,ROI_Avions!$C312)</f>
        <v>0</v>
      </c>
      <c r="AI312" s="26">
        <f>SUMIFS(DataPrixBillets!Q$1:Q$1000,DataPrixBillets!$J$1:$J$1000,ROI_Avions!$A312,DataPrixBillets!$K$1:$K$1000,ROI_Avions!$C312)</f>
        <v>0</v>
      </c>
      <c r="AK312" s="8">
        <f t="shared" si="1032"/>
        <v>0</v>
      </c>
      <c r="AL312" s="8" t="e">
        <f t="shared" ca="1" si="1033"/>
        <v>#REF!</v>
      </c>
      <c r="AM312" s="8" t="e">
        <f t="shared" ca="1" si="1034"/>
        <v>#REF!</v>
      </c>
      <c r="AN312" s="8" t="e">
        <f t="shared" ca="1" si="1035"/>
        <v>#REF!</v>
      </c>
      <c r="AO312" s="8" t="e">
        <f t="shared" ca="1" si="1036"/>
        <v>#REF!</v>
      </c>
      <c r="AP312" s="8" t="e">
        <f t="shared" ca="1" si="1037"/>
        <v>#REF!</v>
      </c>
      <c r="AQ312" s="8" t="e">
        <f t="shared" ca="1" si="1038"/>
        <v>#REF!</v>
      </c>
      <c r="AR312" s="7">
        <f t="shared" ca="1" si="1004"/>
        <v>0</v>
      </c>
      <c r="AS312" s="120">
        <f t="shared" ca="1" si="961"/>
        <v>0</v>
      </c>
      <c r="AT312" s="8" t="e">
        <f t="shared" ca="1" si="1039"/>
        <v>#REF!</v>
      </c>
    </row>
    <row r="313" spans="1:55" x14ac:dyDescent="0.3">
      <c r="A313" s="175" t="s">
        <v>427</v>
      </c>
      <c r="B313" s="176">
        <v>650382948</v>
      </c>
      <c r="C313" s="175" t="s">
        <v>879</v>
      </c>
      <c r="D313" s="145" t="str">
        <f t="shared" si="958"/>
        <v>LOS/DRW</v>
      </c>
      <c r="E313" s="176">
        <v>258445443</v>
      </c>
      <c r="F313" s="177" t="s">
        <v>884</v>
      </c>
      <c r="G313" s="176">
        <v>213322500</v>
      </c>
      <c r="I313" s="8">
        <v>0</v>
      </c>
      <c r="J313" s="8">
        <v>0</v>
      </c>
      <c r="K313" s="8">
        <v>0</v>
      </c>
      <c r="L313" s="185"/>
      <c r="M313" s="185"/>
      <c r="O313" s="140"/>
      <c r="P313" s="133">
        <f>SUMIFS(GestionLignesDemande!D$4:D$1000,GestionLignesDemande!$B$4:$B$1000,ROI_Avions!$A313,GestionLignesDemande!$C$4:$C$1000,ROI_Avions!$C313)</f>
        <v>0</v>
      </c>
      <c r="Q313" s="133">
        <f>SUMIFS(GestionLignesDemande!E$4:E$1000,GestionLignesDemande!$B$4:$B$1000,ROI_Avions!$A313,GestionLignesDemande!$C$4:$C$1000,ROI_Avions!$C313)</f>
        <v>0</v>
      </c>
      <c r="R313" s="133">
        <f>SUMIFS(GestionLignesDemande!F$4:F$1000,GestionLignesDemande!$B$4:$B$1000,ROI_Avions!$A313,GestionLignesDemande!$C$4:$C$1000,ROI_Avions!$C313)</f>
        <v>0</v>
      </c>
      <c r="S313" s="133">
        <f>SUMIFS(GestionLignesDemande!G$4:G$1000,GestionLignesDemande!$B$4:$B$1000,ROI_Avions!$A313,GestionLignesDemande!$C$4:$C$1000,ROI_Avions!$C313)</f>
        <v>0</v>
      </c>
      <c r="U313" s="8">
        <f t="shared" si="962"/>
        <v>398</v>
      </c>
      <c r="V313" s="8">
        <v>384</v>
      </c>
      <c r="W313" s="8">
        <v>11</v>
      </c>
      <c r="X313" s="8">
        <v>1</v>
      </c>
      <c r="Y313" s="8">
        <v>2</v>
      </c>
      <c r="AA313" s="132">
        <f t="shared" si="1040"/>
        <v>-2304</v>
      </c>
      <c r="AB313" s="132">
        <f t="shared" si="1041"/>
        <v>-66</v>
      </c>
      <c r="AC313" s="132">
        <f t="shared" si="1042"/>
        <v>-6</v>
      </c>
      <c r="AD313" s="132">
        <f t="shared" si="1043"/>
        <v>-12</v>
      </c>
      <c r="AF313" s="26">
        <f>SUMIFS(DataPrixBillets!N$1:N$1000,DataPrixBillets!$J$1:$J$1000,ROI_Avions!$A313,DataPrixBillets!$K$1:$K$1000,ROI_Avions!$C313)</f>
        <v>0</v>
      </c>
      <c r="AG313" s="26">
        <f>SUMIFS(DataPrixBillets!O$1:O$1000,DataPrixBillets!$J$1:$J$1000,ROI_Avions!$A313,DataPrixBillets!$K$1:$K$1000,ROI_Avions!$C313)</f>
        <v>0</v>
      </c>
      <c r="AH313" s="26">
        <f>SUMIFS(DataPrixBillets!P$1:P$1000,DataPrixBillets!$J$1:$J$1000,ROI_Avions!$A313,DataPrixBillets!$K$1:$K$1000,ROI_Avions!$C313)</f>
        <v>0</v>
      </c>
      <c r="AI313" s="26">
        <f>SUMIFS(DataPrixBillets!Q$1:Q$1000,DataPrixBillets!$J$1:$J$1000,ROI_Avions!$A313,DataPrixBillets!$K$1:$K$1000,ROI_Avions!$C313)</f>
        <v>0</v>
      </c>
      <c r="AK313" s="8">
        <f t="shared" si="1032"/>
        <v>0</v>
      </c>
      <c r="AL313" s="8" t="e">
        <f t="shared" ca="1" si="1033"/>
        <v>#REF!</v>
      </c>
      <c r="AM313" s="8" t="e">
        <f t="shared" ca="1" si="1034"/>
        <v>#REF!</v>
      </c>
      <c r="AN313" s="8" t="e">
        <f t="shared" ca="1" si="1035"/>
        <v>#REF!</v>
      </c>
      <c r="AO313" s="8" t="e">
        <f t="shared" ca="1" si="1036"/>
        <v>#REF!</v>
      </c>
      <c r="AP313" s="8" t="e">
        <f t="shared" ca="1" si="1037"/>
        <v>#REF!</v>
      </c>
      <c r="AQ313" s="8" t="e">
        <f t="shared" ca="1" si="1038"/>
        <v>#REF!</v>
      </c>
      <c r="AR313" s="7">
        <f t="shared" ca="1" si="1004"/>
        <v>0</v>
      </c>
      <c r="AS313" s="120">
        <f t="shared" ca="1" si="961"/>
        <v>0</v>
      </c>
      <c r="AT313" s="8" t="e">
        <f t="shared" ca="1" si="1039"/>
        <v>#REF!</v>
      </c>
    </row>
    <row r="314" spans="1:55" x14ac:dyDescent="0.3">
      <c r="A314" s="175" t="s">
        <v>427</v>
      </c>
      <c r="B314" s="176">
        <v>650382948</v>
      </c>
      <c r="C314" s="175" t="s">
        <v>880</v>
      </c>
      <c r="D314" s="145" t="str">
        <f t="shared" si="958"/>
        <v>LOS/LGB</v>
      </c>
      <c r="E314" s="176">
        <v>245696634</v>
      </c>
      <c r="F314" s="177" t="s">
        <v>895</v>
      </c>
      <c r="G314" s="176">
        <v>213322500</v>
      </c>
      <c r="I314" s="8">
        <v>0</v>
      </c>
      <c r="J314" s="8">
        <v>0</v>
      </c>
      <c r="K314" s="8">
        <v>0</v>
      </c>
      <c r="L314" s="185"/>
      <c r="M314" s="185"/>
      <c r="O314" s="140"/>
      <c r="P314" s="133">
        <f>SUMIFS(GestionLignesDemande!D$4:D$1000,GestionLignesDemande!$B$4:$B$1000,ROI_Avions!$A314,GestionLignesDemande!$C$4:$C$1000,ROI_Avions!$C314)</f>
        <v>0</v>
      </c>
      <c r="Q314" s="133">
        <f>SUMIFS(GestionLignesDemande!E$4:E$1000,GestionLignesDemande!$B$4:$B$1000,ROI_Avions!$A314,GestionLignesDemande!$C$4:$C$1000,ROI_Avions!$C314)</f>
        <v>0</v>
      </c>
      <c r="R314" s="133">
        <f>SUMIFS(GestionLignesDemande!F$4:F$1000,GestionLignesDemande!$B$4:$B$1000,ROI_Avions!$A314,GestionLignesDemande!$C$4:$C$1000,ROI_Avions!$C314)</f>
        <v>0</v>
      </c>
      <c r="S314" s="133">
        <f>SUMIFS(GestionLignesDemande!G$4:G$1000,GestionLignesDemande!$B$4:$B$1000,ROI_Avions!$A314,GestionLignesDemande!$C$4:$C$1000,ROI_Avions!$C314)</f>
        <v>0</v>
      </c>
      <c r="U314" s="8">
        <f t="shared" si="962"/>
        <v>398</v>
      </c>
      <c r="V314" s="8">
        <v>384</v>
      </c>
      <c r="W314" s="8">
        <v>11</v>
      </c>
      <c r="X314" s="8">
        <v>1</v>
      </c>
      <c r="Y314" s="8">
        <v>2</v>
      </c>
      <c r="AA314" s="132">
        <f t="shared" si="1024"/>
        <v>-768</v>
      </c>
      <c r="AB314" s="132">
        <f t="shared" si="1025"/>
        <v>-22</v>
      </c>
      <c r="AC314" s="132">
        <f t="shared" si="1026"/>
        <v>-2</v>
      </c>
      <c r="AD314" s="132">
        <f t="shared" si="1027"/>
        <v>-4</v>
      </c>
      <c r="AF314" s="26">
        <f>SUMIFS(DataPrixBillets!N$1:N$1000,DataPrixBillets!$J$1:$J$1000,ROI_Avions!$A314,DataPrixBillets!$K$1:$K$1000,ROI_Avions!$C314)</f>
        <v>0</v>
      </c>
      <c r="AG314" s="26">
        <f>SUMIFS(DataPrixBillets!O$1:O$1000,DataPrixBillets!$J$1:$J$1000,ROI_Avions!$A314,DataPrixBillets!$K$1:$K$1000,ROI_Avions!$C314)</f>
        <v>0</v>
      </c>
      <c r="AH314" s="26">
        <f>SUMIFS(DataPrixBillets!P$1:P$1000,DataPrixBillets!$J$1:$J$1000,ROI_Avions!$A314,DataPrixBillets!$K$1:$K$1000,ROI_Avions!$C314)</f>
        <v>0</v>
      </c>
      <c r="AI314" s="26">
        <f>SUMIFS(DataPrixBillets!Q$1:Q$1000,DataPrixBillets!$J$1:$J$1000,ROI_Avions!$A314,DataPrixBillets!$K$1:$K$1000,ROI_Avions!$C314)</f>
        <v>0</v>
      </c>
      <c r="AK314" s="8">
        <f t="shared" si="1032"/>
        <v>0</v>
      </c>
      <c r="AL314" s="8" t="e">
        <f t="shared" ca="1" si="1033"/>
        <v>#REF!</v>
      </c>
      <c r="AM314" s="8" t="e">
        <f t="shared" ca="1" si="1034"/>
        <v>#REF!</v>
      </c>
      <c r="AN314" s="8" t="e">
        <f t="shared" ca="1" si="1035"/>
        <v>#REF!</v>
      </c>
      <c r="AO314" s="8" t="e">
        <f t="shared" ca="1" si="1036"/>
        <v>#REF!</v>
      </c>
      <c r="AP314" s="8" t="e">
        <f t="shared" ca="1" si="1037"/>
        <v>#REF!</v>
      </c>
      <c r="AQ314" s="8" t="e">
        <f t="shared" ca="1" si="1038"/>
        <v>#REF!</v>
      </c>
      <c r="AR314" s="7">
        <f t="shared" ca="1" si="1004"/>
        <v>0</v>
      </c>
      <c r="AS314" s="120">
        <f t="shared" ca="1" si="961"/>
        <v>0</v>
      </c>
      <c r="AT314" s="8" t="e">
        <f t="shared" ca="1" si="1039"/>
        <v>#REF!</v>
      </c>
    </row>
    <row r="315" spans="1:55" x14ac:dyDescent="0.3">
      <c r="A315" s="175" t="s">
        <v>427</v>
      </c>
      <c r="B315" s="176">
        <v>650382948</v>
      </c>
      <c r="C315" s="175" t="s">
        <v>880</v>
      </c>
      <c r="D315" s="145" t="str">
        <f t="shared" si="958"/>
        <v>LOS/LGB</v>
      </c>
      <c r="E315" s="176">
        <v>245696634</v>
      </c>
      <c r="F315" s="177" t="s">
        <v>899</v>
      </c>
      <c r="G315" s="176">
        <v>213322500</v>
      </c>
      <c r="I315" s="8">
        <v>0</v>
      </c>
      <c r="J315" s="8">
        <v>0</v>
      </c>
      <c r="K315" s="8">
        <v>0</v>
      </c>
      <c r="L315" s="185"/>
      <c r="M315" s="185"/>
      <c r="O315" s="140"/>
      <c r="P315" s="133">
        <f>SUMIFS(GestionLignesDemande!D$4:D$1000,GestionLignesDemande!$B$4:$B$1000,ROI_Avions!$A315,GestionLignesDemande!$C$4:$C$1000,ROI_Avions!$C315)</f>
        <v>0</v>
      </c>
      <c r="Q315" s="133">
        <f>SUMIFS(GestionLignesDemande!E$4:E$1000,GestionLignesDemande!$B$4:$B$1000,ROI_Avions!$A315,GestionLignesDemande!$C$4:$C$1000,ROI_Avions!$C315)</f>
        <v>0</v>
      </c>
      <c r="R315" s="133">
        <f>SUMIFS(GestionLignesDemande!F$4:F$1000,GestionLignesDemande!$B$4:$B$1000,ROI_Avions!$A315,GestionLignesDemande!$C$4:$C$1000,ROI_Avions!$C315)</f>
        <v>0</v>
      </c>
      <c r="S315" s="133">
        <f>SUMIFS(GestionLignesDemande!G$4:G$1000,GestionLignesDemande!$B$4:$B$1000,ROI_Avions!$A315,GestionLignesDemande!$C$4:$C$1000,ROI_Avions!$C315)</f>
        <v>0</v>
      </c>
      <c r="U315" s="8">
        <f t="shared" si="962"/>
        <v>398</v>
      </c>
      <c r="V315" s="8">
        <v>384</v>
      </c>
      <c r="W315" s="8">
        <v>11</v>
      </c>
      <c r="X315" s="8">
        <v>1</v>
      </c>
      <c r="Y315" s="8">
        <v>2</v>
      </c>
      <c r="AA315" s="132">
        <f t="shared" ref="AA315:AA316" si="1044">AA314-V315*2</f>
        <v>-1536</v>
      </c>
      <c r="AB315" s="132">
        <f t="shared" ref="AB315:AB316" si="1045">AB314-W315*2</f>
        <v>-44</v>
      </c>
      <c r="AC315" s="132">
        <f t="shared" ref="AC315:AC316" si="1046">AC314-X315*2</f>
        <v>-4</v>
      </c>
      <c r="AD315" s="132">
        <f t="shared" ref="AD315:AD316" si="1047">AD314-Y315*2</f>
        <v>-8</v>
      </c>
      <c r="AF315" s="26">
        <f>SUMIFS(DataPrixBillets!N$1:N$1000,DataPrixBillets!$J$1:$J$1000,ROI_Avions!$A315,DataPrixBillets!$K$1:$K$1000,ROI_Avions!$C315)</f>
        <v>0</v>
      </c>
      <c r="AG315" s="26">
        <f>SUMIFS(DataPrixBillets!O$1:O$1000,DataPrixBillets!$J$1:$J$1000,ROI_Avions!$A315,DataPrixBillets!$K$1:$K$1000,ROI_Avions!$C315)</f>
        <v>0</v>
      </c>
      <c r="AH315" s="26">
        <f>SUMIFS(DataPrixBillets!P$1:P$1000,DataPrixBillets!$J$1:$J$1000,ROI_Avions!$A315,DataPrixBillets!$K$1:$K$1000,ROI_Avions!$C315)</f>
        <v>0</v>
      </c>
      <c r="AI315" s="26">
        <f>SUMIFS(DataPrixBillets!Q$1:Q$1000,DataPrixBillets!$J$1:$J$1000,ROI_Avions!$A315,DataPrixBillets!$K$1:$K$1000,ROI_Avions!$C315)</f>
        <v>0</v>
      </c>
      <c r="AK315" s="8">
        <f t="shared" si="1032"/>
        <v>0</v>
      </c>
      <c r="AL315" s="8" t="e">
        <f t="shared" ca="1" si="1033"/>
        <v>#REF!</v>
      </c>
      <c r="AM315" s="8" t="e">
        <f t="shared" ca="1" si="1034"/>
        <v>#REF!</v>
      </c>
      <c r="AN315" s="8" t="e">
        <f t="shared" ca="1" si="1035"/>
        <v>#REF!</v>
      </c>
      <c r="AO315" s="8" t="e">
        <f t="shared" ca="1" si="1036"/>
        <v>#REF!</v>
      </c>
      <c r="AP315" s="8" t="e">
        <f t="shared" ca="1" si="1037"/>
        <v>#REF!</v>
      </c>
      <c r="AQ315" s="8" t="e">
        <f t="shared" ca="1" si="1038"/>
        <v>#REF!</v>
      </c>
      <c r="AR315" s="7">
        <f t="shared" ca="1" si="1004"/>
        <v>0</v>
      </c>
      <c r="AS315" s="120">
        <f t="shared" ca="1" si="961"/>
        <v>0</v>
      </c>
      <c r="AT315" s="8" t="e">
        <f t="shared" ca="1" si="1039"/>
        <v>#REF!</v>
      </c>
    </row>
    <row r="316" spans="1:55" x14ac:dyDescent="0.3">
      <c r="A316" s="175" t="s">
        <v>427</v>
      </c>
      <c r="B316" s="176">
        <v>650382948</v>
      </c>
      <c r="C316" s="175" t="s">
        <v>880</v>
      </c>
      <c r="D316" s="145" t="str">
        <f t="shared" si="958"/>
        <v>LOS/LGB</v>
      </c>
      <c r="E316" s="176">
        <v>245696634</v>
      </c>
      <c r="F316" s="177" t="s">
        <v>885</v>
      </c>
      <c r="G316" s="176">
        <v>213322500</v>
      </c>
      <c r="I316" s="8">
        <v>0</v>
      </c>
      <c r="J316" s="8">
        <v>0</v>
      </c>
      <c r="K316" s="8">
        <v>0</v>
      </c>
      <c r="L316" s="185"/>
      <c r="M316" s="185"/>
      <c r="O316" s="140"/>
      <c r="P316" s="133">
        <f>SUMIFS(GestionLignesDemande!D$4:D$1000,GestionLignesDemande!$B$4:$B$1000,ROI_Avions!$A316,GestionLignesDemande!$C$4:$C$1000,ROI_Avions!$C316)</f>
        <v>0</v>
      </c>
      <c r="Q316" s="133">
        <f>SUMIFS(GestionLignesDemande!E$4:E$1000,GestionLignesDemande!$B$4:$B$1000,ROI_Avions!$A316,GestionLignesDemande!$C$4:$C$1000,ROI_Avions!$C316)</f>
        <v>0</v>
      </c>
      <c r="R316" s="133">
        <f>SUMIFS(GestionLignesDemande!F$4:F$1000,GestionLignesDemande!$B$4:$B$1000,ROI_Avions!$A316,GestionLignesDemande!$C$4:$C$1000,ROI_Avions!$C316)</f>
        <v>0</v>
      </c>
      <c r="S316" s="133">
        <f>SUMIFS(GestionLignesDemande!G$4:G$1000,GestionLignesDemande!$B$4:$B$1000,ROI_Avions!$A316,GestionLignesDemande!$C$4:$C$1000,ROI_Avions!$C316)</f>
        <v>0</v>
      </c>
      <c r="U316" s="8">
        <f t="shared" si="962"/>
        <v>398</v>
      </c>
      <c r="V316" s="8">
        <v>384</v>
      </c>
      <c r="W316" s="8">
        <v>11</v>
      </c>
      <c r="X316" s="8">
        <v>1</v>
      </c>
      <c r="Y316" s="8">
        <v>2</v>
      </c>
      <c r="AA316" s="132">
        <f t="shared" si="1044"/>
        <v>-2304</v>
      </c>
      <c r="AB316" s="132">
        <f t="shared" si="1045"/>
        <v>-66</v>
      </c>
      <c r="AC316" s="132">
        <f t="shared" si="1046"/>
        <v>-6</v>
      </c>
      <c r="AD316" s="132">
        <f t="shared" si="1047"/>
        <v>-12</v>
      </c>
      <c r="AF316" s="26">
        <f>SUMIFS(DataPrixBillets!N$1:N$1000,DataPrixBillets!$J$1:$J$1000,ROI_Avions!$A316,DataPrixBillets!$K$1:$K$1000,ROI_Avions!$C316)</f>
        <v>0</v>
      </c>
      <c r="AG316" s="26">
        <f>SUMIFS(DataPrixBillets!O$1:O$1000,DataPrixBillets!$J$1:$J$1000,ROI_Avions!$A316,DataPrixBillets!$K$1:$K$1000,ROI_Avions!$C316)</f>
        <v>0</v>
      </c>
      <c r="AH316" s="26">
        <f>SUMIFS(DataPrixBillets!P$1:P$1000,DataPrixBillets!$J$1:$J$1000,ROI_Avions!$A316,DataPrixBillets!$K$1:$K$1000,ROI_Avions!$C316)</f>
        <v>0</v>
      </c>
      <c r="AI316" s="26">
        <f>SUMIFS(DataPrixBillets!Q$1:Q$1000,DataPrixBillets!$J$1:$J$1000,ROI_Avions!$A316,DataPrixBillets!$K$1:$K$1000,ROI_Avions!$C316)</f>
        <v>0</v>
      </c>
      <c r="AK316" s="8">
        <f t="shared" si="1032"/>
        <v>0</v>
      </c>
      <c r="AL316" s="8" t="e">
        <f t="shared" ca="1" si="1033"/>
        <v>#REF!</v>
      </c>
      <c r="AM316" s="8" t="e">
        <f t="shared" ca="1" si="1034"/>
        <v>#REF!</v>
      </c>
      <c r="AN316" s="8" t="e">
        <f t="shared" ca="1" si="1035"/>
        <v>#REF!</v>
      </c>
      <c r="AO316" s="8" t="e">
        <f t="shared" ca="1" si="1036"/>
        <v>#REF!</v>
      </c>
      <c r="AP316" s="8" t="e">
        <f t="shared" ca="1" si="1037"/>
        <v>#REF!</v>
      </c>
      <c r="AQ316" s="8" t="e">
        <f t="shared" ca="1" si="1038"/>
        <v>#REF!</v>
      </c>
      <c r="AR316" s="7">
        <f t="shared" ca="1" si="1004"/>
        <v>0</v>
      </c>
      <c r="AS316" s="120">
        <f t="shared" ca="1" si="961"/>
        <v>0</v>
      </c>
      <c r="AT316" s="8" t="e">
        <f t="shared" ca="1" si="1039"/>
        <v>#REF!</v>
      </c>
    </row>
    <row r="317" spans="1:55" x14ac:dyDescent="0.3">
      <c r="A317" s="175" t="s">
        <v>427</v>
      </c>
      <c r="B317" s="176">
        <v>650382948</v>
      </c>
      <c r="C317" s="175" t="s">
        <v>881</v>
      </c>
      <c r="D317" s="145" t="str">
        <f t="shared" si="958"/>
        <v>LOS/ADL</v>
      </c>
      <c r="E317" s="176">
        <v>275295780</v>
      </c>
      <c r="F317" s="177" t="s">
        <v>896</v>
      </c>
      <c r="G317" s="176">
        <v>213322500</v>
      </c>
      <c r="I317" s="8">
        <v>0</v>
      </c>
      <c r="J317" s="8">
        <v>0</v>
      </c>
      <c r="K317" s="8">
        <v>0</v>
      </c>
      <c r="L317" s="185"/>
      <c r="M317" s="185"/>
      <c r="O317" s="140"/>
      <c r="P317" s="133">
        <f>SUMIFS(GestionLignesDemande!D$4:D$1000,GestionLignesDemande!$B$4:$B$1000,ROI_Avions!$A317,GestionLignesDemande!$C$4:$C$1000,ROI_Avions!$C317)</f>
        <v>0</v>
      </c>
      <c r="Q317" s="133">
        <f>SUMIFS(GestionLignesDemande!E$4:E$1000,GestionLignesDemande!$B$4:$B$1000,ROI_Avions!$A317,GestionLignesDemande!$C$4:$C$1000,ROI_Avions!$C317)</f>
        <v>0</v>
      </c>
      <c r="R317" s="133">
        <f>SUMIFS(GestionLignesDemande!F$4:F$1000,GestionLignesDemande!$B$4:$B$1000,ROI_Avions!$A317,GestionLignesDemande!$C$4:$C$1000,ROI_Avions!$C317)</f>
        <v>0</v>
      </c>
      <c r="S317" s="133">
        <f>SUMIFS(GestionLignesDemande!G$4:G$1000,GestionLignesDemande!$B$4:$B$1000,ROI_Avions!$A317,GestionLignesDemande!$C$4:$C$1000,ROI_Avions!$C317)</f>
        <v>0</v>
      </c>
      <c r="U317" s="8">
        <f t="shared" si="962"/>
        <v>398</v>
      </c>
      <c r="V317" s="8">
        <v>384</v>
      </c>
      <c r="W317" s="8">
        <v>11</v>
      </c>
      <c r="X317" s="8">
        <v>1</v>
      </c>
      <c r="Y317" s="8">
        <v>2</v>
      </c>
      <c r="AA317" s="132">
        <f t="shared" si="1024"/>
        <v>-768</v>
      </c>
      <c r="AB317" s="132">
        <f t="shared" si="1025"/>
        <v>-22</v>
      </c>
      <c r="AC317" s="132">
        <f t="shared" si="1026"/>
        <v>-2</v>
      </c>
      <c r="AD317" s="132">
        <f t="shared" si="1027"/>
        <v>-4</v>
      </c>
      <c r="AF317" s="26">
        <f>SUMIFS(DataPrixBillets!N$1:N$1000,DataPrixBillets!$J$1:$J$1000,ROI_Avions!$A317,DataPrixBillets!$K$1:$K$1000,ROI_Avions!$C317)</f>
        <v>0</v>
      </c>
      <c r="AG317" s="26">
        <f>SUMIFS(DataPrixBillets!O$1:O$1000,DataPrixBillets!$J$1:$J$1000,ROI_Avions!$A317,DataPrixBillets!$K$1:$K$1000,ROI_Avions!$C317)</f>
        <v>0</v>
      </c>
      <c r="AH317" s="26">
        <f>SUMIFS(DataPrixBillets!P$1:P$1000,DataPrixBillets!$J$1:$J$1000,ROI_Avions!$A317,DataPrixBillets!$K$1:$K$1000,ROI_Avions!$C317)</f>
        <v>0</v>
      </c>
      <c r="AI317" s="26">
        <f>SUMIFS(DataPrixBillets!Q$1:Q$1000,DataPrixBillets!$J$1:$J$1000,ROI_Avions!$A317,DataPrixBillets!$K$1:$K$1000,ROI_Avions!$C317)</f>
        <v>0</v>
      </c>
      <c r="AK317" s="8">
        <f t="shared" si="1032"/>
        <v>0</v>
      </c>
      <c r="AL317" s="8" t="e">
        <f t="shared" ca="1" si="1033"/>
        <v>#REF!</v>
      </c>
      <c r="AM317" s="8" t="e">
        <f t="shared" ca="1" si="1034"/>
        <v>#REF!</v>
      </c>
      <c r="AN317" s="8" t="e">
        <f t="shared" ca="1" si="1035"/>
        <v>#REF!</v>
      </c>
      <c r="AO317" s="8" t="e">
        <f t="shared" ca="1" si="1036"/>
        <v>#REF!</v>
      </c>
      <c r="AP317" s="8" t="e">
        <f t="shared" ca="1" si="1037"/>
        <v>#REF!</v>
      </c>
      <c r="AQ317" s="8" t="e">
        <f t="shared" ca="1" si="1038"/>
        <v>#REF!</v>
      </c>
      <c r="AR317" s="7">
        <f t="shared" ca="1" si="1004"/>
        <v>0</v>
      </c>
      <c r="AS317" s="120">
        <f t="shared" ca="1" si="961"/>
        <v>0</v>
      </c>
      <c r="AT317" s="8" t="e">
        <f t="shared" ca="1" si="1039"/>
        <v>#REF!</v>
      </c>
    </row>
    <row r="318" spans="1:55" x14ac:dyDescent="0.3">
      <c r="A318" s="175" t="s">
        <v>427</v>
      </c>
      <c r="B318" s="176">
        <v>650382948</v>
      </c>
      <c r="C318" s="175" t="s">
        <v>881</v>
      </c>
      <c r="D318" s="145" t="str">
        <f t="shared" si="958"/>
        <v>LOS/ADL</v>
      </c>
      <c r="E318" s="176">
        <v>275295780</v>
      </c>
      <c r="F318" s="177" t="s">
        <v>900</v>
      </c>
      <c r="G318" s="176">
        <v>213322500</v>
      </c>
      <c r="I318" s="8">
        <v>0</v>
      </c>
      <c r="J318" s="8">
        <v>0</v>
      </c>
      <c r="K318" s="8">
        <v>0</v>
      </c>
      <c r="L318" s="185"/>
      <c r="M318" s="185"/>
      <c r="O318" s="140"/>
      <c r="P318" s="133">
        <f>SUMIFS(GestionLignesDemande!D$4:D$1000,GestionLignesDemande!$B$4:$B$1000,ROI_Avions!$A318,GestionLignesDemande!$C$4:$C$1000,ROI_Avions!$C318)</f>
        <v>0</v>
      </c>
      <c r="Q318" s="133">
        <f>SUMIFS(GestionLignesDemande!E$4:E$1000,GestionLignesDemande!$B$4:$B$1000,ROI_Avions!$A318,GestionLignesDemande!$C$4:$C$1000,ROI_Avions!$C318)</f>
        <v>0</v>
      </c>
      <c r="R318" s="133">
        <f>SUMIFS(GestionLignesDemande!F$4:F$1000,GestionLignesDemande!$B$4:$B$1000,ROI_Avions!$A318,GestionLignesDemande!$C$4:$C$1000,ROI_Avions!$C318)</f>
        <v>0</v>
      </c>
      <c r="S318" s="133">
        <f>SUMIFS(GestionLignesDemande!G$4:G$1000,GestionLignesDemande!$B$4:$B$1000,ROI_Avions!$A318,GestionLignesDemande!$C$4:$C$1000,ROI_Avions!$C318)</f>
        <v>0</v>
      </c>
      <c r="U318" s="8">
        <f t="shared" si="962"/>
        <v>398</v>
      </c>
      <c r="V318" s="8">
        <v>384</v>
      </c>
      <c r="W318" s="8">
        <v>11</v>
      </c>
      <c r="X318" s="8">
        <v>1</v>
      </c>
      <c r="Y318" s="8">
        <v>2</v>
      </c>
      <c r="AA318" s="132">
        <f t="shared" ref="AA318" si="1048">AA317-V318*2</f>
        <v>-1536</v>
      </c>
      <c r="AB318" s="132">
        <f t="shared" ref="AB318" si="1049">AB317-W318*2</f>
        <v>-44</v>
      </c>
      <c r="AC318" s="132">
        <f t="shared" ref="AC318" si="1050">AC317-X318*2</f>
        <v>-4</v>
      </c>
      <c r="AD318" s="132">
        <f t="shared" ref="AD318" si="1051">AD317-Y318*2</f>
        <v>-8</v>
      </c>
      <c r="AF318" s="26">
        <f>SUMIFS(DataPrixBillets!N$1:N$1000,DataPrixBillets!$J$1:$J$1000,ROI_Avions!$A318,DataPrixBillets!$K$1:$K$1000,ROI_Avions!$C318)</f>
        <v>0</v>
      </c>
      <c r="AG318" s="26">
        <f>SUMIFS(DataPrixBillets!O$1:O$1000,DataPrixBillets!$J$1:$J$1000,ROI_Avions!$A318,DataPrixBillets!$K$1:$K$1000,ROI_Avions!$C318)</f>
        <v>0</v>
      </c>
      <c r="AH318" s="26">
        <f>SUMIFS(DataPrixBillets!P$1:P$1000,DataPrixBillets!$J$1:$J$1000,ROI_Avions!$A318,DataPrixBillets!$K$1:$K$1000,ROI_Avions!$C318)</f>
        <v>0</v>
      </c>
      <c r="AI318" s="26">
        <f>SUMIFS(DataPrixBillets!Q$1:Q$1000,DataPrixBillets!$J$1:$J$1000,ROI_Avions!$A318,DataPrixBillets!$K$1:$K$1000,ROI_Avions!$C318)</f>
        <v>0</v>
      </c>
      <c r="AK318" s="8">
        <f t="shared" si="1032"/>
        <v>0</v>
      </c>
      <c r="AL318" s="8" t="e">
        <f t="shared" ca="1" si="1033"/>
        <v>#REF!</v>
      </c>
      <c r="AM318" s="8" t="e">
        <f t="shared" ca="1" si="1034"/>
        <v>#REF!</v>
      </c>
      <c r="AN318" s="8" t="e">
        <f t="shared" ca="1" si="1035"/>
        <v>#REF!</v>
      </c>
      <c r="AO318" s="8" t="e">
        <f t="shared" ca="1" si="1036"/>
        <v>#REF!</v>
      </c>
      <c r="AP318" s="8" t="e">
        <f t="shared" ca="1" si="1037"/>
        <v>#REF!</v>
      </c>
      <c r="AQ318" s="8" t="e">
        <f t="shared" ca="1" si="1038"/>
        <v>#REF!</v>
      </c>
      <c r="AR318" s="7">
        <f t="shared" ca="1" si="1004"/>
        <v>0</v>
      </c>
      <c r="AS318" s="120">
        <f t="shared" ca="1" si="961"/>
        <v>0</v>
      </c>
      <c r="AT318" s="8" t="e">
        <f t="shared" ca="1" si="1039"/>
        <v>#REF!</v>
      </c>
    </row>
    <row r="319" spans="1:55" x14ac:dyDescent="0.3">
      <c r="A319" s="175" t="s">
        <v>427</v>
      </c>
      <c r="B319" s="176">
        <v>650382948</v>
      </c>
      <c r="C319" s="175" t="s">
        <v>881</v>
      </c>
      <c r="D319" s="145" t="str">
        <f t="shared" si="958"/>
        <v>LOS/ADL</v>
      </c>
      <c r="E319" s="176">
        <v>275295780</v>
      </c>
      <c r="F319" s="177" t="s">
        <v>886</v>
      </c>
      <c r="G319" s="176">
        <v>213322500</v>
      </c>
      <c r="I319" s="8">
        <v>0</v>
      </c>
      <c r="J319" s="8">
        <v>0</v>
      </c>
      <c r="K319" s="8">
        <v>0</v>
      </c>
      <c r="L319" s="185"/>
      <c r="M319" s="185"/>
      <c r="O319" s="140"/>
      <c r="P319" s="133">
        <f>SUMIFS(GestionLignesDemande!D$4:D$1000,GestionLignesDemande!$B$4:$B$1000,ROI_Avions!$A319,GestionLignesDemande!$C$4:$C$1000,ROI_Avions!$C319)</f>
        <v>0</v>
      </c>
      <c r="Q319" s="133">
        <f>SUMIFS(GestionLignesDemande!E$4:E$1000,GestionLignesDemande!$B$4:$B$1000,ROI_Avions!$A319,GestionLignesDemande!$C$4:$C$1000,ROI_Avions!$C319)</f>
        <v>0</v>
      </c>
      <c r="R319" s="133">
        <f>SUMIFS(GestionLignesDemande!F$4:F$1000,GestionLignesDemande!$B$4:$B$1000,ROI_Avions!$A319,GestionLignesDemande!$C$4:$C$1000,ROI_Avions!$C319)</f>
        <v>0</v>
      </c>
      <c r="S319" s="133">
        <f>SUMIFS(GestionLignesDemande!G$4:G$1000,GestionLignesDemande!$B$4:$B$1000,ROI_Avions!$A319,GestionLignesDemande!$C$4:$C$1000,ROI_Avions!$C319)</f>
        <v>0</v>
      </c>
      <c r="U319" s="8">
        <f t="shared" ref="U319" si="1052">SUM(V319:Y319)</f>
        <v>398</v>
      </c>
      <c r="V319" s="8">
        <v>384</v>
      </c>
      <c r="W319" s="8">
        <v>11</v>
      </c>
      <c r="X319" s="8">
        <v>1</v>
      </c>
      <c r="Y319" s="8">
        <v>2</v>
      </c>
      <c r="AA319" s="132">
        <f t="shared" ref="AA319" si="1053">AA318-V319*2</f>
        <v>-2304</v>
      </c>
      <c r="AB319" s="132">
        <f t="shared" ref="AB319" si="1054">AB318-W319*2</f>
        <v>-66</v>
      </c>
      <c r="AC319" s="132">
        <f t="shared" ref="AC319" si="1055">AC318-X319*2</f>
        <v>-6</v>
      </c>
      <c r="AD319" s="132">
        <f t="shared" ref="AD319" si="1056">AD318-Y319*2</f>
        <v>-12</v>
      </c>
      <c r="AF319" s="26">
        <f>SUMIFS(DataPrixBillets!N$1:N$1000,DataPrixBillets!$J$1:$J$1000,ROI_Avions!$A319,DataPrixBillets!$K$1:$K$1000,ROI_Avions!$C319)</f>
        <v>0</v>
      </c>
      <c r="AG319" s="26">
        <f>SUMIFS(DataPrixBillets!O$1:O$1000,DataPrixBillets!$J$1:$J$1000,ROI_Avions!$A319,DataPrixBillets!$K$1:$K$1000,ROI_Avions!$C319)</f>
        <v>0</v>
      </c>
      <c r="AH319" s="26">
        <f>SUMIFS(DataPrixBillets!P$1:P$1000,DataPrixBillets!$J$1:$J$1000,ROI_Avions!$A319,DataPrixBillets!$K$1:$K$1000,ROI_Avions!$C319)</f>
        <v>0</v>
      </c>
      <c r="AI319" s="26">
        <f>SUMIFS(DataPrixBillets!Q$1:Q$1000,DataPrixBillets!$J$1:$J$1000,ROI_Avions!$A319,DataPrixBillets!$K$1:$K$1000,ROI_Avions!$C319)</f>
        <v>0</v>
      </c>
      <c r="AK319" s="8">
        <f>(((AF319*V319)*2+(AG319*W319)*2+(AH319*X319)*2+(AI319*Y319)*2)*7)</f>
        <v>0</v>
      </c>
      <c r="AL319" s="8" t="e">
        <f ca="1">AK319-AM319</f>
        <v>#REF!</v>
      </c>
      <c r="AM319" s="8" t="e">
        <f ca="1">AK319*$AM$2</f>
        <v>#REF!</v>
      </c>
      <c r="AN319" s="8" t="e">
        <f ca="1">AL319*$AN$2</f>
        <v>#REF!</v>
      </c>
      <c r="AO319" s="8" t="e">
        <f ca="1">(AL319-AN319-I319)*$AO$2</f>
        <v>#REF!</v>
      </c>
      <c r="AP319" s="8" t="e">
        <f ca="1">AL319-AN319-(I319/7)-(AO319/7)</f>
        <v>#REF!</v>
      </c>
      <c r="AQ319" s="8" t="e">
        <f ca="1">AP319/7</f>
        <v>#REF!</v>
      </c>
      <c r="AR319" s="7">
        <f t="shared" ca="1" si="1004"/>
        <v>0</v>
      </c>
      <c r="AS319" s="120">
        <f t="shared" ref="AS319:AS350" ca="1" si="1057">IFERROR(((B319/COUNTIFS(A:A,A319))+(E319/COUNTIFS(A:A,A319,C:C,C319))+I319*K319+J319+G319)/(AP319/7),0)</f>
        <v>0</v>
      </c>
      <c r="AT319" s="8" t="e">
        <f ca="1">IF(K319&gt;=1,AP319*K319,AP319*$AT$1)</f>
        <v>#REF!</v>
      </c>
    </row>
    <row r="320" spans="1:55" s="189" customFormat="1" x14ac:dyDescent="0.3">
      <c r="A320" s="175" t="s">
        <v>427</v>
      </c>
      <c r="B320" s="176">
        <v>650382948</v>
      </c>
      <c r="C320" s="175" t="s">
        <v>1013</v>
      </c>
      <c r="D320" s="145" t="str">
        <f t="shared" si="958"/>
        <v>LOS/IXZ</v>
      </c>
      <c r="E320" s="176">
        <v>21774651</v>
      </c>
      <c r="F320" s="176" t="str">
        <f>"B748-A-"&amp;A320&amp;"-"&amp;C320&amp;"-"&amp;1</f>
        <v>B748-A-LOS-IXZ-1</v>
      </c>
      <c r="G320" s="176">
        <v>317520000</v>
      </c>
      <c r="H320" s="116"/>
      <c r="I320" s="8">
        <v>0</v>
      </c>
      <c r="J320" s="8">
        <v>0</v>
      </c>
      <c r="K320" s="8">
        <v>0</v>
      </c>
      <c r="N320" s="116"/>
      <c r="O320" s="140"/>
      <c r="P320" s="133">
        <f>SUMIFS(GestionLignesDemande!D$4:D$1000,GestionLignesDemande!$B$4:$B$1000,ROI_Avions!$A320,GestionLignesDemande!$C$4:$C$1000,ROI_Avions!$C320)</f>
        <v>0</v>
      </c>
      <c r="Q320" s="133">
        <f>SUMIFS(GestionLignesDemande!E$4:E$1000,GestionLignesDemande!$B$4:$B$1000,ROI_Avions!$A320,GestionLignesDemande!$C$4:$C$1000,ROI_Avions!$C320)</f>
        <v>0</v>
      </c>
      <c r="R320" s="133">
        <f>SUMIFS(GestionLignesDemande!F$4:F$1000,GestionLignesDemande!$B$4:$B$1000,ROI_Avions!$A320,GestionLignesDemande!$C$4:$C$1000,ROI_Avions!$C320)</f>
        <v>0</v>
      </c>
      <c r="S320" s="133">
        <f>SUMIFS(GestionLignesDemande!G$4:G$1000,GestionLignesDemande!$B$4:$B$1000,ROI_Avions!$A320,GestionLignesDemande!$C$4:$C$1000,ROI_Avions!$C320)</f>
        <v>0</v>
      </c>
      <c r="T320" s="116"/>
      <c r="U320" s="8">
        <f t="shared" ref="U320:U321" si="1058">SUM(V320:Y320)</f>
        <v>653</v>
      </c>
      <c r="V320" s="8">
        <v>614</v>
      </c>
      <c r="W320" s="8">
        <v>26</v>
      </c>
      <c r="X320" s="8">
        <v>2</v>
      </c>
      <c r="Y320" s="8">
        <v>11</v>
      </c>
      <c r="Z320" s="116"/>
      <c r="AA320" s="132">
        <f t="shared" ref="AA320" si="1059">P320-(V320*2)</f>
        <v>-1228</v>
      </c>
      <c r="AB320" s="132">
        <f t="shared" ref="AB320" si="1060">Q320-(W320*2)</f>
        <v>-52</v>
      </c>
      <c r="AC320" s="132">
        <f t="shared" ref="AC320" si="1061">R320-(X320*2)</f>
        <v>-4</v>
      </c>
      <c r="AD320" s="132">
        <f t="shared" ref="AD320" si="1062">S320-(Y320*2)</f>
        <v>-22</v>
      </c>
      <c r="AE320" s="116"/>
      <c r="AF320" s="26">
        <f>SUMIFS(DataPrixBillets!N$1:N$1000,DataPrixBillets!$J$1:$J$1000,ROI_Avions!$A320,DataPrixBillets!$K$1:$K$1000,ROI_Avions!$C320)</f>
        <v>0</v>
      </c>
      <c r="AG320" s="26">
        <f>SUMIFS(DataPrixBillets!O$1:O$1000,DataPrixBillets!$J$1:$J$1000,ROI_Avions!$A320,DataPrixBillets!$K$1:$K$1000,ROI_Avions!$C320)</f>
        <v>0</v>
      </c>
      <c r="AH320" s="26">
        <f>SUMIFS(DataPrixBillets!P$1:P$1000,DataPrixBillets!$J$1:$J$1000,ROI_Avions!$A320,DataPrixBillets!$K$1:$K$1000,ROI_Avions!$C320)</f>
        <v>0</v>
      </c>
      <c r="AI320" s="26">
        <f>SUMIFS(DataPrixBillets!Q$1:Q$1000,DataPrixBillets!$J$1:$J$1000,ROI_Avions!$A320,DataPrixBillets!$K$1:$K$1000,ROI_Avions!$C320)</f>
        <v>0</v>
      </c>
      <c r="AJ320" s="116"/>
      <c r="AK320" s="8">
        <f t="shared" ref="AK320:AK321" si="1063">(((AF320*V320)*2+(AG320*W320)*2+(AH320*X320)*2+(AI320*Y320)*2)*7)</f>
        <v>0</v>
      </c>
      <c r="AL320" s="8" t="e">
        <f t="shared" ref="AL320:AL321" ca="1" si="1064">AK320-AM320</f>
        <v>#REF!</v>
      </c>
      <c r="AM320" s="8" t="e">
        <f t="shared" ref="AM320:AM321" ca="1" si="1065">AK320*$AM$2</f>
        <v>#REF!</v>
      </c>
      <c r="AN320" s="8" t="e">
        <f t="shared" ref="AN320:AN321" ca="1" si="1066">AL320*$AN$2</f>
        <v>#REF!</v>
      </c>
      <c r="AO320" s="8" t="e">
        <f t="shared" ref="AO320:AO321" ca="1" si="1067">(AL320-AN320-I320)*$AO$2</f>
        <v>#REF!</v>
      </c>
      <c r="AP320" s="8" t="e">
        <f t="shared" ref="AP320:AP321" ca="1" si="1068">AL320-AN320-(I320/7)-(AO320/7)</f>
        <v>#REF!</v>
      </c>
      <c r="AQ320" s="8" t="e">
        <f t="shared" ref="AQ320:AQ321" ca="1" si="1069">AP320/7</f>
        <v>#REF!</v>
      </c>
      <c r="AR320" s="190">
        <f t="shared" ca="1" si="1004"/>
        <v>0</v>
      </c>
      <c r="AS320" s="120">
        <f t="shared" ca="1" si="1057"/>
        <v>0</v>
      </c>
      <c r="AT320" s="8" t="e">
        <f t="shared" ref="AT320:AT321" ca="1" si="1070">IF(K320&gt;=1,AP320*K320,AP320*$AT$1)</f>
        <v>#REF!</v>
      </c>
      <c r="AV320"/>
      <c r="AW320"/>
      <c r="AX320"/>
      <c r="AY320"/>
      <c r="BA320"/>
      <c r="BB320"/>
      <c r="BC320"/>
    </row>
    <row r="321" spans="1:55" s="189" customFormat="1" x14ac:dyDescent="0.3">
      <c r="A321" s="175" t="s">
        <v>427</v>
      </c>
      <c r="B321" s="176">
        <v>650382948</v>
      </c>
      <c r="C321" s="175" t="s">
        <v>1013</v>
      </c>
      <c r="D321" s="145" t="str">
        <f t="shared" si="958"/>
        <v>LOS/IXZ</v>
      </c>
      <c r="E321" s="176">
        <v>21774651</v>
      </c>
      <c r="F321" s="176" t="str">
        <f>"B748-A-"&amp;A321&amp;"-"&amp;C321&amp;"-"&amp;2</f>
        <v>B748-A-LOS-IXZ-2</v>
      </c>
      <c r="G321" s="176">
        <v>317520000</v>
      </c>
      <c r="H321" s="116"/>
      <c r="I321" s="8">
        <v>0</v>
      </c>
      <c r="J321" s="8">
        <v>0</v>
      </c>
      <c r="K321" s="8">
        <v>0</v>
      </c>
      <c r="N321" s="116"/>
      <c r="O321" s="140"/>
      <c r="P321" s="133">
        <f>SUMIFS(GestionLignesDemande!D$4:D$1000,GestionLignesDemande!$B$4:$B$1000,ROI_Avions!$A321,GestionLignesDemande!$C$4:$C$1000,ROI_Avions!$C321)</f>
        <v>0</v>
      </c>
      <c r="Q321" s="133">
        <f>SUMIFS(GestionLignesDemande!E$4:E$1000,GestionLignesDemande!$B$4:$B$1000,ROI_Avions!$A321,GestionLignesDemande!$C$4:$C$1000,ROI_Avions!$C321)</f>
        <v>0</v>
      </c>
      <c r="R321" s="133">
        <f>SUMIFS(GestionLignesDemande!F$4:F$1000,GestionLignesDemande!$B$4:$B$1000,ROI_Avions!$A321,GestionLignesDemande!$C$4:$C$1000,ROI_Avions!$C321)</f>
        <v>0</v>
      </c>
      <c r="S321" s="133">
        <f>SUMIFS(GestionLignesDemande!G$4:G$1000,GestionLignesDemande!$B$4:$B$1000,ROI_Avions!$A321,GestionLignesDemande!$C$4:$C$1000,ROI_Avions!$C321)</f>
        <v>0</v>
      </c>
      <c r="T321" s="116"/>
      <c r="U321" s="8">
        <f t="shared" si="1058"/>
        <v>653</v>
      </c>
      <c r="V321" s="8">
        <v>614</v>
      </c>
      <c r="W321" s="8">
        <v>26</v>
      </c>
      <c r="X321" s="8">
        <v>2</v>
      </c>
      <c r="Y321" s="8">
        <v>11</v>
      </c>
      <c r="Z321" s="116"/>
      <c r="AA321" s="132">
        <f t="shared" ref="AA321" si="1071">AA320-V321*2</f>
        <v>-2456</v>
      </c>
      <c r="AB321" s="132">
        <f t="shared" ref="AB321" si="1072">AB320-W321*2</f>
        <v>-104</v>
      </c>
      <c r="AC321" s="132">
        <f t="shared" ref="AC321" si="1073">AC320-X321*2</f>
        <v>-8</v>
      </c>
      <c r="AD321" s="132">
        <f t="shared" ref="AD321" si="1074">AD320-Y321*2</f>
        <v>-44</v>
      </c>
      <c r="AE321" s="116"/>
      <c r="AF321" s="26">
        <f>SUMIFS(DataPrixBillets!N$1:N$1000,DataPrixBillets!$J$1:$J$1000,ROI_Avions!$A321,DataPrixBillets!$K$1:$K$1000,ROI_Avions!$C321)</f>
        <v>0</v>
      </c>
      <c r="AG321" s="26">
        <f>SUMIFS(DataPrixBillets!O$1:O$1000,DataPrixBillets!$J$1:$J$1000,ROI_Avions!$A321,DataPrixBillets!$K$1:$K$1000,ROI_Avions!$C321)</f>
        <v>0</v>
      </c>
      <c r="AH321" s="26">
        <f>SUMIFS(DataPrixBillets!P$1:P$1000,DataPrixBillets!$J$1:$J$1000,ROI_Avions!$A321,DataPrixBillets!$K$1:$K$1000,ROI_Avions!$C321)</f>
        <v>0</v>
      </c>
      <c r="AI321" s="26">
        <f>SUMIFS(DataPrixBillets!Q$1:Q$1000,DataPrixBillets!$J$1:$J$1000,ROI_Avions!$A321,DataPrixBillets!$K$1:$K$1000,ROI_Avions!$C321)</f>
        <v>0</v>
      </c>
      <c r="AJ321" s="116"/>
      <c r="AK321" s="8">
        <f t="shared" si="1063"/>
        <v>0</v>
      </c>
      <c r="AL321" s="8" t="e">
        <f t="shared" ca="1" si="1064"/>
        <v>#REF!</v>
      </c>
      <c r="AM321" s="8" t="e">
        <f t="shared" ca="1" si="1065"/>
        <v>#REF!</v>
      </c>
      <c r="AN321" s="8" t="e">
        <f t="shared" ca="1" si="1066"/>
        <v>#REF!</v>
      </c>
      <c r="AO321" s="8" t="e">
        <f t="shared" ca="1" si="1067"/>
        <v>#REF!</v>
      </c>
      <c r="AP321" s="8" t="e">
        <f t="shared" ca="1" si="1068"/>
        <v>#REF!</v>
      </c>
      <c r="AQ321" s="8" t="e">
        <f t="shared" ca="1" si="1069"/>
        <v>#REF!</v>
      </c>
      <c r="AR321" s="190">
        <f t="shared" ca="1" si="1004"/>
        <v>0</v>
      </c>
      <c r="AS321" s="120">
        <f t="shared" ca="1" si="1057"/>
        <v>0</v>
      </c>
      <c r="AT321" s="8" t="e">
        <f t="shared" ca="1" si="1070"/>
        <v>#REF!</v>
      </c>
      <c r="AV321"/>
      <c r="AW321"/>
      <c r="AX321"/>
      <c r="AY321"/>
      <c r="BA321"/>
      <c r="BB321"/>
      <c r="BC321"/>
    </row>
    <row r="322" spans="1:55" s="189" customFormat="1" x14ac:dyDescent="0.3">
      <c r="A322" s="175" t="s">
        <v>427</v>
      </c>
      <c r="B322" s="176">
        <v>650382948</v>
      </c>
      <c r="C322" s="175" t="s">
        <v>1013</v>
      </c>
      <c r="D322" s="145" t="str">
        <f t="shared" si="958"/>
        <v>LOS/IXZ</v>
      </c>
      <c r="E322" s="176">
        <v>21774651</v>
      </c>
      <c r="F322" s="176" t="str">
        <f>"B747-A-"&amp;A322&amp;"-"&amp;C322&amp;"-"&amp;3</f>
        <v>B747-A-LOS-IXZ-3</v>
      </c>
      <c r="G322" s="176">
        <v>268566320</v>
      </c>
      <c r="H322" s="116"/>
      <c r="I322" s="8">
        <v>0</v>
      </c>
      <c r="J322" s="8">
        <v>0</v>
      </c>
      <c r="K322" s="8">
        <v>0</v>
      </c>
      <c r="N322" s="116"/>
      <c r="O322" s="140"/>
      <c r="P322" s="133">
        <f>SUMIFS(GestionLignesDemande!D$4:D$1000,GestionLignesDemande!$B$4:$B$1000,ROI_Avions!$A322,GestionLignesDemande!$C$4:$C$1000,ROI_Avions!$C322)</f>
        <v>0</v>
      </c>
      <c r="Q322" s="133">
        <f>SUMIFS(GestionLignesDemande!E$4:E$1000,GestionLignesDemande!$B$4:$B$1000,ROI_Avions!$A322,GestionLignesDemande!$C$4:$C$1000,ROI_Avions!$C322)</f>
        <v>0</v>
      </c>
      <c r="R322" s="133">
        <f>SUMIFS(GestionLignesDemande!F$4:F$1000,GestionLignesDemande!$B$4:$B$1000,ROI_Avions!$A322,GestionLignesDemande!$C$4:$C$1000,ROI_Avions!$C322)</f>
        <v>0</v>
      </c>
      <c r="S322" s="133">
        <f>SUMIFS(GestionLignesDemande!G$4:G$1000,GestionLignesDemande!$B$4:$B$1000,ROI_Avions!$A322,GestionLignesDemande!$C$4:$C$1000,ROI_Avions!$C322)</f>
        <v>0</v>
      </c>
      <c r="T322" s="116"/>
      <c r="U322" s="8">
        <f t="shared" ref="U322:U328" si="1075">SUM(V322:Y322)</f>
        <v>660</v>
      </c>
      <c r="V322" s="8">
        <v>660</v>
      </c>
      <c r="W322" s="8">
        <v>0</v>
      </c>
      <c r="X322" s="8">
        <v>0</v>
      </c>
      <c r="Y322" s="8">
        <v>0</v>
      </c>
      <c r="Z322" s="116"/>
      <c r="AA322" s="132">
        <f t="shared" ref="AA322" si="1076">AA321-V322*2</f>
        <v>-3776</v>
      </c>
      <c r="AB322" s="132">
        <f t="shared" ref="AB322" si="1077">AB321-W322*2</f>
        <v>-104</v>
      </c>
      <c r="AC322" s="132">
        <f t="shared" ref="AC322" si="1078">AC321-X322*2</f>
        <v>-8</v>
      </c>
      <c r="AD322" s="132">
        <f t="shared" ref="AD322" si="1079">AD321-Y322*2</f>
        <v>-44</v>
      </c>
      <c r="AE322" s="116"/>
      <c r="AF322" s="26">
        <f>SUMIFS(DataPrixBillets!N$1:N$1000,DataPrixBillets!$J$1:$J$1000,ROI_Avions!$A322,DataPrixBillets!$K$1:$K$1000,ROI_Avions!$C322)</f>
        <v>0</v>
      </c>
      <c r="AG322" s="26">
        <f>SUMIFS(DataPrixBillets!O$1:O$1000,DataPrixBillets!$J$1:$J$1000,ROI_Avions!$A322,DataPrixBillets!$K$1:$K$1000,ROI_Avions!$C322)</f>
        <v>0</v>
      </c>
      <c r="AH322" s="26">
        <f>SUMIFS(DataPrixBillets!P$1:P$1000,DataPrixBillets!$J$1:$J$1000,ROI_Avions!$A322,DataPrixBillets!$K$1:$K$1000,ROI_Avions!$C322)</f>
        <v>0</v>
      </c>
      <c r="AI322" s="26">
        <f>SUMIFS(DataPrixBillets!Q$1:Q$1000,DataPrixBillets!$J$1:$J$1000,ROI_Avions!$A322,DataPrixBillets!$K$1:$K$1000,ROI_Avions!$C322)</f>
        <v>0</v>
      </c>
      <c r="AJ322" s="116"/>
      <c r="AK322" s="8">
        <f t="shared" ref="AK322" si="1080">(((AF322*V322)*2+(AG322*W322)*2+(AH322*X322)*2+(AI322*Y322)*2)*7)</f>
        <v>0</v>
      </c>
      <c r="AL322" s="8" t="e">
        <f t="shared" ref="AL322" ca="1" si="1081">AK322-AM322</f>
        <v>#REF!</v>
      </c>
      <c r="AM322" s="8" t="e">
        <f t="shared" ref="AM322" ca="1" si="1082">AK322*$AM$2</f>
        <v>#REF!</v>
      </c>
      <c r="AN322" s="8" t="e">
        <f t="shared" ref="AN322" ca="1" si="1083">AL322*$AN$2</f>
        <v>#REF!</v>
      </c>
      <c r="AO322" s="8" t="e">
        <f t="shared" ref="AO322" ca="1" si="1084">(AL322-AN322-I322)*$AO$2</f>
        <v>#REF!</v>
      </c>
      <c r="AP322" s="8" t="e">
        <f t="shared" ref="AP322" ca="1" si="1085">AL322-AN322-(I322/7)-(AO322/7)</f>
        <v>#REF!</v>
      </c>
      <c r="AQ322" s="8" t="e">
        <f t="shared" ref="AQ322" ca="1" si="1086">AP322/7</f>
        <v>#REF!</v>
      </c>
      <c r="AR322" s="190">
        <f t="shared" ca="1" si="1004"/>
        <v>0</v>
      </c>
      <c r="AS322" s="120">
        <f t="shared" ca="1" si="1057"/>
        <v>0</v>
      </c>
      <c r="AT322" s="8" t="e">
        <f t="shared" ref="AT322" ca="1" si="1087">IF(K322&gt;=1,AP322*K322,AP322*$AT$1)</f>
        <v>#REF!</v>
      </c>
      <c r="AV322"/>
      <c r="AW322"/>
      <c r="AX322"/>
      <c r="AY322"/>
      <c r="BA322"/>
      <c r="BB322"/>
      <c r="BC322"/>
    </row>
    <row r="323" spans="1:55" s="189" customFormat="1" x14ac:dyDescent="0.3">
      <c r="A323" s="175" t="s">
        <v>427</v>
      </c>
      <c r="B323" s="176">
        <v>650382948</v>
      </c>
      <c r="C323" s="175" t="s">
        <v>1014</v>
      </c>
      <c r="D323" s="145" t="str">
        <f t="shared" si="958"/>
        <v>LOS/DAC</v>
      </c>
      <c r="E323" s="176">
        <v>18363049</v>
      </c>
      <c r="F323" s="176" t="str">
        <f>"A333-A-"&amp;A323&amp;"-"&amp;C323&amp;"-"&amp;1</f>
        <v>A333-A-LOS-DAC-1</v>
      </c>
      <c r="G323" s="176">
        <v>198223200</v>
      </c>
      <c r="H323" s="116"/>
      <c r="I323" s="8">
        <v>0</v>
      </c>
      <c r="J323" s="8">
        <v>0</v>
      </c>
      <c r="K323" s="8">
        <v>0</v>
      </c>
      <c r="N323" s="116"/>
      <c r="O323" s="140"/>
      <c r="P323" s="133">
        <f>SUMIFS(GestionLignesDemande!D$4:D$1000,GestionLignesDemande!$B$4:$B$1000,ROI_Avions!$A323,GestionLignesDemande!$C$4:$C$1000,ROI_Avions!$C323)</f>
        <v>0</v>
      </c>
      <c r="Q323" s="133">
        <f>SUMIFS(GestionLignesDemande!E$4:E$1000,GestionLignesDemande!$B$4:$B$1000,ROI_Avions!$A323,GestionLignesDemande!$C$4:$C$1000,ROI_Avions!$C323)</f>
        <v>0</v>
      </c>
      <c r="R323" s="133">
        <f>SUMIFS(GestionLignesDemande!F$4:F$1000,GestionLignesDemande!$B$4:$B$1000,ROI_Avions!$A323,GestionLignesDemande!$C$4:$C$1000,ROI_Avions!$C323)</f>
        <v>0</v>
      </c>
      <c r="S323" s="133">
        <f>SUMIFS(GestionLignesDemande!G$4:G$1000,GestionLignesDemande!$B$4:$B$1000,ROI_Avions!$A323,GestionLignesDemande!$C$4:$C$1000,ROI_Avions!$C323)</f>
        <v>0</v>
      </c>
      <c r="T323" s="116"/>
      <c r="U323" s="8">
        <f t="shared" si="1075"/>
        <v>338</v>
      </c>
      <c r="V323" s="8">
        <v>276</v>
      </c>
      <c r="W323" s="8">
        <v>48</v>
      </c>
      <c r="X323" s="8">
        <v>2</v>
      </c>
      <c r="Y323" s="8">
        <v>12</v>
      </c>
      <c r="Z323" s="116"/>
      <c r="AA323" s="132">
        <f t="shared" ref="AA323" si="1088">P323-(V323*2)</f>
        <v>-552</v>
      </c>
      <c r="AB323" s="132">
        <f t="shared" ref="AB323" si="1089">Q323-(W323*2)</f>
        <v>-96</v>
      </c>
      <c r="AC323" s="132">
        <f t="shared" ref="AC323" si="1090">R323-(X323*2)</f>
        <v>-4</v>
      </c>
      <c r="AD323" s="132">
        <f t="shared" ref="AD323" si="1091">S323-(Y323*2)</f>
        <v>-24</v>
      </c>
      <c r="AE323" s="116"/>
      <c r="AF323" s="26">
        <f>SUMIFS(DataPrixBillets!N$1:N$1000,DataPrixBillets!$J$1:$J$1000,ROI_Avions!$A323,DataPrixBillets!$K$1:$K$1000,ROI_Avions!$C323)</f>
        <v>0</v>
      </c>
      <c r="AG323" s="26">
        <f>SUMIFS(DataPrixBillets!O$1:O$1000,DataPrixBillets!$J$1:$J$1000,ROI_Avions!$A323,DataPrixBillets!$K$1:$K$1000,ROI_Avions!$C323)</f>
        <v>0</v>
      </c>
      <c r="AH323" s="26">
        <f>SUMIFS(DataPrixBillets!P$1:P$1000,DataPrixBillets!$J$1:$J$1000,ROI_Avions!$A323,DataPrixBillets!$K$1:$K$1000,ROI_Avions!$C323)</f>
        <v>0</v>
      </c>
      <c r="AI323" s="26">
        <f>SUMIFS(DataPrixBillets!Q$1:Q$1000,DataPrixBillets!$J$1:$J$1000,ROI_Avions!$A323,DataPrixBillets!$K$1:$K$1000,ROI_Avions!$C323)</f>
        <v>0</v>
      </c>
      <c r="AJ323" s="116"/>
      <c r="AK323" s="8">
        <f t="shared" ref="AK323:AK328" si="1092">(((AF323*V323)*2+(AG323*W323)*2+(AH323*X323)*2+(AI323*Y323)*2)*7)</f>
        <v>0</v>
      </c>
      <c r="AL323" s="8" t="e">
        <f t="shared" ref="AL323:AL328" ca="1" si="1093">AK323-AM323</f>
        <v>#REF!</v>
      </c>
      <c r="AM323" s="8" t="e">
        <f t="shared" ref="AM323:AM328" ca="1" si="1094">AK323*$AM$2</f>
        <v>#REF!</v>
      </c>
      <c r="AN323" s="8" t="e">
        <f t="shared" ref="AN323:AN328" ca="1" si="1095">AL323*$AN$2</f>
        <v>#REF!</v>
      </c>
      <c r="AO323" s="8" t="e">
        <f t="shared" ref="AO323:AO328" ca="1" si="1096">(AL323-AN323-I323)*$AO$2</f>
        <v>#REF!</v>
      </c>
      <c r="AP323" s="8" t="e">
        <f t="shared" ref="AP323:AP328" ca="1" si="1097">AL323-AN323-(I323/7)-(AO323/7)</f>
        <v>#REF!</v>
      </c>
      <c r="AQ323" s="8" t="e">
        <f t="shared" ref="AQ323:AQ328" ca="1" si="1098">AP323/7</f>
        <v>#REF!</v>
      </c>
      <c r="AR323" s="190">
        <f t="shared" ca="1" si="1004"/>
        <v>0</v>
      </c>
      <c r="AS323" s="120">
        <f t="shared" ca="1" si="1057"/>
        <v>0</v>
      </c>
      <c r="AT323" s="8" t="e">
        <f t="shared" ref="AT323:AT328" ca="1" si="1099">IF(K323&gt;=1,AP323*K323,AP323*$AT$1)</f>
        <v>#REF!</v>
      </c>
      <c r="AV323"/>
      <c r="AW323"/>
      <c r="AX323"/>
      <c r="AY323"/>
    </row>
    <row r="324" spans="1:55" s="189" customFormat="1" x14ac:dyDescent="0.3">
      <c r="A324" s="175" t="s">
        <v>427</v>
      </c>
      <c r="B324" s="176">
        <v>650382948</v>
      </c>
      <c r="C324" s="175" t="s">
        <v>1014</v>
      </c>
      <c r="D324" s="145" t="str">
        <f t="shared" si="958"/>
        <v>LOS/DAC</v>
      </c>
      <c r="E324" s="176">
        <v>18363049</v>
      </c>
      <c r="F324" s="176" t="str">
        <f>"A333-A-"&amp;A324&amp;"-"&amp;C324&amp;"-"&amp;2</f>
        <v>A333-A-LOS-DAC-2</v>
      </c>
      <c r="G324" s="176">
        <v>198223200</v>
      </c>
      <c r="H324" s="116"/>
      <c r="I324" s="8">
        <v>0</v>
      </c>
      <c r="J324" s="8">
        <v>0</v>
      </c>
      <c r="K324" s="8">
        <v>0</v>
      </c>
      <c r="N324" s="116"/>
      <c r="O324" s="140"/>
      <c r="P324" s="133">
        <f>SUMIFS(GestionLignesDemande!D$4:D$1000,GestionLignesDemande!$B$4:$B$1000,ROI_Avions!$A324,GestionLignesDemande!$C$4:$C$1000,ROI_Avions!$C324)</f>
        <v>0</v>
      </c>
      <c r="Q324" s="133">
        <f>SUMIFS(GestionLignesDemande!E$4:E$1000,GestionLignesDemande!$B$4:$B$1000,ROI_Avions!$A324,GestionLignesDemande!$C$4:$C$1000,ROI_Avions!$C324)</f>
        <v>0</v>
      </c>
      <c r="R324" s="133">
        <f>SUMIFS(GestionLignesDemande!F$4:F$1000,GestionLignesDemande!$B$4:$B$1000,ROI_Avions!$A324,GestionLignesDemande!$C$4:$C$1000,ROI_Avions!$C324)</f>
        <v>0</v>
      </c>
      <c r="S324" s="133">
        <f>SUMIFS(GestionLignesDemande!G$4:G$1000,GestionLignesDemande!$B$4:$B$1000,ROI_Avions!$A324,GestionLignesDemande!$C$4:$C$1000,ROI_Avions!$C324)</f>
        <v>0</v>
      </c>
      <c r="T324" s="116"/>
      <c r="U324" s="8">
        <f t="shared" si="1075"/>
        <v>441</v>
      </c>
      <c r="V324" s="8">
        <v>440</v>
      </c>
      <c r="W324" s="8">
        <v>0</v>
      </c>
      <c r="X324" s="8">
        <v>0</v>
      </c>
      <c r="Y324" s="8">
        <v>1</v>
      </c>
      <c r="Z324" s="116"/>
      <c r="AA324" s="132">
        <f t="shared" ref="AA324:AA328" si="1100">AA323-V324*2</f>
        <v>-1432</v>
      </c>
      <c r="AB324" s="132">
        <f t="shared" ref="AB324:AB328" si="1101">AB323-W324*2</f>
        <v>-96</v>
      </c>
      <c r="AC324" s="132">
        <f t="shared" ref="AC324:AC328" si="1102">AC323-X324*2</f>
        <v>-4</v>
      </c>
      <c r="AD324" s="132">
        <f t="shared" ref="AD324:AD328" si="1103">AD323-Y324*2</f>
        <v>-26</v>
      </c>
      <c r="AE324" s="116"/>
      <c r="AF324" s="26">
        <f>SUMIFS(DataPrixBillets!N$1:N$1000,DataPrixBillets!$J$1:$J$1000,ROI_Avions!$A324,DataPrixBillets!$K$1:$K$1000,ROI_Avions!$C324)</f>
        <v>0</v>
      </c>
      <c r="AG324" s="26">
        <f>SUMIFS(DataPrixBillets!O$1:O$1000,DataPrixBillets!$J$1:$J$1000,ROI_Avions!$A324,DataPrixBillets!$K$1:$K$1000,ROI_Avions!$C324)</f>
        <v>0</v>
      </c>
      <c r="AH324" s="26">
        <f>SUMIFS(DataPrixBillets!P$1:P$1000,DataPrixBillets!$J$1:$J$1000,ROI_Avions!$A324,DataPrixBillets!$K$1:$K$1000,ROI_Avions!$C324)</f>
        <v>0</v>
      </c>
      <c r="AI324" s="26">
        <f>SUMIFS(DataPrixBillets!Q$1:Q$1000,DataPrixBillets!$J$1:$J$1000,ROI_Avions!$A324,DataPrixBillets!$K$1:$K$1000,ROI_Avions!$C324)</f>
        <v>0</v>
      </c>
      <c r="AJ324" s="116"/>
      <c r="AK324" s="8">
        <f t="shared" si="1092"/>
        <v>0</v>
      </c>
      <c r="AL324" s="8" t="e">
        <f t="shared" ca="1" si="1093"/>
        <v>#REF!</v>
      </c>
      <c r="AM324" s="8" t="e">
        <f t="shared" ca="1" si="1094"/>
        <v>#REF!</v>
      </c>
      <c r="AN324" s="8" t="e">
        <f t="shared" ca="1" si="1095"/>
        <v>#REF!</v>
      </c>
      <c r="AO324" s="8" t="e">
        <f t="shared" ca="1" si="1096"/>
        <v>#REF!</v>
      </c>
      <c r="AP324" s="8" t="e">
        <f t="shared" ca="1" si="1097"/>
        <v>#REF!</v>
      </c>
      <c r="AQ324" s="8" t="e">
        <f t="shared" ca="1" si="1098"/>
        <v>#REF!</v>
      </c>
      <c r="AR324" s="190">
        <f t="shared" ca="1" si="1004"/>
        <v>0</v>
      </c>
      <c r="AS324" s="120">
        <f t="shared" ca="1" si="1057"/>
        <v>0</v>
      </c>
      <c r="AT324" s="8" t="e">
        <f t="shared" ca="1" si="1099"/>
        <v>#REF!</v>
      </c>
    </row>
    <row r="325" spans="1:55" s="189" customFormat="1" x14ac:dyDescent="0.3">
      <c r="A325" s="175" t="s">
        <v>427</v>
      </c>
      <c r="B325" s="176">
        <v>650382948</v>
      </c>
      <c r="C325" s="175" t="s">
        <v>1014</v>
      </c>
      <c r="D325" s="145" t="str">
        <f t="shared" si="958"/>
        <v>LOS/DAC</v>
      </c>
      <c r="E325" s="176">
        <v>18363049</v>
      </c>
      <c r="F325" s="176" t="str">
        <f>"A333-A-"&amp;A325&amp;"-"&amp;C325&amp;"-"&amp;3</f>
        <v>A333-A-LOS-DAC-3</v>
      </c>
      <c r="G325" s="176">
        <v>198223200</v>
      </c>
      <c r="H325" s="116"/>
      <c r="I325" s="8">
        <v>0</v>
      </c>
      <c r="J325" s="8">
        <v>0</v>
      </c>
      <c r="K325" s="8">
        <v>0</v>
      </c>
      <c r="N325" s="116"/>
      <c r="O325" s="140"/>
      <c r="P325" s="133">
        <f>SUMIFS(GestionLignesDemande!D$4:D$1000,GestionLignesDemande!$B$4:$B$1000,ROI_Avions!$A325,GestionLignesDemande!$C$4:$C$1000,ROI_Avions!$C325)</f>
        <v>0</v>
      </c>
      <c r="Q325" s="133">
        <f>SUMIFS(GestionLignesDemande!E$4:E$1000,GestionLignesDemande!$B$4:$B$1000,ROI_Avions!$A325,GestionLignesDemande!$C$4:$C$1000,ROI_Avions!$C325)</f>
        <v>0</v>
      </c>
      <c r="R325" s="133">
        <f>SUMIFS(GestionLignesDemande!F$4:F$1000,GestionLignesDemande!$B$4:$B$1000,ROI_Avions!$A325,GestionLignesDemande!$C$4:$C$1000,ROI_Avions!$C325)</f>
        <v>0</v>
      </c>
      <c r="S325" s="133">
        <f>SUMIFS(GestionLignesDemande!G$4:G$1000,GestionLignesDemande!$B$4:$B$1000,ROI_Avions!$A325,GestionLignesDemande!$C$4:$C$1000,ROI_Avions!$C325)</f>
        <v>0</v>
      </c>
      <c r="T325" s="116"/>
      <c r="U325" s="8">
        <f t="shared" si="1075"/>
        <v>441</v>
      </c>
      <c r="V325" s="8">
        <v>440</v>
      </c>
      <c r="W325" s="8">
        <v>0</v>
      </c>
      <c r="X325" s="8">
        <v>0</v>
      </c>
      <c r="Y325" s="8">
        <v>1</v>
      </c>
      <c r="Z325" s="116"/>
      <c r="AA325" s="132">
        <f t="shared" si="1100"/>
        <v>-2312</v>
      </c>
      <c r="AB325" s="132">
        <f t="shared" si="1101"/>
        <v>-96</v>
      </c>
      <c r="AC325" s="132">
        <f t="shared" si="1102"/>
        <v>-4</v>
      </c>
      <c r="AD325" s="132">
        <f t="shared" si="1103"/>
        <v>-28</v>
      </c>
      <c r="AE325" s="116"/>
      <c r="AF325" s="26">
        <f>SUMIFS(DataPrixBillets!N$1:N$1000,DataPrixBillets!$J$1:$J$1000,ROI_Avions!$A325,DataPrixBillets!$K$1:$K$1000,ROI_Avions!$C325)</f>
        <v>0</v>
      </c>
      <c r="AG325" s="26">
        <f>SUMIFS(DataPrixBillets!O$1:O$1000,DataPrixBillets!$J$1:$J$1000,ROI_Avions!$A325,DataPrixBillets!$K$1:$K$1000,ROI_Avions!$C325)</f>
        <v>0</v>
      </c>
      <c r="AH325" s="26">
        <f>SUMIFS(DataPrixBillets!P$1:P$1000,DataPrixBillets!$J$1:$J$1000,ROI_Avions!$A325,DataPrixBillets!$K$1:$K$1000,ROI_Avions!$C325)</f>
        <v>0</v>
      </c>
      <c r="AI325" s="26">
        <f>SUMIFS(DataPrixBillets!Q$1:Q$1000,DataPrixBillets!$J$1:$J$1000,ROI_Avions!$A325,DataPrixBillets!$K$1:$K$1000,ROI_Avions!$C325)</f>
        <v>0</v>
      </c>
      <c r="AJ325" s="116"/>
      <c r="AK325" s="8">
        <f t="shared" si="1092"/>
        <v>0</v>
      </c>
      <c r="AL325" s="8" t="e">
        <f t="shared" ca="1" si="1093"/>
        <v>#REF!</v>
      </c>
      <c r="AM325" s="8" t="e">
        <f t="shared" ca="1" si="1094"/>
        <v>#REF!</v>
      </c>
      <c r="AN325" s="8" t="e">
        <f t="shared" ca="1" si="1095"/>
        <v>#REF!</v>
      </c>
      <c r="AO325" s="8" t="e">
        <f t="shared" ca="1" si="1096"/>
        <v>#REF!</v>
      </c>
      <c r="AP325" s="8" t="e">
        <f t="shared" ca="1" si="1097"/>
        <v>#REF!</v>
      </c>
      <c r="AQ325" s="8" t="e">
        <f t="shared" ca="1" si="1098"/>
        <v>#REF!</v>
      </c>
      <c r="AR325" s="190">
        <f t="shared" ca="1" si="1004"/>
        <v>0</v>
      </c>
      <c r="AS325" s="120">
        <f t="shared" ca="1" si="1057"/>
        <v>0</v>
      </c>
      <c r="AT325" s="8" t="e">
        <f t="shared" ca="1" si="1099"/>
        <v>#REF!</v>
      </c>
    </row>
    <row r="326" spans="1:55" s="189" customFormat="1" x14ac:dyDescent="0.3">
      <c r="A326" s="175" t="s">
        <v>427</v>
      </c>
      <c r="B326" s="176">
        <v>650382948</v>
      </c>
      <c r="C326" s="175" t="s">
        <v>1014</v>
      </c>
      <c r="D326" s="145" t="str">
        <f t="shared" si="958"/>
        <v>LOS/DAC</v>
      </c>
      <c r="E326" s="176">
        <v>18363049</v>
      </c>
      <c r="F326" s="176" t="str">
        <f>"A333-A-"&amp;A326&amp;"-"&amp;C326&amp;"-"&amp;4</f>
        <v>A333-A-LOS-DAC-4</v>
      </c>
      <c r="G326" s="176">
        <v>198223200</v>
      </c>
      <c r="H326" s="116"/>
      <c r="I326" s="8">
        <v>0</v>
      </c>
      <c r="J326" s="8">
        <v>0</v>
      </c>
      <c r="K326" s="8">
        <v>0</v>
      </c>
      <c r="N326" s="116"/>
      <c r="O326" s="140"/>
      <c r="P326" s="133">
        <f>SUMIFS(GestionLignesDemande!D$4:D$1000,GestionLignesDemande!$B$4:$B$1000,ROI_Avions!$A326,GestionLignesDemande!$C$4:$C$1000,ROI_Avions!$C326)</f>
        <v>0</v>
      </c>
      <c r="Q326" s="133">
        <f>SUMIFS(GestionLignesDemande!E$4:E$1000,GestionLignesDemande!$B$4:$B$1000,ROI_Avions!$A326,GestionLignesDemande!$C$4:$C$1000,ROI_Avions!$C326)</f>
        <v>0</v>
      </c>
      <c r="R326" s="133">
        <f>SUMIFS(GestionLignesDemande!F$4:F$1000,GestionLignesDemande!$B$4:$B$1000,ROI_Avions!$A326,GestionLignesDemande!$C$4:$C$1000,ROI_Avions!$C326)</f>
        <v>0</v>
      </c>
      <c r="S326" s="133">
        <f>SUMIFS(GestionLignesDemande!G$4:G$1000,GestionLignesDemande!$B$4:$B$1000,ROI_Avions!$A326,GestionLignesDemande!$C$4:$C$1000,ROI_Avions!$C326)</f>
        <v>0</v>
      </c>
      <c r="T326" s="116"/>
      <c r="U326" s="8">
        <f t="shared" si="1075"/>
        <v>441</v>
      </c>
      <c r="V326" s="8">
        <v>440</v>
      </c>
      <c r="W326" s="8">
        <v>0</v>
      </c>
      <c r="X326" s="8">
        <v>0</v>
      </c>
      <c r="Y326" s="8">
        <v>1</v>
      </c>
      <c r="Z326" s="116"/>
      <c r="AA326" s="132">
        <f t="shared" si="1100"/>
        <v>-3192</v>
      </c>
      <c r="AB326" s="132">
        <f t="shared" si="1101"/>
        <v>-96</v>
      </c>
      <c r="AC326" s="132">
        <f t="shared" si="1102"/>
        <v>-4</v>
      </c>
      <c r="AD326" s="132">
        <f t="shared" si="1103"/>
        <v>-30</v>
      </c>
      <c r="AE326" s="116"/>
      <c r="AF326" s="26">
        <f>SUMIFS(DataPrixBillets!N$1:N$1000,DataPrixBillets!$J$1:$J$1000,ROI_Avions!$A326,DataPrixBillets!$K$1:$K$1000,ROI_Avions!$C326)</f>
        <v>0</v>
      </c>
      <c r="AG326" s="26">
        <f>SUMIFS(DataPrixBillets!O$1:O$1000,DataPrixBillets!$J$1:$J$1000,ROI_Avions!$A326,DataPrixBillets!$K$1:$K$1000,ROI_Avions!$C326)</f>
        <v>0</v>
      </c>
      <c r="AH326" s="26">
        <f>SUMIFS(DataPrixBillets!P$1:P$1000,DataPrixBillets!$J$1:$J$1000,ROI_Avions!$A326,DataPrixBillets!$K$1:$K$1000,ROI_Avions!$C326)</f>
        <v>0</v>
      </c>
      <c r="AI326" s="26">
        <f>SUMIFS(DataPrixBillets!Q$1:Q$1000,DataPrixBillets!$J$1:$J$1000,ROI_Avions!$A326,DataPrixBillets!$K$1:$K$1000,ROI_Avions!$C326)</f>
        <v>0</v>
      </c>
      <c r="AJ326" s="116"/>
      <c r="AK326" s="8">
        <f t="shared" si="1092"/>
        <v>0</v>
      </c>
      <c r="AL326" s="8" t="e">
        <f t="shared" ca="1" si="1093"/>
        <v>#REF!</v>
      </c>
      <c r="AM326" s="8" t="e">
        <f t="shared" ca="1" si="1094"/>
        <v>#REF!</v>
      </c>
      <c r="AN326" s="8" t="e">
        <f t="shared" ca="1" si="1095"/>
        <v>#REF!</v>
      </c>
      <c r="AO326" s="8" t="e">
        <f t="shared" ca="1" si="1096"/>
        <v>#REF!</v>
      </c>
      <c r="AP326" s="8" t="e">
        <f t="shared" ca="1" si="1097"/>
        <v>#REF!</v>
      </c>
      <c r="AQ326" s="8" t="e">
        <f t="shared" ca="1" si="1098"/>
        <v>#REF!</v>
      </c>
      <c r="AR326" s="190">
        <f t="shared" ca="1" si="1004"/>
        <v>0</v>
      </c>
      <c r="AS326" s="120">
        <f t="shared" ca="1" si="1057"/>
        <v>0</v>
      </c>
      <c r="AT326" s="8" t="e">
        <f t="shared" ca="1" si="1099"/>
        <v>#REF!</v>
      </c>
    </row>
    <row r="327" spans="1:55" s="189" customFormat="1" x14ac:dyDescent="0.3">
      <c r="A327" s="175" t="s">
        <v>427</v>
      </c>
      <c r="B327" s="176">
        <v>650382948</v>
      </c>
      <c r="C327" s="175" t="s">
        <v>1014</v>
      </c>
      <c r="D327" s="145" t="str">
        <f t="shared" si="958"/>
        <v>LOS/DAC</v>
      </c>
      <c r="E327" s="176">
        <v>18363049</v>
      </c>
      <c r="F327" s="176" t="str">
        <f>"B788-A-"&amp;A327&amp;"-"&amp;C327&amp;"-"&amp;5</f>
        <v>B788-A-LOS-DAC-5</v>
      </c>
      <c r="G327" s="176">
        <v>176814000</v>
      </c>
      <c r="H327" s="116"/>
      <c r="I327" s="8">
        <v>0</v>
      </c>
      <c r="J327" s="8">
        <v>0</v>
      </c>
      <c r="K327" s="8">
        <v>0</v>
      </c>
      <c r="N327" s="116"/>
      <c r="O327" s="140"/>
      <c r="P327" s="133">
        <f>SUMIFS(GestionLignesDemande!D$4:D$1000,GestionLignesDemande!$B$4:$B$1000,ROI_Avions!$A327,GestionLignesDemande!$C$4:$C$1000,ROI_Avions!$C327)</f>
        <v>0</v>
      </c>
      <c r="Q327" s="133">
        <f>SUMIFS(GestionLignesDemande!E$4:E$1000,GestionLignesDemande!$B$4:$B$1000,ROI_Avions!$A327,GestionLignesDemande!$C$4:$C$1000,ROI_Avions!$C327)</f>
        <v>0</v>
      </c>
      <c r="R327" s="133">
        <f>SUMIFS(GestionLignesDemande!F$4:F$1000,GestionLignesDemande!$B$4:$B$1000,ROI_Avions!$A327,GestionLignesDemande!$C$4:$C$1000,ROI_Avions!$C327)</f>
        <v>0</v>
      </c>
      <c r="S327" s="133">
        <f>SUMIFS(GestionLignesDemande!G$4:G$1000,GestionLignesDemande!$B$4:$B$1000,ROI_Avions!$A327,GestionLignesDemande!$C$4:$C$1000,ROI_Avions!$C327)</f>
        <v>0</v>
      </c>
      <c r="T327" s="116"/>
      <c r="U327" s="8">
        <f t="shared" si="1075"/>
        <v>386</v>
      </c>
      <c r="V327" s="8">
        <v>381</v>
      </c>
      <c r="W327" s="8">
        <v>0</v>
      </c>
      <c r="X327" s="8">
        <v>0</v>
      </c>
      <c r="Y327" s="8">
        <v>5</v>
      </c>
      <c r="Z327" s="116"/>
      <c r="AA327" s="132">
        <f t="shared" si="1100"/>
        <v>-3954</v>
      </c>
      <c r="AB327" s="132">
        <f t="shared" si="1101"/>
        <v>-96</v>
      </c>
      <c r="AC327" s="132">
        <f t="shared" si="1102"/>
        <v>-4</v>
      </c>
      <c r="AD327" s="132">
        <f t="shared" si="1103"/>
        <v>-40</v>
      </c>
      <c r="AE327" s="116"/>
      <c r="AF327" s="26">
        <f>SUMIFS(DataPrixBillets!N$1:N$1000,DataPrixBillets!$J$1:$J$1000,ROI_Avions!$A327,DataPrixBillets!$K$1:$K$1000,ROI_Avions!$C327)</f>
        <v>0</v>
      </c>
      <c r="AG327" s="26">
        <f>SUMIFS(DataPrixBillets!O$1:O$1000,DataPrixBillets!$J$1:$J$1000,ROI_Avions!$A327,DataPrixBillets!$K$1:$K$1000,ROI_Avions!$C327)</f>
        <v>0</v>
      </c>
      <c r="AH327" s="26">
        <f>SUMIFS(DataPrixBillets!P$1:P$1000,DataPrixBillets!$J$1:$J$1000,ROI_Avions!$A327,DataPrixBillets!$K$1:$K$1000,ROI_Avions!$C327)</f>
        <v>0</v>
      </c>
      <c r="AI327" s="26">
        <f>SUMIFS(DataPrixBillets!Q$1:Q$1000,DataPrixBillets!$J$1:$J$1000,ROI_Avions!$A327,DataPrixBillets!$K$1:$K$1000,ROI_Avions!$C327)</f>
        <v>0</v>
      </c>
      <c r="AJ327" s="116"/>
      <c r="AK327" s="8">
        <f t="shared" si="1092"/>
        <v>0</v>
      </c>
      <c r="AL327" s="8" t="e">
        <f t="shared" ca="1" si="1093"/>
        <v>#REF!</v>
      </c>
      <c r="AM327" s="8" t="e">
        <f t="shared" ca="1" si="1094"/>
        <v>#REF!</v>
      </c>
      <c r="AN327" s="8" t="e">
        <f t="shared" ca="1" si="1095"/>
        <v>#REF!</v>
      </c>
      <c r="AO327" s="8" t="e">
        <f t="shared" ca="1" si="1096"/>
        <v>#REF!</v>
      </c>
      <c r="AP327" s="8" t="e">
        <f t="shared" ca="1" si="1097"/>
        <v>#REF!</v>
      </c>
      <c r="AQ327" s="8" t="e">
        <f t="shared" ca="1" si="1098"/>
        <v>#REF!</v>
      </c>
      <c r="AR327" s="190">
        <f t="shared" ca="1" si="1004"/>
        <v>0</v>
      </c>
      <c r="AS327" s="120">
        <f t="shared" ca="1" si="1057"/>
        <v>0</v>
      </c>
      <c r="AT327" s="8" t="e">
        <f t="shared" ca="1" si="1099"/>
        <v>#REF!</v>
      </c>
    </row>
    <row r="328" spans="1:55" s="189" customFormat="1" x14ac:dyDescent="0.3">
      <c r="A328" s="175" t="s">
        <v>427</v>
      </c>
      <c r="B328" s="176">
        <v>650382948</v>
      </c>
      <c r="C328" s="175" t="s">
        <v>1014</v>
      </c>
      <c r="D328" s="145" t="str">
        <f t="shared" si="958"/>
        <v>LOS/DAC</v>
      </c>
      <c r="E328" s="176">
        <v>18363049</v>
      </c>
      <c r="F328" s="176" t="str">
        <f>"B747-A-"&amp;A328&amp;"-"&amp;C328&amp;"-"&amp;6</f>
        <v>B747-A-LOS-DAC-6</v>
      </c>
      <c r="G328" s="176">
        <v>253336500</v>
      </c>
      <c r="H328" s="116"/>
      <c r="I328" s="8">
        <v>0</v>
      </c>
      <c r="J328" s="8">
        <v>0</v>
      </c>
      <c r="K328" s="8">
        <v>0</v>
      </c>
      <c r="N328" s="116"/>
      <c r="O328" s="140"/>
      <c r="P328" s="133">
        <f>SUMIFS(GestionLignesDemande!D$4:D$1000,GestionLignesDemande!$B$4:$B$1000,ROI_Avions!$A328,GestionLignesDemande!$C$4:$C$1000,ROI_Avions!$C328)</f>
        <v>0</v>
      </c>
      <c r="Q328" s="133">
        <f>SUMIFS(GestionLignesDemande!E$4:E$1000,GestionLignesDemande!$B$4:$B$1000,ROI_Avions!$A328,GestionLignesDemande!$C$4:$C$1000,ROI_Avions!$C328)</f>
        <v>0</v>
      </c>
      <c r="R328" s="133">
        <f>SUMIFS(GestionLignesDemande!F$4:F$1000,GestionLignesDemande!$B$4:$B$1000,ROI_Avions!$A328,GestionLignesDemande!$C$4:$C$1000,ROI_Avions!$C328)</f>
        <v>0</v>
      </c>
      <c r="S328" s="133">
        <f>SUMIFS(GestionLignesDemande!G$4:G$1000,GestionLignesDemande!$B$4:$B$1000,ROI_Avions!$A328,GestionLignesDemande!$C$4:$C$1000,ROI_Avions!$C328)</f>
        <v>0</v>
      </c>
      <c r="T328" s="116"/>
      <c r="U328" s="8">
        <f t="shared" si="1075"/>
        <v>612</v>
      </c>
      <c r="V328" s="8">
        <v>606</v>
      </c>
      <c r="W328" s="8">
        <v>0</v>
      </c>
      <c r="X328" s="8">
        <v>0</v>
      </c>
      <c r="Y328" s="8">
        <v>6</v>
      </c>
      <c r="Z328" s="116"/>
      <c r="AA328" s="132">
        <f t="shared" si="1100"/>
        <v>-5166</v>
      </c>
      <c r="AB328" s="132">
        <f t="shared" si="1101"/>
        <v>-96</v>
      </c>
      <c r="AC328" s="132">
        <f t="shared" si="1102"/>
        <v>-4</v>
      </c>
      <c r="AD328" s="132">
        <f t="shared" si="1103"/>
        <v>-52</v>
      </c>
      <c r="AE328" s="116"/>
      <c r="AF328" s="26">
        <f>SUMIFS(DataPrixBillets!N$1:N$1000,DataPrixBillets!$J$1:$J$1000,ROI_Avions!$A328,DataPrixBillets!$K$1:$K$1000,ROI_Avions!$C328)</f>
        <v>0</v>
      </c>
      <c r="AG328" s="26">
        <f>SUMIFS(DataPrixBillets!O$1:O$1000,DataPrixBillets!$J$1:$J$1000,ROI_Avions!$A328,DataPrixBillets!$K$1:$K$1000,ROI_Avions!$C328)</f>
        <v>0</v>
      </c>
      <c r="AH328" s="26">
        <f>SUMIFS(DataPrixBillets!P$1:P$1000,DataPrixBillets!$J$1:$J$1000,ROI_Avions!$A328,DataPrixBillets!$K$1:$K$1000,ROI_Avions!$C328)</f>
        <v>0</v>
      </c>
      <c r="AI328" s="26">
        <f>SUMIFS(DataPrixBillets!Q$1:Q$1000,DataPrixBillets!$J$1:$J$1000,ROI_Avions!$A328,DataPrixBillets!$K$1:$K$1000,ROI_Avions!$C328)</f>
        <v>0</v>
      </c>
      <c r="AJ328" s="116"/>
      <c r="AK328" s="8">
        <f t="shared" si="1092"/>
        <v>0</v>
      </c>
      <c r="AL328" s="8" t="e">
        <f t="shared" ca="1" si="1093"/>
        <v>#REF!</v>
      </c>
      <c r="AM328" s="8" t="e">
        <f t="shared" ca="1" si="1094"/>
        <v>#REF!</v>
      </c>
      <c r="AN328" s="8" t="e">
        <f t="shared" ca="1" si="1095"/>
        <v>#REF!</v>
      </c>
      <c r="AO328" s="8" t="e">
        <f t="shared" ca="1" si="1096"/>
        <v>#REF!</v>
      </c>
      <c r="AP328" s="8" t="e">
        <f t="shared" ca="1" si="1097"/>
        <v>#REF!</v>
      </c>
      <c r="AQ328" s="8" t="e">
        <f t="shared" ca="1" si="1098"/>
        <v>#REF!</v>
      </c>
      <c r="AR328" s="190">
        <f t="shared" ca="1" si="1004"/>
        <v>0</v>
      </c>
      <c r="AS328" s="120">
        <f t="shared" ca="1" si="1057"/>
        <v>0</v>
      </c>
      <c r="AT328" s="8" t="e">
        <f t="shared" ca="1" si="1099"/>
        <v>#REF!</v>
      </c>
    </row>
    <row r="329" spans="1:55" x14ac:dyDescent="0.3">
      <c r="A329" s="180" t="s">
        <v>730</v>
      </c>
      <c r="B329" s="181">
        <v>471257783</v>
      </c>
      <c r="C329" s="180" t="s">
        <v>322</v>
      </c>
      <c r="D329" s="145" t="str">
        <f t="shared" si="958"/>
        <v>WDH/AMS</v>
      </c>
      <c r="E329" s="181">
        <v>28008525</v>
      </c>
      <c r="F329" s="182" t="s">
        <v>797</v>
      </c>
      <c r="G329" s="183">
        <v>0</v>
      </c>
      <c r="I329" s="8">
        <v>0</v>
      </c>
      <c r="J329" s="8">
        <v>0</v>
      </c>
      <c r="K329" s="8">
        <v>0</v>
      </c>
      <c r="L329" s="53"/>
      <c r="M329" s="53"/>
      <c r="O329" s="140"/>
      <c r="P329" s="133">
        <f>SUMIFS(GestionLignesDemande!D$4:D$1000,GestionLignesDemande!$B$4:$B$1000,ROI_Avions!$A329,GestionLignesDemande!$C$4:$C$1000,ROI_Avions!$C329)</f>
        <v>0</v>
      </c>
      <c r="Q329" s="133">
        <f>SUMIFS(GestionLignesDemande!E$4:E$1000,GestionLignesDemande!$B$4:$B$1000,ROI_Avions!$A329,GestionLignesDemande!$C$4:$C$1000,ROI_Avions!$C329)</f>
        <v>0</v>
      </c>
      <c r="R329" s="133">
        <f>SUMIFS(GestionLignesDemande!F$4:F$1000,GestionLignesDemande!$B$4:$B$1000,ROI_Avions!$A329,GestionLignesDemande!$C$4:$C$1000,ROI_Avions!$C329)</f>
        <v>0</v>
      </c>
      <c r="S329" s="133">
        <f>SUMIFS(GestionLignesDemande!G$4:G$1000,GestionLignesDemande!$B$4:$B$1000,ROI_Avions!$A329,GestionLignesDemande!$C$4:$C$1000,ROI_Avions!$C329)</f>
        <v>0</v>
      </c>
      <c r="U329" s="8">
        <f t="shared" si="962"/>
        <v>800</v>
      </c>
      <c r="V329" s="8">
        <f t="shared" ref="V329" si="1104">288*2</f>
        <v>576</v>
      </c>
      <c r="W329" s="8">
        <f>157</f>
        <v>157</v>
      </c>
      <c r="X329" s="8">
        <f>67</f>
        <v>67</v>
      </c>
      <c r="Y329" s="8">
        <f t="shared" ref="Y329" si="1105">0*2</f>
        <v>0</v>
      </c>
      <c r="AA329" s="42">
        <f t="shared" si="2"/>
        <v>-1152</v>
      </c>
      <c r="AB329" s="42">
        <f t="shared" si="3"/>
        <v>-314</v>
      </c>
      <c r="AC329" s="42">
        <f t="shared" si="4"/>
        <v>-134</v>
      </c>
      <c r="AD329" s="42">
        <f t="shared" si="5"/>
        <v>0</v>
      </c>
      <c r="AF329" s="26">
        <f>SUMIFS(DataPrixBillets!N$1:N$1000,DataPrixBillets!$J$1:$J$1000,ROI_Avions!$A329,DataPrixBillets!$K$1:$K$1000,ROI_Avions!$C329)</f>
        <v>0</v>
      </c>
      <c r="AG329" s="26">
        <f>SUMIFS(DataPrixBillets!O$1:O$1000,DataPrixBillets!$J$1:$J$1000,ROI_Avions!$A329,DataPrixBillets!$K$1:$K$1000,ROI_Avions!$C329)</f>
        <v>0</v>
      </c>
      <c r="AH329" s="26">
        <f>SUMIFS(DataPrixBillets!P$1:P$1000,DataPrixBillets!$J$1:$J$1000,ROI_Avions!$A329,DataPrixBillets!$K$1:$K$1000,ROI_Avions!$C329)</f>
        <v>0</v>
      </c>
      <c r="AI329" s="26">
        <f>SUMIFS(DataPrixBillets!Q$1:Q$1000,DataPrixBillets!$J$1:$J$1000,ROI_Avions!$A329,DataPrixBillets!$K$1:$K$1000,ROI_Avions!$C329)</f>
        <v>0</v>
      </c>
      <c r="AK329" s="8">
        <f t="shared" si="1032"/>
        <v>0</v>
      </c>
      <c r="AL329" s="8" t="e">
        <f t="shared" ca="1" si="1033"/>
        <v>#REF!</v>
      </c>
      <c r="AM329" s="8" t="e">
        <f t="shared" ca="1" si="1034"/>
        <v>#REF!</v>
      </c>
      <c r="AN329" s="8" t="e">
        <f t="shared" ca="1" si="1035"/>
        <v>#REF!</v>
      </c>
      <c r="AO329" s="8" t="e">
        <f t="shared" ca="1" si="1036"/>
        <v>#REF!</v>
      </c>
      <c r="AP329" s="8" t="e">
        <f t="shared" ca="1" si="1037"/>
        <v>#REF!</v>
      </c>
      <c r="AQ329" s="8" t="e">
        <f t="shared" ca="1" si="1038"/>
        <v>#REF!</v>
      </c>
      <c r="AR329" s="7">
        <f t="shared" ca="1" si="1004"/>
        <v>0</v>
      </c>
      <c r="AS329" s="120">
        <f t="shared" ca="1" si="1057"/>
        <v>0</v>
      </c>
      <c r="AT329" s="8" t="e">
        <f t="shared" ca="1" si="1039"/>
        <v>#REF!</v>
      </c>
      <c r="AV329" s="189"/>
      <c r="AW329" s="189"/>
      <c r="AX329" s="189"/>
      <c r="AY329" s="189"/>
      <c r="BA329" s="189"/>
      <c r="BB329" s="189"/>
      <c r="BC329" s="189"/>
    </row>
    <row r="330" spans="1:55" s="204" customFormat="1" x14ac:dyDescent="0.3">
      <c r="A330" s="209" t="s">
        <v>342</v>
      </c>
      <c r="B330" s="210">
        <v>897809549</v>
      </c>
      <c r="C330" s="209" t="s">
        <v>1112</v>
      </c>
      <c r="D330" s="145" t="str">
        <f t="shared" si="958"/>
        <v>DME/IGR</v>
      </c>
      <c r="E330" s="210">
        <v>17561142</v>
      </c>
      <c r="F330" s="211" t="str">
        <f>"A380-A-"&amp;A330&amp;"-"&amp;C330&amp;"-"&amp;1</f>
        <v>A380-A-DME-IGR-1</v>
      </c>
      <c r="G330" s="214">
        <v>362700000</v>
      </c>
      <c r="H330" s="116"/>
      <c r="I330" s="206"/>
      <c r="J330" s="206"/>
      <c r="K330" s="206"/>
      <c r="L330" s="53"/>
      <c r="M330" s="53"/>
      <c r="N330" s="116"/>
      <c r="O330" s="140"/>
      <c r="P330" s="133">
        <f>SUMIFS(GestionLignesDemande!D$4:D$1000,GestionLignesDemande!$B$4:$B$1000,ROI_Avions!$A330,GestionLignesDemande!$C$4:$C$1000,ROI_Avions!$C330)</f>
        <v>0</v>
      </c>
      <c r="Q330" s="133">
        <f>SUMIFS(GestionLignesDemande!E$4:E$1000,GestionLignesDemande!$B$4:$B$1000,ROI_Avions!$A330,GestionLignesDemande!$C$4:$C$1000,ROI_Avions!$C330)</f>
        <v>0</v>
      </c>
      <c r="R330" s="133">
        <f>SUMIFS(GestionLignesDemande!F$4:F$1000,GestionLignesDemande!$B$4:$B$1000,ROI_Avions!$A330,GestionLignesDemande!$C$4:$C$1000,ROI_Avions!$C330)</f>
        <v>0</v>
      </c>
      <c r="S330" s="133">
        <f>SUMIFS(GestionLignesDemande!G$4:G$1000,GestionLignesDemande!$B$4:$B$1000,ROI_Avions!$A330,GestionLignesDemande!$C$4:$C$1000,ROI_Avions!$C330)</f>
        <v>0</v>
      </c>
      <c r="T330" s="116"/>
      <c r="U330" s="206">
        <f t="shared" si="962"/>
        <v>774</v>
      </c>
      <c r="V330" s="206">
        <v>684</v>
      </c>
      <c r="W330" s="206">
        <v>70</v>
      </c>
      <c r="X330" s="206">
        <v>10</v>
      </c>
      <c r="Y330" s="206">
        <v>10</v>
      </c>
      <c r="Z330" s="116"/>
      <c r="AA330" s="132">
        <f t="shared" ref="AA330" si="1106">P330-(V330*2)</f>
        <v>-1368</v>
      </c>
      <c r="AB330" s="132">
        <f t="shared" ref="AB330" si="1107">Q330-(W330*2)</f>
        <v>-140</v>
      </c>
      <c r="AC330" s="132">
        <f t="shared" ref="AC330" si="1108">R330-(X330*2)</f>
        <v>-20</v>
      </c>
      <c r="AD330" s="132">
        <f t="shared" ref="AD330" si="1109">S330-(Y330*2)</f>
        <v>-20</v>
      </c>
      <c r="AE330" s="116"/>
      <c r="AF330" s="26">
        <f>SUMIFS(DataPrixBillets!N$1:N$1000,DataPrixBillets!$J$1:$J$1000,ROI_Avions!$A330,DataPrixBillets!$K$1:$K$1000,ROI_Avions!$C330)</f>
        <v>0</v>
      </c>
      <c r="AG330" s="26">
        <f>SUMIFS(DataPrixBillets!O$1:O$1000,DataPrixBillets!$J$1:$J$1000,ROI_Avions!$A330,DataPrixBillets!$K$1:$K$1000,ROI_Avions!$C330)</f>
        <v>0</v>
      </c>
      <c r="AH330" s="26">
        <f>SUMIFS(DataPrixBillets!P$1:P$1000,DataPrixBillets!$J$1:$J$1000,ROI_Avions!$A330,DataPrixBillets!$K$1:$K$1000,ROI_Avions!$C330)</f>
        <v>0</v>
      </c>
      <c r="AI330" s="26">
        <f>SUMIFS(DataPrixBillets!Q$1:Q$1000,DataPrixBillets!$J$1:$J$1000,ROI_Avions!$A330,DataPrixBillets!$K$1:$K$1000,ROI_Avions!$C330)</f>
        <v>0</v>
      </c>
      <c r="AJ330" s="116"/>
      <c r="AK330" s="206">
        <f t="shared" ref="AK330:AK343" si="1110">(((AF330*V330)*2+(AG330*W330)*2+(AH330*X330)*2+(AI330*Y330)*2)*7)</f>
        <v>0</v>
      </c>
      <c r="AL330" s="206" t="e">
        <f t="shared" ref="AL330:AL343" ca="1" si="1111">AK330-AM330</f>
        <v>#REF!</v>
      </c>
      <c r="AM330" s="206" t="e">
        <f t="shared" ref="AM330:AM343" ca="1" si="1112">AK330*$AM$2</f>
        <v>#REF!</v>
      </c>
      <c r="AN330" s="206" t="e">
        <f t="shared" ref="AN330:AN343" ca="1" si="1113">AL330*$AN$2</f>
        <v>#REF!</v>
      </c>
      <c r="AO330" s="206" t="e">
        <f t="shared" ref="AO330:AO343" ca="1" si="1114">(AL330-AN330-I330)*$AO$2</f>
        <v>#REF!</v>
      </c>
      <c r="AP330" s="206" t="e">
        <f t="shared" ref="AP330:AP343" ca="1" si="1115">AL330-AN330-(I330/7)-(AO330/7)</f>
        <v>#REF!</v>
      </c>
      <c r="AQ330" s="206" t="e">
        <f t="shared" ref="AQ330:AQ343" ca="1" si="1116">AP330/7</f>
        <v>#REF!</v>
      </c>
      <c r="AR330" s="207">
        <f t="shared" ca="1" si="1004"/>
        <v>0</v>
      </c>
      <c r="AS330" s="120">
        <f t="shared" ca="1" si="1057"/>
        <v>0</v>
      </c>
      <c r="AT330" s="206" t="e">
        <f t="shared" ref="AT330:AT343" ca="1" si="1117">IF(K330&gt;=1,AP330*K330,AP330*$AT$1)</f>
        <v>#REF!</v>
      </c>
      <c r="AV330" s="189"/>
      <c r="AW330" s="189"/>
      <c r="AX330" s="189"/>
      <c r="AY330" s="189"/>
      <c r="BA330" s="189"/>
      <c r="BB330" s="189"/>
      <c r="BC330" s="189"/>
    </row>
    <row r="331" spans="1:55" s="204" customFormat="1" x14ac:dyDescent="0.3">
      <c r="A331" s="209" t="s">
        <v>342</v>
      </c>
      <c r="B331" s="210">
        <v>897809549</v>
      </c>
      <c r="C331" s="209" t="s">
        <v>1112</v>
      </c>
      <c r="D331" s="145" t="str">
        <f t="shared" si="958"/>
        <v>DME/IGR</v>
      </c>
      <c r="E331" s="210">
        <v>17561142</v>
      </c>
      <c r="F331" s="211" t="str">
        <f>"A380-A-"&amp;A331&amp;"-"&amp;C331&amp;"-"&amp;2</f>
        <v>A380-A-DME-IGR-2</v>
      </c>
      <c r="G331" s="214">
        <v>362700000</v>
      </c>
      <c r="H331" s="116"/>
      <c r="I331" s="206"/>
      <c r="J331" s="206"/>
      <c r="K331" s="206"/>
      <c r="L331" s="53"/>
      <c r="M331" s="53"/>
      <c r="N331" s="116"/>
      <c r="O331" s="140"/>
      <c r="P331" s="133">
        <f>SUMIFS(GestionLignesDemande!D$4:D$1000,GestionLignesDemande!$B$4:$B$1000,ROI_Avions!$A331,GestionLignesDemande!$C$4:$C$1000,ROI_Avions!$C331)</f>
        <v>0</v>
      </c>
      <c r="Q331" s="133">
        <f>SUMIFS(GestionLignesDemande!E$4:E$1000,GestionLignesDemande!$B$4:$B$1000,ROI_Avions!$A331,GestionLignesDemande!$C$4:$C$1000,ROI_Avions!$C331)</f>
        <v>0</v>
      </c>
      <c r="R331" s="133">
        <f>SUMIFS(GestionLignesDemande!F$4:F$1000,GestionLignesDemande!$B$4:$B$1000,ROI_Avions!$A331,GestionLignesDemande!$C$4:$C$1000,ROI_Avions!$C331)</f>
        <v>0</v>
      </c>
      <c r="S331" s="133">
        <f>SUMIFS(GestionLignesDemande!G$4:G$1000,GestionLignesDemande!$B$4:$B$1000,ROI_Avions!$A331,GestionLignesDemande!$C$4:$C$1000,ROI_Avions!$C331)</f>
        <v>0</v>
      </c>
      <c r="T331" s="116"/>
      <c r="U331" s="206">
        <f t="shared" si="962"/>
        <v>774</v>
      </c>
      <c r="V331" s="206">
        <v>684</v>
      </c>
      <c r="W331" s="206">
        <v>70</v>
      </c>
      <c r="X331" s="206">
        <v>10</v>
      </c>
      <c r="Y331" s="206">
        <v>10</v>
      </c>
      <c r="Z331" s="116"/>
      <c r="AA331" s="132">
        <f t="shared" ref="AA331" si="1118">AA330-V331*2</f>
        <v>-2736</v>
      </c>
      <c r="AB331" s="132">
        <f t="shared" ref="AB331" si="1119">AB330-W331*2</f>
        <v>-280</v>
      </c>
      <c r="AC331" s="132">
        <f t="shared" ref="AC331" si="1120">AC330-X331*2</f>
        <v>-40</v>
      </c>
      <c r="AD331" s="132">
        <f t="shared" ref="AD331" si="1121">AD330-Y331*2</f>
        <v>-40</v>
      </c>
      <c r="AE331" s="116"/>
      <c r="AF331" s="26">
        <f>SUMIFS(DataPrixBillets!N$1:N$1000,DataPrixBillets!$J$1:$J$1000,ROI_Avions!$A331,DataPrixBillets!$K$1:$K$1000,ROI_Avions!$C331)</f>
        <v>0</v>
      </c>
      <c r="AG331" s="26">
        <f>SUMIFS(DataPrixBillets!O$1:O$1000,DataPrixBillets!$J$1:$J$1000,ROI_Avions!$A331,DataPrixBillets!$K$1:$K$1000,ROI_Avions!$C331)</f>
        <v>0</v>
      </c>
      <c r="AH331" s="26">
        <f>SUMIFS(DataPrixBillets!P$1:P$1000,DataPrixBillets!$J$1:$J$1000,ROI_Avions!$A331,DataPrixBillets!$K$1:$K$1000,ROI_Avions!$C331)</f>
        <v>0</v>
      </c>
      <c r="AI331" s="26">
        <f>SUMIFS(DataPrixBillets!Q$1:Q$1000,DataPrixBillets!$J$1:$J$1000,ROI_Avions!$A331,DataPrixBillets!$K$1:$K$1000,ROI_Avions!$C331)</f>
        <v>0</v>
      </c>
      <c r="AJ331" s="116"/>
      <c r="AK331" s="206">
        <f t="shared" si="1110"/>
        <v>0</v>
      </c>
      <c r="AL331" s="206" t="e">
        <f t="shared" ca="1" si="1111"/>
        <v>#REF!</v>
      </c>
      <c r="AM331" s="206" t="e">
        <f t="shared" ca="1" si="1112"/>
        <v>#REF!</v>
      </c>
      <c r="AN331" s="206" t="e">
        <f t="shared" ca="1" si="1113"/>
        <v>#REF!</v>
      </c>
      <c r="AO331" s="206" t="e">
        <f t="shared" ca="1" si="1114"/>
        <v>#REF!</v>
      </c>
      <c r="AP331" s="206" t="e">
        <f t="shared" ca="1" si="1115"/>
        <v>#REF!</v>
      </c>
      <c r="AQ331" s="206" t="e">
        <f t="shared" ca="1" si="1116"/>
        <v>#REF!</v>
      </c>
      <c r="AR331" s="207">
        <f t="shared" ref="AR331:AR362" ca="1" si="1122">IFERROR((AP331/7)/((B331/COUNTIFS(A:A,A331))+(E331/COUNTIFS(A:A,A331,C:C,C331))+I331*K331+J331+G331),0)</f>
        <v>0</v>
      </c>
      <c r="AS331" s="120">
        <f t="shared" ca="1" si="1057"/>
        <v>0</v>
      </c>
      <c r="AT331" s="206" t="e">
        <f t="shared" ca="1" si="1117"/>
        <v>#REF!</v>
      </c>
      <c r="AV331" s="189"/>
      <c r="AW331" s="189"/>
      <c r="AX331" s="189"/>
      <c r="AY331" s="189"/>
      <c r="BA331" s="189"/>
      <c r="BB331" s="189"/>
      <c r="BC331" s="189"/>
    </row>
    <row r="332" spans="1:55" s="204" customFormat="1" x14ac:dyDescent="0.3">
      <c r="A332" s="209" t="s">
        <v>342</v>
      </c>
      <c r="B332" s="210">
        <v>897809549</v>
      </c>
      <c r="C332" s="209" t="s">
        <v>1113</v>
      </c>
      <c r="D332" s="145" t="str">
        <f t="shared" si="958"/>
        <v>DME/SLA</v>
      </c>
      <c r="E332" s="210">
        <v>21556965</v>
      </c>
      <c r="F332" s="211" t="str">
        <f>"A380-A-"&amp;A332&amp;"-"&amp;C332&amp;"-"&amp;1</f>
        <v>A380-A-DME-SLA-1</v>
      </c>
      <c r="G332" s="214">
        <v>362700000</v>
      </c>
      <c r="H332" s="116"/>
      <c r="I332" s="206"/>
      <c r="J332" s="206"/>
      <c r="K332" s="206"/>
      <c r="L332" s="53"/>
      <c r="M332" s="53"/>
      <c r="N332" s="116"/>
      <c r="O332" s="140"/>
      <c r="P332" s="133">
        <f>SUMIFS(GestionLignesDemande!D$4:D$1000,GestionLignesDemande!$B$4:$B$1000,ROI_Avions!$A332,GestionLignesDemande!$C$4:$C$1000,ROI_Avions!$C332)</f>
        <v>0</v>
      </c>
      <c r="Q332" s="133">
        <f>SUMIFS(GestionLignesDemande!E$4:E$1000,GestionLignesDemande!$B$4:$B$1000,ROI_Avions!$A332,GestionLignesDemande!$C$4:$C$1000,ROI_Avions!$C332)</f>
        <v>0</v>
      </c>
      <c r="R332" s="133">
        <f>SUMIFS(GestionLignesDemande!F$4:F$1000,GestionLignesDemande!$B$4:$B$1000,ROI_Avions!$A332,GestionLignesDemande!$C$4:$C$1000,ROI_Avions!$C332)</f>
        <v>0</v>
      </c>
      <c r="S332" s="133">
        <f>SUMIFS(GestionLignesDemande!G$4:G$1000,GestionLignesDemande!$B$4:$B$1000,ROI_Avions!$A332,GestionLignesDemande!$C$4:$C$1000,ROI_Avions!$C332)</f>
        <v>0</v>
      </c>
      <c r="T332" s="116"/>
      <c r="U332" s="206">
        <f t="shared" si="962"/>
        <v>774</v>
      </c>
      <c r="V332" s="206">
        <v>684</v>
      </c>
      <c r="W332" s="206">
        <v>70</v>
      </c>
      <c r="X332" s="206">
        <v>10</v>
      </c>
      <c r="Y332" s="206">
        <v>10</v>
      </c>
      <c r="Z332" s="116"/>
      <c r="AA332" s="132">
        <f t="shared" ref="AA332" si="1123">P332-(V332*2)</f>
        <v>-1368</v>
      </c>
      <c r="AB332" s="132">
        <f t="shared" ref="AB332" si="1124">Q332-(W332*2)</f>
        <v>-140</v>
      </c>
      <c r="AC332" s="132">
        <f t="shared" ref="AC332" si="1125">R332-(X332*2)</f>
        <v>-20</v>
      </c>
      <c r="AD332" s="132">
        <f t="shared" ref="AD332" si="1126">S332-(Y332*2)</f>
        <v>-20</v>
      </c>
      <c r="AE332" s="116"/>
      <c r="AF332" s="26">
        <f>SUMIFS(DataPrixBillets!N$1:N$1000,DataPrixBillets!$J$1:$J$1000,ROI_Avions!$A332,DataPrixBillets!$K$1:$K$1000,ROI_Avions!$C332)</f>
        <v>0</v>
      </c>
      <c r="AG332" s="26">
        <f>SUMIFS(DataPrixBillets!O$1:O$1000,DataPrixBillets!$J$1:$J$1000,ROI_Avions!$A332,DataPrixBillets!$K$1:$K$1000,ROI_Avions!$C332)</f>
        <v>0</v>
      </c>
      <c r="AH332" s="26">
        <f>SUMIFS(DataPrixBillets!P$1:P$1000,DataPrixBillets!$J$1:$J$1000,ROI_Avions!$A332,DataPrixBillets!$K$1:$K$1000,ROI_Avions!$C332)</f>
        <v>0</v>
      </c>
      <c r="AI332" s="26">
        <f>SUMIFS(DataPrixBillets!Q$1:Q$1000,DataPrixBillets!$J$1:$J$1000,ROI_Avions!$A332,DataPrixBillets!$K$1:$K$1000,ROI_Avions!$C332)</f>
        <v>0</v>
      </c>
      <c r="AJ332" s="116"/>
      <c r="AK332" s="206">
        <f t="shared" si="1110"/>
        <v>0</v>
      </c>
      <c r="AL332" s="206" t="e">
        <f t="shared" ca="1" si="1111"/>
        <v>#REF!</v>
      </c>
      <c r="AM332" s="206" t="e">
        <f t="shared" ca="1" si="1112"/>
        <v>#REF!</v>
      </c>
      <c r="AN332" s="206" t="e">
        <f t="shared" ca="1" si="1113"/>
        <v>#REF!</v>
      </c>
      <c r="AO332" s="206" t="e">
        <f t="shared" ca="1" si="1114"/>
        <v>#REF!</v>
      </c>
      <c r="AP332" s="206" t="e">
        <f t="shared" ca="1" si="1115"/>
        <v>#REF!</v>
      </c>
      <c r="AQ332" s="206" t="e">
        <f t="shared" ca="1" si="1116"/>
        <v>#REF!</v>
      </c>
      <c r="AR332" s="207">
        <f t="shared" ca="1" si="1122"/>
        <v>0</v>
      </c>
      <c r="AS332" s="120">
        <f t="shared" ca="1" si="1057"/>
        <v>0</v>
      </c>
      <c r="AT332" s="206" t="e">
        <f t="shared" ca="1" si="1117"/>
        <v>#REF!</v>
      </c>
      <c r="AV332" s="189"/>
      <c r="AW332" s="189"/>
      <c r="AX332" s="189"/>
      <c r="AY332" s="189"/>
      <c r="BA332"/>
      <c r="BB332"/>
      <c r="BC332"/>
    </row>
    <row r="333" spans="1:55" s="204" customFormat="1" x14ac:dyDescent="0.3">
      <c r="A333" s="209" t="s">
        <v>342</v>
      </c>
      <c r="B333" s="210">
        <v>897809549</v>
      </c>
      <c r="C333" s="209" t="s">
        <v>1113</v>
      </c>
      <c r="D333" s="145" t="str">
        <f t="shared" si="958"/>
        <v>DME/SLA</v>
      </c>
      <c r="E333" s="210">
        <v>21556965</v>
      </c>
      <c r="F333" s="211" t="str">
        <f>"A380-A-"&amp;A333&amp;"-"&amp;C333&amp;"-"&amp;2</f>
        <v>A380-A-DME-SLA-2</v>
      </c>
      <c r="G333" s="214">
        <v>362700000</v>
      </c>
      <c r="H333" s="116"/>
      <c r="I333" s="206"/>
      <c r="J333" s="206"/>
      <c r="K333" s="206"/>
      <c r="L333" s="53"/>
      <c r="M333" s="53"/>
      <c r="N333" s="116"/>
      <c r="O333" s="140"/>
      <c r="P333" s="133">
        <f>SUMIFS(GestionLignesDemande!D$4:D$1000,GestionLignesDemande!$B$4:$B$1000,ROI_Avions!$A333,GestionLignesDemande!$C$4:$C$1000,ROI_Avions!$C333)</f>
        <v>0</v>
      </c>
      <c r="Q333" s="133">
        <f>SUMIFS(GestionLignesDemande!E$4:E$1000,GestionLignesDemande!$B$4:$B$1000,ROI_Avions!$A333,GestionLignesDemande!$C$4:$C$1000,ROI_Avions!$C333)</f>
        <v>0</v>
      </c>
      <c r="R333" s="133">
        <f>SUMIFS(GestionLignesDemande!F$4:F$1000,GestionLignesDemande!$B$4:$B$1000,ROI_Avions!$A333,GestionLignesDemande!$C$4:$C$1000,ROI_Avions!$C333)</f>
        <v>0</v>
      </c>
      <c r="S333" s="133">
        <f>SUMIFS(GestionLignesDemande!G$4:G$1000,GestionLignesDemande!$B$4:$B$1000,ROI_Avions!$A333,GestionLignesDemande!$C$4:$C$1000,ROI_Avions!$C333)</f>
        <v>0</v>
      </c>
      <c r="T333" s="116"/>
      <c r="U333" s="206">
        <f t="shared" si="962"/>
        <v>774</v>
      </c>
      <c r="V333" s="206">
        <v>684</v>
      </c>
      <c r="W333" s="206">
        <v>70</v>
      </c>
      <c r="X333" s="206">
        <v>10</v>
      </c>
      <c r="Y333" s="206">
        <v>10</v>
      </c>
      <c r="Z333" s="116"/>
      <c r="AA333" s="132">
        <f t="shared" ref="AA333" si="1127">AA332-V333*2</f>
        <v>-2736</v>
      </c>
      <c r="AB333" s="132">
        <f t="shared" ref="AB333" si="1128">AB332-W333*2</f>
        <v>-280</v>
      </c>
      <c r="AC333" s="132">
        <f t="shared" ref="AC333" si="1129">AC332-X333*2</f>
        <v>-40</v>
      </c>
      <c r="AD333" s="132">
        <f t="shared" ref="AD333" si="1130">AD332-Y333*2</f>
        <v>-40</v>
      </c>
      <c r="AE333" s="116"/>
      <c r="AF333" s="26">
        <f>SUMIFS(DataPrixBillets!N$1:N$1000,DataPrixBillets!$J$1:$J$1000,ROI_Avions!$A333,DataPrixBillets!$K$1:$K$1000,ROI_Avions!$C333)</f>
        <v>0</v>
      </c>
      <c r="AG333" s="26">
        <f>SUMIFS(DataPrixBillets!O$1:O$1000,DataPrixBillets!$J$1:$J$1000,ROI_Avions!$A333,DataPrixBillets!$K$1:$K$1000,ROI_Avions!$C333)</f>
        <v>0</v>
      </c>
      <c r="AH333" s="26">
        <f>SUMIFS(DataPrixBillets!P$1:P$1000,DataPrixBillets!$J$1:$J$1000,ROI_Avions!$A333,DataPrixBillets!$K$1:$K$1000,ROI_Avions!$C333)</f>
        <v>0</v>
      </c>
      <c r="AI333" s="26">
        <f>SUMIFS(DataPrixBillets!Q$1:Q$1000,DataPrixBillets!$J$1:$J$1000,ROI_Avions!$A333,DataPrixBillets!$K$1:$K$1000,ROI_Avions!$C333)</f>
        <v>0</v>
      </c>
      <c r="AJ333" s="116"/>
      <c r="AK333" s="206">
        <f t="shared" si="1110"/>
        <v>0</v>
      </c>
      <c r="AL333" s="206" t="e">
        <f t="shared" ca="1" si="1111"/>
        <v>#REF!</v>
      </c>
      <c r="AM333" s="206" t="e">
        <f t="shared" ca="1" si="1112"/>
        <v>#REF!</v>
      </c>
      <c r="AN333" s="206" t="e">
        <f t="shared" ca="1" si="1113"/>
        <v>#REF!</v>
      </c>
      <c r="AO333" s="206" t="e">
        <f t="shared" ca="1" si="1114"/>
        <v>#REF!</v>
      </c>
      <c r="AP333" s="206" t="e">
        <f t="shared" ca="1" si="1115"/>
        <v>#REF!</v>
      </c>
      <c r="AQ333" s="206" t="e">
        <f t="shared" ca="1" si="1116"/>
        <v>#REF!</v>
      </c>
      <c r="AR333" s="207">
        <f t="shared" ca="1" si="1122"/>
        <v>0</v>
      </c>
      <c r="AS333" s="120">
        <f t="shared" ca="1" si="1057"/>
        <v>0</v>
      </c>
      <c r="AT333" s="206" t="e">
        <f t="shared" ca="1" si="1117"/>
        <v>#REF!</v>
      </c>
    </row>
    <row r="334" spans="1:55" s="204" customFormat="1" x14ac:dyDescent="0.3">
      <c r="A334" s="209" t="s">
        <v>342</v>
      </c>
      <c r="B334" s="210">
        <v>897809549</v>
      </c>
      <c r="C334" s="209" t="s">
        <v>1114</v>
      </c>
      <c r="D334" s="145" t="str">
        <f t="shared" si="958"/>
        <v>DME/TUC</v>
      </c>
      <c r="E334" s="210">
        <v>26076308</v>
      </c>
      <c r="F334" s="211" t="str">
        <f>"A380-A-"&amp;A334&amp;"-"&amp;C334&amp;"-"&amp;1</f>
        <v>A380-A-DME-TUC-1</v>
      </c>
      <c r="G334" s="214">
        <v>362700000</v>
      </c>
      <c r="H334" s="116"/>
      <c r="I334" s="206"/>
      <c r="J334" s="206"/>
      <c r="K334" s="206"/>
      <c r="L334" s="53"/>
      <c r="M334" s="53"/>
      <c r="N334" s="116"/>
      <c r="O334" s="140"/>
      <c r="P334" s="133">
        <f>SUMIFS(GestionLignesDemande!D$4:D$1000,GestionLignesDemande!$B$4:$B$1000,ROI_Avions!$A334,GestionLignesDemande!$C$4:$C$1000,ROI_Avions!$C334)</f>
        <v>0</v>
      </c>
      <c r="Q334" s="133">
        <f>SUMIFS(GestionLignesDemande!E$4:E$1000,GestionLignesDemande!$B$4:$B$1000,ROI_Avions!$A334,GestionLignesDemande!$C$4:$C$1000,ROI_Avions!$C334)</f>
        <v>0</v>
      </c>
      <c r="R334" s="133">
        <f>SUMIFS(GestionLignesDemande!F$4:F$1000,GestionLignesDemande!$B$4:$B$1000,ROI_Avions!$A334,GestionLignesDemande!$C$4:$C$1000,ROI_Avions!$C334)</f>
        <v>0</v>
      </c>
      <c r="S334" s="133">
        <f>SUMIFS(GestionLignesDemande!G$4:G$1000,GestionLignesDemande!$B$4:$B$1000,ROI_Avions!$A334,GestionLignesDemande!$C$4:$C$1000,ROI_Avions!$C334)</f>
        <v>0</v>
      </c>
      <c r="T334" s="116"/>
      <c r="U334" s="206">
        <f t="shared" si="962"/>
        <v>774</v>
      </c>
      <c r="V334" s="206">
        <v>684</v>
      </c>
      <c r="W334" s="206">
        <v>70</v>
      </c>
      <c r="X334" s="206">
        <v>10</v>
      </c>
      <c r="Y334" s="206">
        <v>10</v>
      </c>
      <c r="Z334" s="116"/>
      <c r="AA334" s="132">
        <f t="shared" ref="AA334" si="1131">P334-(V334*2)</f>
        <v>-1368</v>
      </c>
      <c r="AB334" s="132">
        <f t="shared" ref="AB334" si="1132">Q334-(W334*2)</f>
        <v>-140</v>
      </c>
      <c r="AC334" s="132">
        <f t="shared" ref="AC334" si="1133">R334-(X334*2)</f>
        <v>-20</v>
      </c>
      <c r="AD334" s="132">
        <f t="shared" ref="AD334" si="1134">S334-(Y334*2)</f>
        <v>-20</v>
      </c>
      <c r="AE334" s="116"/>
      <c r="AF334" s="26">
        <f>SUMIFS(DataPrixBillets!N$1:N$1000,DataPrixBillets!$J$1:$J$1000,ROI_Avions!$A334,DataPrixBillets!$K$1:$K$1000,ROI_Avions!$C334)</f>
        <v>0</v>
      </c>
      <c r="AG334" s="26">
        <f>SUMIFS(DataPrixBillets!O$1:O$1000,DataPrixBillets!$J$1:$J$1000,ROI_Avions!$A334,DataPrixBillets!$K$1:$K$1000,ROI_Avions!$C334)</f>
        <v>0</v>
      </c>
      <c r="AH334" s="26">
        <f>SUMIFS(DataPrixBillets!P$1:P$1000,DataPrixBillets!$J$1:$J$1000,ROI_Avions!$A334,DataPrixBillets!$K$1:$K$1000,ROI_Avions!$C334)</f>
        <v>0</v>
      </c>
      <c r="AI334" s="26">
        <f>SUMIFS(DataPrixBillets!Q$1:Q$1000,DataPrixBillets!$J$1:$J$1000,ROI_Avions!$A334,DataPrixBillets!$K$1:$K$1000,ROI_Avions!$C334)</f>
        <v>0</v>
      </c>
      <c r="AJ334" s="116"/>
      <c r="AK334" s="206">
        <f t="shared" si="1110"/>
        <v>0</v>
      </c>
      <c r="AL334" s="206" t="e">
        <f t="shared" ca="1" si="1111"/>
        <v>#REF!</v>
      </c>
      <c r="AM334" s="206" t="e">
        <f t="shared" ca="1" si="1112"/>
        <v>#REF!</v>
      </c>
      <c r="AN334" s="206" t="e">
        <f t="shared" ca="1" si="1113"/>
        <v>#REF!</v>
      </c>
      <c r="AO334" s="206" t="e">
        <f t="shared" ca="1" si="1114"/>
        <v>#REF!</v>
      </c>
      <c r="AP334" s="206" t="e">
        <f t="shared" ca="1" si="1115"/>
        <v>#REF!</v>
      </c>
      <c r="AQ334" s="206" t="e">
        <f t="shared" ca="1" si="1116"/>
        <v>#REF!</v>
      </c>
      <c r="AR334" s="207">
        <f t="shared" ca="1" si="1122"/>
        <v>0</v>
      </c>
      <c r="AS334" s="120">
        <f t="shared" ca="1" si="1057"/>
        <v>0</v>
      </c>
      <c r="AT334" s="206" t="e">
        <f t="shared" ca="1" si="1117"/>
        <v>#REF!</v>
      </c>
    </row>
    <row r="335" spans="1:55" s="204" customFormat="1" x14ac:dyDescent="0.3">
      <c r="A335" s="209" t="s">
        <v>342</v>
      </c>
      <c r="B335" s="210">
        <v>897809549</v>
      </c>
      <c r="C335" s="209" t="s">
        <v>1114</v>
      </c>
      <c r="D335" s="145" t="str">
        <f t="shared" si="958"/>
        <v>DME/TUC</v>
      </c>
      <c r="E335" s="210">
        <v>26076308</v>
      </c>
      <c r="F335" s="211" t="str">
        <f>"A380-A-"&amp;A335&amp;"-"&amp;C335&amp;"-"&amp;2</f>
        <v>A380-A-DME-TUC-2</v>
      </c>
      <c r="G335" s="214">
        <v>362700000</v>
      </c>
      <c r="H335" s="116"/>
      <c r="I335" s="206"/>
      <c r="J335" s="206"/>
      <c r="K335" s="206"/>
      <c r="L335" s="53"/>
      <c r="M335" s="53"/>
      <c r="N335" s="116"/>
      <c r="O335" s="140"/>
      <c r="P335" s="133">
        <f>SUMIFS(GestionLignesDemande!D$4:D$1000,GestionLignesDemande!$B$4:$B$1000,ROI_Avions!$A335,GestionLignesDemande!$C$4:$C$1000,ROI_Avions!$C335)</f>
        <v>0</v>
      </c>
      <c r="Q335" s="133">
        <f>SUMIFS(GestionLignesDemande!E$4:E$1000,GestionLignesDemande!$B$4:$B$1000,ROI_Avions!$A335,GestionLignesDemande!$C$4:$C$1000,ROI_Avions!$C335)</f>
        <v>0</v>
      </c>
      <c r="R335" s="133">
        <f>SUMIFS(GestionLignesDemande!F$4:F$1000,GestionLignesDemande!$B$4:$B$1000,ROI_Avions!$A335,GestionLignesDemande!$C$4:$C$1000,ROI_Avions!$C335)</f>
        <v>0</v>
      </c>
      <c r="S335" s="133">
        <f>SUMIFS(GestionLignesDemande!G$4:G$1000,GestionLignesDemande!$B$4:$B$1000,ROI_Avions!$A335,GestionLignesDemande!$C$4:$C$1000,ROI_Avions!$C335)</f>
        <v>0</v>
      </c>
      <c r="T335" s="116"/>
      <c r="U335" s="206">
        <f t="shared" si="962"/>
        <v>774</v>
      </c>
      <c r="V335" s="206">
        <v>684</v>
      </c>
      <c r="W335" s="206">
        <v>70</v>
      </c>
      <c r="X335" s="206">
        <v>10</v>
      </c>
      <c r="Y335" s="206">
        <v>10</v>
      </c>
      <c r="Z335" s="116"/>
      <c r="AA335" s="132">
        <f t="shared" ref="AA335" si="1135">AA334-V335*2</f>
        <v>-2736</v>
      </c>
      <c r="AB335" s="132">
        <f t="shared" ref="AB335" si="1136">AB334-W335*2</f>
        <v>-280</v>
      </c>
      <c r="AC335" s="132">
        <f t="shared" ref="AC335" si="1137">AC334-X335*2</f>
        <v>-40</v>
      </c>
      <c r="AD335" s="132">
        <f t="shared" ref="AD335" si="1138">AD334-Y335*2</f>
        <v>-40</v>
      </c>
      <c r="AE335" s="116"/>
      <c r="AF335" s="26">
        <f>SUMIFS(DataPrixBillets!N$1:N$1000,DataPrixBillets!$J$1:$J$1000,ROI_Avions!$A335,DataPrixBillets!$K$1:$K$1000,ROI_Avions!$C335)</f>
        <v>0</v>
      </c>
      <c r="AG335" s="26">
        <f>SUMIFS(DataPrixBillets!O$1:O$1000,DataPrixBillets!$J$1:$J$1000,ROI_Avions!$A335,DataPrixBillets!$K$1:$K$1000,ROI_Avions!$C335)</f>
        <v>0</v>
      </c>
      <c r="AH335" s="26">
        <f>SUMIFS(DataPrixBillets!P$1:P$1000,DataPrixBillets!$J$1:$J$1000,ROI_Avions!$A335,DataPrixBillets!$K$1:$K$1000,ROI_Avions!$C335)</f>
        <v>0</v>
      </c>
      <c r="AI335" s="26">
        <f>SUMIFS(DataPrixBillets!Q$1:Q$1000,DataPrixBillets!$J$1:$J$1000,ROI_Avions!$A335,DataPrixBillets!$K$1:$K$1000,ROI_Avions!$C335)</f>
        <v>0</v>
      </c>
      <c r="AJ335" s="116"/>
      <c r="AK335" s="206">
        <f t="shared" si="1110"/>
        <v>0</v>
      </c>
      <c r="AL335" s="206" t="e">
        <f t="shared" ca="1" si="1111"/>
        <v>#REF!</v>
      </c>
      <c r="AM335" s="206" t="e">
        <f t="shared" ca="1" si="1112"/>
        <v>#REF!</v>
      </c>
      <c r="AN335" s="206" t="e">
        <f t="shared" ca="1" si="1113"/>
        <v>#REF!</v>
      </c>
      <c r="AO335" s="206" t="e">
        <f t="shared" ca="1" si="1114"/>
        <v>#REF!</v>
      </c>
      <c r="AP335" s="206" t="e">
        <f t="shared" ca="1" si="1115"/>
        <v>#REF!</v>
      </c>
      <c r="AQ335" s="206" t="e">
        <f t="shared" ca="1" si="1116"/>
        <v>#REF!</v>
      </c>
      <c r="AR335" s="207">
        <f t="shared" ca="1" si="1122"/>
        <v>0</v>
      </c>
      <c r="AS335" s="120">
        <f t="shared" ca="1" si="1057"/>
        <v>0</v>
      </c>
      <c r="AT335" s="206" t="e">
        <f t="shared" ca="1" si="1117"/>
        <v>#REF!</v>
      </c>
    </row>
    <row r="336" spans="1:55" s="204" customFormat="1" x14ac:dyDescent="0.3">
      <c r="A336" s="209" t="s">
        <v>342</v>
      </c>
      <c r="B336" s="210">
        <v>897809549</v>
      </c>
      <c r="C336" s="209" t="s">
        <v>1115</v>
      </c>
      <c r="D336" s="145" t="str">
        <f t="shared" si="958"/>
        <v>DME/COR</v>
      </c>
      <c r="E336" s="210">
        <v>31540482</v>
      </c>
      <c r="F336" s="211" t="str">
        <f>"A380-A-"&amp;A336&amp;"-"&amp;C336&amp;"-"&amp;1</f>
        <v>A380-A-DME-COR-1</v>
      </c>
      <c r="G336" s="214">
        <v>362700000</v>
      </c>
      <c r="H336" s="116"/>
      <c r="I336" s="206"/>
      <c r="J336" s="206"/>
      <c r="K336" s="206"/>
      <c r="L336" s="53"/>
      <c r="M336" s="53"/>
      <c r="N336" s="116"/>
      <c r="O336" s="140"/>
      <c r="P336" s="133">
        <f>SUMIFS(GestionLignesDemande!D$4:D$1000,GestionLignesDemande!$B$4:$B$1000,ROI_Avions!$A336,GestionLignesDemande!$C$4:$C$1000,ROI_Avions!$C336)</f>
        <v>0</v>
      </c>
      <c r="Q336" s="133">
        <f>SUMIFS(GestionLignesDemande!E$4:E$1000,GestionLignesDemande!$B$4:$B$1000,ROI_Avions!$A336,GestionLignesDemande!$C$4:$C$1000,ROI_Avions!$C336)</f>
        <v>0</v>
      </c>
      <c r="R336" s="133">
        <f>SUMIFS(GestionLignesDemande!F$4:F$1000,GestionLignesDemande!$B$4:$B$1000,ROI_Avions!$A336,GestionLignesDemande!$C$4:$C$1000,ROI_Avions!$C336)</f>
        <v>0</v>
      </c>
      <c r="S336" s="133">
        <f>SUMIFS(GestionLignesDemande!G$4:G$1000,GestionLignesDemande!$B$4:$B$1000,ROI_Avions!$A336,GestionLignesDemande!$C$4:$C$1000,ROI_Avions!$C336)</f>
        <v>0</v>
      </c>
      <c r="T336" s="116"/>
      <c r="U336" s="206">
        <f t="shared" si="962"/>
        <v>774</v>
      </c>
      <c r="V336" s="206">
        <v>684</v>
      </c>
      <c r="W336" s="206">
        <v>70</v>
      </c>
      <c r="X336" s="206">
        <v>10</v>
      </c>
      <c r="Y336" s="206">
        <v>10</v>
      </c>
      <c r="Z336" s="116"/>
      <c r="AA336" s="132">
        <f t="shared" ref="AA336" si="1139">P336-(V336*2)</f>
        <v>-1368</v>
      </c>
      <c r="AB336" s="132">
        <f t="shared" ref="AB336" si="1140">Q336-(W336*2)</f>
        <v>-140</v>
      </c>
      <c r="AC336" s="132">
        <f t="shared" ref="AC336" si="1141">R336-(X336*2)</f>
        <v>-20</v>
      </c>
      <c r="AD336" s="132">
        <f t="shared" ref="AD336" si="1142">S336-(Y336*2)</f>
        <v>-20</v>
      </c>
      <c r="AE336" s="116"/>
      <c r="AF336" s="26">
        <f>SUMIFS(DataPrixBillets!N$1:N$1000,DataPrixBillets!$J$1:$J$1000,ROI_Avions!$A336,DataPrixBillets!$K$1:$K$1000,ROI_Avions!$C336)</f>
        <v>0</v>
      </c>
      <c r="AG336" s="26">
        <f>SUMIFS(DataPrixBillets!O$1:O$1000,DataPrixBillets!$J$1:$J$1000,ROI_Avions!$A336,DataPrixBillets!$K$1:$K$1000,ROI_Avions!$C336)</f>
        <v>0</v>
      </c>
      <c r="AH336" s="26">
        <f>SUMIFS(DataPrixBillets!P$1:P$1000,DataPrixBillets!$J$1:$J$1000,ROI_Avions!$A336,DataPrixBillets!$K$1:$K$1000,ROI_Avions!$C336)</f>
        <v>0</v>
      </c>
      <c r="AI336" s="26">
        <f>SUMIFS(DataPrixBillets!Q$1:Q$1000,DataPrixBillets!$J$1:$J$1000,ROI_Avions!$A336,DataPrixBillets!$K$1:$K$1000,ROI_Avions!$C336)</f>
        <v>0</v>
      </c>
      <c r="AJ336" s="116"/>
      <c r="AK336" s="206">
        <f t="shared" si="1110"/>
        <v>0</v>
      </c>
      <c r="AL336" s="206" t="e">
        <f t="shared" ca="1" si="1111"/>
        <v>#REF!</v>
      </c>
      <c r="AM336" s="206" t="e">
        <f t="shared" ca="1" si="1112"/>
        <v>#REF!</v>
      </c>
      <c r="AN336" s="206" t="e">
        <f t="shared" ca="1" si="1113"/>
        <v>#REF!</v>
      </c>
      <c r="AO336" s="206" t="e">
        <f t="shared" ca="1" si="1114"/>
        <v>#REF!</v>
      </c>
      <c r="AP336" s="206" t="e">
        <f t="shared" ca="1" si="1115"/>
        <v>#REF!</v>
      </c>
      <c r="AQ336" s="206" t="e">
        <f t="shared" ca="1" si="1116"/>
        <v>#REF!</v>
      </c>
      <c r="AR336" s="207">
        <f t="shared" ca="1" si="1122"/>
        <v>0</v>
      </c>
      <c r="AS336" s="120">
        <f t="shared" ca="1" si="1057"/>
        <v>0</v>
      </c>
      <c r="AT336" s="206" t="e">
        <f t="shared" ca="1" si="1117"/>
        <v>#REF!</v>
      </c>
    </row>
    <row r="337" spans="1:46" s="204" customFormat="1" x14ac:dyDescent="0.3">
      <c r="A337" s="209" t="s">
        <v>342</v>
      </c>
      <c r="B337" s="210">
        <v>897809549</v>
      </c>
      <c r="C337" s="209" t="s">
        <v>1115</v>
      </c>
      <c r="D337" s="145" t="str">
        <f t="shared" si="958"/>
        <v>DME/COR</v>
      </c>
      <c r="E337" s="210">
        <v>31540482</v>
      </c>
      <c r="F337" s="211" t="str">
        <f>"A380-A-"&amp;A337&amp;"-"&amp;C337&amp;"-"&amp;2</f>
        <v>A380-A-DME-COR-2</v>
      </c>
      <c r="G337" s="214">
        <v>362700000</v>
      </c>
      <c r="H337" s="116"/>
      <c r="I337" s="206"/>
      <c r="J337" s="206"/>
      <c r="K337" s="206"/>
      <c r="L337" s="53"/>
      <c r="M337" s="53"/>
      <c r="N337" s="116"/>
      <c r="O337" s="140"/>
      <c r="P337" s="133">
        <f>SUMIFS(GestionLignesDemande!D$4:D$1000,GestionLignesDemande!$B$4:$B$1000,ROI_Avions!$A337,GestionLignesDemande!$C$4:$C$1000,ROI_Avions!$C337)</f>
        <v>0</v>
      </c>
      <c r="Q337" s="133">
        <f>SUMIFS(GestionLignesDemande!E$4:E$1000,GestionLignesDemande!$B$4:$B$1000,ROI_Avions!$A337,GestionLignesDemande!$C$4:$C$1000,ROI_Avions!$C337)</f>
        <v>0</v>
      </c>
      <c r="R337" s="133">
        <f>SUMIFS(GestionLignesDemande!F$4:F$1000,GestionLignesDemande!$B$4:$B$1000,ROI_Avions!$A337,GestionLignesDemande!$C$4:$C$1000,ROI_Avions!$C337)</f>
        <v>0</v>
      </c>
      <c r="S337" s="133">
        <f>SUMIFS(GestionLignesDemande!G$4:G$1000,GestionLignesDemande!$B$4:$B$1000,ROI_Avions!$A337,GestionLignesDemande!$C$4:$C$1000,ROI_Avions!$C337)</f>
        <v>0</v>
      </c>
      <c r="T337" s="116"/>
      <c r="U337" s="206">
        <f t="shared" si="962"/>
        <v>774</v>
      </c>
      <c r="V337" s="206">
        <v>684</v>
      </c>
      <c r="W337" s="206">
        <v>70</v>
      </c>
      <c r="X337" s="206">
        <v>10</v>
      </c>
      <c r="Y337" s="206">
        <v>10</v>
      </c>
      <c r="Z337" s="116"/>
      <c r="AA337" s="132">
        <f t="shared" ref="AA337" si="1143">AA336-V337*2</f>
        <v>-2736</v>
      </c>
      <c r="AB337" s="132">
        <f t="shared" ref="AB337" si="1144">AB336-W337*2</f>
        <v>-280</v>
      </c>
      <c r="AC337" s="132">
        <f t="shared" ref="AC337" si="1145">AC336-X337*2</f>
        <v>-40</v>
      </c>
      <c r="AD337" s="132">
        <f t="shared" ref="AD337" si="1146">AD336-Y337*2</f>
        <v>-40</v>
      </c>
      <c r="AE337" s="116"/>
      <c r="AF337" s="26">
        <f>SUMIFS(DataPrixBillets!N$1:N$1000,DataPrixBillets!$J$1:$J$1000,ROI_Avions!$A337,DataPrixBillets!$K$1:$K$1000,ROI_Avions!$C337)</f>
        <v>0</v>
      </c>
      <c r="AG337" s="26">
        <f>SUMIFS(DataPrixBillets!O$1:O$1000,DataPrixBillets!$J$1:$J$1000,ROI_Avions!$A337,DataPrixBillets!$K$1:$K$1000,ROI_Avions!$C337)</f>
        <v>0</v>
      </c>
      <c r="AH337" s="26">
        <f>SUMIFS(DataPrixBillets!P$1:P$1000,DataPrixBillets!$J$1:$J$1000,ROI_Avions!$A337,DataPrixBillets!$K$1:$K$1000,ROI_Avions!$C337)</f>
        <v>0</v>
      </c>
      <c r="AI337" s="26">
        <f>SUMIFS(DataPrixBillets!Q$1:Q$1000,DataPrixBillets!$J$1:$J$1000,ROI_Avions!$A337,DataPrixBillets!$K$1:$K$1000,ROI_Avions!$C337)</f>
        <v>0</v>
      </c>
      <c r="AJ337" s="116"/>
      <c r="AK337" s="206">
        <f t="shared" si="1110"/>
        <v>0</v>
      </c>
      <c r="AL337" s="206" t="e">
        <f t="shared" ca="1" si="1111"/>
        <v>#REF!</v>
      </c>
      <c r="AM337" s="206" t="e">
        <f t="shared" ca="1" si="1112"/>
        <v>#REF!</v>
      </c>
      <c r="AN337" s="206" t="e">
        <f t="shared" ca="1" si="1113"/>
        <v>#REF!</v>
      </c>
      <c r="AO337" s="206" t="e">
        <f t="shared" ca="1" si="1114"/>
        <v>#REF!</v>
      </c>
      <c r="AP337" s="206" t="e">
        <f t="shared" ca="1" si="1115"/>
        <v>#REF!</v>
      </c>
      <c r="AQ337" s="206" t="e">
        <f t="shared" ca="1" si="1116"/>
        <v>#REF!</v>
      </c>
      <c r="AR337" s="207">
        <f t="shared" ca="1" si="1122"/>
        <v>0</v>
      </c>
      <c r="AS337" s="120">
        <f t="shared" ca="1" si="1057"/>
        <v>0</v>
      </c>
      <c r="AT337" s="206" t="e">
        <f t="shared" ca="1" si="1117"/>
        <v>#REF!</v>
      </c>
    </row>
    <row r="338" spans="1:46" s="204" customFormat="1" x14ac:dyDescent="0.3">
      <c r="A338" s="209" t="s">
        <v>342</v>
      </c>
      <c r="B338" s="210">
        <v>897809549</v>
      </c>
      <c r="C338" s="209" t="s">
        <v>1116</v>
      </c>
      <c r="D338" s="145" t="str">
        <f t="shared" si="958"/>
        <v>DME/MDZ</v>
      </c>
      <c r="E338" s="210">
        <v>38667872</v>
      </c>
      <c r="F338" s="211" t="str">
        <f>"A380-A-"&amp;A338&amp;"-"&amp;C338&amp;"-"&amp;1</f>
        <v>A380-A-DME-MDZ-1</v>
      </c>
      <c r="G338" s="214">
        <v>362700000</v>
      </c>
      <c r="H338" s="116"/>
      <c r="I338" s="206"/>
      <c r="J338" s="206"/>
      <c r="K338" s="206"/>
      <c r="L338" s="53"/>
      <c r="M338" s="53"/>
      <c r="N338" s="116"/>
      <c r="O338" s="140"/>
      <c r="P338" s="133">
        <f>SUMIFS(GestionLignesDemande!D$4:D$1000,GestionLignesDemande!$B$4:$B$1000,ROI_Avions!$A338,GestionLignesDemande!$C$4:$C$1000,ROI_Avions!$C338)</f>
        <v>0</v>
      </c>
      <c r="Q338" s="133">
        <f>SUMIFS(GestionLignesDemande!E$4:E$1000,GestionLignesDemande!$B$4:$B$1000,ROI_Avions!$A338,GestionLignesDemande!$C$4:$C$1000,ROI_Avions!$C338)</f>
        <v>0</v>
      </c>
      <c r="R338" s="133">
        <f>SUMIFS(GestionLignesDemande!F$4:F$1000,GestionLignesDemande!$B$4:$B$1000,ROI_Avions!$A338,GestionLignesDemande!$C$4:$C$1000,ROI_Avions!$C338)</f>
        <v>0</v>
      </c>
      <c r="S338" s="133">
        <f>SUMIFS(GestionLignesDemande!G$4:G$1000,GestionLignesDemande!$B$4:$B$1000,ROI_Avions!$A338,GestionLignesDemande!$C$4:$C$1000,ROI_Avions!$C338)</f>
        <v>0</v>
      </c>
      <c r="T338" s="116"/>
      <c r="U338" s="206">
        <f t="shared" si="962"/>
        <v>774</v>
      </c>
      <c r="V338" s="206">
        <v>684</v>
      </c>
      <c r="W338" s="206">
        <v>70</v>
      </c>
      <c r="X338" s="206">
        <v>10</v>
      </c>
      <c r="Y338" s="206">
        <v>10</v>
      </c>
      <c r="Z338" s="116"/>
      <c r="AA338" s="132">
        <f t="shared" ref="AA338" si="1147">P338-(V338*2)</f>
        <v>-1368</v>
      </c>
      <c r="AB338" s="132">
        <f t="shared" ref="AB338" si="1148">Q338-(W338*2)</f>
        <v>-140</v>
      </c>
      <c r="AC338" s="132">
        <f t="shared" ref="AC338" si="1149">R338-(X338*2)</f>
        <v>-20</v>
      </c>
      <c r="AD338" s="132">
        <f t="shared" ref="AD338" si="1150">S338-(Y338*2)</f>
        <v>-20</v>
      </c>
      <c r="AE338" s="116"/>
      <c r="AF338" s="26">
        <f>SUMIFS(DataPrixBillets!N$1:N$1000,DataPrixBillets!$J$1:$J$1000,ROI_Avions!$A338,DataPrixBillets!$K$1:$K$1000,ROI_Avions!$C338)</f>
        <v>0</v>
      </c>
      <c r="AG338" s="26">
        <f>SUMIFS(DataPrixBillets!O$1:O$1000,DataPrixBillets!$J$1:$J$1000,ROI_Avions!$A338,DataPrixBillets!$K$1:$K$1000,ROI_Avions!$C338)</f>
        <v>0</v>
      </c>
      <c r="AH338" s="26">
        <f>SUMIFS(DataPrixBillets!P$1:P$1000,DataPrixBillets!$J$1:$J$1000,ROI_Avions!$A338,DataPrixBillets!$K$1:$K$1000,ROI_Avions!$C338)</f>
        <v>0</v>
      </c>
      <c r="AI338" s="26">
        <f>SUMIFS(DataPrixBillets!Q$1:Q$1000,DataPrixBillets!$J$1:$J$1000,ROI_Avions!$A338,DataPrixBillets!$K$1:$K$1000,ROI_Avions!$C338)</f>
        <v>0</v>
      </c>
      <c r="AJ338" s="116"/>
      <c r="AK338" s="206">
        <f t="shared" si="1110"/>
        <v>0</v>
      </c>
      <c r="AL338" s="206" t="e">
        <f t="shared" ca="1" si="1111"/>
        <v>#REF!</v>
      </c>
      <c r="AM338" s="206" t="e">
        <f t="shared" ca="1" si="1112"/>
        <v>#REF!</v>
      </c>
      <c r="AN338" s="206" t="e">
        <f t="shared" ca="1" si="1113"/>
        <v>#REF!</v>
      </c>
      <c r="AO338" s="206" t="e">
        <f t="shared" ca="1" si="1114"/>
        <v>#REF!</v>
      </c>
      <c r="AP338" s="206" t="e">
        <f t="shared" ca="1" si="1115"/>
        <v>#REF!</v>
      </c>
      <c r="AQ338" s="206" t="e">
        <f t="shared" ca="1" si="1116"/>
        <v>#REF!</v>
      </c>
      <c r="AR338" s="207">
        <f t="shared" ca="1" si="1122"/>
        <v>0</v>
      </c>
      <c r="AS338" s="120">
        <f t="shared" ca="1" si="1057"/>
        <v>0</v>
      </c>
      <c r="AT338" s="206" t="e">
        <f t="shared" ca="1" si="1117"/>
        <v>#REF!</v>
      </c>
    </row>
    <row r="339" spans="1:46" s="204" customFormat="1" x14ac:dyDescent="0.3">
      <c r="A339" s="209" t="s">
        <v>342</v>
      </c>
      <c r="B339" s="210">
        <v>897809549</v>
      </c>
      <c r="C339" s="209" t="s">
        <v>1116</v>
      </c>
      <c r="D339" s="145" t="str">
        <f t="shared" si="958"/>
        <v>DME/MDZ</v>
      </c>
      <c r="E339" s="210">
        <v>38667872</v>
      </c>
      <c r="F339" s="211" t="str">
        <f>"A380-A-"&amp;A339&amp;"-"&amp;C339&amp;"-"&amp;2</f>
        <v>A380-A-DME-MDZ-2</v>
      </c>
      <c r="G339" s="214">
        <v>362700000</v>
      </c>
      <c r="H339" s="116"/>
      <c r="I339" s="206"/>
      <c r="J339" s="206"/>
      <c r="K339" s="206"/>
      <c r="L339" s="53"/>
      <c r="M339" s="53"/>
      <c r="N339" s="116"/>
      <c r="O339" s="140"/>
      <c r="P339" s="133">
        <f>SUMIFS(GestionLignesDemande!D$4:D$1000,GestionLignesDemande!$B$4:$B$1000,ROI_Avions!$A339,GestionLignesDemande!$C$4:$C$1000,ROI_Avions!$C339)</f>
        <v>0</v>
      </c>
      <c r="Q339" s="133">
        <f>SUMIFS(GestionLignesDemande!E$4:E$1000,GestionLignesDemande!$B$4:$B$1000,ROI_Avions!$A339,GestionLignesDemande!$C$4:$C$1000,ROI_Avions!$C339)</f>
        <v>0</v>
      </c>
      <c r="R339" s="133">
        <f>SUMIFS(GestionLignesDemande!F$4:F$1000,GestionLignesDemande!$B$4:$B$1000,ROI_Avions!$A339,GestionLignesDemande!$C$4:$C$1000,ROI_Avions!$C339)</f>
        <v>0</v>
      </c>
      <c r="S339" s="133">
        <f>SUMIFS(GestionLignesDemande!G$4:G$1000,GestionLignesDemande!$B$4:$B$1000,ROI_Avions!$A339,GestionLignesDemande!$C$4:$C$1000,ROI_Avions!$C339)</f>
        <v>0</v>
      </c>
      <c r="T339" s="116"/>
      <c r="U339" s="206">
        <f t="shared" si="962"/>
        <v>774</v>
      </c>
      <c r="V339" s="206">
        <v>684</v>
      </c>
      <c r="W339" s="206">
        <v>70</v>
      </c>
      <c r="X339" s="206">
        <v>10</v>
      </c>
      <c r="Y339" s="206">
        <v>10</v>
      </c>
      <c r="Z339" s="116"/>
      <c r="AA339" s="132">
        <f t="shared" ref="AA339" si="1151">AA338-V339*2</f>
        <v>-2736</v>
      </c>
      <c r="AB339" s="132">
        <f t="shared" ref="AB339" si="1152">AB338-W339*2</f>
        <v>-280</v>
      </c>
      <c r="AC339" s="132">
        <f t="shared" ref="AC339" si="1153">AC338-X339*2</f>
        <v>-40</v>
      </c>
      <c r="AD339" s="132">
        <f t="shared" ref="AD339" si="1154">AD338-Y339*2</f>
        <v>-40</v>
      </c>
      <c r="AE339" s="116"/>
      <c r="AF339" s="26">
        <f>SUMIFS(DataPrixBillets!N$1:N$1000,DataPrixBillets!$J$1:$J$1000,ROI_Avions!$A339,DataPrixBillets!$K$1:$K$1000,ROI_Avions!$C339)</f>
        <v>0</v>
      </c>
      <c r="AG339" s="26">
        <f>SUMIFS(DataPrixBillets!O$1:O$1000,DataPrixBillets!$J$1:$J$1000,ROI_Avions!$A339,DataPrixBillets!$K$1:$K$1000,ROI_Avions!$C339)</f>
        <v>0</v>
      </c>
      <c r="AH339" s="26">
        <f>SUMIFS(DataPrixBillets!P$1:P$1000,DataPrixBillets!$J$1:$J$1000,ROI_Avions!$A339,DataPrixBillets!$K$1:$K$1000,ROI_Avions!$C339)</f>
        <v>0</v>
      </c>
      <c r="AI339" s="26">
        <f>SUMIFS(DataPrixBillets!Q$1:Q$1000,DataPrixBillets!$J$1:$J$1000,ROI_Avions!$A339,DataPrixBillets!$K$1:$K$1000,ROI_Avions!$C339)</f>
        <v>0</v>
      </c>
      <c r="AJ339" s="116"/>
      <c r="AK339" s="206">
        <f t="shared" si="1110"/>
        <v>0</v>
      </c>
      <c r="AL339" s="206" t="e">
        <f t="shared" ca="1" si="1111"/>
        <v>#REF!</v>
      </c>
      <c r="AM339" s="206" t="e">
        <f t="shared" ca="1" si="1112"/>
        <v>#REF!</v>
      </c>
      <c r="AN339" s="206" t="e">
        <f t="shared" ca="1" si="1113"/>
        <v>#REF!</v>
      </c>
      <c r="AO339" s="206" t="e">
        <f t="shared" ca="1" si="1114"/>
        <v>#REF!</v>
      </c>
      <c r="AP339" s="206" t="e">
        <f t="shared" ca="1" si="1115"/>
        <v>#REF!</v>
      </c>
      <c r="AQ339" s="206" t="e">
        <f t="shared" ca="1" si="1116"/>
        <v>#REF!</v>
      </c>
      <c r="AR339" s="207">
        <f t="shared" ca="1" si="1122"/>
        <v>0</v>
      </c>
      <c r="AS339" s="120">
        <f t="shared" ca="1" si="1057"/>
        <v>0</v>
      </c>
      <c r="AT339" s="206" t="e">
        <f t="shared" ca="1" si="1117"/>
        <v>#REF!</v>
      </c>
    </row>
    <row r="340" spans="1:46" s="204" customFormat="1" x14ac:dyDescent="0.3">
      <c r="A340" s="209" t="s">
        <v>342</v>
      </c>
      <c r="B340" s="210">
        <v>897809549</v>
      </c>
      <c r="C340" s="209" t="s">
        <v>1116</v>
      </c>
      <c r="D340" s="145" t="str">
        <f t="shared" si="958"/>
        <v>DME/MDZ</v>
      </c>
      <c r="E340" s="210">
        <v>38667872</v>
      </c>
      <c r="F340" s="211" t="str">
        <f>"A380-A-"&amp;A340&amp;"-"&amp;C340&amp;"-"&amp;3</f>
        <v>A380-A-DME-MDZ-3</v>
      </c>
      <c r="G340" s="214">
        <v>362700000</v>
      </c>
      <c r="H340" s="116"/>
      <c r="I340" s="206"/>
      <c r="J340" s="206"/>
      <c r="K340" s="206"/>
      <c r="L340" s="53"/>
      <c r="M340" s="53"/>
      <c r="N340" s="116"/>
      <c r="O340" s="140"/>
      <c r="P340" s="133">
        <f>SUMIFS(GestionLignesDemande!D$4:D$1000,GestionLignesDemande!$B$4:$B$1000,ROI_Avions!$A340,GestionLignesDemande!$C$4:$C$1000,ROI_Avions!$C340)</f>
        <v>0</v>
      </c>
      <c r="Q340" s="133">
        <f>SUMIFS(GestionLignesDemande!E$4:E$1000,GestionLignesDemande!$B$4:$B$1000,ROI_Avions!$A340,GestionLignesDemande!$C$4:$C$1000,ROI_Avions!$C340)</f>
        <v>0</v>
      </c>
      <c r="R340" s="133">
        <f>SUMIFS(GestionLignesDemande!F$4:F$1000,GestionLignesDemande!$B$4:$B$1000,ROI_Avions!$A340,GestionLignesDemande!$C$4:$C$1000,ROI_Avions!$C340)</f>
        <v>0</v>
      </c>
      <c r="S340" s="133">
        <f>SUMIFS(GestionLignesDemande!G$4:G$1000,GestionLignesDemande!$B$4:$B$1000,ROI_Avions!$A340,GestionLignesDemande!$C$4:$C$1000,ROI_Avions!$C340)</f>
        <v>0</v>
      </c>
      <c r="T340" s="116"/>
      <c r="U340" s="206">
        <f t="shared" si="962"/>
        <v>774</v>
      </c>
      <c r="V340" s="206">
        <v>684</v>
      </c>
      <c r="W340" s="206">
        <v>70</v>
      </c>
      <c r="X340" s="206">
        <v>10</v>
      </c>
      <c r="Y340" s="206">
        <v>10</v>
      </c>
      <c r="Z340" s="116"/>
      <c r="AA340" s="132">
        <f t="shared" ref="AA340:AA343" si="1155">AA339-V340*2</f>
        <v>-4104</v>
      </c>
      <c r="AB340" s="132">
        <f t="shared" ref="AB340:AB343" si="1156">AB339-W340*2</f>
        <v>-420</v>
      </c>
      <c r="AC340" s="132">
        <f t="shared" ref="AC340:AC343" si="1157">AC339-X340*2</f>
        <v>-60</v>
      </c>
      <c r="AD340" s="132">
        <f t="shared" ref="AD340:AD343" si="1158">AD339-Y340*2</f>
        <v>-60</v>
      </c>
      <c r="AE340" s="116"/>
      <c r="AF340" s="26">
        <f>SUMIFS(DataPrixBillets!N$1:N$1000,DataPrixBillets!$J$1:$J$1000,ROI_Avions!$A340,DataPrixBillets!$K$1:$K$1000,ROI_Avions!$C340)</f>
        <v>0</v>
      </c>
      <c r="AG340" s="26">
        <f>SUMIFS(DataPrixBillets!O$1:O$1000,DataPrixBillets!$J$1:$J$1000,ROI_Avions!$A340,DataPrixBillets!$K$1:$K$1000,ROI_Avions!$C340)</f>
        <v>0</v>
      </c>
      <c r="AH340" s="26">
        <f>SUMIFS(DataPrixBillets!P$1:P$1000,DataPrixBillets!$J$1:$J$1000,ROI_Avions!$A340,DataPrixBillets!$K$1:$K$1000,ROI_Avions!$C340)</f>
        <v>0</v>
      </c>
      <c r="AI340" s="26">
        <f>SUMIFS(DataPrixBillets!Q$1:Q$1000,DataPrixBillets!$J$1:$J$1000,ROI_Avions!$A340,DataPrixBillets!$K$1:$K$1000,ROI_Avions!$C340)</f>
        <v>0</v>
      </c>
      <c r="AJ340" s="116"/>
      <c r="AK340" s="206">
        <f t="shared" si="1110"/>
        <v>0</v>
      </c>
      <c r="AL340" s="206" t="e">
        <f t="shared" ca="1" si="1111"/>
        <v>#REF!</v>
      </c>
      <c r="AM340" s="206" t="e">
        <f t="shared" ca="1" si="1112"/>
        <v>#REF!</v>
      </c>
      <c r="AN340" s="206" t="e">
        <f t="shared" ca="1" si="1113"/>
        <v>#REF!</v>
      </c>
      <c r="AO340" s="206" t="e">
        <f t="shared" ca="1" si="1114"/>
        <v>#REF!</v>
      </c>
      <c r="AP340" s="206" t="e">
        <f t="shared" ca="1" si="1115"/>
        <v>#REF!</v>
      </c>
      <c r="AQ340" s="206" t="e">
        <f t="shared" ca="1" si="1116"/>
        <v>#REF!</v>
      </c>
      <c r="AR340" s="207">
        <f t="shared" ca="1" si="1122"/>
        <v>0</v>
      </c>
      <c r="AS340" s="120">
        <f t="shared" ca="1" si="1057"/>
        <v>0</v>
      </c>
      <c r="AT340" s="206" t="e">
        <f t="shared" ca="1" si="1117"/>
        <v>#REF!</v>
      </c>
    </row>
    <row r="341" spans="1:46" s="204" customFormat="1" x14ac:dyDescent="0.3">
      <c r="A341" s="209" t="s">
        <v>342</v>
      </c>
      <c r="B341" s="210">
        <v>897809549</v>
      </c>
      <c r="C341" s="209" t="s">
        <v>1116</v>
      </c>
      <c r="D341" s="145" t="str">
        <f t="shared" si="958"/>
        <v>DME/MDZ</v>
      </c>
      <c r="E341" s="210">
        <v>38667872</v>
      </c>
      <c r="F341" s="211" t="str">
        <f>"A380-A-"&amp;A341&amp;"-"&amp;C341&amp;"-"&amp;4</f>
        <v>A380-A-DME-MDZ-4</v>
      </c>
      <c r="G341" s="214">
        <v>362700000</v>
      </c>
      <c r="H341" s="116"/>
      <c r="I341" s="206"/>
      <c r="J341" s="206"/>
      <c r="K341" s="206"/>
      <c r="L341" s="53"/>
      <c r="M341" s="53"/>
      <c r="N341" s="116"/>
      <c r="O341" s="140"/>
      <c r="P341" s="133">
        <f>SUMIFS(GestionLignesDemande!D$4:D$1000,GestionLignesDemande!$B$4:$B$1000,ROI_Avions!$A341,GestionLignesDemande!$C$4:$C$1000,ROI_Avions!$C341)</f>
        <v>0</v>
      </c>
      <c r="Q341" s="133">
        <f>SUMIFS(GestionLignesDemande!E$4:E$1000,GestionLignesDemande!$B$4:$B$1000,ROI_Avions!$A341,GestionLignesDemande!$C$4:$C$1000,ROI_Avions!$C341)</f>
        <v>0</v>
      </c>
      <c r="R341" s="133">
        <f>SUMIFS(GestionLignesDemande!F$4:F$1000,GestionLignesDemande!$B$4:$B$1000,ROI_Avions!$A341,GestionLignesDemande!$C$4:$C$1000,ROI_Avions!$C341)</f>
        <v>0</v>
      </c>
      <c r="S341" s="133">
        <f>SUMIFS(GestionLignesDemande!G$4:G$1000,GestionLignesDemande!$B$4:$B$1000,ROI_Avions!$A341,GestionLignesDemande!$C$4:$C$1000,ROI_Avions!$C341)</f>
        <v>0</v>
      </c>
      <c r="T341" s="116"/>
      <c r="U341" s="206">
        <f t="shared" si="962"/>
        <v>774</v>
      </c>
      <c r="V341" s="206">
        <v>684</v>
      </c>
      <c r="W341" s="206">
        <v>70</v>
      </c>
      <c r="X341" s="206">
        <v>10</v>
      </c>
      <c r="Y341" s="206">
        <v>10</v>
      </c>
      <c r="Z341" s="116"/>
      <c r="AA341" s="132">
        <f t="shared" si="1155"/>
        <v>-5472</v>
      </c>
      <c r="AB341" s="132">
        <f t="shared" si="1156"/>
        <v>-560</v>
      </c>
      <c r="AC341" s="132">
        <f t="shared" si="1157"/>
        <v>-80</v>
      </c>
      <c r="AD341" s="132">
        <f t="shared" si="1158"/>
        <v>-80</v>
      </c>
      <c r="AE341" s="116"/>
      <c r="AF341" s="26">
        <f>SUMIFS(DataPrixBillets!N$1:N$1000,DataPrixBillets!$J$1:$J$1000,ROI_Avions!$A341,DataPrixBillets!$K$1:$K$1000,ROI_Avions!$C341)</f>
        <v>0</v>
      </c>
      <c r="AG341" s="26">
        <f>SUMIFS(DataPrixBillets!O$1:O$1000,DataPrixBillets!$J$1:$J$1000,ROI_Avions!$A341,DataPrixBillets!$K$1:$K$1000,ROI_Avions!$C341)</f>
        <v>0</v>
      </c>
      <c r="AH341" s="26">
        <f>SUMIFS(DataPrixBillets!P$1:P$1000,DataPrixBillets!$J$1:$J$1000,ROI_Avions!$A341,DataPrixBillets!$K$1:$K$1000,ROI_Avions!$C341)</f>
        <v>0</v>
      </c>
      <c r="AI341" s="26">
        <f>SUMIFS(DataPrixBillets!Q$1:Q$1000,DataPrixBillets!$J$1:$J$1000,ROI_Avions!$A341,DataPrixBillets!$K$1:$K$1000,ROI_Avions!$C341)</f>
        <v>0</v>
      </c>
      <c r="AJ341" s="116"/>
      <c r="AK341" s="206">
        <f t="shared" si="1110"/>
        <v>0</v>
      </c>
      <c r="AL341" s="206" t="e">
        <f t="shared" ca="1" si="1111"/>
        <v>#REF!</v>
      </c>
      <c r="AM341" s="206" t="e">
        <f t="shared" ca="1" si="1112"/>
        <v>#REF!</v>
      </c>
      <c r="AN341" s="206" t="e">
        <f t="shared" ca="1" si="1113"/>
        <v>#REF!</v>
      </c>
      <c r="AO341" s="206" t="e">
        <f t="shared" ca="1" si="1114"/>
        <v>#REF!</v>
      </c>
      <c r="AP341" s="206" t="e">
        <f t="shared" ca="1" si="1115"/>
        <v>#REF!</v>
      </c>
      <c r="AQ341" s="206" t="e">
        <f t="shared" ca="1" si="1116"/>
        <v>#REF!</v>
      </c>
      <c r="AR341" s="207">
        <f t="shared" ca="1" si="1122"/>
        <v>0</v>
      </c>
      <c r="AS341" s="120">
        <f t="shared" ca="1" si="1057"/>
        <v>0</v>
      </c>
      <c r="AT341" s="206" t="e">
        <f t="shared" ca="1" si="1117"/>
        <v>#REF!</v>
      </c>
    </row>
    <row r="342" spans="1:46" s="204" customFormat="1" x14ac:dyDescent="0.3">
      <c r="A342" s="209" t="s">
        <v>342</v>
      </c>
      <c r="B342" s="210">
        <v>897809549</v>
      </c>
      <c r="C342" s="209" t="s">
        <v>1116</v>
      </c>
      <c r="D342" s="145" t="str">
        <f t="shared" si="958"/>
        <v>DME/MDZ</v>
      </c>
      <c r="E342" s="210">
        <v>38667872</v>
      </c>
      <c r="F342" s="211" t="str">
        <f>"A380-A-"&amp;A342&amp;"-"&amp;C342&amp;"-"&amp;5</f>
        <v>A380-A-DME-MDZ-5</v>
      </c>
      <c r="G342" s="214">
        <v>362700000</v>
      </c>
      <c r="H342" s="116"/>
      <c r="I342" s="206"/>
      <c r="J342" s="206"/>
      <c r="K342" s="206"/>
      <c r="L342" s="53"/>
      <c r="M342" s="53"/>
      <c r="N342" s="116"/>
      <c r="O342" s="140"/>
      <c r="P342" s="133">
        <f>SUMIFS(GestionLignesDemande!D$4:D$1000,GestionLignesDemande!$B$4:$B$1000,ROI_Avions!$A342,GestionLignesDemande!$C$4:$C$1000,ROI_Avions!$C342)</f>
        <v>0</v>
      </c>
      <c r="Q342" s="133">
        <f>SUMIFS(GestionLignesDemande!E$4:E$1000,GestionLignesDemande!$B$4:$B$1000,ROI_Avions!$A342,GestionLignesDemande!$C$4:$C$1000,ROI_Avions!$C342)</f>
        <v>0</v>
      </c>
      <c r="R342" s="133">
        <f>SUMIFS(GestionLignesDemande!F$4:F$1000,GestionLignesDemande!$B$4:$B$1000,ROI_Avions!$A342,GestionLignesDemande!$C$4:$C$1000,ROI_Avions!$C342)</f>
        <v>0</v>
      </c>
      <c r="S342" s="133">
        <f>SUMIFS(GestionLignesDemande!G$4:G$1000,GestionLignesDemande!$B$4:$B$1000,ROI_Avions!$A342,GestionLignesDemande!$C$4:$C$1000,ROI_Avions!$C342)</f>
        <v>0</v>
      </c>
      <c r="T342" s="116"/>
      <c r="U342" s="206">
        <f t="shared" si="962"/>
        <v>774</v>
      </c>
      <c r="V342" s="206">
        <v>684</v>
      </c>
      <c r="W342" s="206">
        <v>70</v>
      </c>
      <c r="X342" s="206">
        <v>10</v>
      </c>
      <c r="Y342" s="206">
        <v>10</v>
      </c>
      <c r="Z342" s="116"/>
      <c r="AA342" s="132">
        <f t="shared" si="1155"/>
        <v>-6840</v>
      </c>
      <c r="AB342" s="132">
        <f t="shared" si="1156"/>
        <v>-700</v>
      </c>
      <c r="AC342" s="132">
        <f t="shared" si="1157"/>
        <v>-100</v>
      </c>
      <c r="AD342" s="132">
        <f t="shared" si="1158"/>
        <v>-100</v>
      </c>
      <c r="AE342" s="116"/>
      <c r="AF342" s="26">
        <f>SUMIFS(DataPrixBillets!N$1:N$1000,DataPrixBillets!$J$1:$J$1000,ROI_Avions!$A342,DataPrixBillets!$K$1:$K$1000,ROI_Avions!$C342)</f>
        <v>0</v>
      </c>
      <c r="AG342" s="26">
        <f>SUMIFS(DataPrixBillets!O$1:O$1000,DataPrixBillets!$J$1:$J$1000,ROI_Avions!$A342,DataPrixBillets!$K$1:$K$1000,ROI_Avions!$C342)</f>
        <v>0</v>
      </c>
      <c r="AH342" s="26">
        <f>SUMIFS(DataPrixBillets!P$1:P$1000,DataPrixBillets!$J$1:$J$1000,ROI_Avions!$A342,DataPrixBillets!$K$1:$K$1000,ROI_Avions!$C342)</f>
        <v>0</v>
      </c>
      <c r="AI342" s="26">
        <f>SUMIFS(DataPrixBillets!Q$1:Q$1000,DataPrixBillets!$J$1:$J$1000,ROI_Avions!$A342,DataPrixBillets!$K$1:$K$1000,ROI_Avions!$C342)</f>
        <v>0</v>
      </c>
      <c r="AJ342" s="116"/>
      <c r="AK342" s="206">
        <f t="shared" si="1110"/>
        <v>0</v>
      </c>
      <c r="AL342" s="206" t="e">
        <f t="shared" ca="1" si="1111"/>
        <v>#REF!</v>
      </c>
      <c r="AM342" s="206" t="e">
        <f t="shared" ca="1" si="1112"/>
        <v>#REF!</v>
      </c>
      <c r="AN342" s="206" t="e">
        <f t="shared" ca="1" si="1113"/>
        <v>#REF!</v>
      </c>
      <c r="AO342" s="206" t="e">
        <f t="shared" ca="1" si="1114"/>
        <v>#REF!</v>
      </c>
      <c r="AP342" s="206" t="e">
        <f t="shared" ca="1" si="1115"/>
        <v>#REF!</v>
      </c>
      <c r="AQ342" s="206" t="e">
        <f t="shared" ca="1" si="1116"/>
        <v>#REF!</v>
      </c>
      <c r="AR342" s="207">
        <f t="shared" ca="1" si="1122"/>
        <v>0</v>
      </c>
      <c r="AS342" s="120">
        <f t="shared" ca="1" si="1057"/>
        <v>0</v>
      </c>
      <c r="AT342" s="206" t="e">
        <f t="shared" ca="1" si="1117"/>
        <v>#REF!</v>
      </c>
    </row>
    <row r="343" spans="1:46" s="204" customFormat="1" x14ac:dyDescent="0.3">
      <c r="A343" s="209" t="s">
        <v>342</v>
      </c>
      <c r="B343" s="210">
        <v>897809549</v>
      </c>
      <c r="C343" s="209" t="s">
        <v>1116</v>
      </c>
      <c r="D343" s="145" t="str">
        <f t="shared" si="958"/>
        <v>DME/MDZ</v>
      </c>
      <c r="E343" s="210">
        <v>38667872</v>
      </c>
      <c r="F343" s="211" t="str">
        <f>"A380-A-"&amp;A343&amp;"-"&amp;C343&amp;"-"&amp;6</f>
        <v>A380-A-DME-MDZ-6</v>
      </c>
      <c r="G343" s="214">
        <v>362700000</v>
      </c>
      <c r="H343" s="116"/>
      <c r="I343" s="206"/>
      <c r="J343" s="206"/>
      <c r="K343" s="206"/>
      <c r="L343" s="53"/>
      <c r="M343" s="53"/>
      <c r="N343" s="116"/>
      <c r="O343" s="140"/>
      <c r="P343" s="133">
        <f>SUMIFS(GestionLignesDemande!D$4:D$1000,GestionLignesDemande!$B$4:$B$1000,ROI_Avions!$A343,GestionLignesDemande!$C$4:$C$1000,ROI_Avions!$C343)</f>
        <v>0</v>
      </c>
      <c r="Q343" s="133">
        <f>SUMIFS(GestionLignesDemande!E$4:E$1000,GestionLignesDemande!$B$4:$B$1000,ROI_Avions!$A343,GestionLignesDemande!$C$4:$C$1000,ROI_Avions!$C343)</f>
        <v>0</v>
      </c>
      <c r="R343" s="133">
        <f>SUMIFS(GestionLignesDemande!F$4:F$1000,GestionLignesDemande!$B$4:$B$1000,ROI_Avions!$A343,GestionLignesDemande!$C$4:$C$1000,ROI_Avions!$C343)</f>
        <v>0</v>
      </c>
      <c r="S343" s="133">
        <f>SUMIFS(GestionLignesDemande!G$4:G$1000,GestionLignesDemande!$B$4:$B$1000,ROI_Avions!$A343,GestionLignesDemande!$C$4:$C$1000,ROI_Avions!$C343)</f>
        <v>0</v>
      </c>
      <c r="T343" s="116"/>
      <c r="U343" s="206">
        <f t="shared" si="962"/>
        <v>774</v>
      </c>
      <c r="V343" s="206">
        <v>684</v>
      </c>
      <c r="W343" s="206">
        <v>70</v>
      </c>
      <c r="X343" s="206">
        <v>10</v>
      </c>
      <c r="Y343" s="206">
        <v>10</v>
      </c>
      <c r="Z343" s="116"/>
      <c r="AA343" s="132">
        <f t="shared" si="1155"/>
        <v>-8208</v>
      </c>
      <c r="AB343" s="132">
        <f t="shared" si="1156"/>
        <v>-840</v>
      </c>
      <c r="AC343" s="132">
        <f t="shared" si="1157"/>
        <v>-120</v>
      </c>
      <c r="AD343" s="132">
        <f t="shared" si="1158"/>
        <v>-120</v>
      </c>
      <c r="AE343" s="116"/>
      <c r="AF343" s="26">
        <f>SUMIFS(DataPrixBillets!N$1:N$1000,DataPrixBillets!$J$1:$J$1000,ROI_Avions!$A343,DataPrixBillets!$K$1:$K$1000,ROI_Avions!$C343)</f>
        <v>0</v>
      </c>
      <c r="AG343" s="26">
        <f>SUMIFS(DataPrixBillets!O$1:O$1000,DataPrixBillets!$J$1:$J$1000,ROI_Avions!$A343,DataPrixBillets!$K$1:$K$1000,ROI_Avions!$C343)</f>
        <v>0</v>
      </c>
      <c r="AH343" s="26">
        <f>SUMIFS(DataPrixBillets!P$1:P$1000,DataPrixBillets!$J$1:$J$1000,ROI_Avions!$A343,DataPrixBillets!$K$1:$K$1000,ROI_Avions!$C343)</f>
        <v>0</v>
      </c>
      <c r="AI343" s="26">
        <f>SUMIFS(DataPrixBillets!Q$1:Q$1000,DataPrixBillets!$J$1:$J$1000,ROI_Avions!$A343,DataPrixBillets!$K$1:$K$1000,ROI_Avions!$C343)</f>
        <v>0</v>
      </c>
      <c r="AJ343" s="116"/>
      <c r="AK343" s="206">
        <f t="shared" si="1110"/>
        <v>0</v>
      </c>
      <c r="AL343" s="206" t="e">
        <f t="shared" ca="1" si="1111"/>
        <v>#REF!</v>
      </c>
      <c r="AM343" s="206" t="e">
        <f t="shared" ca="1" si="1112"/>
        <v>#REF!</v>
      </c>
      <c r="AN343" s="206" t="e">
        <f t="shared" ca="1" si="1113"/>
        <v>#REF!</v>
      </c>
      <c r="AO343" s="206" t="e">
        <f t="shared" ca="1" si="1114"/>
        <v>#REF!</v>
      </c>
      <c r="AP343" s="206" t="e">
        <f t="shared" ca="1" si="1115"/>
        <v>#REF!</v>
      </c>
      <c r="AQ343" s="206" t="e">
        <f t="shared" ca="1" si="1116"/>
        <v>#REF!</v>
      </c>
      <c r="AR343" s="207">
        <f t="shared" ca="1" si="1122"/>
        <v>0</v>
      </c>
      <c r="AS343" s="120">
        <f t="shared" ca="1" si="1057"/>
        <v>0</v>
      </c>
      <c r="AT343" s="206" t="e">
        <f t="shared" ca="1" si="1117"/>
        <v>#REF!</v>
      </c>
    </row>
    <row r="344" spans="1:46" s="204" customFormat="1" x14ac:dyDescent="0.3">
      <c r="A344" s="209" t="s">
        <v>342</v>
      </c>
      <c r="B344" s="210">
        <v>897809549</v>
      </c>
      <c r="C344" s="209" t="s">
        <v>1117</v>
      </c>
      <c r="D344" s="145" t="str">
        <f t="shared" si="958"/>
        <v>DME/LUQ</v>
      </c>
      <c r="E344" s="210">
        <v>99552605</v>
      </c>
      <c r="F344" s="211" t="str">
        <f>"A380-A-"&amp;A344&amp;"-"&amp;C344&amp;"-"&amp;1</f>
        <v>A380-A-DME-LUQ-1</v>
      </c>
      <c r="G344" s="214">
        <v>323891100</v>
      </c>
      <c r="H344" s="116"/>
      <c r="I344" s="206"/>
      <c r="J344" s="206"/>
      <c r="K344" s="206"/>
      <c r="L344" s="53"/>
      <c r="M344" s="53"/>
      <c r="N344" s="116"/>
      <c r="O344" s="140"/>
      <c r="P344" s="133">
        <f>SUMIFS(GestionLignesDemande!D$4:D$1000,GestionLignesDemande!$B$4:$B$1000,ROI_Avions!$A344,GestionLignesDemande!$C$4:$C$1000,ROI_Avions!$C344)</f>
        <v>0</v>
      </c>
      <c r="Q344" s="133">
        <f>SUMIFS(GestionLignesDemande!E$4:E$1000,GestionLignesDemande!$B$4:$B$1000,ROI_Avions!$A344,GestionLignesDemande!$C$4:$C$1000,ROI_Avions!$C344)</f>
        <v>0</v>
      </c>
      <c r="R344" s="133">
        <f>SUMIFS(GestionLignesDemande!F$4:F$1000,GestionLignesDemande!$B$4:$B$1000,ROI_Avions!$A344,GestionLignesDemande!$C$4:$C$1000,ROI_Avions!$C344)</f>
        <v>0</v>
      </c>
      <c r="S344" s="133">
        <f>SUMIFS(GestionLignesDemande!G$4:G$1000,GestionLignesDemande!$B$4:$B$1000,ROI_Avions!$A344,GestionLignesDemande!$C$4:$C$1000,ROI_Avions!$C344)</f>
        <v>0</v>
      </c>
      <c r="T344" s="116"/>
      <c r="U344" s="206">
        <f t="shared" si="962"/>
        <v>765</v>
      </c>
      <c r="V344" s="206">
        <v>676</v>
      </c>
      <c r="W344" s="206">
        <v>63</v>
      </c>
      <c r="X344" s="206">
        <v>15</v>
      </c>
      <c r="Y344" s="206">
        <v>11</v>
      </c>
      <c r="Z344" s="116"/>
      <c r="AA344" s="132">
        <f t="shared" ref="AA344" si="1159">P344-(V344*2)</f>
        <v>-1352</v>
      </c>
      <c r="AB344" s="132">
        <f t="shared" ref="AB344" si="1160">Q344-(W344*2)</f>
        <v>-126</v>
      </c>
      <c r="AC344" s="132">
        <f t="shared" ref="AC344" si="1161">R344-(X344*2)</f>
        <v>-30</v>
      </c>
      <c r="AD344" s="132">
        <f t="shared" ref="AD344" si="1162">S344-(Y344*2)</f>
        <v>-22</v>
      </c>
      <c r="AE344" s="116"/>
      <c r="AF344" s="26">
        <f>SUMIFS(DataPrixBillets!N$1:N$1000,DataPrixBillets!$J$1:$J$1000,ROI_Avions!$A344,DataPrixBillets!$K$1:$K$1000,ROI_Avions!$C344)</f>
        <v>0</v>
      </c>
      <c r="AG344" s="26">
        <f>SUMIFS(DataPrixBillets!O$1:O$1000,DataPrixBillets!$J$1:$J$1000,ROI_Avions!$A344,DataPrixBillets!$K$1:$K$1000,ROI_Avions!$C344)</f>
        <v>0</v>
      </c>
      <c r="AH344" s="26">
        <f>SUMIFS(DataPrixBillets!P$1:P$1000,DataPrixBillets!$J$1:$J$1000,ROI_Avions!$A344,DataPrixBillets!$K$1:$K$1000,ROI_Avions!$C344)</f>
        <v>0</v>
      </c>
      <c r="AI344" s="26">
        <f>SUMIFS(DataPrixBillets!Q$1:Q$1000,DataPrixBillets!$J$1:$J$1000,ROI_Avions!$A344,DataPrixBillets!$K$1:$K$1000,ROI_Avions!$C344)</f>
        <v>0</v>
      </c>
      <c r="AJ344" s="116"/>
      <c r="AK344" s="206">
        <f t="shared" ref="AK344:AK357" si="1163">(((AF344*V344)*2+(AG344*W344)*2+(AH344*X344)*2+(AI344*Y344)*2)*7)</f>
        <v>0</v>
      </c>
      <c r="AL344" s="206" t="e">
        <f t="shared" ref="AL344:AL357" ca="1" si="1164">AK344-AM344</f>
        <v>#REF!</v>
      </c>
      <c r="AM344" s="206" t="e">
        <f t="shared" ref="AM344:AM357" ca="1" si="1165">AK344*$AM$2</f>
        <v>#REF!</v>
      </c>
      <c r="AN344" s="206" t="e">
        <f t="shared" ref="AN344:AN357" ca="1" si="1166">AL344*$AN$2</f>
        <v>#REF!</v>
      </c>
      <c r="AO344" s="206" t="e">
        <f t="shared" ref="AO344:AO357" ca="1" si="1167">(AL344-AN344-I344)*$AO$2</f>
        <v>#REF!</v>
      </c>
      <c r="AP344" s="206" t="e">
        <f t="shared" ref="AP344:AP357" ca="1" si="1168">AL344-AN344-(I344/7)-(AO344/7)</f>
        <v>#REF!</v>
      </c>
      <c r="AQ344" s="206" t="e">
        <f t="shared" ref="AQ344:AQ357" ca="1" si="1169">AP344/7</f>
        <v>#REF!</v>
      </c>
      <c r="AR344" s="207">
        <f t="shared" ca="1" si="1122"/>
        <v>0</v>
      </c>
      <c r="AS344" s="120">
        <f t="shared" ca="1" si="1057"/>
        <v>0</v>
      </c>
      <c r="AT344" s="206" t="e">
        <f t="shared" ref="AT344:AT357" ca="1" si="1170">IF(K344&gt;=1,AP344*K344,AP344*$AT$1)</f>
        <v>#REF!</v>
      </c>
    </row>
    <row r="345" spans="1:46" s="204" customFormat="1" x14ac:dyDescent="0.3">
      <c r="A345" s="209" t="s">
        <v>342</v>
      </c>
      <c r="B345" s="210">
        <v>897809549</v>
      </c>
      <c r="C345" s="209" t="s">
        <v>1117</v>
      </c>
      <c r="D345" s="145" t="str">
        <f t="shared" ref="D345:D371" si="1171">A345&amp;"/"&amp;C345</f>
        <v>DME/LUQ</v>
      </c>
      <c r="E345" s="210">
        <v>99552605</v>
      </c>
      <c r="F345" s="211" t="str">
        <f>"A380-A-"&amp;A345&amp;"-"&amp;C345&amp;"-"&amp;2</f>
        <v>A380-A-DME-LUQ-2</v>
      </c>
      <c r="G345" s="214">
        <v>323891100</v>
      </c>
      <c r="H345" s="116"/>
      <c r="I345" s="206"/>
      <c r="J345" s="206"/>
      <c r="K345" s="206"/>
      <c r="L345" s="53"/>
      <c r="M345" s="53"/>
      <c r="N345" s="116"/>
      <c r="O345" s="140"/>
      <c r="P345" s="133">
        <f>SUMIFS(GestionLignesDemande!D$4:D$1000,GestionLignesDemande!$B$4:$B$1000,ROI_Avions!$A345,GestionLignesDemande!$C$4:$C$1000,ROI_Avions!$C345)</f>
        <v>0</v>
      </c>
      <c r="Q345" s="133">
        <f>SUMIFS(GestionLignesDemande!E$4:E$1000,GestionLignesDemande!$B$4:$B$1000,ROI_Avions!$A345,GestionLignesDemande!$C$4:$C$1000,ROI_Avions!$C345)</f>
        <v>0</v>
      </c>
      <c r="R345" s="133">
        <f>SUMIFS(GestionLignesDemande!F$4:F$1000,GestionLignesDemande!$B$4:$B$1000,ROI_Avions!$A345,GestionLignesDemande!$C$4:$C$1000,ROI_Avions!$C345)</f>
        <v>0</v>
      </c>
      <c r="S345" s="133">
        <f>SUMIFS(GestionLignesDemande!G$4:G$1000,GestionLignesDemande!$B$4:$B$1000,ROI_Avions!$A345,GestionLignesDemande!$C$4:$C$1000,ROI_Avions!$C345)</f>
        <v>0</v>
      </c>
      <c r="T345" s="116"/>
      <c r="U345" s="206">
        <f t="shared" si="962"/>
        <v>765</v>
      </c>
      <c r="V345" s="206">
        <v>676</v>
      </c>
      <c r="W345" s="206">
        <v>63</v>
      </c>
      <c r="X345" s="206">
        <v>15</v>
      </c>
      <c r="Y345" s="206">
        <v>11</v>
      </c>
      <c r="Z345" s="116"/>
      <c r="AA345" s="132">
        <f t="shared" ref="AA345" si="1172">AA344-V345*2</f>
        <v>-2704</v>
      </c>
      <c r="AB345" s="132">
        <f t="shared" ref="AB345" si="1173">AB344-W345*2</f>
        <v>-252</v>
      </c>
      <c r="AC345" s="132">
        <f t="shared" ref="AC345" si="1174">AC344-X345*2</f>
        <v>-60</v>
      </c>
      <c r="AD345" s="132">
        <f t="shared" ref="AD345" si="1175">AD344-Y345*2</f>
        <v>-44</v>
      </c>
      <c r="AE345" s="116"/>
      <c r="AF345" s="26">
        <f>SUMIFS(DataPrixBillets!N$1:N$1000,DataPrixBillets!$J$1:$J$1000,ROI_Avions!$A345,DataPrixBillets!$K$1:$K$1000,ROI_Avions!$C345)</f>
        <v>0</v>
      </c>
      <c r="AG345" s="26">
        <f>SUMIFS(DataPrixBillets!O$1:O$1000,DataPrixBillets!$J$1:$J$1000,ROI_Avions!$A345,DataPrixBillets!$K$1:$K$1000,ROI_Avions!$C345)</f>
        <v>0</v>
      </c>
      <c r="AH345" s="26">
        <f>SUMIFS(DataPrixBillets!P$1:P$1000,DataPrixBillets!$J$1:$J$1000,ROI_Avions!$A345,DataPrixBillets!$K$1:$K$1000,ROI_Avions!$C345)</f>
        <v>0</v>
      </c>
      <c r="AI345" s="26">
        <f>SUMIFS(DataPrixBillets!Q$1:Q$1000,DataPrixBillets!$J$1:$J$1000,ROI_Avions!$A345,DataPrixBillets!$K$1:$K$1000,ROI_Avions!$C345)</f>
        <v>0</v>
      </c>
      <c r="AJ345" s="116"/>
      <c r="AK345" s="206">
        <f t="shared" si="1163"/>
        <v>0</v>
      </c>
      <c r="AL345" s="206" t="e">
        <f t="shared" ca="1" si="1164"/>
        <v>#REF!</v>
      </c>
      <c r="AM345" s="206" t="e">
        <f t="shared" ca="1" si="1165"/>
        <v>#REF!</v>
      </c>
      <c r="AN345" s="206" t="e">
        <f t="shared" ca="1" si="1166"/>
        <v>#REF!</v>
      </c>
      <c r="AO345" s="206" t="e">
        <f t="shared" ca="1" si="1167"/>
        <v>#REF!</v>
      </c>
      <c r="AP345" s="206" t="e">
        <f t="shared" ca="1" si="1168"/>
        <v>#REF!</v>
      </c>
      <c r="AQ345" s="206" t="e">
        <f t="shared" ca="1" si="1169"/>
        <v>#REF!</v>
      </c>
      <c r="AR345" s="207">
        <f t="shared" ca="1" si="1122"/>
        <v>0</v>
      </c>
      <c r="AS345" s="120">
        <f t="shared" ca="1" si="1057"/>
        <v>0</v>
      </c>
      <c r="AT345" s="206" t="e">
        <f t="shared" ca="1" si="1170"/>
        <v>#REF!</v>
      </c>
    </row>
    <row r="346" spans="1:46" s="204" customFormat="1" x14ac:dyDescent="0.3">
      <c r="A346" s="209" t="s">
        <v>342</v>
      </c>
      <c r="B346" s="210">
        <v>897809549</v>
      </c>
      <c r="C346" s="209" t="s">
        <v>1118</v>
      </c>
      <c r="D346" s="145" t="str">
        <f t="shared" si="1171"/>
        <v>DME/IRJ</v>
      </c>
      <c r="E346" s="210">
        <v>81391996</v>
      </c>
      <c r="F346" s="211" t="str">
        <f>"A380-A-"&amp;A346&amp;"-"&amp;C346&amp;"-"&amp;1</f>
        <v>A380-A-DME-IRJ-1</v>
      </c>
      <c r="G346" s="214">
        <v>323891100</v>
      </c>
      <c r="H346" s="116"/>
      <c r="I346" s="206"/>
      <c r="J346" s="206"/>
      <c r="K346" s="206"/>
      <c r="L346" s="53"/>
      <c r="M346" s="53"/>
      <c r="N346" s="116"/>
      <c r="O346" s="140"/>
      <c r="P346" s="133">
        <f>SUMIFS(GestionLignesDemande!D$4:D$1000,GestionLignesDemande!$B$4:$B$1000,ROI_Avions!$A346,GestionLignesDemande!$C$4:$C$1000,ROI_Avions!$C346)</f>
        <v>0</v>
      </c>
      <c r="Q346" s="133">
        <f>SUMIFS(GestionLignesDemande!E$4:E$1000,GestionLignesDemande!$B$4:$B$1000,ROI_Avions!$A346,GestionLignesDemande!$C$4:$C$1000,ROI_Avions!$C346)</f>
        <v>0</v>
      </c>
      <c r="R346" s="133">
        <f>SUMIFS(GestionLignesDemande!F$4:F$1000,GestionLignesDemande!$B$4:$B$1000,ROI_Avions!$A346,GestionLignesDemande!$C$4:$C$1000,ROI_Avions!$C346)</f>
        <v>0</v>
      </c>
      <c r="S346" s="133">
        <f>SUMIFS(GestionLignesDemande!G$4:G$1000,GestionLignesDemande!$B$4:$B$1000,ROI_Avions!$A346,GestionLignesDemande!$C$4:$C$1000,ROI_Avions!$C346)</f>
        <v>0</v>
      </c>
      <c r="T346" s="116"/>
      <c r="U346" s="206">
        <f t="shared" si="962"/>
        <v>765</v>
      </c>
      <c r="V346" s="206">
        <v>676</v>
      </c>
      <c r="W346" s="206">
        <v>63</v>
      </c>
      <c r="X346" s="206">
        <v>15</v>
      </c>
      <c r="Y346" s="206">
        <v>11</v>
      </c>
      <c r="Z346" s="116"/>
      <c r="AA346" s="132">
        <f t="shared" ref="AA346" si="1176">P346-(V346*2)</f>
        <v>-1352</v>
      </c>
      <c r="AB346" s="132">
        <f t="shared" ref="AB346" si="1177">Q346-(W346*2)</f>
        <v>-126</v>
      </c>
      <c r="AC346" s="132">
        <f t="shared" ref="AC346" si="1178">R346-(X346*2)</f>
        <v>-30</v>
      </c>
      <c r="AD346" s="132">
        <f t="shared" ref="AD346" si="1179">S346-(Y346*2)</f>
        <v>-22</v>
      </c>
      <c r="AE346" s="116"/>
      <c r="AF346" s="26">
        <f>SUMIFS(DataPrixBillets!N$1:N$1000,DataPrixBillets!$J$1:$J$1000,ROI_Avions!$A346,DataPrixBillets!$K$1:$K$1000,ROI_Avions!$C346)</f>
        <v>0</v>
      </c>
      <c r="AG346" s="26">
        <f>SUMIFS(DataPrixBillets!O$1:O$1000,DataPrixBillets!$J$1:$J$1000,ROI_Avions!$A346,DataPrixBillets!$K$1:$K$1000,ROI_Avions!$C346)</f>
        <v>0</v>
      </c>
      <c r="AH346" s="26">
        <f>SUMIFS(DataPrixBillets!P$1:P$1000,DataPrixBillets!$J$1:$J$1000,ROI_Avions!$A346,DataPrixBillets!$K$1:$K$1000,ROI_Avions!$C346)</f>
        <v>0</v>
      </c>
      <c r="AI346" s="26">
        <f>SUMIFS(DataPrixBillets!Q$1:Q$1000,DataPrixBillets!$J$1:$J$1000,ROI_Avions!$A346,DataPrixBillets!$K$1:$K$1000,ROI_Avions!$C346)</f>
        <v>0</v>
      </c>
      <c r="AJ346" s="116"/>
      <c r="AK346" s="206">
        <f t="shared" si="1163"/>
        <v>0</v>
      </c>
      <c r="AL346" s="206" t="e">
        <f t="shared" ca="1" si="1164"/>
        <v>#REF!</v>
      </c>
      <c r="AM346" s="206" t="e">
        <f t="shared" ca="1" si="1165"/>
        <v>#REF!</v>
      </c>
      <c r="AN346" s="206" t="e">
        <f t="shared" ca="1" si="1166"/>
        <v>#REF!</v>
      </c>
      <c r="AO346" s="206" t="e">
        <f t="shared" ca="1" si="1167"/>
        <v>#REF!</v>
      </c>
      <c r="AP346" s="206" t="e">
        <f t="shared" ca="1" si="1168"/>
        <v>#REF!</v>
      </c>
      <c r="AQ346" s="206" t="e">
        <f t="shared" ca="1" si="1169"/>
        <v>#REF!</v>
      </c>
      <c r="AR346" s="207">
        <f t="shared" ca="1" si="1122"/>
        <v>0</v>
      </c>
      <c r="AS346" s="120">
        <f t="shared" ca="1" si="1057"/>
        <v>0</v>
      </c>
      <c r="AT346" s="206" t="e">
        <f t="shared" ca="1" si="1170"/>
        <v>#REF!</v>
      </c>
    </row>
    <row r="347" spans="1:46" s="204" customFormat="1" x14ac:dyDescent="0.3">
      <c r="A347" s="209" t="s">
        <v>342</v>
      </c>
      <c r="B347" s="210">
        <v>897809549</v>
      </c>
      <c r="C347" s="209" t="s">
        <v>1118</v>
      </c>
      <c r="D347" s="145" t="str">
        <f t="shared" si="1171"/>
        <v>DME/IRJ</v>
      </c>
      <c r="E347" s="210">
        <v>81391996</v>
      </c>
      <c r="F347" s="211" t="str">
        <f>"A380-A-"&amp;A347&amp;"-"&amp;C347&amp;"-"&amp;2</f>
        <v>A380-A-DME-IRJ-2</v>
      </c>
      <c r="G347" s="214">
        <v>323891100</v>
      </c>
      <c r="H347" s="116"/>
      <c r="I347" s="206"/>
      <c r="J347" s="206"/>
      <c r="K347" s="206"/>
      <c r="L347" s="53"/>
      <c r="M347" s="53"/>
      <c r="N347" s="116"/>
      <c r="O347" s="140"/>
      <c r="P347" s="133">
        <f>SUMIFS(GestionLignesDemande!D$4:D$1000,GestionLignesDemande!$B$4:$B$1000,ROI_Avions!$A347,GestionLignesDemande!$C$4:$C$1000,ROI_Avions!$C347)</f>
        <v>0</v>
      </c>
      <c r="Q347" s="133">
        <f>SUMIFS(GestionLignesDemande!E$4:E$1000,GestionLignesDemande!$B$4:$B$1000,ROI_Avions!$A347,GestionLignesDemande!$C$4:$C$1000,ROI_Avions!$C347)</f>
        <v>0</v>
      </c>
      <c r="R347" s="133">
        <f>SUMIFS(GestionLignesDemande!F$4:F$1000,GestionLignesDemande!$B$4:$B$1000,ROI_Avions!$A347,GestionLignesDemande!$C$4:$C$1000,ROI_Avions!$C347)</f>
        <v>0</v>
      </c>
      <c r="S347" s="133">
        <f>SUMIFS(GestionLignesDemande!G$4:G$1000,GestionLignesDemande!$B$4:$B$1000,ROI_Avions!$A347,GestionLignesDemande!$C$4:$C$1000,ROI_Avions!$C347)</f>
        <v>0</v>
      </c>
      <c r="T347" s="116"/>
      <c r="U347" s="206">
        <f t="shared" si="962"/>
        <v>765</v>
      </c>
      <c r="V347" s="206">
        <v>676</v>
      </c>
      <c r="W347" s="206">
        <v>63</v>
      </c>
      <c r="X347" s="206">
        <v>15</v>
      </c>
      <c r="Y347" s="206">
        <v>11</v>
      </c>
      <c r="Z347" s="116"/>
      <c r="AA347" s="132">
        <f t="shared" ref="AA347" si="1180">AA346-V347*2</f>
        <v>-2704</v>
      </c>
      <c r="AB347" s="132">
        <f t="shared" ref="AB347" si="1181">AB346-W347*2</f>
        <v>-252</v>
      </c>
      <c r="AC347" s="132">
        <f t="shared" ref="AC347" si="1182">AC346-X347*2</f>
        <v>-60</v>
      </c>
      <c r="AD347" s="132">
        <f t="shared" ref="AD347" si="1183">AD346-Y347*2</f>
        <v>-44</v>
      </c>
      <c r="AE347" s="116"/>
      <c r="AF347" s="26">
        <f>SUMIFS(DataPrixBillets!N$1:N$1000,DataPrixBillets!$J$1:$J$1000,ROI_Avions!$A347,DataPrixBillets!$K$1:$K$1000,ROI_Avions!$C347)</f>
        <v>0</v>
      </c>
      <c r="AG347" s="26">
        <f>SUMIFS(DataPrixBillets!O$1:O$1000,DataPrixBillets!$J$1:$J$1000,ROI_Avions!$A347,DataPrixBillets!$K$1:$K$1000,ROI_Avions!$C347)</f>
        <v>0</v>
      </c>
      <c r="AH347" s="26">
        <f>SUMIFS(DataPrixBillets!P$1:P$1000,DataPrixBillets!$J$1:$J$1000,ROI_Avions!$A347,DataPrixBillets!$K$1:$K$1000,ROI_Avions!$C347)</f>
        <v>0</v>
      </c>
      <c r="AI347" s="26">
        <f>SUMIFS(DataPrixBillets!Q$1:Q$1000,DataPrixBillets!$J$1:$J$1000,ROI_Avions!$A347,DataPrixBillets!$K$1:$K$1000,ROI_Avions!$C347)</f>
        <v>0</v>
      </c>
      <c r="AJ347" s="116"/>
      <c r="AK347" s="206">
        <f t="shared" si="1163"/>
        <v>0</v>
      </c>
      <c r="AL347" s="206" t="e">
        <f t="shared" ca="1" si="1164"/>
        <v>#REF!</v>
      </c>
      <c r="AM347" s="206" t="e">
        <f t="shared" ca="1" si="1165"/>
        <v>#REF!</v>
      </c>
      <c r="AN347" s="206" t="e">
        <f t="shared" ca="1" si="1166"/>
        <v>#REF!</v>
      </c>
      <c r="AO347" s="206" t="e">
        <f t="shared" ca="1" si="1167"/>
        <v>#REF!</v>
      </c>
      <c r="AP347" s="206" t="e">
        <f t="shared" ca="1" si="1168"/>
        <v>#REF!</v>
      </c>
      <c r="AQ347" s="206" t="e">
        <f t="shared" ca="1" si="1169"/>
        <v>#REF!</v>
      </c>
      <c r="AR347" s="207">
        <f t="shared" ca="1" si="1122"/>
        <v>0</v>
      </c>
      <c r="AS347" s="120">
        <f t="shared" ca="1" si="1057"/>
        <v>0</v>
      </c>
      <c r="AT347" s="206" t="e">
        <f t="shared" ca="1" si="1170"/>
        <v>#REF!</v>
      </c>
    </row>
    <row r="348" spans="1:46" s="204" customFormat="1" x14ac:dyDescent="0.3">
      <c r="A348" s="209" t="s">
        <v>342</v>
      </c>
      <c r="B348" s="210">
        <v>897809549</v>
      </c>
      <c r="C348" s="209" t="s">
        <v>1119</v>
      </c>
      <c r="D348" s="145" t="str">
        <f t="shared" si="1171"/>
        <v>DME/ROS</v>
      </c>
      <c r="E348" s="210">
        <v>67040978</v>
      </c>
      <c r="F348" s="211" t="str">
        <f>"A380-A-"&amp;A348&amp;"-"&amp;C348&amp;"-"&amp;1</f>
        <v>A380-A-DME-ROS-1</v>
      </c>
      <c r="G348" s="214">
        <v>323891100</v>
      </c>
      <c r="H348" s="116"/>
      <c r="I348" s="206"/>
      <c r="J348" s="206"/>
      <c r="K348" s="206"/>
      <c r="L348" s="53"/>
      <c r="M348" s="53"/>
      <c r="N348" s="116"/>
      <c r="O348" s="140"/>
      <c r="P348" s="133">
        <f>SUMIFS(GestionLignesDemande!D$4:D$1000,GestionLignesDemande!$B$4:$B$1000,ROI_Avions!$A348,GestionLignesDemande!$C$4:$C$1000,ROI_Avions!$C348)</f>
        <v>0</v>
      </c>
      <c r="Q348" s="133">
        <f>SUMIFS(GestionLignesDemande!E$4:E$1000,GestionLignesDemande!$B$4:$B$1000,ROI_Avions!$A348,GestionLignesDemande!$C$4:$C$1000,ROI_Avions!$C348)</f>
        <v>0</v>
      </c>
      <c r="R348" s="133">
        <f>SUMIFS(GestionLignesDemande!F$4:F$1000,GestionLignesDemande!$B$4:$B$1000,ROI_Avions!$A348,GestionLignesDemande!$C$4:$C$1000,ROI_Avions!$C348)</f>
        <v>0</v>
      </c>
      <c r="S348" s="133">
        <f>SUMIFS(GestionLignesDemande!G$4:G$1000,GestionLignesDemande!$B$4:$B$1000,ROI_Avions!$A348,GestionLignesDemande!$C$4:$C$1000,ROI_Avions!$C348)</f>
        <v>0</v>
      </c>
      <c r="T348" s="116"/>
      <c r="U348" s="206">
        <f t="shared" si="962"/>
        <v>765</v>
      </c>
      <c r="V348" s="206">
        <v>676</v>
      </c>
      <c r="W348" s="206">
        <v>63</v>
      </c>
      <c r="X348" s="206">
        <v>15</v>
      </c>
      <c r="Y348" s="206">
        <v>11</v>
      </c>
      <c r="Z348" s="116"/>
      <c r="AA348" s="132">
        <f t="shared" ref="AA348" si="1184">P348-(V348*2)</f>
        <v>-1352</v>
      </c>
      <c r="AB348" s="132">
        <f t="shared" ref="AB348" si="1185">Q348-(W348*2)</f>
        <v>-126</v>
      </c>
      <c r="AC348" s="132">
        <f t="shared" ref="AC348" si="1186">R348-(X348*2)</f>
        <v>-30</v>
      </c>
      <c r="AD348" s="132">
        <f t="shared" ref="AD348" si="1187">S348-(Y348*2)</f>
        <v>-22</v>
      </c>
      <c r="AE348" s="116"/>
      <c r="AF348" s="26">
        <f>SUMIFS(DataPrixBillets!N$1:N$1000,DataPrixBillets!$J$1:$J$1000,ROI_Avions!$A348,DataPrixBillets!$K$1:$K$1000,ROI_Avions!$C348)</f>
        <v>0</v>
      </c>
      <c r="AG348" s="26">
        <f>SUMIFS(DataPrixBillets!O$1:O$1000,DataPrixBillets!$J$1:$J$1000,ROI_Avions!$A348,DataPrixBillets!$K$1:$K$1000,ROI_Avions!$C348)</f>
        <v>0</v>
      </c>
      <c r="AH348" s="26">
        <f>SUMIFS(DataPrixBillets!P$1:P$1000,DataPrixBillets!$J$1:$J$1000,ROI_Avions!$A348,DataPrixBillets!$K$1:$K$1000,ROI_Avions!$C348)</f>
        <v>0</v>
      </c>
      <c r="AI348" s="26">
        <f>SUMIFS(DataPrixBillets!Q$1:Q$1000,DataPrixBillets!$J$1:$J$1000,ROI_Avions!$A348,DataPrixBillets!$K$1:$K$1000,ROI_Avions!$C348)</f>
        <v>0</v>
      </c>
      <c r="AJ348" s="116"/>
      <c r="AK348" s="206">
        <f t="shared" si="1163"/>
        <v>0</v>
      </c>
      <c r="AL348" s="206" t="e">
        <f t="shared" ca="1" si="1164"/>
        <v>#REF!</v>
      </c>
      <c r="AM348" s="206" t="e">
        <f t="shared" ca="1" si="1165"/>
        <v>#REF!</v>
      </c>
      <c r="AN348" s="206" t="e">
        <f t="shared" ca="1" si="1166"/>
        <v>#REF!</v>
      </c>
      <c r="AO348" s="206" t="e">
        <f t="shared" ca="1" si="1167"/>
        <v>#REF!</v>
      </c>
      <c r="AP348" s="206" t="e">
        <f t="shared" ca="1" si="1168"/>
        <v>#REF!</v>
      </c>
      <c r="AQ348" s="206" t="e">
        <f t="shared" ca="1" si="1169"/>
        <v>#REF!</v>
      </c>
      <c r="AR348" s="207">
        <f t="shared" ca="1" si="1122"/>
        <v>0</v>
      </c>
      <c r="AS348" s="120">
        <f t="shared" ca="1" si="1057"/>
        <v>0</v>
      </c>
      <c r="AT348" s="206" t="e">
        <f t="shared" ca="1" si="1170"/>
        <v>#REF!</v>
      </c>
    </row>
    <row r="349" spans="1:46" s="204" customFormat="1" x14ac:dyDescent="0.3">
      <c r="A349" s="209" t="s">
        <v>342</v>
      </c>
      <c r="B349" s="210">
        <v>897809549</v>
      </c>
      <c r="C349" s="209" t="s">
        <v>1119</v>
      </c>
      <c r="D349" s="145" t="str">
        <f t="shared" si="1171"/>
        <v>DME/ROS</v>
      </c>
      <c r="E349" s="210">
        <v>67040978</v>
      </c>
      <c r="F349" s="211" t="str">
        <f>"A380-A-"&amp;A349&amp;"-"&amp;C349&amp;"-"&amp;2</f>
        <v>A380-A-DME-ROS-2</v>
      </c>
      <c r="G349" s="214">
        <v>323891100</v>
      </c>
      <c r="H349" s="116"/>
      <c r="I349" s="206"/>
      <c r="J349" s="206"/>
      <c r="K349" s="206"/>
      <c r="L349" s="53"/>
      <c r="M349" s="53"/>
      <c r="N349" s="116"/>
      <c r="O349" s="140"/>
      <c r="P349" s="133">
        <f>SUMIFS(GestionLignesDemande!D$4:D$1000,GestionLignesDemande!$B$4:$B$1000,ROI_Avions!$A349,GestionLignesDemande!$C$4:$C$1000,ROI_Avions!$C349)</f>
        <v>0</v>
      </c>
      <c r="Q349" s="133">
        <f>SUMIFS(GestionLignesDemande!E$4:E$1000,GestionLignesDemande!$B$4:$B$1000,ROI_Avions!$A349,GestionLignesDemande!$C$4:$C$1000,ROI_Avions!$C349)</f>
        <v>0</v>
      </c>
      <c r="R349" s="133">
        <f>SUMIFS(GestionLignesDemande!F$4:F$1000,GestionLignesDemande!$B$4:$B$1000,ROI_Avions!$A349,GestionLignesDemande!$C$4:$C$1000,ROI_Avions!$C349)</f>
        <v>0</v>
      </c>
      <c r="S349" s="133">
        <f>SUMIFS(GestionLignesDemande!G$4:G$1000,GestionLignesDemande!$B$4:$B$1000,ROI_Avions!$A349,GestionLignesDemande!$C$4:$C$1000,ROI_Avions!$C349)</f>
        <v>0</v>
      </c>
      <c r="T349" s="116"/>
      <c r="U349" s="206">
        <f t="shared" si="962"/>
        <v>765</v>
      </c>
      <c r="V349" s="206">
        <v>676</v>
      </c>
      <c r="W349" s="206">
        <v>63</v>
      </c>
      <c r="X349" s="206">
        <v>15</v>
      </c>
      <c r="Y349" s="206">
        <v>11</v>
      </c>
      <c r="Z349" s="116"/>
      <c r="AA349" s="132">
        <f t="shared" ref="AA349" si="1188">AA348-V349*2</f>
        <v>-2704</v>
      </c>
      <c r="AB349" s="132">
        <f t="shared" ref="AB349" si="1189">AB348-W349*2</f>
        <v>-252</v>
      </c>
      <c r="AC349" s="132">
        <f t="shared" ref="AC349" si="1190">AC348-X349*2</f>
        <v>-60</v>
      </c>
      <c r="AD349" s="132">
        <f t="shared" ref="AD349" si="1191">AD348-Y349*2</f>
        <v>-44</v>
      </c>
      <c r="AE349" s="116"/>
      <c r="AF349" s="26">
        <f>SUMIFS(DataPrixBillets!N$1:N$1000,DataPrixBillets!$J$1:$J$1000,ROI_Avions!$A349,DataPrixBillets!$K$1:$K$1000,ROI_Avions!$C349)</f>
        <v>0</v>
      </c>
      <c r="AG349" s="26">
        <f>SUMIFS(DataPrixBillets!O$1:O$1000,DataPrixBillets!$J$1:$J$1000,ROI_Avions!$A349,DataPrixBillets!$K$1:$K$1000,ROI_Avions!$C349)</f>
        <v>0</v>
      </c>
      <c r="AH349" s="26">
        <f>SUMIFS(DataPrixBillets!P$1:P$1000,DataPrixBillets!$J$1:$J$1000,ROI_Avions!$A349,DataPrixBillets!$K$1:$K$1000,ROI_Avions!$C349)</f>
        <v>0</v>
      </c>
      <c r="AI349" s="26">
        <f>SUMIFS(DataPrixBillets!Q$1:Q$1000,DataPrixBillets!$J$1:$J$1000,ROI_Avions!$A349,DataPrixBillets!$K$1:$K$1000,ROI_Avions!$C349)</f>
        <v>0</v>
      </c>
      <c r="AJ349" s="116"/>
      <c r="AK349" s="206">
        <f t="shared" si="1163"/>
        <v>0</v>
      </c>
      <c r="AL349" s="206" t="e">
        <f t="shared" ca="1" si="1164"/>
        <v>#REF!</v>
      </c>
      <c r="AM349" s="206" t="e">
        <f t="shared" ca="1" si="1165"/>
        <v>#REF!</v>
      </c>
      <c r="AN349" s="206" t="e">
        <f t="shared" ca="1" si="1166"/>
        <v>#REF!</v>
      </c>
      <c r="AO349" s="206" t="e">
        <f t="shared" ca="1" si="1167"/>
        <v>#REF!</v>
      </c>
      <c r="AP349" s="206" t="e">
        <f t="shared" ca="1" si="1168"/>
        <v>#REF!</v>
      </c>
      <c r="AQ349" s="206" t="e">
        <f t="shared" ca="1" si="1169"/>
        <v>#REF!</v>
      </c>
      <c r="AR349" s="207">
        <f t="shared" ca="1" si="1122"/>
        <v>0</v>
      </c>
      <c r="AS349" s="120">
        <f t="shared" ca="1" si="1057"/>
        <v>0</v>
      </c>
      <c r="AT349" s="206" t="e">
        <f t="shared" ca="1" si="1170"/>
        <v>#REF!</v>
      </c>
    </row>
    <row r="350" spans="1:46" s="204" customFormat="1" x14ac:dyDescent="0.3">
      <c r="A350" s="209" t="s">
        <v>342</v>
      </c>
      <c r="B350" s="210">
        <v>897809549</v>
      </c>
      <c r="C350" s="209" t="s">
        <v>1120</v>
      </c>
      <c r="D350" s="145" t="str">
        <f t="shared" si="1171"/>
        <v>DME/CTC</v>
      </c>
      <c r="E350" s="210">
        <v>55633129</v>
      </c>
      <c r="F350" s="211" t="str">
        <f>"A380-A-"&amp;A350&amp;"-"&amp;C350&amp;"-"&amp;1</f>
        <v>A380-A-DME-CTC-1</v>
      </c>
      <c r="G350" s="214">
        <v>323891100</v>
      </c>
      <c r="H350" s="116"/>
      <c r="I350" s="206"/>
      <c r="J350" s="206"/>
      <c r="K350" s="206"/>
      <c r="L350" s="53"/>
      <c r="M350" s="53"/>
      <c r="N350" s="116"/>
      <c r="O350" s="140"/>
      <c r="P350" s="133">
        <f>SUMIFS(GestionLignesDemande!D$4:D$1000,GestionLignesDemande!$B$4:$B$1000,ROI_Avions!$A350,GestionLignesDemande!$C$4:$C$1000,ROI_Avions!$C350)</f>
        <v>0</v>
      </c>
      <c r="Q350" s="133">
        <f>SUMIFS(GestionLignesDemande!E$4:E$1000,GestionLignesDemande!$B$4:$B$1000,ROI_Avions!$A350,GestionLignesDemande!$C$4:$C$1000,ROI_Avions!$C350)</f>
        <v>0</v>
      </c>
      <c r="R350" s="133">
        <f>SUMIFS(GestionLignesDemande!F$4:F$1000,GestionLignesDemande!$B$4:$B$1000,ROI_Avions!$A350,GestionLignesDemande!$C$4:$C$1000,ROI_Avions!$C350)</f>
        <v>0</v>
      </c>
      <c r="S350" s="133">
        <f>SUMIFS(GestionLignesDemande!G$4:G$1000,GestionLignesDemande!$B$4:$B$1000,ROI_Avions!$A350,GestionLignesDemande!$C$4:$C$1000,ROI_Avions!$C350)</f>
        <v>0</v>
      </c>
      <c r="T350" s="116"/>
      <c r="U350" s="206">
        <f t="shared" si="962"/>
        <v>765</v>
      </c>
      <c r="V350" s="206">
        <v>676</v>
      </c>
      <c r="W350" s="206">
        <v>63</v>
      </c>
      <c r="X350" s="206">
        <v>15</v>
      </c>
      <c r="Y350" s="206">
        <v>11</v>
      </c>
      <c r="Z350" s="116"/>
      <c r="AA350" s="132">
        <f t="shared" ref="AA350" si="1192">P350-(V350*2)</f>
        <v>-1352</v>
      </c>
      <c r="AB350" s="132">
        <f t="shared" ref="AB350" si="1193">Q350-(W350*2)</f>
        <v>-126</v>
      </c>
      <c r="AC350" s="132">
        <f t="shared" ref="AC350" si="1194">R350-(X350*2)</f>
        <v>-30</v>
      </c>
      <c r="AD350" s="132">
        <f t="shared" ref="AD350" si="1195">S350-(Y350*2)</f>
        <v>-22</v>
      </c>
      <c r="AE350" s="116"/>
      <c r="AF350" s="26">
        <f>SUMIFS(DataPrixBillets!N$1:N$1000,DataPrixBillets!$J$1:$J$1000,ROI_Avions!$A350,DataPrixBillets!$K$1:$K$1000,ROI_Avions!$C350)</f>
        <v>0</v>
      </c>
      <c r="AG350" s="26">
        <f>SUMIFS(DataPrixBillets!O$1:O$1000,DataPrixBillets!$J$1:$J$1000,ROI_Avions!$A350,DataPrixBillets!$K$1:$K$1000,ROI_Avions!$C350)</f>
        <v>0</v>
      </c>
      <c r="AH350" s="26">
        <f>SUMIFS(DataPrixBillets!P$1:P$1000,DataPrixBillets!$J$1:$J$1000,ROI_Avions!$A350,DataPrixBillets!$K$1:$K$1000,ROI_Avions!$C350)</f>
        <v>0</v>
      </c>
      <c r="AI350" s="26">
        <f>SUMIFS(DataPrixBillets!Q$1:Q$1000,DataPrixBillets!$J$1:$J$1000,ROI_Avions!$A350,DataPrixBillets!$K$1:$K$1000,ROI_Avions!$C350)</f>
        <v>0</v>
      </c>
      <c r="AJ350" s="116"/>
      <c r="AK350" s="206">
        <f t="shared" si="1163"/>
        <v>0</v>
      </c>
      <c r="AL350" s="206" t="e">
        <f t="shared" ca="1" si="1164"/>
        <v>#REF!</v>
      </c>
      <c r="AM350" s="206" t="e">
        <f t="shared" ca="1" si="1165"/>
        <v>#REF!</v>
      </c>
      <c r="AN350" s="206" t="e">
        <f t="shared" ca="1" si="1166"/>
        <v>#REF!</v>
      </c>
      <c r="AO350" s="206" t="e">
        <f t="shared" ca="1" si="1167"/>
        <v>#REF!</v>
      </c>
      <c r="AP350" s="206" t="e">
        <f t="shared" ca="1" si="1168"/>
        <v>#REF!</v>
      </c>
      <c r="AQ350" s="206" t="e">
        <f t="shared" ca="1" si="1169"/>
        <v>#REF!</v>
      </c>
      <c r="AR350" s="207">
        <f t="shared" ca="1" si="1122"/>
        <v>0</v>
      </c>
      <c r="AS350" s="120">
        <f t="shared" ca="1" si="1057"/>
        <v>0</v>
      </c>
      <c r="AT350" s="206" t="e">
        <f t="shared" ca="1" si="1170"/>
        <v>#REF!</v>
      </c>
    </row>
    <row r="351" spans="1:46" s="204" customFormat="1" x14ac:dyDescent="0.3">
      <c r="A351" s="209" t="s">
        <v>342</v>
      </c>
      <c r="B351" s="210">
        <v>897809549</v>
      </c>
      <c r="C351" s="209" t="s">
        <v>1120</v>
      </c>
      <c r="D351" s="145" t="str">
        <f t="shared" si="1171"/>
        <v>DME/CTC</v>
      </c>
      <c r="E351" s="210">
        <v>55633129</v>
      </c>
      <c r="F351" s="211" t="str">
        <f>"A380-A-"&amp;A351&amp;"-"&amp;C351&amp;"-"&amp;2</f>
        <v>A380-A-DME-CTC-2</v>
      </c>
      <c r="G351" s="214">
        <v>323891100</v>
      </c>
      <c r="H351" s="116"/>
      <c r="I351" s="206"/>
      <c r="J351" s="206"/>
      <c r="K351" s="206"/>
      <c r="L351" s="53"/>
      <c r="M351" s="53"/>
      <c r="N351" s="116"/>
      <c r="O351" s="140"/>
      <c r="P351" s="133">
        <f>SUMIFS(GestionLignesDemande!D$4:D$1000,GestionLignesDemande!$B$4:$B$1000,ROI_Avions!$A351,GestionLignesDemande!$C$4:$C$1000,ROI_Avions!$C351)</f>
        <v>0</v>
      </c>
      <c r="Q351" s="133">
        <f>SUMIFS(GestionLignesDemande!E$4:E$1000,GestionLignesDemande!$B$4:$B$1000,ROI_Avions!$A351,GestionLignesDemande!$C$4:$C$1000,ROI_Avions!$C351)</f>
        <v>0</v>
      </c>
      <c r="R351" s="133">
        <f>SUMIFS(GestionLignesDemande!F$4:F$1000,GestionLignesDemande!$B$4:$B$1000,ROI_Avions!$A351,GestionLignesDemande!$C$4:$C$1000,ROI_Avions!$C351)</f>
        <v>0</v>
      </c>
      <c r="S351" s="133">
        <f>SUMIFS(GestionLignesDemande!G$4:G$1000,GestionLignesDemande!$B$4:$B$1000,ROI_Avions!$A351,GestionLignesDemande!$C$4:$C$1000,ROI_Avions!$C351)</f>
        <v>0</v>
      </c>
      <c r="T351" s="116"/>
      <c r="U351" s="206">
        <f t="shared" si="962"/>
        <v>765</v>
      </c>
      <c r="V351" s="206">
        <v>676</v>
      </c>
      <c r="W351" s="206">
        <v>63</v>
      </c>
      <c r="X351" s="206">
        <v>15</v>
      </c>
      <c r="Y351" s="206">
        <v>11</v>
      </c>
      <c r="Z351" s="116"/>
      <c r="AA351" s="132">
        <f t="shared" ref="AA351" si="1196">AA350-V351*2</f>
        <v>-2704</v>
      </c>
      <c r="AB351" s="132">
        <f t="shared" ref="AB351" si="1197">AB350-W351*2</f>
        <v>-252</v>
      </c>
      <c r="AC351" s="132">
        <f t="shared" ref="AC351" si="1198">AC350-X351*2</f>
        <v>-60</v>
      </c>
      <c r="AD351" s="132">
        <f t="shared" ref="AD351" si="1199">AD350-Y351*2</f>
        <v>-44</v>
      </c>
      <c r="AE351" s="116"/>
      <c r="AF351" s="26">
        <f>SUMIFS(DataPrixBillets!N$1:N$1000,DataPrixBillets!$J$1:$J$1000,ROI_Avions!$A351,DataPrixBillets!$K$1:$K$1000,ROI_Avions!$C351)</f>
        <v>0</v>
      </c>
      <c r="AG351" s="26">
        <f>SUMIFS(DataPrixBillets!O$1:O$1000,DataPrixBillets!$J$1:$J$1000,ROI_Avions!$A351,DataPrixBillets!$K$1:$K$1000,ROI_Avions!$C351)</f>
        <v>0</v>
      </c>
      <c r="AH351" s="26">
        <f>SUMIFS(DataPrixBillets!P$1:P$1000,DataPrixBillets!$J$1:$J$1000,ROI_Avions!$A351,DataPrixBillets!$K$1:$K$1000,ROI_Avions!$C351)</f>
        <v>0</v>
      </c>
      <c r="AI351" s="26">
        <f>SUMIFS(DataPrixBillets!Q$1:Q$1000,DataPrixBillets!$J$1:$J$1000,ROI_Avions!$A351,DataPrixBillets!$K$1:$K$1000,ROI_Avions!$C351)</f>
        <v>0</v>
      </c>
      <c r="AJ351" s="116"/>
      <c r="AK351" s="206">
        <f t="shared" si="1163"/>
        <v>0</v>
      </c>
      <c r="AL351" s="206" t="e">
        <f t="shared" ca="1" si="1164"/>
        <v>#REF!</v>
      </c>
      <c r="AM351" s="206" t="e">
        <f t="shared" ca="1" si="1165"/>
        <v>#REF!</v>
      </c>
      <c r="AN351" s="206" t="e">
        <f t="shared" ca="1" si="1166"/>
        <v>#REF!</v>
      </c>
      <c r="AO351" s="206" t="e">
        <f t="shared" ca="1" si="1167"/>
        <v>#REF!</v>
      </c>
      <c r="AP351" s="206" t="e">
        <f t="shared" ca="1" si="1168"/>
        <v>#REF!</v>
      </c>
      <c r="AQ351" s="206" t="e">
        <f t="shared" ca="1" si="1169"/>
        <v>#REF!</v>
      </c>
      <c r="AR351" s="207">
        <f t="shared" ca="1" si="1122"/>
        <v>0</v>
      </c>
      <c r="AS351" s="120">
        <f t="shared" ref="AS351:AS371" ca="1" si="1200">IFERROR(((B351/COUNTIFS(A:A,A351))+(E351/COUNTIFS(A:A,A351,C:C,C351))+I351*K351+J351+G351)/(AP351/7),0)</f>
        <v>0</v>
      </c>
      <c r="AT351" s="206" t="e">
        <f t="shared" ca="1" si="1170"/>
        <v>#REF!</v>
      </c>
    </row>
    <row r="352" spans="1:46" s="204" customFormat="1" x14ac:dyDescent="0.3">
      <c r="A352" s="209" t="s">
        <v>342</v>
      </c>
      <c r="B352" s="210">
        <v>897809549</v>
      </c>
      <c r="C352" s="209" t="s">
        <v>1121</v>
      </c>
      <c r="D352" s="145" t="str">
        <f t="shared" si="1171"/>
        <v>DME/JUJ</v>
      </c>
      <c r="E352" s="210">
        <v>45443100</v>
      </c>
      <c r="F352" s="211" t="str">
        <f>"A380-A-"&amp;A352&amp;"-"&amp;C352&amp;"-"&amp;1</f>
        <v>A380-A-DME-JUJ-1</v>
      </c>
      <c r="G352" s="214">
        <v>323891100</v>
      </c>
      <c r="H352" s="116"/>
      <c r="I352" s="206"/>
      <c r="J352" s="206"/>
      <c r="K352" s="206"/>
      <c r="L352" s="53"/>
      <c r="M352" s="53"/>
      <c r="N352" s="116"/>
      <c r="O352" s="140"/>
      <c r="P352" s="133">
        <f>SUMIFS(GestionLignesDemande!D$4:D$1000,GestionLignesDemande!$B$4:$B$1000,ROI_Avions!$A352,GestionLignesDemande!$C$4:$C$1000,ROI_Avions!$C352)</f>
        <v>0</v>
      </c>
      <c r="Q352" s="133">
        <f>SUMIFS(GestionLignesDemande!E$4:E$1000,GestionLignesDemande!$B$4:$B$1000,ROI_Avions!$A352,GestionLignesDemande!$C$4:$C$1000,ROI_Avions!$C352)</f>
        <v>0</v>
      </c>
      <c r="R352" s="133">
        <f>SUMIFS(GestionLignesDemande!F$4:F$1000,GestionLignesDemande!$B$4:$B$1000,ROI_Avions!$A352,GestionLignesDemande!$C$4:$C$1000,ROI_Avions!$C352)</f>
        <v>0</v>
      </c>
      <c r="S352" s="133">
        <f>SUMIFS(GestionLignesDemande!G$4:G$1000,GestionLignesDemande!$B$4:$B$1000,ROI_Avions!$A352,GestionLignesDemande!$C$4:$C$1000,ROI_Avions!$C352)</f>
        <v>0</v>
      </c>
      <c r="T352" s="116"/>
      <c r="U352" s="206">
        <f t="shared" ref="U352:U371" si="1201">SUM(V352:Y352)</f>
        <v>765</v>
      </c>
      <c r="V352" s="206">
        <v>676</v>
      </c>
      <c r="W352" s="206">
        <v>63</v>
      </c>
      <c r="X352" s="206">
        <v>15</v>
      </c>
      <c r="Y352" s="206">
        <v>11</v>
      </c>
      <c r="Z352" s="116"/>
      <c r="AA352" s="132">
        <f t="shared" ref="AA352" si="1202">P352-(V352*2)</f>
        <v>-1352</v>
      </c>
      <c r="AB352" s="132">
        <f t="shared" ref="AB352" si="1203">Q352-(W352*2)</f>
        <v>-126</v>
      </c>
      <c r="AC352" s="132">
        <f t="shared" ref="AC352" si="1204">R352-(X352*2)</f>
        <v>-30</v>
      </c>
      <c r="AD352" s="132">
        <f t="shared" ref="AD352" si="1205">S352-(Y352*2)</f>
        <v>-22</v>
      </c>
      <c r="AE352" s="116"/>
      <c r="AF352" s="26">
        <f>SUMIFS(DataPrixBillets!N$1:N$1000,DataPrixBillets!$J$1:$J$1000,ROI_Avions!$A352,DataPrixBillets!$K$1:$K$1000,ROI_Avions!$C352)</f>
        <v>0</v>
      </c>
      <c r="AG352" s="26">
        <f>SUMIFS(DataPrixBillets!O$1:O$1000,DataPrixBillets!$J$1:$J$1000,ROI_Avions!$A352,DataPrixBillets!$K$1:$K$1000,ROI_Avions!$C352)</f>
        <v>0</v>
      </c>
      <c r="AH352" s="26">
        <f>SUMIFS(DataPrixBillets!P$1:P$1000,DataPrixBillets!$J$1:$J$1000,ROI_Avions!$A352,DataPrixBillets!$K$1:$K$1000,ROI_Avions!$C352)</f>
        <v>0</v>
      </c>
      <c r="AI352" s="26">
        <f>SUMIFS(DataPrixBillets!Q$1:Q$1000,DataPrixBillets!$J$1:$J$1000,ROI_Avions!$A352,DataPrixBillets!$K$1:$K$1000,ROI_Avions!$C352)</f>
        <v>0</v>
      </c>
      <c r="AJ352" s="116"/>
      <c r="AK352" s="206">
        <f t="shared" si="1163"/>
        <v>0</v>
      </c>
      <c r="AL352" s="206" t="e">
        <f t="shared" ca="1" si="1164"/>
        <v>#REF!</v>
      </c>
      <c r="AM352" s="206" t="e">
        <f t="shared" ca="1" si="1165"/>
        <v>#REF!</v>
      </c>
      <c r="AN352" s="206" t="e">
        <f t="shared" ca="1" si="1166"/>
        <v>#REF!</v>
      </c>
      <c r="AO352" s="206" t="e">
        <f t="shared" ca="1" si="1167"/>
        <v>#REF!</v>
      </c>
      <c r="AP352" s="206" t="e">
        <f t="shared" ca="1" si="1168"/>
        <v>#REF!</v>
      </c>
      <c r="AQ352" s="206" t="e">
        <f t="shared" ca="1" si="1169"/>
        <v>#REF!</v>
      </c>
      <c r="AR352" s="207">
        <f t="shared" ca="1" si="1122"/>
        <v>0</v>
      </c>
      <c r="AS352" s="120">
        <f t="shared" ca="1" si="1200"/>
        <v>0</v>
      </c>
      <c r="AT352" s="206" t="e">
        <f t="shared" ca="1" si="1170"/>
        <v>#REF!</v>
      </c>
    </row>
    <row r="353" spans="1:46" s="204" customFormat="1" x14ac:dyDescent="0.3">
      <c r="A353" s="209" t="s">
        <v>342</v>
      </c>
      <c r="B353" s="210">
        <v>897809549</v>
      </c>
      <c r="C353" s="209" t="s">
        <v>1121</v>
      </c>
      <c r="D353" s="145" t="str">
        <f t="shared" si="1171"/>
        <v>DME/JUJ</v>
      </c>
      <c r="E353" s="210">
        <v>45443100</v>
      </c>
      <c r="F353" s="211" t="str">
        <f>"A380-A-"&amp;A353&amp;"-"&amp;C353&amp;"-"&amp;2</f>
        <v>A380-A-DME-JUJ-2</v>
      </c>
      <c r="G353" s="214">
        <v>323891100</v>
      </c>
      <c r="H353" s="116"/>
      <c r="I353" s="206"/>
      <c r="J353" s="206"/>
      <c r="K353" s="206"/>
      <c r="L353" s="53"/>
      <c r="M353" s="53"/>
      <c r="N353" s="116"/>
      <c r="O353" s="140"/>
      <c r="P353" s="133">
        <f>SUMIFS(GestionLignesDemande!D$4:D$1000,GestionLignesDemande!$B$4:$B$1000,ROI_Avions!$A353,GestionLignesDemande!$C$4:$C$1000,ROI_Avions!$C353)</f>
        <v>0</v>
      </c>
      <c r="Q353" s="133">
        <f>SUMIFS(GestionLignesDemande!E$4:E$1000,GestionLignesDemande!$B$4:$B$1000,ROI_Avions!$A353,GestionLignesDemande!$C$4:$C$1000,ROI_Avions!$C353)</f>
        <v>0</v>
      </c>
      <c r="R353" s="133">
        <f>SUMIFS(GestionLignesDemande!F$4:F$1000,GestionLignesDemande!$B$4:$B$1000,ROI_Avions!$A353,GestionLignesDemande!$C$4:$C$1000,ROI_Avions!$C353)</f>
        <v>0</v>
      </c>
      <c r="S353" s="133">
        <f>SUMIFS(GestionLignesDemande!G$4:G$1000,GestionLignesDemande!$B$4:$B$1000,ROI_Avions!$A353,GestionLignesDemande!$C$4:$C$1000,ROI_Avions!$C353)</f>
        <v>0</v>
      </c>
      <c r="T353" s="116"/>
      <c r="U353" s="206">
        <f t="shared" si="1201"/>
        <v>765</v>
      </c>
      <c r="V353" s="206">
        <v>676</v>
      </c>
      <c r="W353" s="206">
        <v>63</v>
      </c>
      <c r="X353" s="206">
        <v>15</v>
      </c>
      <c r="Y353" s="206">
        <v>11</v>
      </c>
      <c r="Z353" s="116"/>
      <c r="AA353" s="132">
        <f t="shared" ref="AA353:AA357" si="1206">AA352-V353*2</f>
        <v>-2704</v>
      </c>
      <c r="AB353" s="132">
        <f t="shared" ref="AB353:AB357" si="1207">AB352-W353*2</f>
        <v>-252</v>
      </c>
      <c r="AC353" s="132">
        <f t="shared" ref="AC353:AC357" si="1208">AC352-X353*2</f>
        <v>-60</v>
      </c>
      <c r="AD353" s="132">
        <f t="shared" ref="AD353:AD357" si="1209">AD352-Y353*2</f>
        <v>-44</v>
      </c>
      <c r="AE353" s="116"/>
      <c r="AF353" s="26">
        <f>SUMIFS(DataPrixBillets!N$1:N$1000,DataPrixBillets!$J$1:$J$1000,ROI_Avions!$A353,DataPrixBillets!$K$1:$K$1000,ROI_Avions!$C353)</f>
        <v>0</v>
      </c>
      <c r="AG353" s="26">
        <f>SUMIFS(DataPrixBillets!O$1:O$1000,DataPrixBillets!$J$1:$J$1000,ROI_Avions!$A353,DataPrixBillets!$K$1:$K$1000,ROI_Avions!$C353)</f>
        <v>0</v>
      </c>
      <c r="AH353" s="26">
        <f>SUMIFS(DataPrixBillets!P$1:P$1000,DataPrixBillets!$J$1:$J$1000,ROI_Avions!$A353,DataPrixBillets!$K$1:$K$1000,ROI_Avions!$C353)</f>
        <v>0</v>
      </c>
      <c r="AI353" s="26">
        <f>SUMIFS(DataPrixBillets!Q$1:Q$1000,DataPrixBillets!$J$1:$J$1000,ROI_Avions!$A353,DataPrixBillets!$K$1:$K$1000,ROI_Avions!$C353)</f>
        <v>0</v>
      </c>
      <c r="AJ353" s="116"/>
      <c r="AK353" s="206">
        <f t="shared" si="1163"/>
        <v>0</v>
      </c>
      <c r="AL353" s="206" t="e">
        <f t="shared" ca="1" si="1164"/>
        <v>#REF!</v>
      </c>
      <c r="AM353" s="206" t="e">
        <f t="shared" ca="1" si="1165"/>
        <v>#REF!</v>
      </c>
      <c r="AN353" s="206" t="e">
        <f t="shared" ca="1" si="1166"/>
        <v>#REF!</v>
      </c>
      <c r="AO353" s="206" t="e">
        <f t="shared" ca="1" si="1167"/>
        <v>#REF!</v>
      </c>
      <c r="AP353" s="206" t="e">
        <f t="shared" ca="1" si="1168"/>
        <v>#REF!</v>
      </c>
      <c r="AQ353" s="206" t="e">
        <f t="shared" ca="1" si="1169"/>
        <v>#REF!</v>
      </c>
      <c r="AR353" s="207">
        <f t="shared" ca="1" si="1122"/>
        <v>0</v>
      </c>
      <c r="AS353" s="120">
        <f t="shared" ca="1" si="1200"/>
        <v>0</v>
      </c>
      <c r="AT353" s="206" t="e">
        <f t="shared" ca="1" si="1170"/>
        <v>#REF!</v>
      </c>
    </row>
    <row r="354" spans="1:46" s="204" customFormat="1" x14ac:dyDescent="0.3">
      <c r="A354" s="209" t="s">
        <v>342</v>
      </c>
      <c r="B354" s="210">
        <v>897809549</v>
      </c>
      <c r="C354" s="209" t="s">
        <v>1121</v>
      </c>
      <c r="D354" s="145" t="str">
        <f t="shared" si="1171"/>
        <v>DME/JUJ</v>
      </c>
      <c r="E354" s="210">
        <v>45443100</v>
      </c>
      <c r="F354" s="211" t="str">
        <f>"A380-A-"&amp;A354&amp;"-"&amp;C354&amp;"-"&amp;3</f>
        <v>A380-A-DME-JUJ-3</v>
      </c>
      <c r="G354" s="214">
        <v>323891100</v>
      </c>
      <c r="H354" s="116"/>
      <c r="I354" s="206"/>
      <c r="J354" s="206"/>
      <c r="K354" s="206"/>
      <c r="L354" s="53"/>
      <c r="M354" s="53"/>
      <c r="N354" s="116"/>
      <c r="O354" s="140"/>
      <c r="P354" s="133">
        <f>SUMIFS(GestionLignesDemande!D$4:D$1000,GestionLignesDemande!$B$4:$B$1000,ROI_Avions!$A354,GestionLignesDemande!$C$4:$C$1000,ROI_Avions!$C354)</f>
        <v>0</v>
      </c>
      <c r="Q354" s="133">
        <f>SUMIFS(GestionLignesDemande!E$4:E$1000,GestionLignesDemande!$B$4:$B$1000,ROI_Avions!$A354,GestionLignesDemande!$C$4:$C$1000,ROI_Avions!$C354)</f>
        <v>0</v>
      </c>
      <c r="R354" s="133">
        <f>SUMIFS(GestionLignesDemande!F$4:F$1000,GestionLignesDemande!$B$4:$B$1000,ROI_Avions!$A354,GestionLignesDemande!$C$4:$C$1000,ROI_Avions!$C354)</f>
        <v>0</v>
      </c>
      <c r="S354" s="133">
        <f>SUMIFS(GestionLignesDemande!G$4:G$1000,GestionLignesDemande!$B$4:$B$1000,ROI_Avions!$A354,GestionLignesDemande!$C$4:$C$1000,ROI_Avions!$C354)</f>
        <v>0</v>
      </c>
      <c r="T354" s="116"/>
      <c r="U354" s="206">
        <f t="shared" si="1201"/>
        <v>765</v>
      </c>
      <c r="V354" s="206">
        <v>676</v>
      </c>
      <c r="W354" s="206">
        <v>63</v>
      </c>
      <c r="X354" s="206">
        <v>15</v>
      </c>
      <c r="Y354" s="206">
        <v>11</v>
      </c>
      <c r="Z354" s="116"/>
      <c r="AA354" s="132">
        <f t="shared" si="1206"/>
        <v>-4056</v>
      </c>
      <c r="AB354" s="132">
        <f t="shared" si="1207"/>
        <v>-378</v>
      </c>
      <c r="AC354" s="132">
        <f t="shared" si="1208"/>
        <v>-90</v>
      </c>
      <c r="AD354" s="132">
        <f t="shared" si="1209"/>
        <v>-66</v>
      </c>
      <c r="AE354" s="116"/>
      <c r="AF354" s="26">
        <f>SUMIFS(DataPrixBillets!N$1:N$1000,DataPrixBillets!$J$1:$J$1000,ROI_Avions!$A354,DataPrixBillets!$K$1:$K$1000,ROI_Avions!$C354)</f>
        <v>0</v>
      </c>
      <c r="AG354" s="26">
        <f>SUMIFS(DataPrixBillets!O$1:O$1000,DataPrixBillets!$J$1:$J$1000,ROI_Avions!$A354,DataPrixBillets!$K$1:$K$1000,ROI_Avions!$C354)</f>
        <v>0</v>
      </c>
      <c r="AH354" s="26">
        <f>SUMIFS(DataPrixBillets!P$1:P$1000,DataPrixBillets!$J$1:$J$1000,ROI_Avions!$A354,DataPrixBillets!$K$1:$K$1000,ROI_Avions!$C354)</f>
        <v>0</v>
      </c>
      <c r="AI354" s="26">
        <f>SUMIFS(DataPrixBillets!Q$1:Q$1000,DataPrixBillets!$J$1:$J$1000,ROI_Avions!$A354,DataPrixBillets!$K$1:$K$1000,ROI_Avions!$C354)</f>
        <v>0</v>
      </c>
      <c r="AJ354" s="116"/>
      <c r="AK354" s="206">
        <f t="shared" si="1163"/>
        <v>0</v>
      </c>
      <c r="AL354" s="206" t="e">
        <f t="shared" ca="1" si="1164"/>
        <v>#REF!</v>
      </c>
      <c r="AM354" s="206" t="e">
        <f t="shared" ca="1" si="1165"/>
        <v>#REF!</v>
      </c>
      <c r="AN354" s="206" t="e">
        <f t="shared" ca="1" si="1166"/>
        <v>#REF!</v>
      </c>
      <c r="AO354" s="206" t="e">
        <f t="shared" ca="1" si="1167"/>
        <v>#REF!</v>
      </c>
      <c r="AP354" s="206" t="e">
        <f t="shared" ca="1" si="1168"/>
        <v>#REF!</v>
      </c>
      <c r="AQ354" s="206" t="e">
        <f t="shared" ca="1" si="1169"/>
        <v>#REF!</v>
      </c>
      <c r="AR354" s="207">
        <f t="shared" ca="1" si="1122"/>
        <v>0</v>
      </c>
      <c r="AS354" s="120">
        <f t="shared" ca="1" si="1200"/>
        <v>0</v>
      </c>
      <c r="AT354" s="206" t="e">
        <f t="shared" ca="1" si="1170"/>
        <v>#REF!</v>
      </c>
    </row>
    <row r="355" spans="1:46" s="204" customFormat="1" x14ac:dyDescent="0.3">
      <c r="A355" s="209" t="s">
        <v>342</v>
      </c>
      <c r="B355" s="210">
        <v>897809549</v>
      </c>
      <c r="C355" s="209" t="s">
        <v>1121</v>
      </c>
      <c r="D355" s="145" t="str">
        <f t="shared" si="1171"/>
        <v>DME/JUJ</v>
      </c>
      <c r="E355" s="210">
        <v>45443100</v>
      </c>
      <c r="F355" s="211" t="str">
        <f>"A380-A-"&amp;A355&amp;"-"&amp;C355&amp;"-"&amp;4</f>
        <v>A380-A-DME-JUJ-4</v>
      </c>
      <c r="G355" s="214">
        <v>323891100</v>
      </c>
      <c r="H355" s="116"/>
      <c r="I355" s="206"/>
      <c r="J355" s="206"/>
      <c r="K355" s="206"/>
      <c r="L355" s="53"/>
      <c r="M355" s="53"/>
      <c r="N355" s="116"/>
      <c r="O355" s="140"/>
      <c r="P355" s="133">
        <f>SUMIFS(GestionLignesDemande!D$4:D$1000,GestionLignesDemande!$B$4:$B$1000,ROI_Avions!$A355,GestionLignesDemande!$C$4:$C$1000,ROI_Avions!$C355)</f>
        <v>0</v>
      </c>
      <c r="Q355" s="133">
        <f>SUMIFS(GestionLignesDemande!E$4:E$1000,GestionLignesDemande!$B$4:$B$1000,ROI_Avions!$A355,GestionLignesDemande!$C$4:$C$1000,ROI_Avions!$C355)</f>
        <v>0</v>
      </c>
      <c r="R355" s="133">
        <f>SUMIFS(GestionLignesDemande!F$4:F$1000,GestionLignesDemande!$B$4:$B$1000,ROI_Avions!$A355,GestionLignesDemande!$C$4:$C$1000,ROI_Avions!$C355)</f>
        <v>0</v>
      </c>
      <c r="S355" s="133">
        <f>SUMIFS(GestionLignesDemande!G$4:G$1000,GestionLignesDemande!$B$4:$B$1000,ROI_Avions!$A355,GestionLignesDemande!$C$4:$C$1000,ROI_Avions!$C355)</f>
        <v>0</v>
      </c>
      <c r="T355" s="116"/>
      <c r="U355" s="206">
        <f t="shared" si="1201"/>
        <v>765</v>
      </c>
      <c r="V355" s="206">
        <v>676</v>
      </c>
      <c r="W355" s="206">
        <v>63</v>
      </c>
      <c r="X355" s="206">
        <v>15</v>
      </c>
      <c r="Y355" s="206">
        <v>11</v>
      </c>
      <c r="Z355" s="116"/>
      <c r="AA355" s="132">
        <f t="shared" si="1206"/>
        <v>-5408</v>
      </c>
      <c r="AB355" s="132">
        <f t="shared" si="1207"/>
        <v>-504</v>
      </c>
      <c r="AC355" s="132">
        <f t="shared" si="1208"/>
        <v>-120</v>
      </c>
      <c r="AD355" s="132">
        <f t="shared" si="1209"/>
        <v>-88</v>
      </c>
      <c r="AE355" s="116"/>
      <c r="AF355" s="26">
        <f>SUMIFS(DataPrixBillets!N$1:N$1000,DataPrixBillets!$J$1:$J$1000,ROI_Avions!$A355,DataPrixBillets!$K$1:$K$1000,ROI_Avions!$C355)</f>
        <v>0</v>
      </c>
      <c r="AG355" s="26">
        <f>SUMIFS(DataPrixBillets!O$1:O$1000,DataPrixBillets!$J$1:$J$1000,ROI_Avions!$A355,DataPrixBillets!$K$1:$K$1000,ROI_Avions!$C355)</f>
        <v>0</v>
      </c>
      <c r="AH355" s="26">
        <f>SUMIFS(DataPrixBillets!P$1:P$1000,DataPrixBillets!$J$1:$J$1000,ROI_Avions!$A355,DataPrixBillets!$K$1:$K$1000,ROI_Avions!$C355)</f>
        <v>0</v>
      </c>
      <c r="AI355" s="26">
        <f>SUMIFS(DataPrixBillets!Q$1:Q$1000,DataPrixBillets!$J$1:$J$1000,ROI_Avions!$A355,DataPrixBillets!$K$1:$K$1000,ROI_Avions!$C355)</f>
        <v>0</v>
      </c>
      <c r="AJ355" s="116"/>
      <c r="AK355" s="206">
        <f t="shared" si="1163"/>
        <v>0</v>
      </c>
      <c r="AL355" s="206" t="e">
        <f t="shared" ca="1" si="1164"/>
        <v>#REF!</v>
      </c>
      <c r="AM355" s="206" t="e">
        <f t="shared" ca="1" si="1165"/>
        <v>#REF!</v>
      </c>
      <c r="AN355" s="206" t="e">
        <f t="shared" ca="1" si="1166"/>
        <v>#REF!</v>
      </c>
      <c r="AO355" s="206" t="e">
        <f t="shared" ca="1" si="1167"/>
        <v>#REF!</v>
      </c>
      <c r="AP355" s="206" t="e">
        <f t="shared" ca="1" si="1168"/>
        <v>#REF!</v>
      </c>
      <c r="AQ355" s="206" t="e">
        <f t="shared" ca="1" si="1169"/>
        <v>#REF!</v>
      </c>
      <c r="AR355" s="207">
        <f t="shared" ca="1" si="1122"/>
        <v>0</v>
      </c>
      <c r="AS355" s="120">
        <f t="shared" ca="1" si="1200"/>
        <v>0</v>
      </c>
      <c r="AT355" s="206" t="e">
        <f t="shared" ca="1" si="1170"/>
        <v>#REF!</v>
      </c>
    </row>
    <row r="356" spans="1:46" s="204" customFormat="1" x14ac:dyDescent="0.3">
      <c r="A356" s="209" t="s">
        <v>342</v>
      </c>
      <c r="B356" s="210">
        <v>897809549</v>
      </c>
      <c r="C356" s="209" t="s">
        <v>1121</v>
      </c>
      <c r="D356" s="145" t="str">
        <f t="shared" si="1171"/>
        <v>DME/JUJ</v>
      </c>
      <c r="E356" s="210">
        <v>45443100</v>
      </c>
      <c r="F356" s="211" t="str">
        <f>"A380-A-"&amp;A356&amp;"-"&amp;C356&amp;"-"&amp;5</f>
        <v>A380-A-DME-JUJ-5</v>
      </c>
      <c r="G356" s="214">
        <v>323891100</v>
      </c>
      <c r="H356" s="116"/>
      <c r="I356" s="206"/>
      <c r="J356" s="206"/>
      <c r="K356" s="206"/>
      <c r="L356" s="53"/>
      <c r="M356" s="53"/>
      <c r="N356" s="116"/>
      <c r="O356" s="140"/>
      <c r="P356" s="133">
        <f>SUMIFS(GestionLignesDemande!D$4:D$1000,GestionLignesDemande!$B$4:$B$1000,ROI_Avions!$A356,GestionLignesDemande!$C$4:$C$1000,ROI_Avions!$C356)</f>
        <v>0</v>
      </c>
      <c r="Q356" s="133">
        <f>SUMIFS(GestionLignesDemande!E$4:E$1000,GestionLignesDemande!$B$4:$B$1000,ROI_Avions!$A356,GestionLignesDemande!$C$4:$C$1000,ROI_Avions!$C356)</f>
        <v>0</v>
      </c>
      <c r="R356" s="133">
        <f>SUMIFS(GestionLignesDemande!F$4:F$1000,GestionLignesDemande!$B$4:$B$1000,ROI_Avions!$A356,GestionLignesDemande!$C$4:$C$1000,ROI_Avions!$C356)</f>
        <v>0</v>
      </c>
      <c r="S356" s="133">
        <f>SUMIFS(GestionLignesDemande!G$4:G$1000,GestionLignesDemande!$B$4:$B$1000,ROI_Avions!$A356,GestionLignesDemande!$C$4:$C$1000,ROI_Avions!$C356)</f>
        <v>0</v>
      </c>
      <c r="T356" s="116"/>
      <c r="U356" s="206">
        <f t="shared" si="1201"/>
        <v>765</v>
      </c>
      <c r="V356" s="206">
        <v>676</v>
      </c>
      <c r="W356" s="206">
        <v>63</v>
      </c>
      <c r="X356" s="206">
        <v>15</v>
      </c>
      <c r="Y356" s="206">
        <v>11</v>
      </c>
      <c r="Z356" s="116"/>
      <c r="AA356" s="132">
        <f t="shared" si="1206"/>
        <v>-6760</v>
      </c>
      <c r="AB356" s="132">
        <f t="shared" si="1207"/>
        <v>-630</v>
      </c>
      <c r="AC356" s="132">
        <f t="shared" si="1208"/>
        <v>-150</v>
      </c>
      <c r="AD356" s="132">
        <f t="shared" si="1209"/>
        <v>-110</v>
      </c>
      <c r="AE356" s="116"/>
      <c r="AF356" s="26">
        <f>SUMIFS(DataPrixBillets!N$1:N$1000,DataPrixBillets!$J$1:$J$1000,ROI_Avions!$A356,DataPrixBillets!$K$1:$K$1000,ROI_Avions!$C356)</f>
        <v>0</v>
      </c>
      <c r="AG356" s="26">
        <f>SUMIFS(DataPrixBillets!O$1:O$1000,DataPrixBillets!$J$1:$J$1000,ROI_Avions!$A356,DataPrixBillets!$K$1:$K$1000,ROI_Avions!$C356)</f>
        <v>0</v>
      </c>
      <c r="AH356" s="26">
        <f>SUMIFS(DataPrixBillets!P$1:P$1000,DataPrixBillets!$J$1:$J$1000,ROI_Avions!$A356,DataPrixBillets!$K$1:$K$1000,ROI_Avions!$C356)</f>
        <v>0</v>
      </c>
      <c r="AI356" s="26">
        <f>SUMIFS(DataPrixBillets!Q$1:Q$1000,DataPrixBillets!$J$1:$J$1000,ROI_Avions!$A356,DataPrixBillets!$K$1:$K$1000,ROI_Avions!$C356)</f>
        <v>0</v>
      </c>
      <c r="AJ356" s="116"/>
      <c r="AK356" s="206">
        <f t="shared" si="1163"/>
        <v>0</v>
      </c>
      <c r="AL356" s="206" t="e">
        <f t="shared" ca="1" si="1164"/>
        <v>#REF!</v>
      </c>
      <c r="AM356" s="206" t="e">
        <f t="shared" ca="1" si="1165"/>
        <v>#REF!</v>
      </c>
      <c r="AN356" s="206" t="e">
        <f t="shared" ca="1" si="1166"/>
        <v>#REF!</v>
      </c>
      <c r="AO356" s="206" t="e">
        <f t="shared" ca="1" si="1167"/>
        <v>#REF!</v>
      </c>
      <c r="AP356" s="206" t="e">
        <f t="shared" ca="1" si="1168"/>
        <v>#REF!</v>
      </c>
      <c r="AQ356" s="206" t="e">
        <f t="shared" ca="1" si="1169"/>
        <v>#REF!</v>
      </c>
      <c r="AR356" s="207">
        <f t="shared" ca="1" si="1122"/>
        <v>0</v>
      </c>
      <c r="AS356" s="120">
        <f t="shared" ca="1" si="1200"/>
        <v>0</v>
      </c>
      <c r="AT356" s="206" t="e">
        <f t="shared" ca="1" si="1170"/>
        <v>#REF!</v>
      </c>
    </row>
    <row r="357" spans="1:46" s="204" customFormat="1" x14ac:dyDescent="0.3">
      <c r="A357" s="209" t="s">
        <v>342</v>
      </c>
      <c r="B357" s="210">
        <v>897809549</v>
      </c>
      <c r="C357" s="209" t="s">
        <v>1121</v>
      </c>
      <c r="D357" s="145" t="str">
        <f t="shared" si="1171"/>
        <v>DME/JUJ</v>
      </c>
      <c r="E357" s="210">
        <v>45443100</v>
      </c>
      <c r="F357" s="211" t="str">
        <f>"A380-A-"&amp;A357&amp;"-"&amp;C357&amp;"-"&amp;6</f>
        <v>A380-A-DME-JUJ-6</v>
      </c>
      <c r="G357" s="214">
        <v>323891100</v>
      </c>
      <c r="H357" s="116"/>
      <c r="I357" s="206"/>
      <c r="J357" s="206"/>
      <c r="K357" s="206"/>
      <c r="L357" s="53"/>
      <c r="M357" s="53"/>
      <c r="N357" s="116"/>
      <c r="O357" s="140"/>
      <c r="P357" s="133">
        <f>SUMIFS(GestionLignesDemande!D$4:D$1000,GestionLignesDemande!$B$4:$B$1000,ROI_Avions!$A357,GestionLignesDemande!$C$4:$C$1000,ROI_Avions!$C357)</f>
        <v>0</v>
      </c>
      <c r="Q357" s="133">
        <f>SUMIFS(GestionLignesDemande!E$4:E$1000,GestionLignesDemande!$B$4:$B$1000,ROI_Avions!$A357,GestionLignesDemande!$C$4:$C$1000,ROI_Avions!$C357)</f>
        <v>0</v>
      </c>
      <c r="R357" s="133">
        <f>SUMIFS(GestionLignesDemande!F$4:F$1000,GestionLignesDemande!$B$4:$B$1000,ROI_Avions!$A357,GestionLignesDemande!$C$4:$C$1000,ROI_Avions!$C357)</f>
        <v>0</v>
      </c>
      <c r="S357" s="133">
        <f>SUMIFS(GestionLignesDemande!G$4:G$1000,GestionLignesDemande!$B$4:$B$1000,ROI_Avions!$A357,GestionLignesDemande!$C$4:$C$1000,ROI_Avions!$C357)</f>
        <v>0</v>
      </c>
      <c r="T357" s="116"/>
      <c r="U357" s="206">
        <f t="shared" si="1201"/>
        <v>765</v>
      </c>
      <c r="V357" s="206">
        <v>676</v>
      </c>
      <c r="W357" s="206">
        <v>63</v>
      </c>
      <c r="X357" s="206">
        <v>15</v>
      </c>
      <c r="Y357" s="206">
        <v>11</v>
      </c>
      <c r="Z357" s="116"/>
      <c r="AA357" s="132">
        <f t="shared" si="1206"/>
        <v>-8112</v>
      </c>
      <c r="AB357" s="132">
        <f t="shared" si="1207"/>
        <v>-756</v>
      </c>
      <c r="AC357" s="132">
        <f t="shared" si="1208"/>
        <v>-180</v>
      </c>
      <c r="AD357" s="132">
        <f t="shared" si="1209"/>
        <v>-132</v>
      </c>
      <c r="AE357" s="116"/>
      <c r="AF357" s="26">
        <f>SUMIFS(DataPrixBillets!N$1:N$1000,DataPrixBillets!$J$1:$J$1000,ROI_Avions!$A357,DataPrixBillets!$K$1:$K$1000,ROI_Avions!$C357)</f>
        <v>0</v>
      </c>
      <c r="AG357" s="26">
        <f>SUMIFS(DataPrixBillets!O$1:O$1000,DataPrixBillets!$J$1:$J$1000,ROI_Avions!$A357,DataPrixBillets!$K$1:$K$1000,ROI_Avions!$C357)</f>
        <v>0</v>
      </c>
      <c r="AH357" s="26">
        <f>SUMIFS(DataPrixBillets!P$1:P$1000,DataPrixBillets!$J$1:$J$1000,ROI_Avions!$A357,DataPrixBillets!$K$1:$K$1000,ROI_Avions!$C357)</f>
        <v>0</v>
      </c>
      <c r="AI357" s="26">
        <f>SUMIFS(DataPrixBillets!Q$1:Q$1000,DataPrixBillets!$J$1:$J$1000,ROI_Avions!$A357,DataPrixBillets!$K$1:$K$1000,ROI_Avions!$C357)</f>
        <v>0</v>
      </c>
      <c r="AJ357" s="116"/>
      <c r="AK357" s="206">
        <f t="shared" si="1163"/>
        <v>0</v>
      </c>
      <c r="AL357" s="206" t="e">
        <f t="shared" ca="1" si="1164"/>
        <v>#REF!</v>
      </c>
      <c r="AM357" s="206" t="e">
        <f t="shared" ca="1" si="1165"/>
        <v>#REF!</v>
      </c>
      <c r="AN357" s="206" t="e">
        <f t="shared" ca="1" si="1166"/>
        <v>#REF!</v>
      </c>
      <c r="AO357" s="206" t="e">
        <f t="shared" ca="1" si="1167"/>
        <v>#REF!</v>
      </c>
      <c r="AP357" s="206" t="e">
        <f t="shared" ca="1" si="1168"/>
        <v>#REF!</v>
      </c>
      <c r="AQ357" s="206" t="e">
        <f t="shared" ca="1" si="1169"/>
        <v>#REF!</v>
      </c>
      <c r="AR357" s="207">
        <f t="shared" ca="1" si="1122"/>
        <v>0</v>
      </c>
      <c r="AS357" s="120">
        <f t="shared" ca="1" si="1200"/>
        <v>0</v>
      </c>
      <c r="AT357" s="206" t="e">
        <f t="shared" ca="1" si="1170"/>
        <v>#REF!</v>
      </c>
    </row>
    <row r="358" spans="1:46" s="204" customFormat="1" x14ac:dyDescent="0.3">
      <c r="A358" s="209" t="s">
        <v>342</v>
      </c>
      <c r="B358" s="210">
        <v>897809549</v>
      </c>
      <c r="C358" s="209" t="s">
        <v>879</v>
      </c>
      <c r="D358" s="145" t="str">
        <f t="shared" si="1171"/>
        <v>DME/DRW</v>
      </c>
      <c r="E358" s="210">
        <v>106590870</v>
      </c>
      <c r="F358" s="211" t="str">
        <f>"A380-A-"&amp;A358&amp;"-"&amp;C358&amp;"-"&amp;1</f>
        <v>A380-A-DME-DRW-1</v>
      </c>
      <c r="G358" s="214">
        <v>323891100</v>
      </c>
      <c r="H358" s="116"/>
      <c r="I358" s="206"/>
      <c r="J358" s="206"/>
      <c r="K358" s="206"/>
      <c r="L358" s="53"/>
      <c r="M358" s="53"/>
      <c r="N358" s="116"/>
      <c r="O358" s="140"/>
      <c r="P358" s="133">
        <f>SUMIFS(GestionLignesDemande!D$4:D$1000,GestionLignesDemande!$B$4:$B$1000,ROI_Avions!$A358,GestionLignesDemande!$C$4:$C$1000,ROI_Avions!$C358)</f>
        <v>0</v>
      </c>
      <c r="Q358" s="133">
        <f>SUMIFS(GestionLignesDemande!E$4:E$1000,GestionLignesDemande!$B$4:$B$1000,ROI_Avions!$A358,GestionLignesDemande!$C$4:$C$1000,ROI_Avions!$C358)</f>
        <v>0</v>
      </c>
      <c r="R358" s="133">
        <f>SUMIFS(GestionLignesDemande!F$4:F$1000,GestionLignesDemande!$B$4:$B$1000,ROI_Avions!$A358,GestionLignesDemande!$C$4:$C$1000,ROI_Avions!$C358)</f>
        <v>0</v>
      </c>
      <c r="S358" s="133">
        <f>SUMIFS(GestionLignesDemande!G$4:G$1000,GestionLignesDemande!$B$4:$B$1000,ROI_Avions!$A358,GestionLignesDemande!$C$4:$C$1000,ROI_Avions!$C358)</f>
        <v>0</v>
      </c>
      <c r="T358" s="116"/>
      <c r="U358" s="206">
        <f t="shared" si="1201"/>
        <v>856</v>
      </c>
      <c r="V358" s="206">
        <v>853</v>
      </c>
      <c r="W358" s="206">
        <v>0</v>
      </c>
      <c r="X358" s="206">
        <v>0</v>
      </c>
      <c r="Y358" s="206">
        <v>3</v>
      </c>
      <c r="Z358" s="116"/>
      <c r="AA358" s="132"/>
      <c r="AB358" s="132"/>
      <c r="AC358" s="132"/>
      <c r="AD358" s="132"/>
      <c r="AE358" s="116"/>
      <c r="AF358" s="26">
        <f>SUMIFS(DataPrixBillets!N$1:N$1000,DataPrixBillets!$J$1:$J$1000,ROI_Avions!$A358,DataPrixBillets!$K$1:$K$1000,ROI_Avions!$C358)</f>
        <v>0</v>
      </c>
      <c r="AG358" s="26">
        <f>SUMIFS(DataPrixBillets!O$1:O$1000,DataPrixBillets!$J$1:$J$1000,ROI_Avions!$A358,DataPrixBillets!$K$1:$K$1000,ROI_Avions!$C358)</f>
        <v>0</v>
      </c>
      <c r="AH358" s="26">
        <f>SUMIFS(DataPrixBillets!P$1:P$1000,DataPrixBillets!$J$1:$J$1000,ROI_Avions!$A358,DataPrixBillets!$K$1:$K$1000,ROI_Avions!$C358)</f>
        <v>0</v>
      </c>
      <c r="AI358" s="26">
        <f>SUMIFS(DataPrixBillets!Q$1:Q$1000,DataPrixBillets!$J$1:$J$1000,ROI_Avions!$A358,DataPrixBillets!$K$1:$K$1000,ROI_Avions!$C358)</f>
        <v>0</v>
      </c>
      <c r="AJ358" s="116"/>
      <c r="AK358" s="206">
        <f t="shared" ref="AK358:AK371" si="1210">(((AF358*V358)*2+(AG358*W358)*2+(AH358*X358)*2+(AI358*Y358)*2)*7)</f>
        <v>0</v>
      </c>
      <c r="AL358" s="206" t="e">
        <f t="shared" ref="AL358:AL371" ca="1" si="1211">AK358-AM358</f>
        <v>#REF!</v>
      </c>
      <c r="AM358" s="206" t="e">
        <f t="shared" ref="AM358:AM371" ca="1" si="1212">AK358*$AM$2</f>
        <v>#REF!</v>
      </c>
      <c r="AN358" s="206" t="e">
        <f t="shared" ref="AN358:AN371" ca="1" si="1213">AL358*$AN$2</f>
        <v>#REF!</v>
      </c>
      <c r="AO358" s="206" t="e">
        <f t="shared" ref="AO358:AO371" ca="1" si="1214">(AL358-AN358-I358)*$AO$2</f>
        <v>#REF!</v>
      </c>
      <c r="AP358" s="206" t="e">
        <f t="shared" ref="AP358:AP371" ca="1" si="1215">AL358-AN358-(I358/7)-(AO358/7)</f>
        <v>#REF!</v>
      </c>
      <c r="AQ358" s="206" t="e">
        <f t="shared" ref="AQ358:AQ371" ca="1" si="1216">AP358/7</f>
        <v>#REF!</v>
      </c>
      <c r="AR358" s="207">
        <f t="shared" ca="1" si="1122"/>
        <v>0</v>
      </c>
      <c r="AS358" s="120">
        <f t="shared" ca="1" si="1200"/>
        <v>0</v>
      </c>
      <c r="AT358" s="206" t="e">
        <f t="shared" ref="AT358:AT371" ca="1" si="1217">IF(K358&gt;=1,AP358*K358,AP358*$AT$1)</f>
        <v>#REF!</v>
      </c>
    </row>
    <row r="359" spans="1:46" s="204" customFormat="1" x14ac:dyDescent="0.3">
      <c r="A359" s="209" t="s">
        <v>342</v>
      </c>
      <c r="B359" s="210">
        <v>897809549</v>
      </c>
      <c r="C359" s="209" t="s">
        <v>1122</v>
      </c>
      <c r="D359" s="145" t="str">
        <f t="shared" si="1171"/>
        <v>DME/NAN</v>
      </c>
      <c r="E359" s="210">
        <v>143732390</v>
      </c>
      <c r="F359" s="211" t="str">
        <f>"A380-A-"&amp;A359&amp;"-"&amp;C359&amp;"-"&amp;2</f>
        <v>A380-A-DME-NAN-2</v>
      </c>
      <c r="G359" s="214">
        <v>323891100</v>
      </c>
      <c r="H359" s="116"/>
      <c r="I359" s="206"/>
      <c r="J359" s="206"/>
      <c r="K359" s="206"/>
      <c r="L359" s="53"/>
      <c r="M359" s="53"/>
      <c r="N359" s="116"/>
      <c r="O359" s="140"/>
      <c r="P359" s="133">
        <f>SUMIFS(GestionLignesDemande!D$4:D$1000,GestionLignesDemande!$B$4:$B$1000,ROI_Avions!$A359,GestionLignesDemande!$C$4:$C$1000,ROI_Avions!$C359)</f>
        <v>0</v>
      </c>
      <c r="Q359" s="133">
        <f>SUMIFS(GestionLignesDemande!E$4:E$1000,GestionLignesDemande!$B$4:$B$1000,ROI_Avions!$A359,GestionLignesDemande!$C$4:$C$1000,ROI_Avions!$C359)</f>
        <v>0</v>
      </c>
      <c r="R359" s="133">
        <f>SUMIFS(GestionLignesDemande!F$4:F$1000,GestionLignesDemande!$B$4:$B$1000,ROI_Avions!$A359,GestionLignesDemande!$C$4:$C$1000,ROI_Avions!$C359)</f>
        <v>0</v>
      </c>
      <c r="S359" s="133">
        <f>SUMIFS(GestionLignesDemande!G$4:G$1000,GestionLignesDemande!$B$4:$B$1000,ROI_Avions!$A359,GestionLignesDemande!$C$4:$C$1000,ROI_Avions!$C359)</f>
        <v>0</v>
      </c>
      <c r="T359" s="116"/>
      <c r="U359" s="206">
        <f t="shared" si="1201"/>
        <v>856</v>
      </c>
      <c r="V359" s="206">
        <v>853</v>
      </c>
      <c r="W359" s="206">
        <v>0</v>
      </c>
      <c r="X359" s="206">
        <v>0</v>
      </c>
      <c r="Y359" s="206">
        <v>3</v>
      </c>
      <c r="Z359" s="116"/>
      <c r="AA359" s="132"/>
      <c r="AB359" s="132"/>
      <c r="AC359" s="132"/>
      <c r="AD359" s="132"/>
      <c r="AE359" s="116"/>
      <c r="AF359" s="26">
        <f>SUMIFS(DataPrixBillets!N$1:N$1000,DataPrixBillets!$J$1:$J$1000,ROI_Avions!$A359,DataPrixBillets!$K$1:$K$1000,ROI_Avions!$C359)</f>
        <v>0</v>
      </c>
      <c r="AG359" s="26">
        <f>SUMIFS(DataPrixBillets!O$1:O$1000,DataPrixBillets!$J$1:$J$1000,ROI_Avions!$A359,DataPrixBillets!$K$1:$K$1000,ROI_Avions!$C359)</f>
        <v>0</v>
      </c>
      <c r="AH359" s="26">
        <f>SUMIFS(DataPrixBillets!P$1:P$1000,DataPrixBillets!$J$1:$J$1000,ROI_Avions!$A359,DataPrixBillets!$K$1:$K$1000,ROI_Avions!$C359)</f>
        <v>0</v>
      </c>
      <c r="AI359" s="26">
        <f>SUMIFS(DataPrixBillets!Q$1:Q$1000,DataPrixBillets!$J$1:$J$1000,ROI_Avions!$A359,DataPrixBillets!$K$1:$K$1000,ROI_Avions!$C359)</f>
        <v>0</v>
      </c>
      <c r="AJ359" s="116"/>
      <c r="AK359" s="206">
        <f t="shared" si="1210"/>
        <v>0</v>
      </c>
      <c r="AL359" s="206" t="e">
        <f t="shared" ca="1" si="1211"/>
        <v>#REF!</v>
      </c>
      <c r="AM359" s="206" t="e">
        <f t="shared" ca="1" si="1212"/>
        <v>#REF!</v>
      </c>
      <c r="AN359" s="206" t="e">
        <f t="shared" ca="1" si="1213"/>
        <v>#REF!</v>
      </c>
      <c r="AO359" s="206" t="e">
        <f t="shared" ca="1" si="1214"/>
        <v>#REF!</v>
      </c>
      <c r="AP359" s="206" t="e">
        <f t="shared" ca="1" si="1215"/>
        <v>#REF!</v>
      </c>
      <c r="AQ359" s="206" t="e">
        <f t="shared" ca="1" si="1216"/>
        <v>#REF!</v>
      </c>
      <c r="AR359" s="207">
        <f t="shared" ca="1" si="1122"/>
        <v>0</v>
      </c>
      <c r="AS359" s="120">
        <f t="shared" ca="1" si="1200"/>
        <v>0</v>
      </c>
      <c r="AT359" s="206" t="e">
        <f t="shared" ca="1" si="1217"/>
        <v>#REF!</v>
      </c>
    </row>
    <row r="360" spans="1:46" s="204" customFormat="1" x14ac:dyDescent="0.3">
      <c r="A360" s="209" t="s">
        <v>342</v>
      </c>
      <c r="B360" s="210">
        <v>897809549</v>
      </c>
      <c r="C360" s="209" t="s">
        <v>1123</v>
      </c>
      <c r="D360" s="145" t="str">
        <f t="shared" si="1171"/>
        <v>DME/NOU</v>
      </c>
      <c r="E360" s="210">
        <v>174160293</v>
      </c>
      <c r="F360" s="211" t="str">
        <f>"A380-A-"&amp;A360&amp;"-"&amp;C360&amp;"-"&amp;3</f>
        <v>A380-A-DME-NOU-3</v>
      </c>
      <c r="G360" s="214">
        <v>323891100</v>
      </c>
      <c r="H360" s="116"/>
      <c r="I360" s="206"/>
      <c r="J360" s="206"/>
      <c r="K360" s="206"/>
      <c r="L360" s="53"/>
      <c r="M360" s="53"/>
      <c r="N360" s="116"/>
      <c r="O360" s="140"/>
      <c r="P360" s="133">
        <f>SUMIFS(GestionLignesDemande!D$4:D$1000,GestionLignesDemande!$B$4:$B$1000,ROI_Avions!$A360,GestionLignesDemande!$C$4:$C$1000,ROI_Avions!$C360)</f>
        <v>0</v>
      </c>
      <c r="Q360" s="133">
        <f>SUMIFS(GestionLignesDemande!E$4:E$1000,GestionLignesDemande!$B$4:$B$1000,ROI_Avions!$A360,GestionLignesDemande!$C$4:$C$1000,ROI_Avions!$C360)</f>
        <v>0</v>
      </c>
      <c r="R360" s="133">
        <f>SUMIFS(GestionLignesDemande!F$4:F$1000,GestionLignesDemande!$B$4:$B$1000,ROI_Avions!$A360,GestionLignesDemande!$C$4:$C$1000,ROI_Avions!$C360)</f>
        <v>0</v>
      </c>
      <c r="S360" s="133">
        <f>SUMIFS(GestionLignesDemande!G$4:G$1000,GestionLignesDemande!$B$4:$B$1000,ROI_Avions!$A360,GestionLignesDemande!$C$4:$C$1000,ROI_Avions!$C360)</f>
        <v>0</v>
      </c>
      <c r="T360" s="116"/>
      <c r="U360" s="206">
        <f t="shared" si="1201"/>
        <v>856</v>
      </c>
      <c r="V360" s="206">
        <v>853</v>
      </c>
      <c r="W360" s="206">
        <v>0</v>
      </c>
      <c r="X360" s="206">
        <v>0</v>
      </c>
      <c r="Y360" s="206">
        <v>3</v>
      </c>
      <c r="Z360" s="116"/>
      <c r="AA360" s="132"/>
      <c r="AB360" s="132"/>
      <c r="AC360" s="132"/>
      <c r="AD360" s="132"/>
      <c r="AE360" s="116"/>
      <c r="AF360" s="26">
        <f>SUMIFS(DataPrixBillets!N$1:N$1000,DataPrixBillets!$J$1:$J$1000,ROI_Avions!$A360,DataPrixBillets!$K$1:$K$1000,ROI_Avions!$C360)</f>
        <v>0</v>
      </c>
      <c r="AG360" s="26">
        <f>SUMIFS(DataPrixBillets!O$1:O$1000,DataPrixBillets!$J$1:$J$1000,ROI_Avions!$A360,DataPrixBillets!$K$1:$K$1000,ROI_Avions!$C360)</f>
        <v>0</v>
      </c>
      <c r="AH360" s="26">
        <f>SUMIFS(DataPrixBillets!P$1:P$1000,DataPrixBillets!$J$1:$J$1000,ROI_Avions!$A360,DataPrixBillets!$K$1:$K$1000,ROI_Avions!$C360)</f>
        <v>0</v>
      </c>
      <c r="AI360" s="26">
        <f>SUMIFS(DataPrixBillets!Q$1:Q$1000,DataPrixBillets!$J$1:$J$1000,ROI_Avions!$A360,DataPrixBillets!$K$1:$K$1000,ROI_Avions!$C360)</f>
        <v>0</v>
      </c>
      <c r="AJ360" s="116"/>
      <c r="AK360" s="206">
        <f t="shared" si="1210"/>
        <v>0</v>
      </c>
      <c r="AL360" s="206" t="e">
        <f t="shared" ca="1" si="1211"/>
        <v>#REF!</v>
      </c>
      <c r="AM360" s="206" t="e">
        <f t="shared" ca="1" si="1212"/>
        <v>#REF!</v>
      </c>
      <c r="AN360" s="206" t="e">
        <f t="shared" ca="1" si="1213"/>
        <v>#REF!</v>
      </c>
      <c r="AO360" s="206" t="e">
        <f t="shared" ca="1" si="1214"/>
        <v>#REF!</v>
      </c>
      <c r="AP360" s="206" t="e">
        <f t="shared" ca="1" si="1215"/>
        <v>#REF!</v>
      </c>
      <c r="AQ360" s="206" t="e">
        <f t="shared" ca="1" si="1216"/>
        <v>#REF!</v>
      </c>
      <c r="AR360" s="207">
        <f t="shared" ca="1" si="1122"/>
        <v>0</v>
      </c>
      <c r="AS360" s="120">
        <f t="shared" ca="1" si="1200"/>
        <v>0</v>
      </c>
      <c r="AT360" s="206" t="e">
        <f t="shared" ca="1" si="1217"/>
        <v>#REF!</v>
      </c>
    </row>
    <row r="361" spans="1:46" s="204" customFormat="1" x14ac:dyDescent="0.3">
      <c r="A361" s="209" t="s">
        <v>342</v>
      </c>
      <c r="B361" s="210">
        <v>897809549</v>
      </c>
      <c r="C361" s="209" t="s">
        <v>1124</v>
      </c>
      <c r="D361" s="145" t="str">
        <f t="shared" si="1171"/>
        <v>DME/APW</v>
      </c>
      <c r="E361" s="210">
        <v>214309889</v>
      </c>
      <c r="F361" s="211" t="str">
        <f>"A380-A-"&amp;A361&amp;"-"&amp;C361&amp;"-"&amp;4</f>
        <v>A380-A-DME-APW-4</v>
      </c>
      <c r="G361" s="214">
        <v>323891100</v>
      </c>
      <c r="H361" s="116"/>
      <c r="I361" s="206"/>
      <c r="J361" s="206"/>
      <c r="K361" s="206"/>
      <c r="L361" s="53"/>
      <c r="M361" s="53"/>
      <c r="N361" s="116"/>
      <c r="O361" s="140"/>
      <c r="P361" s="133">
        <f>SUMIFS(GestionLignesDemande!D$4:D$1000,GestionLignesDemande!$B$4:$B$1000,ROI_Avions!$A361,GestionLignesDemande!$C$4:$C$1000,ROI_Avions!$C361)</f>
        <v>0</v>
      </c>
      <c r="Q361" s="133">
        <f>SUMIFS(GestionLignesDemande!E$4:E$1000,GestionLignesDemande!$B$4:$B$1000,ROI_Avions!$A361,GestionLignesDemande!$C$4:$C$1000,ROI_Avions!$C361)</f>
        <v>0</v>
      </c>
      <c r="R361" s="133">
        <f>SUMIFS(GestionLignesDemande!F$4:F$1000,GestionLignesDemande!$B$4:$B$1000,ROI_Avions!$A361,GestionLignesDemande!$C$4:$C$1000,ROI_Avions!$C361)</f>
        <v>0</v>
      </c>
      <c r="S361" s="133">
        <f>SUMIFS(GestionLignesDemande!G$4:G$1000,GestionLignesDemande!$B$4:$B$1000,ROI_Avions!$A361,GestionLignesDemande!$C$4:$C$1000,ROI_Avions!$C361)</f>
        <v>0</v>
      </c>
      <c r="T361" s="116"/>
      <c r="U361" s="206">
        <f t="shared" si="1201"/>
        <v>856</v>
      </c>
      <c r="V361" s="206">
        <v>853</v>
      </c>
      <c r="W361" s="206">
        <v>0</v>
      </c>
      <c r="X361" s="206">
        <v>0</v>
      </c>
      <c r="Y361" s="206">
        <v>3</v>
      </c>
      <c r="Z361" s="116"/>
      <c r="AA361" s="132"/>
      <c r="AB361" s="132"/>
      <c r="AC361" s="132"/>
      <c r="AD361" s="132"/>
      <c r="AE361" s="116"/>
      <c r="AF361" s="26">
        <f>SUMIFS(DataPrixBillets!N$1:N$1000,DataPrixBillets!$J$1:$J$1000,ROI_Avions!$A361,DataPrixBillets!$K$1:$K$1000,ROI_Avions!$C361)</f>
        <v>0</v>
      </c>
      <c r="AG361" s="26">
        <f>SUMIFS(DataPrixBillets!O$1:O$1000,DataPrixBillets!$J$1:$J$1000,ROI_Avions!$A361,DataPrixBillets!$K$1:$K$1000,ROI_Avions!$C361)</f>
        <v>0</v>
      </c>
      <c r="AH361" s="26">
        <f>SUMIFS(DataPrixBillets!P$1:P$1000,DataPrixBillets!$J$1:$J$1000,ROI_Avions!$A361,DataPrixBillets!$K$1:$K$1000,ROI_Avions!$C361)</f>
        <v>0</v>
      </c>
      <c r="AI361" s="26">
        <f>SUMIFS(DataPrixBillets!Q$1:Q$1000,DataPrixBillets!$J$1:$J$1000,ROI_Avions!$A361,DataPrixBillets!$K$1:$K$1000,ROI_Avions!$C361)</f>
        <v>0</v>
      </c>
      <c r="AJ361" s="116"/>
      <c r="AK361" s="206">
        <f t="shared" si="1210"/>
        <v>0</v>
      </c>
      <c r="AL361" s="206" t="e">
        <f t="shared" ca="1" si="1211"/>
        <v>#REF!</v>
      </c>
      <c r="AM361" s="206" t="e">
        <f t="shared" ca="1" si="1212"/>
        <v>#REF!</v>
      </c>
      <c r="AN361" s="206" t="e">
        <f t="shared" ca="1" si="1213"/>
        <v>#REF!</v>
      </c>
      <c r="AO361" s="206" t="e">
        <f t="shared" ca="1" si="1214"/>
        <v>#REF!</v>
      </c>
      <c r="AP361" s="206" t="e">
        <f t="shared" ca="1" si="1215"/>
        <v>#REF!</v>
      </c>
      <c r="AQ361" s="206" t="e">
        <f t="shared" ca="1" si="1216"/>
        <v>#REF!</v>
      </c>
      <c r="AR361" s="207">
        <f t="shared" ca="1" si="1122"/>
        <v>0</v>
      </c>
      <c r="AS361" s="120">
        <f t="shared" ca="1" si="1200"/>
        <v>0</v>
      </c>
      <c r="AT361" s="206" t="e">
        <f t="shared" ca="1" si="1217"/>
        <v>#REF!</v>
      </c>
    </row>
    <row r="362" spans="1:46" s="204" customFormat="1" x14ac:dyDescent="0.3">
      <c r="A362" s="209" t="s">
        <v>342</v>
      </c>
      <c r="B362" s="210">
        <v>897809549</v>
      </c>
      <c r="C362" s="209" t="s">
        <v>1125</v>
      </c>
      <c r="D362" s="145" t="str">
        <f t="shared" si="1171"/>
        <v>DME/PPG</v>
      </c>
      <c r="E362" s="210">
        <v>259228765</v>
      </c>
      <c r="F362" s="211" t="str">
        <f>"A380-A-"&amp;A362&amp;"-"&amp;C362&amp;"-"&amp;5</f>
        <v>A380-A-DME-PPG-5</v>
      </c>
      <c r="G362" s="214">
        <v>323891100</v>
      </c>
      <c r="H362" s="116"/>
      <c r="I362" s="206"/>
      <c r="J362" s="206"/>
      <c r="K362" s="206"/>
      <c r="L362" s="53"/>
      <c r="M362" s="53"/>
      <c r="N362" s="116"/>
      <c r="O362" s="140"/>
      <c r="P362" s="133">
        <f>SUMIFS(GestionLignesDemande!D$4:D$1000,GestionLignesDemande!$B$4:$B$1000,ROI_Avions!$A362,GestionLignesDemande!$C$4:$C$1000,ROI_Avions!$C362)</f>
        <v>0</v>
      </c>
      <c r="Q362" s="133">
        <f>SUMIFS(GestionLignesDemande!E$4:E$1000,GestionLignesDemande!$B$4:$B$1000,ROI_Avions!$A362,GestionLignesDemande!$C$4:$C$1000,ROI_Avions!$C362)</f>
        <v>0</v>
      </c>
      <c r="R362" s="133">
        <f>SUMIFS(GestionLignesDemande!F$4:F$1000,GestionLignesDemande!$B$4:$B$1000,ROI_Avions!$A362,GestionLignesDemande!$C$4:$C$1000,ROI_Avions!$C362)</f>
        <v>0</v>
      </c>
      <c r="S362" s="133">
        <f>SUMIFS(GestionLignesDemande!G$4:G$1000,GestionLignesDemande!$B$4:$B$1000,ROI_Avions!$A362,GestionLignesDemande!$C$4:$C$1000,ROI_Avions!$C362)</f>
        <v>0</v>
      </c>
      <c r="T362" s="116"/>
      <c r="U362" s="206">
        <f t="shared" si="1201"/>
        <v>856</v>
      </c>
      <c r="V362" s="206">
        <v>853</v>
      </c>
      <c r="W362" s="206">
        <v>0</v>
      </c>
      <c r="X362" s="206">
        <v>0</v>
      </c>
      <c r="Y362" s="206">
        <v>3</v>
      </c>
      <c r="Z362" s="116"/>
      <c r="AA362" s="132"/>
      <c r="AB362" s="132"/>
      <c r="AC362" s="132"/>
      <c r="AD362" s="132"/>
      <c r="AE362" s="116"/>
      <c r="AF362" s="26">
        <f>SUMIFS(DataPrixBillets!N$1:N$1000,DataPrixBillets!$J$1:$J$1000,ROI_Avions!$A362,DataPrixBillets!$K$1:$K$1000,ROI_Avions!$C362)</f>
        <v>0</v>
      </c>
      <c r="AG362" s="26">
        <f>SUMIFS(DataPrixBillets!O$1:O$1000,DataPrixBillets!$J$1:$J$1000,ROI_Avions!$A362,DataPrixBillets!$K$1:$K$1000,ROI_Avions!$C362)</f>
        <v>0</v>
      </c>
      <c r="AH362" s="26">
        <f>SUMIFS(DataPrixBillets!P$1:P$1000,DataPrixBillets!$J$1:$J$1000,ROI_Avions!$A362,DataPrixBillets!$K$1:$K$1000,ROI_Avions!$C362)</f>
        <v>0</v>
      </c>
      <c r="AI362" s="26">
        <f>SUMIFS(DataPrixBillets!Q$1:Q$1000,DataPrixBillets!$J$1:$J$1000,ROI_Avions!$A362,DataPrixBillets!$K$1:$K$1000,ROI_Avions!$C362)</f>
        <v>0</v>
      </c>
      <c r="AJ362" s="116"/>
      <c r="AK362" s="206">
        <f t="shared" si="1210"/>
        <v>0</v>
      </c>
      <c r="AL362" s="206" t="e">
        <f t="shared" ca="1" si="1211"/>
        <v>#REF!</v>
      </c>
      <c r="AM362" s="206" t="e">
        <f t="shared" ca="1" si="1212"/>
        <v>#REF!</v>
      </c>
      <c r="AN362" s="206" t="e">
        <f t="shared" ca="1" si="1213"/>
        <v>#REF!</v>
      </c>
      <c r="AO362" s="206" t="e">
        <f t="shared" ca="1" si="1214"/>
        <v>#REF!</v>
      </c>
      <c r="AP362" s="206" t="e">
        <f t="shared" ca="1" si="1215"/>
        <v>#REF!</v>
      </c>
      <c r="AQ362" s="206" t="e">
        <f t="shared" ca="1" si="1216"/>
        <v>#REF!</v>
      </c>
      <c r="AR362" s="207">
        <f t="shared" ca="1" si="1122"/>
        <v>0</v>
      </c>
      <c r="AS362" s="120">
        <f t="shared" ca="1" si="1200"/>
        <v>0</v>
      </c>
      <c r="AT362" s="206" t="e">
        <f t="shared" ca="1" si="1217"/>
        <v>#REF!</v>
      </c>
    </row>
    <row r="363" spans="1:46" s="204" customFormat="1" x14ac:dyDescent="0.3">
      <c r="A363" s="209" t="s">
        <v>342</v>
      </c>
      <c r="B363" s="210">
        <v>897809549</v>
      </c>
      <c r="C363" s="209" t="s">
        <v>1125</v>
      </c>
      <c r="D363" s="145" t="str">
        <f t="shared" si="1171"/>
        <v>DME/PPG</v>
      </c>
      <c r="E363" s="210">
        <v>259228765</v>
      </c>
      <c r="F363" s="211" t="str">
        <f>"A380-A-"&amp;A363&amp;"-"&amp;C363&amp;"-"&amp;6</f>
        <v>A380-A-DME-PPG-6</v>
      </c>
      <c r="G363" s="214">
        <v>323891100</v>
      </c>
      <c r="H363" s="116"/>
      <c r="I363" s="206"/>
      <c r="J363" s="206"/>
      <c r="K363" s="206"/>
      <c r="L363" s="53"/>
      <c r="M363" s="53"/>
      <c r="N363" s="116"/>
      <c r="O363" s="140"/>
      <c r="P363" s="133">
        <f>SUMIFS(GestionLignesDemande!D$4:D$1000,GestionLignesDemande!$B$4:$B$1000,ROI_Avions!$A363,GestionLignesDemande!$C$4:$C$1000,ROI_Avions!$C363)</f>
        <v>0</v>
      </c>
      <c r="Q363" s="133">
        <f>SUMIFS(GestionLignesDemande!E$4:E$1000,GestionLignesDemande!$B$4:$B$1000,ROI_Avions!$A363,GestionLignesDemande!$C$4:$C$1000,ROI_Avions!$C363)</f>
        <v>0</v>
      </c>
      <c r="R363" s="133">
        <f>SUMIFS(GestionLignesDemande!F$4:F$1000,GestionLignesDemande!$B$4:$B$1000,ROI_Avions!$A363,GestionLignesDemande!$C$4:$C$1000,ROI_Avions!$C363)</f>
        <v>0</v>
      </c>
      <c r="S363" s="133">
        <f>SUMIFS(GestionLignesDemande!G$4:G$1000,GestionLignesDemande!$B$4:$B$1000,ROI_Avions!$A363,GestionLignesDemande!$C$4:$C$1000,ROI_Avions!$C363)</f>
        <v>0</v>
      </c>
      <c r="T363" s="116"/>
      <c r="U363" s="206">
        <f t="shared" si="1201"/>
        <v>856</v>
      </c>
      <c r="V363" s="206">
        <v>853</v>
      </c>
      <c r="W363" s="206">
        <v>0</v>
      </c>
      <c r="X363" s="206">
        <v>0</v>
      </c>
      <c r="Y363" s="206">
        <v>3</v>
      </c>
      <c r="Z363" s="116"/>
      <c r="AA363" s="132"/>
      <c r="AB363" s="132"/>
      <c r="AC363" s="132"/>
      <c r="AD363" s="132"/>
      <c r="AE363" s="116"/>
      <c r="AF363" s="26">
        <f>SUMIFS(DataPrixBillets!N$1:N$1000,DataPrixBillets!$J$1:$J$1000,ROI_Avions!$A363,DataPrixBillets!$K$1:$K$1000,ROI_Avions!$C363)</f>
        <v>0</v>
      </c>
      <c r="AG363" s="26">
        <f>SUMIFS(DataPrixBillets!O$1:O$1000,DataPrixBillets!$J$1:$J$1000,ROI_Avions!$A363,DataPrixBillets!$K$1:$K$1000,ROI_Avions!$C363)</f>
        <v>0</v>
      </c>
      <c r="AH363" s="26">
        <f>SUMIFS(DataPrixBillets!P$1:P$1000,DataPrixBillets!$J$1:$J$1000,ROI_Avions!$A363,DataPrixBillets!$K$1:$K$1000,ROI_Avions!$C363)</f>
        <v>0</v>
      </c>
      <c r="AI363" s="26">
        <f>SUMIFS(DataPrixBillets!Q$1:Q$1000,DataPrixBillets!$J$1:$J$1000,ROI_Avions!$A363,DataPrixBillets!$K$1:$K$1000,ROI_Avions!$C363)</f>
        <v>0</v>
      </c>
      <c r="AJ363" s="116"/>
      <c r="AK363" s="206">
        <f t="shared" si="1210"/>
        <v>0</v>
      </c>
      <c r="AL363" s="206" t="e">
        <f t="shared" ca="1" si="1211"/>
        <v>#REF!</v>
      </c>
      <c r="AM363" s="206" t="e">
        <f t="shared" ca="1" si="1212"/>
        <v>#REF!</v>
      </c>
      <c r="AN363" s="206" t="e">
        <f t="shared" ca="1" si="1213"/>
        <v>#REF!</v>
      </c>
      <c r="AO363" s="206" t="e">
        <f t="shared" ca="1" si="1214"/>
        <v>#REF!</v>
      </c>
      <c r="AP363" s="206" t="e">
        <f t="shared" ca="1" si="1215"/>
        <v>#REF!</v>
      </c>
      <c r="AQ363" s="206" t="e">
        <f t="shared" ca="1" si="1216"/>
        <v>#REF!</v>
      </c>
      <c r="AR363" s="207">
        <f t="shared" ref="AR363:AR371" ca="1" si="1218">IFERROR((AP363/7)/((B363/COUNTIFS(A:A,A363))+(E363/COUNTIFS(A:A,A363,C:C,C363))+I363*K363+J363+G363),0)</f>
        <v>0</v>
      </c>
      <c r="AS363" s="120">
        <f t="shared" ca="1" si="1200"/>
        <v>0</v>
      </c>
      <c r="AT363" s="206" t="e">
        <f t="shared" ca="1" si="1217"/>
        <v>#REF!</v>
      </c>
    </row>
    <row r="364" spans="1:46" s="204" customFormat="1" x14ac:dyDescent="0.3">
      <c r="A364" s="209" t="s">
        <v>342</v>
      </c>
      <c r="B364" s="210">
        <v>897809549</v>
      </c>
      <c r="C364" s="209" t="s">
        <v>1125</v>
      </c>
      <c r="D364" s="145" t="str">
        <f t="shared" si="1171"/>
        <v>DME/PPG</v>
      </c>
      <c r="E364" s="210">
        <v>259228765</v>
      </c>
      <c r="F364" s="211" t="str">
        <f>"A380-A-"&amp;A364&amp;"-"&amp;C364&amp;"-"&amp;7</f>
        <v>A380-A-DME-PPG-7</v>
      </c>
      <c r="G364" s="214">
        <v>323891100</v>
      </c>
      <c r="H364" s="116"/>
      <c r="I364" s="206"/>
      <c r="J364" s="206"/>
      <c r="K364" s="206"/>
      <c r="L364" s="53"/>
      <c r="M364" s="53"/>
      <c r="N364" s="116"/>
      <c r="O364" s="140"/>
      <c r="P364" s="133">
        <f>SUMIFS(GestionLignesDemande!D$4:D$1000,GestionLignesDemande!$B$4:$B$1000,ROI_Avions!$A364,GestionLignesDemande!$C$4:$C$1000,ROI_Avions!$C364)</f>
        <v>0</v>
      </c>
      <c r="Q364" s="133">
        <f>SUMIFS(GestionLignesDemande!E$4:E$1000,GestionLignesDemande!$B$4:$B$1000,ROI_Avions!$A364,GestionLignesDemande!$C$4:$C$1000,ROI_Avions!$C364)</f>
        <v>0</v>
      </c>
      <c r="R364" s="133">
        <f>SUMIFS(GestionLignesDemande!F$4:F$1000,GestionLignesDemande!$B$4:$B$1000,ROI_Avions!$A364,GestionLignesDemande!$C$4:$C$1000,ROI_Avions!$C364)</f>
        <v>0</v>
      </c>
      <c r="S364" s="133">
        <f>SUMIFS(GestionLignesDemande!G$4:G$1000,GestionLignesDemande!$B$4:$B$1000,ROI_Avions!$A364,GestionLignesDemande!$C$4:$C$1000,ROI_Avions!$C364)</f>
        <v>0</v>
      </c>
      <c r="T364" s="116"/>
      <c r="U364" s="206">
        <f t="shared" si="1201"/>
        <v>856</v>
      </c>
      <c r="V364" s="206">
        <v>853</v>
      </c>
      <c r="W364" s="206">
        <v>0</v>
      </c>
      <c r="X364" s="206">
        <v>0</v>
      </c>
      <c r="Y364" s="206">
        <v>3</v>
      </c>
      <c r="Z364" s="116"/>
      <c r="AA364" s="132"/>
      <c r="AB364" s="132"/>
      <c r="AC364" s="132"/>
      <c r="AD364" s="132"/>
      <c r="AE364" s="116"/>
      <c r="AF364" s="26">
        <f>SUMIFS(DataPrixBillets!N$1:N$1000,DataPrixBillets!$J$1:$J$1000,ROI_Avions!$A364,DataPrixBillets!$K$1:$K$1000,ROI_Avions!$C364)</f>
        <v>0</v>
      </c>
      <c r="AG364" s="26">
        <f>SUMIFS(DataPrixBillets!O$1:O$1000,DataPrixBillets!$J$1:$J$1000,ROI_Avions!$A364,DataPrixBillets!$K$1:$K$1000,ROI_Avions!$C364)</f>
        <v>0</v>
      </c>
      <c r="AH364" s="26">
        <f>SUMIFS(DataPrixBillets!P$1:P$1000,DataPrixBillets!$J$1:$J$1000,ROI_Avions!$A364,DataPrixBillets!$K$1:$K$1000,ROI_Avions!$C364)</f>
        <v>0</v>
      </c>
      <c r="AI364" s="26">
        <f>SUMIFS(DataPrixBillets!Q$1:Q$1000,DataPrixBillets!$J$1:$J$1000,ROI_Avions!$A364,DataPrixBillets!$K$1:$K$1000,ROI_Avions!$C364)</f>
        <v>0</v>
      </c>
      <c r="AJ364" s="116"/>
      <c r="AK364" s="206">
        <f t="shared" si="1210"/>
        <v>0</v>
      </c>
      <c r="AL364" s="206" t="e">
        <f t="shared" ca="1" si="1211"/>
        <v>#REF!</v>
      </c>
      <c r="AM364" s="206" t="e">
        <f t="shared" ca="1" si="1212"/>
        <v>#REF!</v>
      </c>
      <c r="AN364" s="206" t="e">
        <f t="shared" ca="1" si="1213"/>
        <v>#REF!</v>
      </c>
      <c r="AO364" s="206" t="e">
        <f t="shared" ca="1" si="1214"/>
        <v>#REF!</v>
      </c>
      <c r="AP364" s="206" t="e">
        <f t="shared" ca="1" si="1215"/>
        <v>#REF!</v>
      </c>
      <c r="AQ364" s="206" t="e">
        <f t="shared" ca="1" si="1216"/>
        <v>#REF!</v>
      </c>
      <c r="AR364" s="207">
        <f t="shared" ca="1" si="1218"/>
        <v>0</v>
      </c>
      <c r="AS364" s="120">
        <f t="shared" ca="1" si="1200"/>
        <v>0</v>
      </c>
      <c r="AT364" s="206" t="e">
        <f t="shared" ca="1" si="1217"/>
        <v>#REF!</v>
      </c>
    </row>
    <row r="365" spans="1:46" s="204" customFormat="1" x14ac:dyDescent="0.3">
      <c r="A365" s="209" t="s">
        <v>342</v>
      </c>
      <c r="B365" s="210">
        <v>897809549</v>
      </c>
      <c r="C365" s="209" t="s">
        <v>879</v>
      </c>
      <c r="D365" s="145" t="str">
        <f t="shared" si="1171"/>
        <v>DME/DRW</v>
      </c>
      <c r="E365" s="210">
        <v>106590870</v>
      </c>
      <c r="F365" s="211" t="str">
        <f>"B788-A-"&amp;A365&amp;"-"&amp;C365&amp;"-"&amp;1</f>
        <v>B788-A-DME-DRW-1</v>
      </c>
      <c r="G365" s="214">
        <v>176814000</v>
      </c>
      <c r="H365" s="116"/>
      <c r="I365" s="206"/>
      <c r="J365" s="206"/>
      <c r="K365" s="206"/>
      <c r="L365" s="53"/>
      <c r="M365" s="53"/>
      <c r="N365" s="116"/>
      <c r="O365" s="140"/>
      <c r="P365" s="133">
        <f>SUMIFS(GestionLignesDemande!D$4:D$1000,GestionLignesDemande!$B$4:$B$1000,ROI_Avions!$A365,GestionLignesDemande!$C$4:$C$1000,ROI_Avions!$C365)</f>
        <v>0</v>
      </c>
      <c r="Q365" s="133">
        <f>SUMIFS(GestionLignesDemande!E$4:E$1000,GestionLignesDemande!$B$4:$B$1000,ROI_Avions!$A365,GestionLignesDemande!$C$4:$C$1000,ROI_Avions!$C365)</f>
        <v>0</v>
      </c>
      <c r="R365" s="133">
        <f>SUMIFS(GestionLignesDemande!F$4:F$1000,GestionLignesDemande!$B$4:$B$1000,ROI_Avions!$A365,GestionLignesDemande!$C$4:$C$1000,ROI_Avions!$C365)</f>
        <v>0</v>
      </c>
      <c r="S365" s="133">
        <f>SUMIFS(GestionLignesDemande!G$4:G$1000,GestionLignesDemande!$B$4:$B$1000,ROI_Avions!$A365,GestionLignesDemande!$C$4:$C$1000,ROI_Avions!$C365)</f>
        <v>0</v>
      </c>
      <c r="T365" s="116"/>
      <c r="U365" s="206">
        <f t="shared" si="1201"/>
        <v>360</v>
      </c>
      <c r="V365" s="206">
        <v>320</v>
      </c>
      <c r="W365" s="206">
        <v>33</v>
      </c>
      <c r="X365" s="206">
        <v>0</v>
      </c>
      <c r="Y365" s="206">
        <v>7</v>
      </c>
      <c r="Z365" s="116"/>
      <c r="AA365" s="132"/>
      <c r="AB365" s="132"/>
      <c r="AC365" s="132"/>
      <c r="AD365" s="132"/>
      <c r="AE365" s="116"/>
      <c r="AF365" s="26">
        <f>SUMIFS(DataPrixBillets!N$1:N$1000,DataPrixBillets!$J$1:$J$1000,ROI_Avions!$A365,DataPrixBillets!$K$1:$K$1000,ROI_Avions!$C365)</f>
        <v>0</v>
      </c>
      <c r="AG365" s="26">
        <f>SUMIFS(DataPrixBillets!O$1:O$1000,DataPrixBillets!$J$1:$J$1000,ROI_Avions!$A365,DataPrixBillets!$K$1:$K$1000,ROI_Avions!$C365)</f>
        <v>0</v>
      </c>
      <c r="AH365" s="26">
        <f>SUMIFS(DataPrixBillets!P$1:P$1000,DataPrixBillets!$J$1:$J$1000,ROI_Avions!$A365,DataPrixBillets!$K$1:$K$1000,ROI_Avions!$C365)</f>
        <v>0</v>
      </c>
      <c r="AI365" s="26">
        <f>SUMIFS(DataPrixBillets!Q$1:Q$1000,DataPrixBillets!$J$1:$J$1000,ROI_Avions!$A365,DataPrixBillets!$K$1:$K$1000,ROI_Avions!$C365)</f>
        <v>0</v>
      </c>
      <c r="AJ365" s="116"/>
      <c r="AK365" s="206">
        <f t="shared" si="1210"/>
        <v>0</v>
      </c>
      <c r="AL365" s="206" t="e">
        <f t="shared" ca="1" si="1211"/>
        <v>#REF!</v>
      </c>
      <c r="AM365" s="206" t="e">
        <f t="shared" ca="1" si="1212"/>
        <v>#REF!</v>
      </c>
      <c r="AN365" s="206" t="e">
        <f t="shared" ca="1" si="1213"/>
        <v>#REF!</v>
      </c>
      <c r="AO365" s="206" t="e">
        <f t="shared" ca="1" si="1214"/>
        <v>#REF!</v>
      </c>
      <c r="AP365" s="206" t="e">
        <f t="shared" ca="1" si="1215"/>
        <v>#REF!</v>
      </c>
      <c r="AQ365" s="206" t="e">
        <f t="shared" ca="1" si="1216"/>
        <v>#REF!</v>
      </c>
      <c r="AR365" s="207">
        <f t="shared" ca="1" si="1218"/>
        <v>0</v>
      </c>
      <c r="AS365" s="120">
        <f t="shared" ca="1" si="1200"/>
        <v>0</v>
      </c>
      <c r="AT365" s="206" t="e">
        <f t="shared" ca="1" si="1217"/>
        <v>#REF!</v>
      </c>
    </row>
    <row r="366" spans="1:46" s="204" customFormat="1" x14ac:dyDescent="0.3">
      <c r="A366" s="209" t="s">
        <v>342</v>
      </c>
      <c r="B366" s="210">
        <v>897809549</v>
      </c>
      <c r="C366" s="209" t="s">
        <v>1122</v>
      </c>
      <c r="D366" s="145" t="str">
        <f t="shared" si="1171"/>
        <v>DME/NAN</v>
      </c>
      <c r="E366" s="210">
        <v>143732390</v>
      </c>
      <c r="F366" s="211" t="str">
        <f>"B788-A-"&amp;A366&amp;"-"&amp;C366&amp;"-"&amp;2</f>
        <v>B788-A-DME-NAN-2</v>
      </c>
      <c r="G366" s="214">
        <v>176814000</v>
      </c>
      <c r="H366" s="116"/>
      <c r="I366" s="206"/>
      <c r="J366" s="206"/>
      <c r="K366" s="206"/>
      <c r="L366" s="53"/>
      <c r="M366" s="53"/>
      <c r="N366" s="116"/>
      <c r="O366" s="140"/>
      <c r="P366" s="133">
        <f>SUMIFS(GestionLignesDemande!D$4:D$1000,GestionLignesDemande!$B$4:$B$1000,ROI_Avions!$A366,GestionLignesDemande!$C$4:$C$1000,ROI_Avions!$C366)</f>
        <v>0</v>
      </c>
      <c r="Q366" s="133">
        <f>SUMIFS(GestionLignesDemande!E$4:E$1000,GestionLignesDemande!$B$4:$B$1000,ROI_Avions!$A366,GestionLignesDemande!$C$4:$C$1000,ROI_Avions!$C366)</f>
        <v>0</v>
      </c>
      <c r="R366" s="133">
        <f>SUMIFS(GestionLignesDemande!F$4:F$1000,GestionLignesDemande!$B$4:$B$1000,ROI_Avions!$A366,GestionLignesDemande!$C$4:$C$1000,ROI_Avions!$C366)</f>
        <v>0</v>
      </c>
      <c r="S366" s="133">
        <f>SUMIFS(GestionLignesDemande!G$4:G$1000,GestionLignesDemande!$B$4:$B$1000,ROI_Avions!$A366,GestionLignesDemande!$C$4:$C$1000,ROI_Avions!$C366)</f>
        <v>0</v>
      </c>
      <c r="T366" s="116"/>
      <c r="U366" s="206">
        <f t="shared" si="1201"/>
        <v>360</v>
      </c>
      <c r="V366" s="206">
        <v>320</v>
      </c>
      <c r="W366" s="206">
        <v>33</v>
      </c>
      <c r="X366" s="206">
        <v>0</v>
      </c>
      <c r="Y366" s="206">
        <v>7</v>
      </c>
      <c r="Z366" s="116"/>
      <c r="AA366" s="132"/>
      <c r="AB366" s="132"/>
      <c r="AC366" s="132"/>
      <c r="AD366" s="132"/>
      <c r="AE366" s="116"/>
      <c r="AF366" s="26">
        <f>SUMIFS(DataPrixBillets!N$1:N$1000,DataPrixBillets!$J$1:$J$1000,ROI_Avions!$A366,DataPrixBillets!$K$1:$K$1000,ROI_Avions!$C366)</f>
        <v>0</v>
      </c>
      <c r="AG366" s="26">
        <f>SUMIFS(DataPrixBillets!O$1:O$1000,DataPrixBillets!$J$1:$J$1000,ROI_Avions!$A366,DataPrixBillets!$K$1:$K$1000,ROI_Avions!$C366)</f>
        <v>0</v>
      </c>
      <c r="AH366" s="26">
        <f>SUMIFS(DataPrixBillets!P$1:P$1000,DataPrixBillets!$J$1:$J$1000,ROI_Avions!$A366,DataPrixBillets!$K$1:$K$1000,ROI_Avions!$C366)</f>
        <v>0</v>
      </c>
      <c r="AI366" s="26">
        <f>SUMIFS(DataPrixBillets!Q$1:Q$1000,DataPrixBillets!$J$1:$J$1000,ROI_Avions!$A366,DataPrixBillets!$K$1:$K$1000,ROI_Avions!$C366)</f>
        <v>0</v>
      </c>
      <c r="AJ366" s="116"/>
      <c r="AK366" s="206">
        <f t="shared" si="1210"/>
        <v>0</v>
      </c>
      <c r="AL366" s="206" t="e">
        <f t="shared" ca="1" si="1211"/>
        <v>#REF!</v>
      </c>
      <c r="AM366" s="206" t="e">
        <f t="shared" ca="1" si="1212"/>
        <v>#REF!</v>
      </c>
      <c r="AN366" s="206" t="e">
        <f t="shared" ca="1" si="1213"/>
        <v>#REF!</v>
      </c>
      <c r="AO366" s="206" t="e">
        <f t="shared" ca="1" si="1214"/>
        <v>#REF!</v>
      </c>
      <c r="AP366" s="206" t="e">
        <f t="shared" ca="1" si="1215"/>
        <v>#REF!</v>
      </c>
      <c r="AQ366" s="206" t="e">
        <f t="shared" ca="1" si="1216"/>
        <v>#REF!</v>
      </c>
      <c r="AR366" s="207">
        <f t="shared" ca="1" si="1218"/>
        <v>0</v>
      </c>
      <c r="AS366" s="120">
        <f t="shared" ca="1" si="1200"/>
        <v>0</v>
      </c>
      <c r="AT366" s="206" t="e">
        <f t="shared" ca="1" si="1217"/>
        <v>#REF!</v>
      </c>
    </row>
    <row r="367" spans="1:46" s="204" customFormat="1" x14ac:dyDescent="0.3">
      <c r="A367" s="209" t="s">
        <v>342</v>
      </c>
      <c r="B367" s="210">
        <v>897809549</v>
      </c>
      <c r="C367" s="209" t="s">
        <v>1123</v>
      </c>
      <c r="D367" s="145" t="str">
        <f t="shared" si="1171"/>
        <v>DME/NOU</v>
      </c>
      <c r="E367" s="210">
        <v>174160293</v>
      </c>
      <c r="F367" s="211" t="str">
        <f>"B788-A-"&amp;A367&amp;"-"&amp;C367&amp;"-"&amp;3</f>
        <v>B788-A-DME-NOU-3</v>
      </c>
      <c r="G367" s="214">
        <v>176814000</v>
      </c>
      <c r="H367" s="116"/>
      <c r="I367" s="206"/>
      <c r="J367" s="206"/>
      <c r="K367" s="206"/>
      <c r="L367" s="53"/>
      <c r="M367" s="53"/>
      <c r="N367" s="116"/>
      <c r="O367" s="140"/>
      <c r="P367" s="133">
        <f>SUMIFS(GestionLignesDemande!D$4:D$1000,GestionLignesDemande!$B$4:$B$1000,ROI_Avions!$A367,GestionLignesDemande!$C$4:$C$1000,ROI_Avions!$C367)</f>
        <v>0</v>
      </c>
      <c r="Q367" s="133">
        <f>SUMIFS(GestionLignesDemande!E$4:E$1000,GestionLignesDemande!$B$4:$B$1000,ROI_Avions!$A367,GestionLignesDemande!$C$4:$C$1000,ROI_Avions!$C367)</f>
        <v>0</v>
      </c>
      <c r="R367" s="133">
        <f>SUMIFS(GestionLignesDemande!F$4:F$1000,GestionLignesDemande!$B$4:$B$1000,ROI_Avions!$A367,GestionLignesDemande!$C$4:$C$1000,ROI_Avions!$C367)</f>
        <v>0</v>
      </c>
      <c r="S367" s="133">
        <f>SUMIFS(GestionLignesDemande!G$4:G$1000,GestionLignesDemande!$B$4:$B$1000,ROI_Avions!$A367,GestionLignesDemande!$C$4:$C$1000,ROI_Avions!$C367)</f>
        <v>0</v>
      </c>
      <c r="T367" s="116"/>
      <c r="U367" s="206">
        <f t="shared" si="1201"/>
        <v>360</v>
      </c>
      <c r="V367" s="206">
        <v>320</v>
      </c>
      <c r="W367" s="206">
        <v>33</v>
      </c>
      <c r="X367" s="206">
        <v>0</v>
      </c>
      <c r="Y367" s="206">
        <v>7</v>
      </c>
      <c r="Z367" s="116"/>
      <c r="AA367" s="132"/>
      <c r="AB367" s="132"/>
      <c r="AC367" s="132"/>
      <c r="AD367" s="132"/>
      <c r="AE367" s="116"/>
      <c r="AF367" s="26">
        <f>SUMIFS(DataPrixBillets!N$1:N$1000,DataPrixBillets!$J$1:$J$1000,ROI_Avions!$A367,DataPrixBillets!$K$1:$K$1000,ROI_Avions!$C367)</f>
        <v>0</v>
      </c>
      <c r="AG367" s="26">
        <f>SUMIFS(DataPrixBillets!O$1:O$1000,DataPrixBillets!$J$1:$J$1000,ROI_Avions!$A367,DataPrixBillets!$K$1:$K$1000,ROI_Avions!$C367)</f>
        <v>0</v>
      </c>
      <c r="AH367" s="26">
        <f>SUMIFS(DataPrixBillets!P$1:P$1000,DataPrixBillets!$J$1:$J$1000,ROI_Avions!$A367,DataPrixBillets!$K$1:$K$1000,ROI_Avions!$C367)</f>
        <v>0</v>
      </c>
      <c r="AI367" s="26">
        <f>SUMIFS(DataPrixBillets!Q$1:Q$1000,DataPrixBillets!$J$1:$J$1000,ROI_Avions!$A367,DataPrixBillets!$K$1:$K$1000,ROI_Avions!$C367)</f>
        <v>0</v>
      </c>
      <c r="AJ367" s="116"/>
      <c r="AK367" s="206">
        <f t="shared" si="1210"/>
        <v>0</v>
      </c>
      <c r="AL367" s="206" t="e">
        <f t="shared" ca="1" si="1211"/>
        <v>#REF!</v>
      </c>
      <c r="AM367" s="206" t="e">
        <f t="shared" ca="1" si="1212"/>
        <v>#REF!</v>
      </c>
      <c r="AN367" s="206" t="e">
        <f t="shared" ca="1" si="1213"/>
        <v>#REF!</v>
      </c>
      <c r="AO367" s="206" t="e">
        <f t="shared" ca="1" si="1214"/>
        <v>#REF!</v>
      </c>
      <c r="AP367" s="206" t="e">
        <f t="shared" ca="1" si="1215"/>
        <v>#REF!</v>
      </c>
      <c r="AQ367" s="206" t="e">
        <f t="shared" ca="1" si="1216"/>
        <v>#REF!</v>
      </c>
      <c r="AR367" s="207">
        <f t="shared" ca="1" si="1218"/>
        <v>0</v>
      </c>
      <c r="AS367" s="120">
        <f t="shared" ca="1" si="1200"/>
        <v>0</v>
      </c>
      <c r="AT367" s="206" t="e">
        <f t="shared" ca="1" si="1217"/>
        <v>#REF!</v>
      </c>
    </row>
    <row r="368" spans="1:46" s="204" customFormat="1" x14ac:dyDescent="0.3">
      <c r="A368" s="209" t="s">
        <v>342</v>
      </c>
      <c r="B368" s="210">
        <v>897809549</v>
      </c>
      <c r="C368" s="209" t="s">
        <v>1124</v>
      </c>
      <c r="D368" s="145" t="str">
        <f t="shared" si="1171"/>
        <v>DME/APW</v>
      </c>
      <c r="E368" s="210">
        <v>214309889</v>
      </c>
      <c r="F368" s="211" t="str">
        <f>"B788-A-"&amp;A368&amp;"-"&amp;C368&amp;"-"&amp;4</f>
        <v>B788-A-DME-APW-4</v>
      </c>
      <c r="G368" s="214">
        <v>176814000</v>
      </c>
      <c r="H368" s="116"/>
      <c r="I368" s="206"/>
      <c r="J368" s="206"/>
      <c r="K368" s="206"/>
      <c r="L368" s="53"/>
      <c r="M368" s="53"/>
      <c r="N368" s="116"/>
      <c r="O368" s="140"/>
      <c r="P368" s="133">
        <f>SUMIFS(GestionLignesDemande!D$4:D$1000,GestionLignesDemande!$B$4:$B$1000,ROI_Avions!$A368,GestionLignesDemande!$C$4:$C$1000,ROI_Avions!$C368)</f>
        <v>0</v>
      </c>
      <c r="Q368" s="133">
        <f>SUMIFS(GestionLignesDemande!E$4:E$1000,GestionLignesDemande!$B$4:$B$1000,ROI_Avions!$A368,GestionLignesDemande!$C$4:$C$1000,ROI_Avions!$C368)</f>
        <v>0</v>
      </c>
      <c r="R368" s="133">
        <f>SUMIFS(GestionLignesDemande!F$4:F$1000,GestionLignesDemande!$B$4:$B$1000,ROI_Avions!$A368,GestionLignesDemande!$C$4:$C$1000,ROI_Avions!$C368)</f>
        <v>0</v>
      </c>
      <c r="S368" s="133">
        <f>SUMIFS(GestionLignesDemande!G$4:G$1000,GestionLignesDemande!$B$4:$B$1000,ROI_Avions!$A368,GestionLignesDemande!$C$4:$C$1000,ROI_Avions!$C368)</f>
        <v>0</v>
      </c>
      <c r="T368" s="116"/>
      <c r="U368" s="206">
        <f t="shared" si="1201"/>
        <v>360</v>
      </c>
      <c r="V368" s="206">
        <v>320</v>
      </c>
      <c r="W368" s="206">
        <v>33</v>
      </c>
      <c r="X368" s="206">
        <v>0</v>
      </c>
      <c r="Y368" s="206">
        <v>7</v>
      </c>
      <c r="Z368" s="116"/>
      <c r="AA368" s="132"/>
      <c r="AB368" s="132"/>
      <c r="AC368" s="132"/>
      <c r="AD368" s="132"/>
      <c r="AE368" s="116"/>
      <c r="AF368" s="26">
        <f>SUMIFS(DataPrixBillets!N$1:N$1000,DataPrixBillets!$J$1:$J$1000,ROI_Avions!$A368,DataPrixBillets!$K$1:$K$1000,ROI_Avions!$C368)</f>
        <v>0</v>
      </c>
      <c r="AG368" s="26">
        <f>SUMIFS(DataPrixBillets!O$1:O$1000,DataPrixBillets!$J$1:$J$1000,ROI_Avions!$A368,DataPrixBillets!$K$1:$K$1000,ROI_Avions!$C368)</f>
        <v>0</v>
      </c>
      <c r="AH368" s="26">
        <f>SUMIFS(DataPrixBillets!P$1:P$1000,DataPrixBillets!$J$1:$J$1000,ROI_Avions!$A368,DataPrixBillets!$K$1:$K$1000,ROI_Avions!$C368)</f>
        <v>0</v>
      </c>
      <c r="AI368" s="26">
        <f>SUMIFS(DataPrixBillets!Q$1:Q$1000,DataPrixBillets!$J$1:$J$1000,ROI_Avions!$A368,DataPrixBillets!$K$1:$K$1000,ROI_Avions!$C368)</f>
        <v>0</v>
      </c>
      <c r="AJ368" s="116"/>
      <c r="AK368" s="206">
        <f t="shared" si="1210"/>
        <v>0</v>
      </c>
      <c r="AL368" s="206" t="e">
        <f t="shared" ca="1" si="1211"/>
        <v>#REF!</v>
      </c>
      <c r="AM368" s="206" t="e">
        <f t="shared" ca="1" si="1212"/>
        <v>#REF!</v>
      </c>
      <c r="AN368" s="206" t="e">
        <f t="shared" ca="1" si="1213"/>
        <v>#REF!</v>
      </c>
      <c r="AO368" s="206" t="e">
        <f t="shared" ca="1" si="1214"/>
        <v>#REF!</v>
      </c>
      <c r="AP368" s="206" t="e">
        <f t="shared" ca="1" si="1215"/>
        <v>#REF!</v>
      </c>
      <c r="AQ368" s="206" t="e">
        <f t="shared" ca="1" si="1216"/>
        <v>#REF!</v>
      </c>
      <c r="AR368" s="207">
        <f t="shared" ca="1" si="1218"/>
        <v>0</v>
      </c>
      <c r="AS368" s="120">
        <f t="shared" ca="1" si="1200"/>
        <v>0</v>
      </c>
      <c r="AT368" s="206" t="e">
        <f t="shared" ca="1" si="1217"/>
        <v>#REF!</v>
      </c>
    </row>
    <row r="369" spans="1:55" s="204" customFormat="1" x14ac:dyDescent="0.3">
      <c r="A369" s="209" t="s">
        <v>342</v>
      </c>
      <c r="B369" s="210">
        <v>897809549</v>
      </c>
      <c r="C369" s="209" t="s">
        <v>1125</v>
      </c>
      <c r="D369" s="145" t="str">
        <f t="shared" si="1171"/>
        <v>DME/PPG</v>
      </c>
      <c r="E369" s="210">
        <v>259228765</v>
      </c>
      <c r="F369" s="211" t="str">
        <f>"B788-A-"&amp;A369&amp;"-"&amp;C369&amp;"-"&amp;5</f>
        <v>B788-A-DME-PPG-5</v>
      </c>
      <c r="G369" s="214">
        <v>176814000</v>
      </c>
      <c r="H369" s="116"/>
      <c r="I369" s="206"/>
      <c r="J369" s="206"/>
      <c r="K369" s="206"/>
      <c r="L369" s="53"/>
      <c r="M369" s="53"/>
      <c r="N369" s="116"/>
      <c r="O369" s="140"/>
      <c r="P369" s="133">
        <f>SUMIFS(GestionLignesDemande!D$4:D$1000,GestionLignesDemande!$B$4:$B$1000,ROI_Avions!$A369,GestionLignesDemande!$C$4:$C$1000,ROI_Avions!$C369)</f>
        <v>0</v>
      </c>
      <c r="Q369" s="133">
        <f>SUMIFS(GestionLignesDemande!E$4:E$1000,GestionLignesDemande!$B$4:$B$1000,ROI_Avions!$A369,GestionLignesDemande!$C$4:$C$1000,ROI_Avions!$C369)</f>
        <v>0</v>
      </c>
      <c r="R369" s="133">
        <f>SUMIFS(GestionLignesDemande!F$4:F$1000,GestionLignesDemande!$B$4:$B$1000,ROI_Avions!$A369,GestionLignesDemande!$C$4:$C$1000,ROI_Avions!$C369)</f>
        <v>0</v>
      </c>
      <c r="S369" s="133">
        <f>SUMIFS(GestionLignesDemande!G$4:G$1000,GestionLignesDemande!$B$4:$B$1000,ROI_Avions!$A369,GestionLignesDemande!$C$4:$C$1000,ROI_Avions!$C369)</f>
        <v>0</v>
      </c>
      <c r="T369" s="116"/>
      <c r="U369" s="206">
        <f t="shared" si="1201"/>
        <v>360</v>
      </c>
      <c r="V369" s="206">
        <v>320</v>
      </c>
      <c r="W369" s="206">
        <v>33</v>
      </c>
      <c r="X369" s="206">
        <v>0</v>
      </c>
      <c r="Y369" s="206">
        <v>7</v>
      </c>
      <c r="Z369" s="116"/>
      <c r="AA369" s="132"/>
      <c r="AB369" s="132"/>
      <c r="AC369" s="132"/>
      <c r="AD369" s="132"/>
      <c r="AE369" s="116"/>
      <c r="AF369" s="26">
        <f>SUMIFS(DataPrixBillets!N$1:N$1000,DataPrixBillets!$J$1:$J$1000,ROI_Avions!$A369,DataPrixBillets!$K$1:$K$1000,ROI_Avions!$C369)</f>
        <v>0</v>
      </c>
      <c r="AG369" s="26">
        <f>SUMIFS(DataPrixBillets!O$1:O$1000,DataPrixBillets!$J$1:$J$1000,ROI_Avions!$A369,DataPrixBillets!$K$1:$K$1000,ROI_Avions!$C369)</f>
        <v>0</v>
      </c>
      <c r="AH369" s="26">
        <f>SUMIFS(DataPrixBillets!P$1:P$1000,DataPrixBillets!$J$1:$J$1000,ROI_Avions!$A369,DataPrixBillets!$K$1:$K$1000,ROI_Avions!$C369)</f>
        <v>0</v>
      </c>
      <c r="AI369" s="26">
        <f>SUMIFS(DataPrixBillets!Q$1:Q$1000,DataPrixBillets!$J$1:$J$1000,ROI_Avions!$A369,DataPrixBillets!$K$1:$K$1000,ROI_Avions!$C369)</f>
        <v>0</v>
      </c>
      <c r="AJ369" s="116"/>
      <c r="AK369" s="206">
        <f t="shared" si="1210"/>
        <v>0</v>
      </c>
      <c r="AL369" s="206" t="e">
        <f t="shared" ca="1" si="1211"/>
        <v>#REF!</v>
      </c>
      <c r="AM369" s="206" t="e">
        <f t="shared" ca="1" si="1212"/>
        <v>#REF!</v>
      </c>
      <c r="AN369" s="206" t="e">
        <f t="shared" ca="1" si="1213"/>
        <v>#REF!</v>
      </c>
      <c r="AO369" s="206" t="e">
        <f t="shared" ca="1" si="1214"/>
        <v>#REF!</v>
      </c>
      <c r="AP369" s="206" t="e">
        <f t="shared" ca="1" si="1215"/>
        <v>#REF!</v>
      </c>
      <c r="AQ369" s="206" t="e">
        <f t="shared" ca="1" si="1216"/>
        <v>#REF!</v>
      </c>
      <c r="AR369" s="207">
        <f t="shared" ca="1" si="1218"/>
        <v>0</v>
      </c>
      <c r="AS369" s="120">
        <f t="shared" ca="1" si="1200"/>
        <v>0</v>
      </c>
      <c r="AT369" s="206" t="e">
        <f t="shared" ca="1" si="1217"/>
        <v>#REF!</v>
      </c>
    </row>
    <row r="370" spans="1:55" s="204" customFormat="1" x14ac:dyDescent="0.3">
      <c r="A370" s="209" t="s">
        <v>342</v>
      </c>
      <c r="B370" s="210">
        <v>897809549</v>
      </c>
      <c r="C370" s="209" t="s">
        <v>1125</v>
      </c>
      <c r="D370" s="145" t="str">
        <f t="shared" si="1171"/>
        <v>DME/PPG</v>
      </c>
      <c r="E370" s="210">
        <v>259228765</v>
      </c>
      <c r="F370" s="211" t="str">
        <f>"B788-A-"&amp;A370&amp;"-"&amp;C370&amp;"-"&amp;6</f>
        <v>B788-A-DME-PPG-6</v>
      </c>
      <c r="G370" s="214">
        <v>176814000</v>
      </c>
      <c r="H370" s="116"/>
      <c r="I370" s="206"/>
      <c r="J370" s="206"/>
      <c r="K370" s="206"/>
      <c r="L370" s="53"/>
      <c r="M370" s="53"/>
      <c r="N370" s="116"/>
      <c r="O370" s="140"/>
      <c r="P370" s="133">
        <f>SUMIFS(GestionLignesDemande!D$4:D$1000,GestionLignesDemande!$B$4:$B$1000,ROI_Avions!$A370,GestionLignesDemande!$C$4:$C$1000,ROI_Avions!$C370)</f>
        <v>0</v>
      </c>
      <c r="Q370" s="133">
        <f>SUMIFS(GestionLignesDemande!E$4:E$1000,GestionLignesDemande!$B$4:$B$1000,ROI_Avions!$A370,GestionLignesDemande!$C$4:$C$1000,ROI_Avions!$C370)</f>
        <v>0</v>
      </c>
      <c r="R370" s="133">
        <f>SUMIFS(GestionLignesDemande!F$4:F$1000,GestionLignesDemande!$B$4:$B$1000,ROI_Avions!$A370,GestionLignesDemande!$C$4:$C$1000,ROI_Avions!$C370)</f>
        <v>0</v>
      </c>
      <c r="S370" s="133">
        <f>SUMIFS(GestionLignesDemande!G$4:G$1000,GestionLignesDemande!$B$4:$B$1000,ROI_Avions!$A370,GestionLignesDemande!$C$4:$C$1000,ROI_Avions!$C370)</f>
        <v>0</v>
      </c>
      <c r="T370" s="116"/>
      <c r="U370" s="206">
        <f t="shared" si="1201"/>
        <v>360</v>
      </c>
      <c r="V370" s="206">
        <v>320</v>
      </c>
      <c r="W370" s="206">
        <v>33</v>
      </c>
      <c r="X370" s="206">
        <v>0</v>
      </c>
      <c r="Y370" s="206">
        <v>7</v>
      </c>
      <c r="Z370" s="116"/>
      <c r="AA370" s="132"/>
      <c r="AB370" s="132"/>
      <c r="AC370" s="132"/>
      <c r="AD370" s="132"/>
      <c r="AE370" s="116"/>
      <c r="AF370" s="26">
        <f>SUMIFS(DataPrixBillets!N$1:N$1000,DataPrixBillets!$J$1:$J$1000,ROI_Avions!$A370,DataPrixBillets!$K$1:$K$1000,ROI_Avions!$C370)</f>
        <v>0</v>
      </c>
      <c r="AG370" s="26">
        <f>SUMIFS(DataPrixBillets!O$1:O$1000,DataPrixBillets!$J$1:$J$1000,ROI_Avions!$A370,DataPrixBillets!$K$1:$K$1000,ROI_Avions!$C370)</f>
        <v>0</v>
      </c>
      <c r="AH370" s="26">
        <f>SUMIFS(DataPrixBillets!P$1:P$1000,DataPrixBillets!$J$1:$J$1000,ROI_Avions!$A370,DataPrixBillets!$K$1:$K$1000,ROI_Avions!$C370)</f>
        <v>0</v>
      </c>
      <c r="AI370" s="26">
        <f>SUMIFS(DataPrixBillets!Q$1:Q$1000,DataPrixBillets!$J$1:$J$1000,ROI_Avions!$A370,DataPrixBillets!$K$1:$K$1000,ROI_Avions!$C370)</f>
        <v>0</v>
      </c>
      <c r="AJ370" s="116"/>
      <c r="AK370" s="206">
        <f t="shared" si="1210"/>
        <v>0</v>
      </c>
      <c r="AL370" s="206" t="e">
        <f t="shared" ca="1" si="1211"/>
        <v>#REF!</v>
      </c>
      <c r="AM370" s="206" t="e">
        <f t="shared" ca="1" si="1212"/>
        <v>#REF!</v>
      </c>
      <c r="AN370" s="206" t="e">
        <f t="shared" ca="1" si="1213"/>
        <v>#REF!</v>
      </c>
      <c r="AO370" s="206" t="e">
        <f t="shared" ca="1" si="1214"/>
        <v>#REF!</v>
      </c>
      <c r="AP370" s="206" t="e">
        <f t="shared" ca="1" si="1215"/>
        <v>#REF!</v>
      </c>
      <c r="AQ370" s="206" t="e">
        <f t="shared" ca="1" si="1216"/>
        <v>#REF!</v>
      </c>
      <c r="AR370" s="207">
        <f t="shared" ca="1" si="1218"/>
        <v>0</v>
      </c>
      <c r="AS370" s="120">
        <f t="shared" ca="1" si="1200"/>
        <v>0</v>
      </c>
      <c r="AT370" s="206" t="e">
        <f t="shared" ca="1" si="1217"/>
        <v>#REF!</v>
      </c>
    </row>
    <row r="371" spans="1:55" s="204" customFormat="1" x14ac:dyDescent="0.3">
      <c r="A371" s="209" t="s">
        <v>342</v>
      </c>
      <c r="B371" s="210">
        <v>897809549</v>
      </c>
      <c r="C371" s="209" t="s">
        <v>1125</v>
      </c>
      <c r="D371" s="145" t="str">
        <f t="shared" si="1171"/>
        <v>DME/PPG</v>
      </c>
      <c r="E371" s="210">
        <v>259228765</v>
      </c>
      <c r="F371" s="211" t="str">
        <f>"B788-A-"&amp;A371&amp;"-"&amp;C371&amp;"-"&amp;7</f>
        <v>B788-A-DME-PPG-7</v>
      </c>
      <c r="G371" s="214">
        <v>176814000</v>
      </c>
      <c r="H371" s="116"/>
      <c r="I371" s="206"/>
      <c r="J371" s="206"/>
      <c r="K371" s="206"/>
      <c r="L371" s="53"/>
      <c r="M371" s="53"/>
      <c r="N371" s="116"/>
      <c r="O371" s="140"/>
      <c r="P371" s="133">
        <f>SUMIFS(GestionLignesDemande!D$4:D$1000,GestionLignesDemande!$B$4:$B$1000,ROI_Avions!$A371,GestionLignesDemande!$C$4:$C$1000,ROI_Avions!$C371)</f>
        <v>0</v>
      </c>
      <c r="Q371" s="133">
        <f>SUMIFS(GestionLignesDemande!E$4:E$1000,GestionLignesDemande!$B$4:$B$1000,ROI_Avions!$A371,GestionLignesDemande!$C$4:$C$1000,ROI_Avions!$C371)</f>
        <v>0</v>
      </c>
      <c r="R371" s="133">
        <f>SUMIFS(GestionLignesDemande!F$4:F$1000,GestionLignesDemande!$B$4:$B$1000,ROI_Avions!$A371,GestionLignesDemande!$C$4:$C$1000,ROI_Avions!$C371)</f>
        <v>0</v>
      </c>
      <c r="S371" s="133">
        <f>SUMIFS(GestionLignesDemande!G$4:G$1000,GestionLignesDemande!$B$4:$B$1000,ROI_Avions!$A371,GestionLignesDemande!$C$4:$C$1000,ROI_Avions!$C371)</f>
        <v>0</v>
      </c>
      <c r="T371" s="116"/>
      <c r="U371" s="206">
        <f t="shared" si="1201"/>
        <v>360</v>
      </c>
      <c r="V371" s="206">
        <v>320</v>
      </c>
      <c r="W371" s="206">
        <v>33</v>
      </c>
      <c r="X371" s="206">
        <v>0</v>
      </c>
      <c r="Y371" s="206">
        <v>7</v>
      </c>
      <c r="Z371" s="116"/>
      <c r="AA371" s="132"/>
      <c r="AB371" s="132"/>
      <c r="AC371" s="132"/>
      <c r="AD371" s="132"/>
      <c r="AE371" s="116"/>
      <c r="AF371" s="26">
        <f>SUMIFS(DataPrixBillets!N$1:N$1000,DataPrixBillets!$J$1:$J$1000,ROI_Avions!$A371,DataPrixBillets!$K$1:$K$1000,ROI_Avions!$C371)</f>
        <v>0</v>
      </c>
      <c r="AG371" s="26">
        <f>SUMIFS(DataPrixBillets!O$1:O$1000,DataPrixBillets!$J$1:$J$1000,ROI_Avions!$A371,DataPrixBillets!$K$1:$K$1000,ROI_Avions!$C371)</f>
        <v>0</v>
      </c>
      <c r="AH371" s="26">
        <f>SUMIFS(DataPrixBillets!P$1:P$1000,DataPrixBillets!$J$1:$J$1000,ROI_Avions!$A371,DataPrixBillets!$K$1:$K$1000,ROI_Avions!$C371)</f>
        <v>0</v>
      </c>
      <c r="AI371" s="26">
        <f>SUMIFS(DataPrixBillets!Q$1:Q$1000,DataPrixBillets!$J$1:$J$1000,ROI_Avions!$A371,DataPrixBillets!$K$1:$K$1000,ROI_Avions!$C371)</f>
        <v>0</v>
      </c>
      <c r="AJ371" s="116"/>
      <c r="AK371" s="206">
        <f t="shared" si="1210"/>
        <v>0</v>
      </c>
      <c r="AL371" s="206" t="e">
        <f t="shared" ca="1" si="1211"/>
        <v>#REF!</v>
      </c>
      <c r="AM371" s="206" t="e">
        <f t="shared" ca="1" si="1212"/>
        <v>#REF!</v>
      </c>
      <c r="AN371" s="206" t="e">
        <f t="shared" ca="1" si="1213"/>
        <v>#REF!</v>
      </c>
      <c r="AO371" s="206" t="e">
        <f t="shared" ca="1" si="1214"/>
        <v>#REF!</v>
      </c>
      <c r="AP371" s="206" t="e">
        <f t="shared" ca="1" si="1215"/>
        <v>#REF!</v>
      </c>
      <c r="AQ371" s="206" t="e">
        <f t="shared" ca="1" si="1216"/>
        <v>#REF!</v>
      </c>
      <c r="AR371" s="207">
        <f t="shared" ca="1" si="1218"/>
        <v>0</v>
      </c>
      <c r="AS371" s="120">
        <f t="shared" ca="1" si="1200"/>
        <v>0</v>
      </c>
      <c r="AT371" s="206" t="e">
        <f t="shared" ca="1" si="1217"/>
        <v>#REF!</v>
      </c>
    </row>
    <row r="372" spans="1:55" s="204" customFormat="1" x14ac:dyDescent="0.3">
      <c r="A372" s="219" t="s">
        <v>1136</v>
      </c>
      <c r="B372" s="220">
        <v>1150748134</v>
      </c>
      <c r="C372" s="219"/>
      <c r="D372" s="219"/>
      <c r="E372" s="220"/>
      <c r="F372" s="221"/>
      <c r="G372" s="222"/>
      <c r="H372" s="116"/>
      <c r="I372" s="206"/>
      <c r="J372" s="206"/>
      <c r="K372" s="206"/>
      <c r="L372" s="53"/>
      <c r="M372" s="53"/>
      <c r="N372" s="116"/>
      <c r="O372" s="140"/>
      <c r="P372" s="133"/>
      <c r="Q372" s="133"/>
      <c r="R372" s="133"/>
      <c r="S372" s="133"/>
      <c r="T372" s="116"/>
      <c r="U372" s="206"/>
      <c r="V372" s="206"/>
      <c r="W372" s="206"/>
      <c r="X372" s="206"/>
      <c r="Y372" s="206"/>
      <c r="Z372" s="116"/>
      <c r="AA372" s="132"/>
      <c r="AB372" s="132"/>
      <c r="AC372" s="132"/>
      <c r="AD372" s="132"/>
      <c r="AE372" s="116"/>
      <c r="AF372" s="26"/>
      <c r="AG372" s="26"/>
      <c r="AH372" s="26"/>
      <c r="AI372" s="26"/>
      <c r="AJ372" s="116"/>
      <c r="AK372" s="206"/>
      <c r="AL372" s="206"/>
      <c r="AM372" s="206"/>
      <c r="AN372" s="206"/>
      <c r="AO372" s="206"/>
      <c r="AP372" s="206"/>
      <c r="AQ372" s="206"/>
      <c r="AR372" s="207"/>
      <c r="AS372" s="120"/>
      <c r="AT372" s="206"/>
    </row>
    <row r="373" spans="1:55" s="204" customFormat="1" x14ac:dyDescent="0.3">
      <c r="A373" s="223" t="s">
        <v>1137</v>
      </c>
      <c r="B373" s="224">
        <v>987088224</v>
      </c>
      <c r="C373" s="223"/>
      <c r="D373" s="223"/>
      <c r="E373" s="224"/>
      <c r="F373" s="225"/>
      <c r="G373" s="226"/>
      <c r="H373" s="116"/>
      <c r="I373" s="206"/>
      <c r="J373" s="206"/>
      <c r="K373" s="206"/>
      <c r="L373" s="53"/>
      <c r="M373" s="53"/>
      <c r="N373" s="116"/>
      <c r="O373" s="140"/>
      <c r="P373" s="133"/>
      <c r="Q373" s="133"/>
      <c r="R373" s="133"/>
      <c r="S373" s="133"/>
      <c r="T373" s="116"/>
      <c r="U373" s="206"/>
      <c r="V373" s="206"/>
      <c r="W373" s="206"/>
      <c r="X373" s="206"/>
      <c r="Y373" s="206"/>
      <c r="Z373" s="116"/>
      <c r="AA373" s="132"/>
      <c r="AB373" s="132"/>
      <c r="AC373" s="132"/>
      <c r="AD373" s="132"/>
      <c r="AE373" s="116"/>
      <c r="AF373" s="26"/>
      <c r="AG373" s="26"/>
      <c r="AH373" s="26"/>
      <c r="AI373" s="26"/>
      <c r="AJ373" s="116"/>
      <c r="AK373" s="206"/>
      <c r="AL373" s="206"/>
      <c r="AM373" s="206"/>
      <c r="AN373" s="206"/>
      <c r="AO373" s="206"/>
      <c r="AP373" s="206"/>
      <c r="AQ373" s="206"/>
      <c r="AR373" s="207"/>
      <c r="AS373" s="120"/>
      <c r="AT373" s="206"/>
    </row>
    <row r="374" spans="1:55" s="204" customFormat="1" x14ac:dyDescent="0.3">
      <c r="A374" s="227" t="s">
        <v>1138</v>
      </c>
      <c r="B374" s="228">
        <v>829587949</v>
      </c>
      <c r="C374" s="227"/>
      <c r="D374" s="227"/>
      <c r="E374" s="228"/>
      <c r="F374" s="229"/>
      <c r="G374" s="230"/>
      <c r="H374" s="116"/>
      <c r="I374" s="206"/>
      <c r="J374" s="206"/>
      <c r="K374" s="206"/>
      <c r="L374" s="53"/>
      <c r="M374" s="53"/>
      <c r="N374" s="116"/>
      <c r="O374" s="140"/>
      <c r="P374" s="133"/>
      <c r="Q374" s="133"/>
      <c r="R374" s="133"/>
      <c r="S374" s="133"/>
      <c r="T374" s="116"/>
      <c r="U374" s="206"/>
      <c r="V374" s="206"/>
      <c r="W374" s="206"/>
      <c r="X374" s="206"/>
      <c r="Y374" s="206"/>
      <c r="Z374" s="116"/>
      <c r="AA374" s="132"/>
      <c r="AB374" s="132"/>
      <c r="AC374" s="132"/>
      <c r="AD374" s="132"/>
      <c r="AE374" s="116"/>
      <c r="AF374" s="26"/>
      <c r="AG374" s="26"/>
      <c r="AH374" s="26"/>
      <c r="AI374" s="26"/>
      <c r="AJ374" s="116"/>
      <c r="AK374" s="206"/>
      <c r="AL374" s="206"/>
      <c r="AM374" s="206"/>
      <c r="AN374" s="206"/>
      <c r="AO374" s="206"/>
      <c r="AP374" s="206"/>
      <c r="AQ374" s="206"/>
      <c r="AR374" s="207"/>
      <c r="AS374" s="120"/>
      <c r="AT374" s="206"/>
    </row>
    <row r="375" spans="1:55" x14ac:dyDescent="0.3">
      <c r="A375" s="118"/>
      <c r="B375" s="118"/>
      <c r="C375" s="118"/>
      <c r="D375" s="145" t="str">
        <f t="shared" ref="D375:D388" si="1219">A375&amp;"/"&amp;C375</f>
        <v>/</v>
      </c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91"/>
      <c r="V375" s="191"/>
      <c r="W375" s="191"/>
      <c r="X375" s="191"/>
      <c r="Y375" s="191"/>
      <c r="Z375" s="118"/>
      <c r="AA375" s="116"/>
      <c r="AB375" s="116"/>
      <c r="AC375" s="116"/>
      <c r="AD375" s="116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91"/>
      <c r="AR375" s="118"/>
      <c r="AS375" s="118"/>
      <c r="AT375" s="118"/>
      <c r="AV375" s="204"/>
      <c r="AW375" s="204"/>
      <c r="AX375" s="204"/>
      <c r="AY375" s="204"/>
      <c r="BA375" s="204"/>
      <c r="BB375" s="204"/>
      <c r="BC375" s="204"/>
    </row>
    <row r="376" spans="1:55" x14ac:dyDescent="0.3">
      <c r="B376" s="125">
        <f>SUM(B5:B330)</f>
        <v>139439806974</v>
      </c>
      <c r="D376" s="145" t="str">
        <f t="shared" si="1219"/>
        <v>/</v>
      </c>
      <c r="E376" s="125">
        <f>SUM(E5:E329)</f>
        <v>21759833021</v>
      </c>
      <c r="G376" s="125">
        <f>SUM(G5:G364)</f>
        <v>84388810520</v>
      </c>
      <c r="I376" s="125">
        <f>SUM(I5:I329)</f>
        <v>75491800</v>
      </c>
      <c r="J376" s="125">
        <f>SUM(J5:J329)</f>
        <v>988511160</v>
      </c>
      <c r="P376" s="21"/>
      <c r="Q376" s="21"/>
      <c r="R376" s="21"/>
      <c r="S376" s="21"/>
      <c r="U376" s="192">
        <f>SUM(U5:U329)*2</f>
        <v>329854</v>
      </c>
      <c r="V376" s="192">
        <f>SUM(V5:V329)*2</f>
        <v>297926</v>
      </c>
      <c r="W376" s="192">
        <f>SUM(W5:W329)*2</f>
        <v>22024</v>
      </c>
      <c r="X376" s="192">
        <f>SUM(X5:X329)*2</f>
        <v>5684</v>
      </c>
      <c r="Y376" s="192">
        <f>SUM(Y5:Y329)*2</f>
        <v>4220</v>
      </c>
      <c r="AI376" s="124" t="s">
        <v>20</v>
      </c>
      <c r="AK376" s="125">
        <f t="shared" ref="AK376:AQ376" si="1220">SUM(AK5:AK329)</f>
        <v>0</v>
      </c>
      <c r="AL376" s="125" t="e">
        <f t="shared" ca="1" si="1220"/>
        <v>#REF!</v>
      </c>
      <c r="AM376" s="125" t="e">
        <f t="shared" ca="1" si="1220"/>
        <v>#REF!</v>
      </c>
      <c r="AN376" s="125" t="e">
        <f t="shared" ca="1" si="1220"/>
        <v>#REF!</v>
      </c>
      <c r="AO376" s="125" t="e">
        <f t="shared" ca="1" si="1220"/>
        <v>#REF!</v>
      </c>
      <c r="AP376" s="125" t="e">
        <f t="shared" ca="1" si="1220"/>
        <v>#REF!</v>
      </c>
      <c r="AQ376" s="192" t="e">
        <f t="shared" ca="1" si="1220"/>
        <v>#REF!</v>
      </c>
      <c r="AR376" s="184">
        <f ca="1">AVERAGE(AR5:AR329)</f>
        <v>0</v>
      </c>
      <c r="AS376" s="125">
        <f ca="1">AVERAGE(AS5:AS329)</f>
        <v>0</v>
      </c>
      <c r="AT376" s="125" t="e">
        <f ca="1">SUM(AT5:AT329)</f>
        <v>#REF!</v>
      </c>
      <c r="AV376" s="204"/>
      <c r="AW376" s="204"/>
      <c r="AX376" s="204"/>
      <c r="AY376" s="204"/>
      <c r="BA376" s="204"/>
      <c r="BB376" s="204"/>
      <c r="BC376" s="204"/>
    </row>
    <row r="377" spans="1:55" x14ac:dyDescent="0.3">
      <c r="D377" s="145" t="str">
        <f t="shared" si="1219"/>
        <v>/</v>
      </c>
      <c r="AP377" t="e">
        <f ca="1">AP329/AK329</f>
        <v>#REF!</v>
      </c>
      <c r="AV377" s="204"/>
      <c r="AW377" s="204"/>
      <c r="AX377" s="204"/>
      <c r="AY377" s="204"/>
      <c r="BA377" s="204"/>
      <c r="BB377" s="204"/>
      <c r="BC377" s="204"/>
    </row>
    <row r="378" spans="1:55" x14ac:dyDescent="0.3">
      <c r="A378" s="73"/>
      <c r="C378" s="73"/>
      <c r="D378" s="145" t="str">
        <f t="shared" si="1219"/>
        <v>/</v>
      </c>
      <c r="AK378" s="73"/>
    </row>
    <row r="379" spans="1:55" x14ac:dyDescent="0.3">
      <c r="D379" s="145" t="str">
        <f t="shared" si="1219"/>
        <v>/</v>
      </c>
      <c r="AQ379" s="201" t="e">
        <f ca="1">AQ205/G205</f>
        <v>#REF!</v>
      </c>
    </row>
    <row r="380" spans="1:55" x14ac:dyDescent="0.3">
      <c r="D380" s="145" t="str">
        <f t="shared" si="1219"/>
        <v>/</v>
      </c>
    </row>
    <row r="381" spans="1:55" x14ac:dyDescent="0.3">
      <c r="D381" s="145" t="str">
        <f t="shared" si="1219"/>
        <v>/</v>
      </c>
    </row>
    <row r="382" spans="1:55" x14ac:dyDescent="0.3">
      <c r="D382" s="145" t="str">
        <f t="shared" si="1219"/>
        <v>/</v>
      </c>
    </row>
    <row r="383" spans="1:55" x14ac:dyDescent="0.3">
      <c r="D383" s="145" t="str">
        <f t="shared" si="1219"/>
        <v>/</v>
      </c>
      <c r="I383" s="21"/>
    </row>
    <row r="384" spans="1:55" x14ac:dyDescent="0.3">
      <c r="D384" s="145" t="str">
        <f t="shared" si="1219"/>
        <v>/</v>
      </c>
      <c r="AR384" s="137"/>
    </row>
    <row r="385" spans="4:46" x14ac:dyDescent="0.3">
      <c r="D385" s="145" t="str">
        <f t="shared" si="1219"/>
        <v>/</v>
      </c>
    </row>
    <row r="386" spans="4:46" x14ac:dyDescent="0.3">
      <c r="D386" s="145" t="str">
        <f t="shared" si="1219"/>
        <v>/</v>
      </c>
      <c r="AR386" s="137"/>
    </row>
    <row r="387" spans="4:46" x14ac:dyDescent="0.3">
      <c r="D387" s="145" t="str">
        <f t="shared" si="1219"/>
        <v>/</v>
      </c>
    </row>
    <row r="388" spans="4:46" x14ac:dyDescent="0.3">
      <c r="D388" s="145" t="str">
        <f t="shared" si="1219"/>
        <v>/</v>
      </c>
      <c r="AR388" s="137"/>
    </row>
    <row r="389" spans="4:46" x14ac:dyDescent="0.3">
      <c r="AK389" s="186"/>
    </row>
    <row r="391" spans="4:46" x14ac:dyDescent="0.3">
      <c r="AR391" s="231"/>
      <c r="AS391" s="38"/>
      <c r="AT391" s="208"/>
    </row>
  </sheetData>
  <autoFilter ref="A3:AT388" xr:uid="{00000000-0009-0000-0000-000018000000}"/>
  <mergeCells count="8">
    <mergeCell ref="BB5:BC5"/>
    <mergeCell ref="U2:Y2"/>
    <mergeCell ref="P2:S2"/>
    <mergeCell ref="I2:J2"/>
    <mergeCell ref="AA2:AD2"/>
    <mergeCell ref="AF2:AI2"/>
    <mergeCell ref="AV5:AW5"/>
    <mergeCell ref="AY5:AZ5"/>
  </mergeCells>
  <conditionalFormatting sqref="AA1:AD14 AA146:AD146 AA329:AD329 AA272:AD321 AA196:AD237 AA38:AD39 AA65:AD65 AA340:AD343 AA375:AD1048576">
    <cfRule type="cellIs" dxfId="129" priority="133" operator="lessThan">
      <formula>0</formula>
    </cfRule>
  </conditionalFormatting>
  <conditionalFormatting sqref="AA238:AD238">
    <cfRule type="cellIs" dxfId="128" priority="131" operator="lessThan">
      <formula>0</formula>
    </cfRule>
  </conditionalFormatting>
  <conditionalFormatting sqref="AA15:AD15">
    <cfRule type="cellIs" dxfId="127" priority="127" operator="lessThan">
      <formula>0</formula>
    </cfRule>
  </conditionalFormatting>
  <conditionalFormatting sqref="AA16:AD16 AA18:AD19">
    <cfRule type="cellIs" dxfId="126" priority="125" operator="lessThan">
      <formula>0</formula>
    </cfRule>
  </conditionalFormatting>
  <conditionalFormatting sqref="AA66:AD66">
    <cfRule type="cellIs" dxfId="125" priority="123" operator="lessThan">
      <formula>0</formula>
    </cfRule>
  </conditionalFormatting>
  <conditionalFormatting sqref="AA67:AD67">
    <cfRule type="cellIs" dxfId="124" priority="121" operator="lessThan">
      <formula>0</formula>
    </cfRule>
  </conditionalFormatting>
  <conditionalFormatting sqref="AA147:AD147">
    <cfRule type="cellIs" dxfId="123" priority="119" operator="lessThan">
      <formula>0</formula>
    </cfRule>
  </conditionalFormatting>
  <conditionalFormatting sqref="AA148:AD148 AA152:AD154 AA189:AD195">
    <cfRule type="cellIs" dxfId="122" priority="117" operator="lessThan">
      <formula>0</formula>
    </cfRule>
  </conditionalFormatting>
  <conditionalFormatting sqref="AA68:AD68">
    <cfRule type="cellIs" dxfId="121" priority="115" operator="lessThan">
      <formula>0</formula>
    </cfRule>
  </conditionalFormatting>
  <conditionalFormatting sqref="AA69:AD71 AA73:AD74">
    <cfRule type="cellIs" dxfId="120" priority="113" operator="lessThan">
      <formula>0</formula>
    </cfRule>
  </conditionalFormatting>
  <conditionalFormatting sqref="AA72:AD72">
    <cfRule type="cellIs" dxfId="119" priority="112" operator="lessThan">
      <formula>0</formula>
    </cfRule>
  </conditionalFormatting>
  <conditionalFormatting sqref="AA75:AD75">
    <cfRule type="cellIs" dxfId="118" priority="110" operator="lessThan">
      <formula>0</formula>
    </cfRule>
  </conditionalFormatting>
  <conditionalFormatting sqref="AA76:AD76">
    <cfRule type="cellIs" dxfId="117" priority="108" operator="lessThan">
      <formula>0</formula>
    </cfRule>
  </conditionalFormatting>
  <conditionalFormatting sqref="AA77:AD77">
    <cfRule type="cellIs" dxfId="116" priority="106" operator="lessThan">
      <formula>0</formula>
    </cfRule>
  </conditionalFormatting>
  <conditionalFormatting sqref="AA78:AD94">
    <cfRule type="cellIs" dxfId="115" priority="105" operator="lessThan">
      <formula>0</formula>
    </cfRule>
  </conditionalFormatting>
  <conditionalFormatting sqref="AA95:AD121 AA128:AD145">
    <cfRule type="cellIs" dxfId="114" priority="103" operator="lessThan">
      <formula>0</formula>
    </cfRule>
  </conditionalFormatting>
  <conditionalFormatting sqref="AA17:AD17">
    <cfRule type="cellIs" dxfId="113" priority="102" operator="lessThan">
      <formula>0</formula>
    </cfRule>
  </conditionalFormatting>
  <conditionalFormatting sqref="AA21:AD22">
    <cfRule type="cellIs" dxfId="112" priority="101" operator="lessThan">
      <formula>0</formula>
    </cfRule>
  </conditionalFormatting>
  <conditionalFormatting sqref="AA20:AD20">
    <cfRule type="cellIs" dxfId="111" priority="100" operator="lessThan">
      <formula>0</formula>
    </cfRule>
  </conditionalFormatting>
  <conditionalFormatting sqref="AA24:AD25">
    <cfRule type="cellIs" dxfId="110" priority="98" operator="lessThan">
      <formula>0</formula>
    </cfRule>
  </conditionalFormatting>
  <conditionalFormatting sqref="AA23:AD23">
    <cfRule type="cellIs" dxfId="109" priority="97" operator="lessThan">
      <formula>0</formula>
    </cfRule>
  </conditionalFormatting>
  <conditionalFormatting sqref="AA27:AD28">
    <cfRule type="cellIs" dxfId="108" priority="96" operator="lessThan">
      <formula>0</formula>
    </cfRule>
  </conditionalFormatting>
  <conditionalFormatting sqref="AA26:AD26">
    <cfRule type="cellIs" dxfId="107" priority="95" operator="lessThan">
      <formula>0</formula>
    </cfRule>
  </conditionalFormatting>
  <conditionalFormatting sqref="AA30:AD31">
    <cfRule type="cellIs" dxfId="106" priority="94" operator="lessThan">
      <formula>0</formula>
    </cfRule>
  </conditionalFormatting>
  <conditionalFormatting sqref="AA29:AD29">
    <cfRule type="cellIs" dxfId="105" priority="93" operator="lessThan">
      <formula>0</formula>
    </cfRule>
  </conditionalFormatting>
  <conditionalFormatting sqref="AA33:AD34">
    <cfRule type="cellIs" dxfId="104" priority="90" operator="lessThan">
      <formula>0</formula>
    </cfRule>
  </conditionalFormatting>
  <conditionalFormatting sqref="AA32:AD32">
    <cfRule type="cellIs" dxfId="103" priority="89" operator="lessThan">
      <formula>0</formula>
    </cfRule>
  </conditionalFormatting>
  <conditionalFormatting sqref="AA122:AD127">
    <cfRule type="cellIs" dxfId="102" priority="86" operator="lessThan">
      <formula>0</formula>
    </cfRule>
  </conditionalFormatting>
  <conditionalFormatting sqref="AA322:AD322 AA324:AD328">
    <cfRule type="cellIs" dxfId="101" priority="84" operator="lessThan">
      <formula>0</formula>
    </cfRule>
  </conditionalFormatting>
  <conditionalFormatting sqref="AA323:AD323">
    <cfRule type="cellIs" dxfId="100" priority="83" operator="lessThan">
      <formula>0</formula>
    </cfRule>
  </conditionalFormatting>
  <conditionalFormatting sqref="AA149:AD149">
    <cfRule type="cellIs" dxfId="99" priority="82" operator="lessThan">
      <formula>0</formula>
    </cfRule>
  </conditionalFormatting>
  <conditionalFormatting sqref="AA150:AD150">
    <cfRule type="cellIs" dxfId="98" priority="81" operator="lessThan">
      <formula>0</formula>
    </cfRule>
  </conditionalFormatting>
  <conditionalFormatting sqref="AA151:AD151">
    <cfRule type="cellIs" dxfId="97" priority="80" operator="lessThan">
      <formula>0</formula>
    </cfRule>
  </conditionalFormatting>
  <conditionalFormatting sqref="AA158:AD160">
    <cfRule type="cellIs" dxfId="96" priority="79" operator="lessThan">
      <formula>0</formula>
    </cfRule>
  </conditionalFormatting>
  <conditionalFormatting sqref="AA155:AD155">
    <cfRule type="cellIs" dxfId="95" priority="78" operator="lessThan">
      <formula>0</formula>
    </cfRule>
  </conditionalFormatting>
  <conditionalFormatting sqref="AA156:AD156">
    <cfRule type="cellIs" dxfId="94" priority="77" operator="lessThan">
      <formula>0</formula>
    </cfRule>
  </conditionalFormatting>
  <conditionalFormatting sqref="AA157:AD157">
    <cfRule type="cellIs" dxfId="93" priority="76" operator="lessThan">
      <formula>0</formula>
    </cfRule>
  </conditionalFormatting>
  <conditionalFormatting sqref="AA164:AD166">
    <cfRule type="cellIs" dxfId="92" priority="75" operator="lessThan">
      <formula>0</formula>
    </cfRule>
  </conditionalFormatting>
  <conditionalFormatting sqref="AA161:AD161">
    <cfRule type="cellIs" dxfId="91" priority="74" operator="lessThan">
      <formula>0</formula>
    </cfRule>
  </conditionalFormatting>
  <conditionalFormatting sqref="AA162:AD162">
    <cfRule type="cellIs" dxfId="90" priority="73" operator="lessThan">
      <formula>0</formula>
    </cfRule>
  </conditionalFormatting>
  <conditionalFormatting sqref="AA163:AD163">
    <cfRule type="cellIs" dxfId="89" priority="72" operator="lessThan">
      <formula>0</formula>
    </cfRule>
  </conditionalFormatting>
  <conditionalFormatting sqref="AA170:AD172">
    <cfRule type="cellIs" dxfId="88" priority="67" operator="lessThan">
      <formula>0</formula>
    </cfRule>
  </conditionalFormatting>
  <conditionalFormatting sqref="AA167:AD167">
    <cfRule type="cellIs" dxfId="87" priority="66" operator="lessThan">
      <formula>0</formula>
    </cfRule>
  </conditionalFormatting>
  <conditionalFormatting sqref="AA168:AD168">
    <cfRule type="cellIs" dxfId="86" priority="65" operator="lessThan">
      <formula>0</formula>
    </cfRule>
  </conditionalFormatting>
  <conditionalFormatting sqref="AA169:AD169">
    <cfRule type="cellIs" dxfId="85" priority="64" operator="lessThan">
      <formula>0</formula>
    </cfRule>
  </conditionalFormatting>
  <conditionalFormatting sqref="AA176:AD178">
    <cfRule type="cellIs" dxfId="84" priority="63" operator="lessThan">
      <formula>0</formula>
    </cfRule>
  </conditionalFormatting>
  <conditionalFormatting sqref="AA173:AD173">
    <cfRule type="cellIs" dxfId="83" priority="62" operator="lessThan">
      <formula>0</formula>
    </cfRule>
  </conditionalFormatting>
  <conditionalFormatting sqref="AA174:AD174">
    <cfRule type="cellIs" dxfId="82" priority="61" operator="lessThan">
      <formula>0</formula>
    </cfRule>
  </conditionalFormatting>
  <conditionalFormatting sqref="AA175:AD175">
    <cfRule type="cellIs" dxfId="81" priority="60" operator="lessThan">
      <formula>0</formula>
    </cfRule>
  </conditionalFormatting>
  <conditionalFormatting sqref="AA182:AD183">
    <cfRule type="cellIs" dxfId="80" priority="59" operator="lessThan">
      <formula>0</formula>
    </cfRule>
  </conditionalFormatting>
  <conditionalFormatting sqref="AA179:AD179">
    <cfRule type="cellIs" dxfId="79" priority="58" operator="lessThan">
      <formula>0</formula>
    </cfRule>
  </conditionalFormatting>
  <conditionalFormatting sqref="AA180:AD180">
    <cfRule type="cellIs" dxfId="78" priority="57" operator="lessThan">
      <formula>0</formula>
    </cfRule>
  </conditionalFormatting>
  <conditionalFormatting sqref="AA181:AD181">
    <cfRule type="cellIs" dxfId="77" priority="56" operator="lessThan">
      <formula>0</formula>
    </cfRule>
  </conditionalFormatting>
  <conditionalFormatting sqref="AA187:AD188">
    <cfRule type="cellIs" dxfId="76" priority="55" operator="lessThan">
      <formula>0</formula>
    </cfRule>
  </conditionalFormatting>
  <conditionalFormatting sqref="AA184:AD184">
    <cfRule type="cellIs" dxfId="75" priority="54" operator="lessThan">
      <formula>0</formula>
    </cfRule>
  </conditionalFormatting>
  <conditionalFormatting sqref="AA185:AD185">
    <cfRule type="cellIs" dxfId="74" priority="53" operator="lessThan">
      <formula>0</formula>
    </cfRule>
  </conditionalFormatting>
  <conditionalFormatting sqref="AA186:AD186">
    <cfRule type="cellIs" dxfId="73" priority="52" operator="lessThan">
      <formula>0</formula>
    </cfRule>
  </conditionalFormatting>
  <conditionalFormatting sqref="AA36:AD39">
    <cfRule type="cellIs" dxfId="72" priority="51" operator="lessThan">
      <formula>0</formula>
    </cfRule>
  </conditionalFormatting>
  <conditionalFormatting sqref="AA35:AD35">
    <cfRule type="cellIs" dxfId="71" priority="50" operator="lessThan">
      <formula>0</formula>
    </cfRule>
  </conditionalFormatting>
  <conditionalFormatting sqref="AA43:AD44">
    <cfRule type="cellIs" dxfId="70" priority="49" operator="lessThan">
      <formula>0</formula>
    </cfRule>
  </conditionalFormatting>
  <conditionalFormatting sqref="AA41:AD44">
    <cfRule type="cellIs" dxfId="69" priority="48" operator="lessThan">
      <formula>0</formula>
    </cfRule>
  </conditionalFormatting>
  <conditionalFormatting sqref="AA40:AD40">
    <cfRule type="cellIs" dxfId="68" priority="47" operator="lessThan">
      <formula>0</formula>
    </cfRule>
  </conditionalFormatting>
  <conditionalFormatting sqref="AA48:AD49">
    <cfRule type="cellIs" dxfId="67" priority="46" operator="lessThan">
      <formula>0</formula>
    </cfRule>
  </conditionalFormatting>
  <conditionalFormatting sqref="AA46:AD49">
    <cfRule type="cellIs" dxfId="66" priority="45" operator="lessThan">
      <formula>0</formula>
    </cfRule>
  </conditionalFormatting>
  <conditionalFormatting sqref="AA45:AD45">
    <cfRule type="cellIs" dxfId="65" priority="44" operator="lessThan">
      <formula>0</formula>
    </cfRule>
  </conditionalFormatting>
  <conditionalFormatting sqref="AA53:AD54">
    <cfRule type="cellIs" dxfId="64" priority="43" operator="lessThan">
      <formula>0</formula>
    </cfRule>
  </conditionalFormatting>
  <conditionalFormatting sqref="AA51:AD54">
    <cfRule type="cellIs" dxfId="63" priority="42" operator="lessThan">
      <formula>0</formula>
    </cfRule>
  </conditionalFormatting>
  <conditionalFormatting sqref="AA50:AD50">
    <cfRule type="cellIs" dxfId="62" priority="41" operator="lessThan">
      <formula>0</formula>
    </cfRule>
  </conditionalFormatting>
  <conditionalFormatting sqref="AA58:AD59">
    <cfRule type="cellIs" dxfId="61" priority="40" operator="lessThan">
      <formula>0</formula>
    </cfRule>
  </conditionalFormatting>
  <conditionalFormatting sqref="AA56:AD59">
    <cfRule type="cellIs" dxfId="60" priority="39" operator="lessThan">
      <formula>0</formula>
    </cfRule>
  </conditionalFormatting>
  <conditionalFormatting sqref="AA55:AD55">
    <cfRule type="cellIs" dxfId="59" priority="38" operator="lessThan">
      <formula>0</formula>
    </cfRule>
  </conditionalFormatting>
  <conditionalFormatting sqref="AA63:AD64">
    <cfRule type="cellIs" dxfId="58" priority="37" operator="lessThan">
      <formula>0</formula>
    </cfRule>
  </conditionalFormatting>
  <conditionalFormatting sqref="AA61:AD64">
    <cfRule type="cellIs" dxfId="57" priority="36" operator="lessThan">
      <formula>0</formula>
    </cfRule>
  </conditionalFormatting>
  <conditionalFormatting sqref="AA60:AD60">
    <cfRule type="cellIs" dxfId="56" priority="35" operator="lessThan">
      <formula>0</formula>
    </cfRule>
  </conditionalFormatting>
  <conditionalFormatting sqref="AA331:AD331">
    <cfRule type="cellIs" dxfId="55" priority="34" operator="lessThan">
      <formula>0</formula>
    </cfRule>
  </conditionalFormatting>
  <conditionalFormatting sqref="AA330:AD330">
    <cfRule type="cellIs" dxfId="54" priority="33" operator="lessThan">
      <formula>0</formula>
    </cfRule>
  </conditionalFormatting>
  <conditionalFormatting sqref="AA333:AD333">
    <cfRule type="cellIs" dxfId="53" priority="32" operator="lessThan">
      <formula>0</formula>
    </cfRule>
  </conditionalFormatting>
  <conditionalFormatting sqref="AA332:AD332">
    <cfRule type="cellIs" dxfId="52" priority="31" operator="lessThan">
      <formula>0</formula>
    </cfRule>
  </conditionalFormatting>
  <conditionalFormatting sqref="AA335:AD335">
    <cfRule type="cellIs" dxfId="51" priority="30" operator="lessThan">
      <formula>0</formula>
    </cfRule>
  </conditionalFormatting>
  <conditionalFormatting sqref="AA334:AD334">
    <cfRule type="cellIs" dxfId="50" priority="29" operator="lessThan">
      <formula>0</formula>
    </cfRule>
  </conditionalFormatting>
  <conditionalFormatting sqref="AA337:AD337">
    <cfRule type="cellIs" dxfId="49" priority="28" operator="lessThan">
      <formula>0</formula>
    </cfRule>
  </conditionalFormatting>
  <conditionalFormatting sqref="AA336:AD336">
    <cfRule type="cellIs" dxfId="48" priority="27" operator="lessThan">
      <formula>0</formula>
    </cfRule>
  </conditionalFormatting>
  <conditionalFormatting sqref="AA339:AD343">
    <cfRule type="cellIs" dxfId="47" priority="26" operator="lessThan">
      <formula>0</formula>
    </cfRule>
  </conditionalFormatting>
  <conditionalFormatting sqref="AA338:AD338">
    <cfRule type="cellIs" dxfId="46" priority="25" operator="lessThan">
      <formula>0</formula>
    </cfRule>
  </conditionalFormatting>
  <conditionalFormatting sqref="AA354:AD374">
    <cfRule type="cellIs" dxfId="45" priority="24" operator="lessThan">
      <formula>0</formula>
    </cfRule>
  </conditionalFormatting>
  <conditionalFormatting sqref="AA345:AD345">
    <cfRule type="cellIs" dxfId="44" priority="23" operator="lessThan">
      <formula>0</formula>
    </cfRule>
  </conditionalFormatting>
  <conditionalFormatting sqref="AA344:AD344">
    <cfRule type="cellIs" dxfId="43" priority="22" operator="lessThan">
      <formula>0</formula>
    </cfRule>
  </conditionalFormatting>
  <conditionalFormatting sqref="AA347:AD347">
    <cfRule type="cellIs" dxfId="42" priority="21" operator="lessThan">
      <formula>0</formula>
    </cfRule>
  </conditionalFormatting>
  <conditionalFormatting sqref="AA346:AD346">
    <cfRule type="cellIs" dxfId="41" priority="20" operator="lessThan">
      <formula>0</formula>
    </cfRule>
  </conditionalFormatting>
  <conditionalFormatting sqref="AA349:AD349">
    <cfRule type="cellIs" dxfId="40" priority="19" operator="lessThan">
      <formula>0</formula>
    </cfRule>
  </conditionalFormatting>
  <conditionalFormatting sqref="AA348:AD348">
    <cfRule type="cellIs" dxfId="39" priority="18" operator="lessThan">
      <formula>0</formula>
    </cfRule>
  </conditionalFormatting>
  <conditionalFormatting sqref="AA351:AD351">
    <cfRule type="cellIs" dxfId="38" priority="17" operator="lessThan">
      <formula>0</formula>
    </cfRule>
  </conditionalFormatting>
  <conditionalFormatting sqref="AA350:AD350">
    <cfRule type="cellIs" dxfId="37" priority="16" operator="lessThan">
      <formula>0</formula>
    </cfRule>
  </conditionalFormatting>
  <conditionalFormatting sqref="AA353:AD374">
    <cfRule type="cellIs" dxfId="36" priority="15" operator="lessThan">
      <formula>0</formula>
    </cfRule>
  </conditionalFormatting>
  <conditionalFormatting sqref="AA352:AD352">
    <cfRule type="cellIs" dxfId="35" priority="14" operator="lessThan">
      <formula>0</formula>
    </cfRule>
  </conditionalFormatting>
  <conditionalFormatting sqref="AS5:AS374">
    <cfRule type="colorScale" priority="2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A239:AD239">
    <cfRule type="cellIs" dxfId="34" priority="13" operator="lessThan">
      <formula>0</formula>
    </cfRule>
  </conditionalFormatting>
  <conditionalFormatting sqref="AA240:AD240">
    <cfRule type="cellIs" dxfId="33" priority="12" operator="lessThan">
      <formula>0</formula>
    </cfRule>
  </conditionalFormatting>
  <conditionalFormatting sqref="AA241:AD241">
    <cfRule type="cellIs" dxfId="32" priority="11" operator="lessThan">
      <formula>0</formula>
    </cfRule>
  </conditionalFormatting>
  <conditionalFormatting sqref="AA242:AD242">
    <cfRule type="cellIs" dxfId="31" priority="10" operator="lessThan">
      <formula>0</formula>
    </cfRule>
  </conditionalFormatting>
  <conditionalFormatting sqref="AA243:AD243">
    <cfRule type="cellIs" dxfId="30" priority="9" operator="lessThan">
      <formula>0</formula>
    </cfRule>
  </conditionalFormatting>
  <conditionalFormatting sqref="AA244:AD244">
    <cfRule type="cellIs" dxfId="29" priority="8" operator="lessThan">
      <formula>0</formula>
    </cfRule>
  </conditionalFormatting>
  <conditionalFormatting sqref="AA245:AD245">
    <cfRule type="cellIs" dxfId="28" priority="7" operator="lessThan">
      <formula>0</formula>
    </cfRule>
  </conditionalFormatting>
  <conditionalFormatting sqref="AA246:AD246">
    <cfRule type="cellIs" dxfId="27" priority="6" operator="lessThan">
      <formula>0</formula>
    </cfRule>
  </conditionalFormatting>
  <conditionalFormatting sqref="AA247:AD247">
    <cfRule type="cellIs" dxfId="26" priority="5" operator="lessThan">
      <formula>0</formula>
    </cfRule>
  </conditionalFormatting>
  <conditionalFormatting sqref="AA248:AD248">
    <cfRule type="cellIs" dxfId="25" priority="4" operator="lessThan">
      <formula>0</formula>
    </cfRule>
  </conditionalFormatting>
  <conditionalFormatting sqref="AA249:AD249">
    <cfRule type="cellIs" dxfId="24" priority="3" operator="lessThan">
      <formula>0</formula>
    </cfRule>
  </conditionalFormatting>
  <conditionalFormatting sqref="AA250:AD250">
    <cfRule type="cellIs" dxfId="23" priority="2" operator="lessThan">
      <formula>0</formula>
    </cfRule>
  </conditionalFormatting>
  <conditionalFormatting sqref="AA251:AD271">
    <cfRule type="cellIs" dxfId="22" priority="1" operator="lessThan">
      <formula>0</formula>
    </cfRule>
  </conditionalFormatting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8"/>
  <dimension ref="A1:AI194"/>
  <sheetViews>
    <sheetView zoomScale="80" zoomScaleNormal="80" workbookViewId="0">
      <selection activeCell="F3" sqref="F3"/>
    </sheetView>
  </sheetViews>
  <sheetFormatPr baseColWidth="10" defaultColWidth="11.44140625" defaultRowHeight="14.4" x14ac:dyDescent="0.3"/>
  <cols>
    <col min="1" max="6" width="11.44140625" style="189"/>
    <col min="7" max="7" width="17.88671875" style="8" bestFit="1" customWidth="1"/>
    <col min="8" max="9" width="11.44140625" style="189"/>
    <col min="10" max="10" width="17.88671875" style="8" bestFit="1" customWidth="1"/>
    <col min="11" max="17" width="11.44140625" style="189"/>
    <col min="18" max="18" width="14.33203125" style="189" bestFit="1" customWidth="1"/>
    <col min="19" max="16384" width="11.44140625" style="189"/>
  </cols>
  <sheetData>
    <row r="1" spans="1:35" x14ac:dyDescent="0.3">
      <c r="A1" s="189" t="s">
        <v>1048</v>
      </c>
      <c r="B1" s="189" t="s">
        <v>1049</v>
      </c>
      <c r="C1" s="189" t="s">
        <v>30</v>
      </c>
      <c r="D1" s="189" t="s">
        <v>750</v>
      </c>
      <c r="E1" s="189" t="s">
        <v>1069</v>
      </c>
      <c r="F1" s="189" t="s">
        <v>1050</v>
      </c>
      <c r="G1" s="8" t="s">
        <v>1051</v>
      </c>
      <c r="H1" s="189" t="s">
        <v>1085</v>
      </c>
      <c r="I1" s="189" t="s">
        <v>1086</v>
      </c>
      <c r="J1" s="8" t="s">
        <v>1067</v>
      </c>
      <c r="K1" s="189" t="s">
        <v>119</v>
      </c>
      <c r="L1" s="189" t="s">
        <v>792</v>
      </c>
      <c r="M1" s="189" t="s">
        <v>709</v>
      </c>
      <c r="N1" s="189" t="s">
        <v>1053</v>
      </c>
      <c r="O1" s="189" t="s">
        <v>1054</v>
      </c>
      <c r="P1" s="189" t="s">
        <v>263</v>
      </c>
      <c r="Q1" s="189" t="s">
        <v>1052</v>
      </c>
      <c r="R1" s="189" t="s">
        <v>1068</v>
      </c>
      <c r="S1" s="189" t="s">
        <v>1055</v>
      </c>
      <c r="T1" s="189" t="s">
        <v>449</v>
      </c>
      <c r="U1" s="189" t="s">
        <v>1057</v>
      </c>
      <c r="V1" s="189" t="s">
        <v>1058</v>
      </c>
      <c r="W1" s="189" t="s">
        <v>452</v>
      </c>
      <c r="X1" s="189" t="s">
        <v>712</v>
      </c>
      <c r="Y1" s="189" t="s">
        <v>713</v>
      </c>
      <c r="Z1" s="189" t="s">
        <v>714</v>
      </c>
      <c r="AA1" s="189" t="s">
        <v>1056</v>
      </c>
      <c r="AB1" s="189" t="s">
        <v>1059</v>
      </c>
      <c r="AC1" s="189" t="s">
        <v>1060</v>
      </c>
      <c r="AD1" s="189" t="s">
        <v>1061</v>
      </c>
      <c r="AE1" s="189" t="s">
        <v>1062</v>
      </c>
      <c r="AF1" s="189" t="s">
        <v>1063</v>
      </c>
      <c r="AG1" s="189" t="s">
        <v>1064</v>
      </c>
      <c r="AH1" s="189" t="s">
        <v>1065</v>
      </c>
      <c r="AI1" s="189" t="s">
        <v>1066</v>
      </c>
    </row>
    <row r="2" spans="1:35" x14ac:dyDescent="0.3">
      <c r="A2" s="189" t="s">
        <v>315</v>
      </c>
      <c r="B2" s="189">
        <v>0</v>
      </c>
      <c r="C2" s="189" t="s">
        <v>332</v>
      </c>
      <c r="D2" s="189">
        <v>16556576</v>
      </c>
      <c r="E2" s="189">
        <v>1</v>
      </c>
      <c r="F2" s="189" t="s">
        <v>1084</v>
      </c>
      <c r="G2" s="8" t="e">
        <f>IF(K2=1,VLOOKUP(F2,AvionsLoc!E:R,13,FALSE),0)</f>
        <v>#VALUE!</v>
      </c>
      <c r="H2" s="73">
        <v>1</v>
      </c>
      <c r="I2" s="73">
        <v>1</v>
      </c>
      <c r="J2" s="8" t="e">
        <f>(G2*I2)*H2</f>
        <v>#VALUE!</v>
      </c>
      <c r="K2" s="189" t="e">
        <f>IF(FIND("Nom",F2),0,IF(FIND("-A",F2),1,IF(FIND("-L",F2),0,0)))</f>
        <v>#VALUE!</v>
      </c>
      <c r="L2" s="189" t="e">
        <f>IF(F2="Nom",0,IF(K2=0,VLOOKUP('ROI_Avions V2'!F2,AvionsLoc!E:R,12,FALSE),0))</f>
        <v>#VALUE!</v>
      </c>
      <c r="M2" s="189" t="e">
        <f>IF(F2="Nom",0,IF(K2=0,VLOOKUP('ROI_Avions V2'!F2,AvionsLoc!E:R,13,FALSE),0))</f>
        <v>#VALUE!</v>
      </c>
      <c r="N2" s="189">
        <v>0</v>
      </c>
      <c r="O2" s="189">
        <v>0</v>
      </c>
      <c r="P2" s="189">
        <v>0</v>
      </c>
      <c r="Q2" s="189" t="e">
        <f>IF(G2&lt;&gt;0,A2&amp;"-"&amp;"C"&amp;E2&amp;"-A",A2&amp;"-"&amp;"C"&amp;E2&amp;"-L")</f>
        <v>#VALUE!</v>
      </c>
      <c r="R2" s="189" t="e">
        <f>LEN(Q2)</f>
        <v>#VALUE!</v>
      </c>
    </row>
    <row r="3" spans="1:35" x14ac:dyDescent="0.3">
      <c r="F3" s="189" t="s">
        <v>1070</v>
      </c>
      <c r="G3" s="8" t="e">
        <f>IF(K3=1,VLOOKUP(F3,AvionsLoc!E:R,13,FALSE),0)</f>
        <v>#VALUE!</v>
      </c>
      <c r="H3" s="73">
        <v>1</v>
      </c>
      <c r="I3" s="73">
        <v>1</v>
      </c>
      <c r="J3" s="8" t="e">
        <f t="shared" ref="J3:J35" si="0">(G3*I3)*H3</f>
        <v>#VALUE!</v>
      </c>
      <c r="K3" s="189" t="e">
        <f t="shared" ref="K3:K35" si="1">IF(FIND("Nom",F3),0,IF(FIND("-A",F3),1,IF(FIND("-L",F3),0,0)))</f>
        <v>#VALUE!</v>
      </c>
      <c r="L3" s="189" t="e">
        <f>IF(F3="Nom",0,IF(K3=0,VLOOKUP('ROI_Avions V2'!F3,AvionsLoc!E:R,12,FALSE),0))</f>
        <v>#VALUE!</v>
      </c>
      <c r="M3" s="189" t="e">
        <f>IF(F3="Nom",0,IF(K3=0,VLOOKUP('ROI_Avions V2'!F3,AvionsLoc!E:R,13,FALSE),0))</f>
        <v>#VALUE!</v>
      </c>
    </row>
    <row r="4" spans="1:35" s="20" customFormat="1" x14ac:dyDescent="0.3">
      <c r="F4" s="189" t="s">
        <v>123</v>
      </c>
      <c r="G4" s="8">
        <f>IF(K4=1,VLOOKUP(F4,AvionsLoc!E:R,13,FALSE),0)</f>
        <v>0</v>
      </c>
      <c r="H4" s="73">
        <v>1</v>
      </c>
      <c r="I4" s="73">
        <v>1</v>
      </c>
      <c r="J4" s="8">
        <f t="shared" si="0"/>
        <v>0</v>
      </c>
      <c r="K4" s="189">
        <f t="shared" si="1"/>
        <v>0</v>
      </c>
      <c r="L4" s="189">
        <f>IF(F4="Nom",0,IF(K4=0,VLOOKUP('ROI_Avions V2'!F4,AvionsLoc!E:R,12,FALSE),0))</f>
        <v>0</v>
      </c>
      <c r="M4" s="189">
        <f>IF(F4="Nom",0,IF(K4=0,VLOOKUP('ROI_Avions V2'!F4,AvionsLoc!E:R,13,FALSE),0))</f>
        <v>0</v>
      </c>
    </row>
    <row r="5" spans="1:35" x14ac:dyDescent="0.3">
      <c r="F5" s="189" t="s">
        <v>123</v>
      </c>
      <c r="G5" s="8">
        <f>IF(K5=1,VLOOKUP(F5,AvionsLoc!E:R,13,FALSE),0)</f>
        <v>0</v>
      </c>
      <c r="H5" s="73">
        <v>1</v>
      </c>
      <c r="I5" s="73">
        <v>1</v>
      </c>
      <c r="J5" s="8">
        <f t="shared" si="0"/>
        <v>0</v>
      </c>
      <c r="K5" s="189">
        <f t="shared" si="1"/>
        <v>0</v>
      </c>
      <c r="L5" s="189">
        <f>IF(F5="Nom",0,IF(K5=0,VLOOKUP('ROI_Avions V2'!F5,AvionsLoc!E:R,12,FALSE),0))</f>
        <v>0</v>
      </c>
      <c r="M5" s="189">
        <f>IF(F5="Nom",0,IF(K5=0,VLOOKUP('ROI_Avions V2'!F5,AvionsLoc!E:R,13,FALSE),0))</f>
        <v>0</v>
      </c>
    </row>
    <row r="6" spans="1:35" x14ac:dyDescent="0.3">
      <c r="F6" s="189" t="s">
        <v>123</v>
      </c>
      <c r="G6" s="8">
        <f>IF(K6=1,VLOOKUP(F6,AvionsLoc!E:R,13,FALSE),0)</f>
        <v>0</v>
      </c>
      <c r="H6" s="73">
        <v>1</v>
      </c>
      <c r="I6" s="73">
        <v>1</v>
      </c>
      <c r="J6" s="8">
        <f t="shared" si="0"/>
        <v>0</v>
      </c>
      <c r="K6" s="189">
        <f t="shared" si="1"/>
        <v>0</v>
      </c>
      <c r="L6" s="189">
        <f>IF(F6="Nom",0,IF(K6=0,VLOOKUP('ROI_Avions V2'!F6,AvionsLoc!E:R,12,FALSE),0))</f>
        <v>0</v>
      </c>
      <c r="M6" s="189">
        <f>IF(F6="Nom",0,IF(K6=0,VLOOKUP('ROI_Avions V2'!F6,AvionsLoc!E:R,13,FALSE),0))</f>
        <v>0</v>
      </c>
      <c r="Q6" s="189" t="e">
        <f>IF(G2&lt;&gt;0,A2&amp;"-"&amp;"C"&amp;E2&amp;"-A",A2&amp;"-"&amp;"C"&amp;E2&amp;"-L")</f>
        <v>#VALUE!</v>
      </c>
    </row>
    <row r="7" spans="1:35" x14ac:dyDescent="0.3">
      <c r="F7" s="189" t="s">
        <v>123</v>
      </c>
      <c r="G7" s="8">
        <f>IF(K7=1,VLOOKUP(F7,AvionsLoc!E:R,13,FALSE),0)</f>
        <v>0</v>
      </c>
      <c r="H7" s="73">
        <v>1</v>
      </c>
      <c r="I7" s="73">
        <v>1</v>
      </c>
      <c r="J7" s="8">
        <f t="shared" si="0"/>
        <v>0</v>
      </c>
      <c r="K7" s="189">
        <f t="shared" si="1"/>
        <v>0</v>
      </c>
      <c r="L7" s="189">
        <f>IF(F7="Nom",0,IF(K7=0,VLOOKUP('ROI_Avions V2'!F7,AvionsLoc!E:R,12,FALSE),0))</f>
        <v>0</v>
      </c>
      <c r="M7" s="189">
        <f>IF(F7="Nom",0,IF(K7=0,VLOOKUP('ROI_Avions V2'!F7,AvionsLoc!E:R,13,FALSE),0))</f>
        <v>0</v>
      </c>
    </row>
    <row r="8" spans="1:35" x14ac:dyDescent="0.3">
      <c r="F8" s="189" t="s">
        <v>123</v>
      </c>
      <c r="G8" s="8">
        <f>IF(K8=1,VLOOKUP(F8,AvionsLoc!E:R,13,FALSE),0)</f>
        <v>0</v>
      </c>
      <c r="H8" s="73">
        <v>1</v>
      </c>
      <c r="I8" s="73">
        <v>1</v>
      </c>
      <c r="J8" s="8">
        <f t="shared" si="0"/>
        <v>0</v>
      </c>
      <c r="K8" s="189">
        <f t="shared" si="1"/>
        <v>0</v>
      </c>
      <c r="L8" s="189">
        <f>IF(F8="Nom",0,IF(K8=0,VLOOKUP('ROI_Avions V2'!F8,AvionsLoc!E:R,12,FALSE),0))</f>
        <v>0</v>
      </c>
      <c r="M8" s="189">
        <f>IF(F8="Nom",0,IF(K8=0,VLOOKUP('ROI_Avions V2'!F8,AvionsLoc!E:R,13,FALSE),0))</f>
        <v>0</v>
      </c>
    </row>
    <row r="9" spans="1:35" x14ac:dyDescent="0.3">
      <c r="F9" s="189" t="s">
        <v>123</v>
      </c>
      <c r="G9" s="8">
        <f>IF(K9=1,VLOOKUP(F9,AvionsLoc!E:R,13,FALSE),0)</f>
        <v>0</v>
      </c>
      <c r="H9" s="73">
        <v>1</v>
      </c>
      <c r="I9" s="73">
        <v>1</v>
      </c>
      <c r="J9" s="8">
        <f t="shared" si="0"/>
        <v>0</v>
      </c>
      <c r="K9" s="189">
        <f t="shared" si="1"/>
        <v>0</v>
      </c>
      <c r="L9" s="189">
        <f>IF(F9="Nom",0,IF(K9=0,VLOOKUP('ROI_Avions V2'!F9,AvionsLoc!E:R,12,FALSE),0))</f>
        <v>0</v>
      </c>
      <c r="M9" s="189">
        <f>IF(F9="Nom",0,IF(K9=0,VLOOKUP('ROI_Avions V2'!F9,AvionsLoc!E:R,13,FALSE),0))</f>
        <v>0</v>
      </c>
    </row>
    <row r="10" spans="1:35" x14ac:dyDescent="0.3">
      <c r="F10" s="189" t="s">
        <v>123</v>
      </c>
      <c r="G10" s="8">
        <f>IF(K10=1,VLOOKUP(F10,AvionsLoc!E:R,13,FALSE),0)</f>
        <v>0</v>
      </c>
      <c r="H10" s="73">
        <v>1</v>
      </c>
      <c r="I10" s="73">
        <v>1</v>
      </c>
      <c r="J10" s="8">
        <f t="shared" si="0"/>
        <v>0</v>
      </c>
      <c r="K10" s="189">
        <f t="shared" si="1"/>
        <v>0</v>
      </c>
      <c r="L10" s="189">
        <f>IF(F10="Nom",0,IF(K10=0,VLOOKUP('ROI_Avions V2'!F10,AvionsLoc!E:R,12,FALSE),0))</f>
        <v>0</v>
      </c>
      <c r="M10" s="189">
        <f>IF(F10="Nom",0,IF(K10=0,VLOOKUP('ROI_Avions V2'!F10,AvionsLoc!E:R,13,FALSE),0))</f>
        <v>0</v>
      </c>
    </row>
    <row r="11" spans="1:35" x14ac:dyDescent="0.3">
      <c r="F11" s="189" t="s">
        <v>123</v>
      </c>
      <c r="G11" s="8">
        <f>IF(K11=1,VLOOKUP(F11,AvionsLoc!E:R,13,FALSE),0)</f>
        <v>0</v>
      </c>
      <c r="H11" s="73">
        <v>1</v>
      </c>
      <c r="I11" s="73">
        <v>1</v>
      </c>
      <c r="J11" s="8">
        <f t="shared" si="0"/>
        <v>0</v>
      </c>
      <c r="K11" s="189">
        <f t="shared" si="1"/>
        <v>0</v>
      </c>
      <c r="L11" s="189">
        <f>IF(F11="Nom",0,IF(K11=0,VLOOKUP('ROI_Avions V2'!F11,AvionsLoc!E:R,12,FALSE),0))</f>
        <v>0</v>
      </c>
      <c r="M11" s="189">
        <f>IF(F11="Nom",0,IF(K11=0,VLOOKUP('ROI_Avions V2'!F11,AvionsLoc!E:R,13,FALSE),0))</f>
        <v>0</v>
      </c>
    </row>
    <row r="12" spans="1:35" x14ac:dyDescent="0.3">
      <c r="F12" s="189" t="s">
        <v>123</v>
      </c>
      <c r="G12" s="8">
        <f>IF(K12=1,VLOOKUP(F12,AvionsLoc!E:R,13,FALSE),0)</f>
        <v>0</v>
      </c>
      <c r="H12" s="73">
        <v>1</v>
      </c>
      <c r="I12" s="73">
        <v>1</v>
      </c>
      <c r="J12" s="8">
        <f t="shared" si="0"/>
        <v>0</v>
      </c>
      <c r="K12" s="189">
        <f t="shared" si="1"/>
        <v>0</v>
      </c>
      <c r="L12" s="189">
        <f>IF(F12="Nom",0,IF(K12=0,VLOOKUP('ROI_Avions V2'!F12,AvionsLoc!E:R,12,FALSE),0))</f>
        <v>0</v>
      </c>
      <c r="M12" s="189">
        <f>IF(F12="Nom",0,IF(K12=0,VLOOKUP('ROI_Avions V2'!F12,AvionsLoc!E:R,13,FALSE),0))</f>
        <v>0</v>
      </c>
    </row>
    <row r="13" spans="1:35" x14ac:dyDescent="0.3">
      <c r="F13" s="189" t="s">
        <v>123</v>
      </c>
      <c r="G13" s="8">
        <f>IF(K13=1,VLOOKUP(F13,AvionsLoc!E:R,13,FALSE),0)</f>
        <v>0</v>
      </c>
      <c r="H13" s="73">
        <v>1</v>
      </c>
      <c r="I13" s="73">
        <v>1</v>
      </c>
      <c r="J13" s="8">
        <f t="shared" si="0"/>
        <v>0</v>
      </c>
      <c r="K13" s="189">
        <f t="shared" si="1"/>
        <v>0</v>
      </c>
      <c r="L13" s="189">
        <f>IF(F13="Nom",0,IF(K13=0,VLOOKUP('ROI_Avions V2'!F13,AvionsLoc!E:R,12,FALSE),0))</f>
        <v>0</v>
      </c>
      <c r="M13" s="189">
        <f>IF(F13="Nom",0,IF(K13=0,VLOOKUP('ROI_Avions V2'!F13,AvionsLoc!E:R,13,FALSE),0))</f>
        <v>0</v>
      </c>
    </row>
    <row r="14" spans="1:35" x14ac:dyDescent="0.3">
      <c r="F14" s="189" t="s">
        <v>123</v>
      </c>
      <c r="G14" s="8">
        <f>IF(K14=1,VLOOKUP(F14,AvionsLoc!E:R,13,FALSE),0)</f>
        <v>0</v>
      </c>
      <c r="H14" s="73">
        <v>1</v>
      </c>
      <c r="I14" s="73">
        <v>1</v>
      </c>
      <c r="J14" s="8">
        <f t="shared" si="0"/>
        <v>0</v>
      </c>
      <c r="K14" s="189">
        <f t="shared" si="1"/>
        <v>0</v>
      </c>
      <c r="L14" s="189">
        <f>IF(F14="Nom",0,IF(K14=0,VLOOKUP('ROI_Avions V2'!F14,AvionsLoc!E:R,12,FALSE),0))</f>
        <v>0</v>
      </c>
      <c r="M14" s="189">
        <f>IF(F14="Nom",0,IF(K14=0,VLOOKUP('ROI_Avions V2'!F14,AvionsLoc!E:R,13,FALSE),0))</f>
        <v>0</v>
      </c>
    </row>
    <row r="15" spans="1:35" x14ac:dyDescent="0.3">
      <c r="F15" s="189" t="s">
        <v>123</v>
      </c>
      <c r="G15" s="8">
        <f>IF(K15=1,VLOOKUP(F15,AvionsLoc!E:R,13,FALSE),0)</f>
        <v>0</v>
      </c>
      <c r="H15" s="73">
        <v>1</v>
      </c>
      <c r="I15" s="73">
        <v>1</v>
      </c>
      <c r="J15" s="8">
        <f t="shared" si="0"/>
        <v>0</v>
      </c>
      <c r="K15" s="189">
        <f t="shared" si="1"/>
        <v>0</v>
      </c>
      <c r="L15" s="189">
        <f>IF(F15="Nom",0,IF(K15=0,VLOOKUP('ROI_Avions V2'!F15,AvionsLoc!E:R,12,FALSE),0))</f>
        <v>0</v>
      </c>
      <c r="M15" s="189">
        <f>IF(F15="Nom",0,IF(K15=0,VLOOKUP('ROI_Avions V2'!F15,AvionsLoc!E:R,13,FALSE),0))</f>
        <v>0</v>
      </c>
    </row>
    <row r="16" spans="1:35" x14ac:dyDescent="0.3">
      <c r="F16" s="189" t="s">
        <v>123</v>
      </c>
      <c r="G16" s="8">
        <f>IF(K16=1,VLOOKUP(F16,AvionsLoc!E:R,13,FALSE),0)</f>
        <v>0</v>
      </c>
      <c r="H16" s="73">
        <v>1</v>
      </c>
      <c r="I16" s="73">
        <v>1</v>
      </c>
      <c r="J16" s="8">
        <f t="shared" si="0"/>
        <v>0</v>
      </c>
      <c r="K16" s="189">
        <f t="shared" si="1"/>
        <v>0</v>
      </c>
      <c r="L16" s="189">
        <f>IF(F16="Nom",0,IF(K16=0,VLOOKUP('ROI_Avions V2'!F16,AvionsLoc!E:R,12,FALSE),0))</f>
        <v>0</v>
      </c>
      <c r="M16" s="189">
        <f>IF(F16="Nom",0,IF(K16=0,VLOOKUP('ROI_Avions V2'!F16,AvionsLoc!E:R,13,FALSE),0))</f>
        <v>0</v>
      </c>
    </row>
    <row r="17" spans="6:13" x14ac:dyDescent="0.3">
      <c r="F17" s="189" t="s">
        <v>123</v>
      </c>
      <c r="G17" s="8">
        <f>IF(K17=1,VLOOKUP(F17,AvionsLoc!E:R,13,FALSE),0)</f>
        <v>0</v>
      </c>
      <c r="H17" s="73">
        <v>1</v>
      </c>
      <c r="I17" s="73">
        <v>1</v>
      </c>
      <c r="J17" s="8">
        <f t="shared" si="0"/>
        <v>0</v>
      </c>
      <c r="K17" s="189">
        <f t="shared" si="1"/>
        <v>0</v>
      </c>
      <c r="L17" s="189">
        <f>IF(F17="Nom",0,IF(K17=0,VLOOKUP('ROI_Avions V2'!F17,AvionsLoc!E:R,12,FALSE),0))</f>
        <v>0</v>
      </c>
      <c r="M17" s="189">
        <f>IF(F17="Nom",0,IF(K17=0,VLOOKUP('ROI_Avions V2'!F17,AvionsLoc!E:R,13,FALSE),0))</f>
        <v>0</v>
      </c>
    </row>
    <row r="18" spans="6:13" x14ac:dyDescent="0.3">
      <c r="F18" s="189" t="s">
        <v>123</v>
      </c>
      <c r="G18" s="8">
        <f>IF(K18=1,VLOOKUP(F18,AvionsLoc!E:R,13,FALSE),0)</f>
        <v>0</v>
      </c>
      <c r="H18" s="73">
        <v>1</v>
      </c>
      <c r="I18" s="73">
        <v>1</v>
      </c>
      <c r="J18" s="8">
        <f t="shared" si="0"/>
        <v>0</v>
      </c>
      <c r="K18" s="189">
        <f t="shared" si="1"/>
        <v>0</v>
      </c>
      <c r="L18" s="189">
        <f>IF(F18="Nom",0,IF(K18=0,VLOOKUP('ROI_Avions V2'!F18,AvionsLoc!E:R,12,FALSE),0))</f>
        <v>0</v>
      </c>
      <c r="M18" s="189">
        <f>IF(F18="Nom",0,IF(K18=0,VLOOKUP('ROI_Avions V2'!F18,AvionsLoc!E:R,13,FALSE),0))</f>
        <v>0</v>
      </c>
    </row>
    <row r="19" spans="6:13" x14ac:dyDescent="0.3">
      <c r="F19" s="189" t="s">
        <v>123</v>
      </c>
      <c r="G19" s="8">
        <f>IF(K19=1,VLOOKUP(F19,AvionsLoc!E:R,13,FALSE),0)</f>
        <v>0</v>
      </c>
      <c r="H19" s="73">
        <v>1</v>
      </c>
      <c r="I19" s="73">
        <v>1</v>
      </c>
      <c r="J19" s="8">
        <f t="shared" si="0"/>
        <v>0</v>
      </c>
      <c r="K19" s="189">
        <f t="shared" si="1"/>
        <v>0</v>
      </c>
      <c r="L19" s="189">
        <f>IF(F19="Nom",0,IF(K19=0,VLOOKUP('ROI_Avions V2'!F19,AvionsLoc!E:R,12,FALSE),0))</f>
        <v>0</v>
      </c>
      <c r="M19" s="189">
        <f>IF(F19="Nom",0,IF(K19=0,VLOOKUP('ROI_Avions V2'!F19,AvionsLoc!E:R,13,FALSE),0))</f>
        <v>0</v>
      </c>
    </row>
    <row r="20" spans="6:13" x14ac:dyDescent="0.3">
      <c r="F20" s="189" t="s">
        <v>123</v>
      </c>
      <c r="G20" s="8">
        <f>IF(K20=1,VLOOKUP(F20,AvionsLoc!E:R,13,FALSE),0)</f>
        <v>0</v>
      </c>
      <c r="H20" s="73">
        <v>1</v>
      </c>
      <c r="I20" s="73">
        <v>1</v>
      </c>
      <c r="J20" s="8">
        <f t="shared" si="0"/>
        <v>0</v>
      </c>
      <c r="K20" s="189">
        <f t="shared" si="1"/>
        <v>0</v>
      </c>
      <c r="L20" s="189">
        <f>IF(F20="Nom",0,IF(K20=0,VLOOKUP('ROI_Avions V2'!F20,AvionsLoc!E:R,12,FALSE),0))</f>
        <v>0</v>
      </c>
      <c r="M20" s="189">
        <f>IF(F20="Nom",0,IF(K20=0,VLOOKUP('ROI_Avions V2'!F20,AvionsLoc!E:R,13,FALSE),0))</f>
        <v>0</v>
      </c>
    </row>
    <row r="21" spans="6:13" x14ac:dyDescent="0.3">
      <c r="F21" s="189" t="s">
        <v>123</v>
      </c>
      <c r="G21" s="8">
        <f>IF(K21=1,VLOOKUP(F21,AvionsLoc!E:R,13,FALSE),0)</f>
        <v>0</v>
      </c>
      <c r="H21" s="73">
        <v>1</v>
      </c>
      <c r="I21" s="73">
        <v>1</v>
      </c>
      <c r="J21" s="8">
        <f t="shared" si="0"/>
        <v>0</v>
      </c>
      <c r="K21" s="189">
        <f t="shared" si="1"/>
        <v>0</v>
      </c>
      <c r="L21" s="189">
        <f>IF(F21="Nom",0,IF(K21=0,VLOOKUP('ROI_Avions V2'!F21,AvionsLoc!E:R,12,FALSE),0))</f>
        <v>0</v>
      </c>
      <c r="M21" s="189">
        <f>IF(F21="Nom",0,IF(K21=0,VLOOKUP('ROI_Avions V2'!F21,AvionsLoc!E:R,13,FALSE),0))</f>
        <v>0</v>
      </c>
    </row>
    <row r="22" spans="6:13" x14ac:dyDescent="0.3">
      <c r="F22" s="189" t="s">
        <v>123</v>
      </c>
      <c r="G22" s="8">
        <f>IF(K22=1,VLOOKUP(F22,AvionsLoc!E:R,13,FALSE),0)</f>
        <v>0</v>
      </c>
      <c r="H22" s="73">
        <v>1</v>
      </c>
      <c r="I22" s="73">
        <v>1</v>
      </c>
      <c r="J22" s="8">
        <f t="shared" si="0"/>
        <v>0</v>
      </c>
      <c r="K22" s="189">
        <f t="shared" si="1"/>
        <v>0</v>
      </c>
      <c r="L22" s="189">
        <f>IF(F22="Nom",0,IF(K22=0,VLOOKUP('ROI_Avions V2'!F22,AvionsLoc!E:R,12,FALSE),0))</f>
        <v>0</v>
      </c>
      <c r="M22" s="189">
        <f>IF(F22="Nom",0,IF(K22=0,VLOOKUP('ROI_Avions V2'!F22,AvionsLoc!E:R,13,FALSE),0))</f>
        <v>0</v>
      </c>
    </row>
    <row r="23" spans="6:13" x14ac:dyDescent="0.3">
      <c r="F23" s="189" t="s">
        <v>123</v>
      </c>
      <c r="G23" s="8">
        <f>IF(K23=1,VLOOKUP(F23,AvionsLoc!E:R,13,FALSE),0)</f>
        <v>0</v>
      </c>
      <c r="H23" s="73">
        <v>1</v>
      </c>
      <c r="I23" s="73">
        <v>1</v>
      </c>
      <c r="J23" s="8">
        <f t="shared" si="0"/>
        <v>0</v>
      </c>
      <c r="K23" s="189">
        <f t="shared" si="1"/>
        <v>0</v>
      </c>
      <c r="L23" s="189">
        <f>IF(F23="Nom",0,IF(K23=0,VLOOKUP('ROI_Avions V2'!F23,AvionsLoc!E:R,12,FALSE),0))</f>
        <v>0</v>
      </c>
      <c r="M23" s="189">
        <f>IF(F23="Nom",0,IF(K23=0,VLOOKUP('ROI_Avions V2'!F23,AvionsLoc!E:R,13,FALSE),0))</f>
        <v>0</v>
      </c>
    </row>
    <row r="24" spans="6:13" x14ac:dyDescent="0.3">
      <c r="F24" s="189" t="s">
        <v>123</v>
      </c>
      <c r="G24" s="8">
        <f>IF(K24=1,VLOOKUP(F24,AvionsLoc!E:R,13,FALSE),0)</f>
        <v>0</v>
      </c>
      <c r="H24" s="73">
        <v>1</v>
      </c>
      <c r="I24" s="73">
        <v>1</v>
      </c>
      <c r="J24" s="8">
        <f t="shared" si="0"/>
        <v>0</v>
      </c>
      <c r="K24" s="189">
        <f t="shared" si="1"/>
        <v>0</v>
      </c>
      <c r="L24" s="189">
        <f>IF(F24="Nom",0,IF(K24=0,VLOOKUP('ROI_Avions V2'!F24,AvionsLoc!E:R,12,FALSE),0))</f>
        <v>0</v>
      </c>
      <c r="M24" s="189">
        <f>IF(F24="Nom",0,IF(K24=0,VLOOKUP('ROI_Avions V2'!F24,AvionsLoc!E:R,13,FALSE),0))</f>
        <v>0</v>
      </c>
    </row>
    <row r="25" spans="6:13" x14ac:dyDescent="0.3">
      <c r="F25" s="189" t="s">
        <v>123</v>
      </c>
      <c r="G25" s="8">
        <f>IF(K25=1,VLOOKUP(F25,AvionsLoc!E:R,13,FALSE),0)</f>
        <v>0</v>
      </c>
      <c r="H25" s="73">
        <v>1</v>
      </c>
      <c r="I25" s="73">
        <v>1</v>
      </c>
      <c r="J25" s="8">
        <f t="shared" si="0"/>
        <v>0</v>
      </c>
      <c r="K25" s="189">
        <f t="shared" si="1"/>
        <v>0</v>
      </c>
      <c r="L25" s="189">
        <f>IF(F25="Nom",0,IF(K25=0,VLOOKUP('ROI_Avions V2'!F25,AvionsLoc!E:R,12,FALSE),0))</f>
        <v>0</v>
      </c>
      <c r="M25" s="189">
        <f>IF(F25="Nom",0,IF(K25=0,VLOOKUP('ROI_Avions V2'!F25,AvionsLoc!E:R,13,FALSE),0))</f>
        <v>0</v>
      </c>
    </row>
    <row r="26" spans="6:13" x14ac:dyDescent="0.3">
      <c r="F26" s="189" t="s">
        <v>123</v>
      </c>
      <c r="G26" s="8">
        <f>IF(K26=1,VLOOKUP(F26,AvionsLoc!E:R,13,FALSE),0)</f>
        <v>0</v>
      </c>
      <c r="H26" s="73">
        <v>1</v>
      </c>
      <c r="I26" s="73">
        <v>1</v>
      </c>
      <c r="J26" s="8">
        <f t="shared" si="0"/>
        <v>0</v>
      </c>
      <c r="K26" s="189">
        <f t="shared" si="1"/>
        <v>0</v>
      </c>
      <c r="L26" s="189">
        <f>IF(F26="Nom",0,IF(K26=0,VLOOKUP('ROI_Avions V2'!F26,AvionsLoc!E:R,12,FALSE),0))</f>
        <v>0</v>
      </c>
      <c r="M26" s="189">
        <f>IF(F26="Nom",0,IF(K26=0,VLOOKUP('ROI_Avions V2'!F26,AvionsLoc!E:R,13,FALSE),0))</f>
        <v>0</v>
      </c>
    </row>
    <row r="27" spans="6:13" x14ac:dyDescent="0.3">
      <c r="F27" s="189" t="s">
        <v>123</v>
      </c>
      <c r="G27" s="8">
        <f>IF(K27=1,VLOOKUP(F27,AvionsLoc!E:R,13,FALSE),0)</f>
        <v>0</v>
      </c>
      <c r="H27" s="73">
        <v>1</v>
      </c>
      <c r="I27" s="73">
        <v>1</v>
      </c>
      <c r="J27" s="8">
        <f t="shared" si="0"/>
        <v>0</v>
      </c>
      <c r="K27" s="189">
        <f t="shared" si="1"/>
        <v>0</v>
      </c>
      <c r="L27" s="189">
        <f>IF(F27="Nom",0,IF(K27=0,VLOOKUP('ROI_Avions V2'!F27,AvionsLoc!E:R,12,FALSE),0))</f>
        <v>0</v>
      </c>
      <c r="M27" s="189">
        <f>IF(F27="Nom",0,IF(K27=0,VLOOKUP('ROI_Avions V2'!F27,AvionsLoc!E:R,13,FALSE),0))</f>
        <v>0</v>
      </c>
    </row>
    <row r="28" spans="6:13" x14ac:dyDescent="0.3">
      <c r="F28" s="189" t="s">
        <v>123</v>
      </c>
      <c r="G28" s="8">
        <f>IF(K28=1,VLOOKUP(F28,AvionsLoc!E:R,13,FALSE),0)</f>
        <v>0</v>
      </c>
      <c r="H28" s="73">
        <v>1</v>
      </c>
      <c r="I28" s="73">
        <v>1</v>
      </c>
      <c r="J28" s="8">
        <f t="shared" si="0"/>
        <v>0</v>
      </c>
      <c r="K28" s="189">
        <f t="shared" si="1"/>
        <v>0</v>
      </c>
      <c r="L28" s="189">
        <f>IF(F28="Nom",0,IF(K28=0,VLOOKUP('ROI_Avions V2'!F28,AvionsLoc!E:R,12,FALSE),0))</f>
        <v>0</v>
      </c>
      <c r="M28" s="189">
        <f>IF(F28="Nom",0,IF(K28=0,VLOOKUP('ROI_Avions V2'!F28,AvionsLoc!E:R,13,FALSE),0))</f>
        <v>0</v>
      </c>
    </row>
    <row r="29" spans="6:13" x14ac:dyDescent="0.3">
      <c r="F29" s="189" t="s">
        <v>123</v>
      </c>
      <c r="G29" s="8">
        <f>IF(K29=1,VLOOKUP(F29,AvionsLoc!E:R,13,FALSE),0)</f>
        <v>0</v>
      </c>
      <c r="H29" s="73">
        <v>1</v>
      </c>
      <c r="I29" s="73">
        <v>1</v>
      </c>
      <c r="J29" s="8">
        <f t="shared" si="0"/>
        <v>0</v>
      </c>
      <c r="K29" s="189">
        <f t="shared" si="1"/>
        <v>0</v>
      </c>
      <c r="L29" s="189">
        <f>IF(F29="Nom",0,IF(K29=0,VLOOKUP('ROI_Avions V2'!F29,AvionsLoc!E:R,12,FALSE),0))</f>
        <v>0</v>
      </c>
      <c r="M29" s="189">
        <f>IF(F29="Nom",0,IF(K29=0,VLOOKUP('ROI_Avions V2'!F29,AvionsLoc!E:R,13,FALSE),0))</f>
        <v>0</v>
      </c>
    </row>
    <row r="30" spans="6:13" x14ac:dyDescent="0.3">
      <c r="F30" s="189" t="s">
        <v>123</v>
      </c>
      <c r="G30" s="8">
        <f>IF(K30=1,VLOOKUP(F30,AvionsLoc!E:R,13,FALSE),0)</f>
        <v>0</v>
      </c>
      <c r="H30" s="73">
        <v>1</v>
      </c>
      <c r="I30" s="73">
        <v>1</v>
      </c>
      <c r="J30" s="8">
        <f t="shared" si="0"/>
        <v>0</v>
      </c>
      <c r="K30" s="189">
        <f t="shared" si="1"/>
        <v>0</v>
      </c>
      <c r="L30" s="189">
        <f>IF(F30="Nom",0,IF(K30=0,VLOOKUP('ROI_Avions V2'!F30,AvionsLoc!E:R,12,FALSE),0))</f>
        <v>0</v>
      </c>
      <c r="M30" s="189">
        <f>IF(F30="Nom",0,IF(K30=0,VLOOKUP('ROI_Avions V2'!F30,AvionsLoc!E:R,13,FALSE),0))</f>
        <v>0</v>
      </c>
    </row>
    <row r="31" spans="6:13" x14ac:dyDescent="0.3">
      <c r="F31" s="189" t="s">
        <v>123</v>
      </c>
      <c r="G31" s="8">
        <f>IF(K31=1,VLOOKUP(F31,AvionsLoc!E:R,13,FALSE),0)</f>
        <v>0</v>
      </c>
      <c r="H31" s="73">
        <v>1</v>
      </c>
      <c r="I31" s="73">
        <v>1</v>
      </c>
      <c r="J31" s="8">
        <f t="shared" si="0"/>
        <v>0</v>
      </c>
      <c r="K31" s="189">
        <f t="shared" si="1"/>
        <v>0</v>
      </c>
      <c r="L31" s="189">
        <f>IF(F31="Nom",0,IF(K31=0,VLOOKUP('ROI_Avions V2'!F31,AvionsLoc!E:R,12,FALSE),0))</f>
        <v>0</v>
      </c>
      <c r="M31" s="189">
        <f>IF(F31="Nom",0,IF(K31=0,VLOOKUP('ROI_Avions V2'!F31,AvionsLoc!E:R,13,FALSE),0))</f>
        <v>0</v>
      </c>
    </row>
    <row r="32" spans="6:13" x14ac:dyDescent="0.3">
      <c r="F32" s="189" t="s">
        <v>123</v>
      </c>
      <c r="G32" s="8">
        <f>IF(K32=1,VLOOKUP(F32,AvionsLoc!E:R,13,FALSE),0)</f>
        <v>0</v>
      </c>
      <c r="H32" s="73">
        <v>1</v>
      </c>
      <c r="I32" s="73">
        <v>1</v>
      </c>
      <c r="J32" s="8">
        <f t="shared" si="0"/>
        <v>0</v>
      </c>
      <c r="K32" s="189">
        <f t="shared" si="1"/>
        <v>0</v>
      </c>
      <c r="L32" s="189">
        <f>IF(F32="Nom",0,IF(K32=0,VLOOKUP('ROI_Avions V2'!F32,AvionsLoc!E:R,12,FALSE),0))</f>
        <v>0</v>
      </c>
      <c r="M32" s="189">
        <f>IF(F32="Nom",0,IF(K32=0,VLOOKUP('ROI_Avions V2'!F32,AvionsLoc!E:R,13,FALSE),0))</f>
        <v>0</v>
      </c>
    </row>
    <row r="33" spans="6:13" x14ac:dyDescent="0.3">
      <c r="F33" s="189" t="s">
        <v>123</v>
      </c>
      <c r="G33" s="8">
        <f>IF(K33=1,VLOOKUP(F33,AvionsLoc!E:R,13,FALSE),0)</f>
        <v>0</v>
      </c>
      <c r="H33" s="73">
        <v>1</v>
      </c>
      <c r="I33" s="73">
        <v>1</v>
      </c>
      <c r="J33" s="8">
        <f t="shared" si="0"/>
        <v>0</v>
      </c>
      <c r="K33" s="189">
        <f t="shared" si="1"/>
        <v>0</v>
      </c>
      <c r="L33" s="189">
        <f>IF(F33="Nom",0,IF(K33=0,VLOOKUP('ROI_Avions V2'!F33,AvionsLoc!E:R,12,FALSE),0))</f>
        <v>0</v>
      </c>
      <c r="M33" s="189">
        <f>IF(F33="Nom",0,IF(K33=0,VLOOKUP('ROI_Avions V2'!F33,AvionsLoc!E:R,13,FALSE),0))</f>
        <v>0</v>
      </c>
    </row>
    <row r="34" spans="6:13" x14ac:dyDescent="0.3">
      <c r="F34" s="189" t="s">
        <v>123</v>
      </c>
      <c r="G34" s="8">
        <f>IF(K34=1,VLOOKUP(F34,AvionsLoc!E:R,13,FALSE),0)</f>
        <v>0</v>
      </c>
      <c r="H34" s="73">
        <v>1</v>
      </c>
      <c r="I34" s="73">
        <v>1</v>
      </c>
      <c r="J34" s="8">
        <f t="shared" si="0"/>
        <v>0</v>
      </c>
      <c r="K34" s="189">
        <f t="shared" si="1"/>
        <v>0</v>
      </c>
      <c r="L34" s="189">
        <f>IF(F34="Nom",0,IF(K34=0,VLOOKUP('ROI_Avions V2'!F34,AvionsLoc!E:R,12,FALSE),0))</f>
        <v>0</v>
      </c>
      <c r="M34" s="189">
        <f>IF(F34="Nom",0,IF(K34=0,VLOOKUP('ROI_Avions V2'!F34,AvionsLoc!E:R,13,FALSE),0))</f>
        <v>0</v>
      </c>
    </row>
    <row r="35" spans="6:13" x14ac:dyDescent="0.3">
      <c r="F35" s="189" t="s">
        <v>123</v>
      </c>
      <c r="G35" s="8">
        <f>IF(K35=1,VLOOKUP(F35,AvionsLoc!E:R,13,FALSE),0)</f>
        <v>0</v>
      </c>
      <c r="H35" s="73">
        <v>1</v>
      </c>
      <c r="I35" s="73">
        <v>1</v>
      </c>
      <c r="J35" s="8">
        <f t="shared" si="0"/>
        <v>0</v>
      </c>
      <c r="K35" s="189">
        <f t="shared" si="1"/>
        <v>0</v>
      </c>
      <c r="L35" s="189">
        <f>IF(F35="Nom",0,IF(K35=0,VLOOKUP('ROI_Avions V2'!F35,AvionsLoc!E:R,12,FALSE),0))</f>
        <v>0</v>
      </c>
      <c r="M35" s="189">
        <f>IF(F35="Nom",0,IF(K35=0,VLOOKUP('ROI_Avions V2'!F35,AvionsLoc!E:R,13,FALSE),0))</f>
        <v>0</v>
      </c>
    </row>
    <row r="74" ht="14.25" customHeight="1" x14ac:dyDescent="0.3"/>
    <row r="180" spans="6:6" ht="15.75" customHeight="1" x14ac:dyDescent="0.3"/>
    <row r="181" spans="6:6" x14ac:dyDescent="0.3">
      <c r="F181" s="116"/>
    </row>
    <row r="194" spans="6:10" s="116" customFormat="1" ht="15" customHeight="1" x14ac:dyDescent="0.3">
      <c r="F194" s="189"/>
      <c r="G194" s="121"/>
      <c r="J194" s="121"/>
    </row>
  </sheetData>
  <dataValidations count="1">
    <dataValidation type="list" allowBlank="1" showInputMessage="1" showErrorMessage="1" sqref="F2:F35" xr:uid="{00000000-0002-0000-1A00-000000000000}">
      <formula1>Nom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9"/>
  <dimension ref="A1:F738"/>
  <sheetViews>
    <sheetView zoomScale="70" zoomScaleNormal="70" workbookViewId="0">
      <selection activeCell="L23" sqref="L23"/>
    </sheetView>
  </sheetViews>
  <sheetFormatPr baseColWidth="10" defaultRowHeight="14.4" x14ac:dyDescent="0.3"/>
  <cols>
    <col min="2" max="2" width="22.109375" bestFit="1" customWidth="1"/>
    <col min="3" max="3" width="16.33203125" bestFit="1" customWidth="1"/>
    <col min="4" max="4" width="14.5546875" bestFit="1" customWidth="1"/>
    <col min="5" max="5" width="17.109375" bestFit="1" customWidth="1"/>
    <col min="6" max="6" width="16" bestFit="1" customWidth="1"/>
  </cols>
  <sheetData>
    <row r="1" spans="1:6" x14ac:dyDescent="0.3">
      <c r="B1" t="s">
        <v>739</v>
      </c>
      <c r="F1" t="s">
        <v>20</v>
      </c>
    </row>
    <row r="2" spans="1:6" x14ac:dyDescent="0.3">
      <c r="A2" t="s">
        <v>740</v>
      </c>
      <c r="B2" s="8">
        <f>SUM(B4:B738)</f>
        <v>0</v>
      </c>
      <c r="C2" s="8">
        <f t="shared" ref="C2:E2" si="0">SUM(C4:C738)</f>
        <v>0</v>
      </c>
      <c r="D2" s="8">
        <f t="shared" si="0"/>
        <v>0</v>
      </c>
      <c r="E2" s="8">
        <f t="shared" si="0"/>
        <v>0</v>
      </c>
      <c r="F2" s="21">
        <f>SUM(B2:E2)</f>
        <v>0</v>
      </c>
    </row>
    <row r="3" spans="1:6" x14ac:dyDescent="0.3">
      <c r="B3" t="s">
        <v>32</v>
      </c>
      <c r="C3" t="s">
        <v>710</v>
      </c>
      <c r="D3" t="s">
        <v>711</v>
      </c>
      <c r="E3" t="s">
        <v>35</v>
      </c>
      <c r="F3" s="21">
        <f t="shared" ref="F3:F4" si="1">SUM(B3:E3)</f>
        <v>0</v>
      </c>
    </row>
    <row r="4" spans="1:6" x14ac:dyDescent="0.3">
      <c r="A4" t="str">
        <f>DataDemande!AA63</f>
        <v/>
      </c>
      <c r="B4" s="8">
        <f>IFERROR(VLOOKUP($A4,DataDemande!$AA$63:$AE$700,2,FALSE)*VLOOKUP($A4,DataPrixBillets!$M$66:$Q$700,2,FALSE),"")</f>
        <v>0</v>
      </c>
      <c r="C4" s="8">
        <f>IFERROR(VLOOKUP($A4,DataDemande!$AA$63:$AE$700,3,FALSE)*VLOOKUP($A4,DataPrixBillets!$M$66:$Q$700,3,FALSE),"")</f>
        <v>0</v>
      </c>
      <c r="D4" s="8">
        <f>IFERROR(VLOOKUP($A4,DataDemande!$AA$63:$AE$700,4,FALSE)*VLOOKUP($A4,DataPrixBillets!$M$66:$Q$700,4,FALSE),"")</f>
        <v>0</v>
      </c>
      <c r="E4" s="8">
        <f>IFERROR(VLOOKUP($A4,DataDemande!$AA$63:$AE$700,5,FALSE)*VLOOKUP($A4,DataPrixBillets!$M$66:$Q$700,5,FALSE),"")</f>
        <v>0</v>
      </c>
      <c r="F4" s="21">
        <f t="shared" si="1"/>
        <v>0</v>
      </c>
    </row>
    <row r="5" spans="1:6" x14ac:dyDescent="0.3">
      <c r="A5" s="185" t="str">
        <f>DataDemande!AA64</f>
        <v/>
      </c>
      <c r="B5" s="8">
        <f>IFERROR(VLOOKUP($A5,DataDemande!$AA$63:$AE$700,2,FALSE)*VLOOKUP($A5,DataPrixBillets!$M$66:$Q$700,2,FALSE),"")</f>
        <v>0</v>
      </c>
      <c r="C5" s="8">
        <f>IFERROR(VLOOKUP($A5,DataDemande!$AA$63:$AE$700,3,FALSE)*VLOOKUP($A5,DataPrixBillets!$M$66:$Q$700,3,FALSE),"")</f>
        <v>0</v>
      </c>
      <c r="D5" s="8">
        <f>IFERROR(VLOOKUP($A5,DataDemande!$AA$63:$AE$700,4,FALSE)*VLOOKUP($A5,DataPrixBillets!$M$66:$Q$700,4,FALSE),"")</f>
        <v>0</v>
      </c>
      <c r="E5" s="8">
        <f>IFERROR(VLOOKUP($A5,DataDemande!$AA$63:$AE$700,5,FALSE)*VLOOKUP($A5,DataPrixBillets!$M$66:$Q$700,5,FALSE),"")</f>
        <v>0</v>
      </c>
      <c r="F5" s="21">
        <f t="shared" ref="F5:F68" si="2">SUM(B5:E5)</f>
        <v>0</v>
      </c>
    </row>
    <row r="6" spans="1:6" x14ac:dyDescent="0.3">
      <c r="A6" s="185" t="str">
        <f>DataDemande!AA65</f>
        <v>DEL/ROB</v>
      </c>
      <c r="B6" s="8" t="str">
        <f>IFERROR(VLOOKUP($A6,DataDemande!$AA$63:$AE$700,2,FALSE)*VLOOKUP($A6,DataPrixBillets!$M$66:$Q$700,2,FALSE),"")</f>
        <v/>
      </c>
      <c r="C6" s="8" t="str">
        <f>IFERROR(VLOOKUP($A6,DataDemande!$AA$63:$AE$700,3,FALSE)*VLOOKUP($A6,DataPrixBillets!$M$66:$Q$700,3,FALSE),"")</f>
        <v/>
      </c>
      <c r="D6" s="8" t="str">
        <f>IFERROR(VLOOKUP($A6,DataDemande!$AA$63:$AE$700,4,FALSE)*VLOOKUP($A6,DataPrixBillets!$M$66:$Q$700,4,FALSE),"")</f>
        <v/>
      </c>
      <c r="E6" s="8" t="str">
        <f>IFERROR(VLOOKUP($A6,DataDemande!$AA$63:$AE$700,5,FALSE)*VLOOKUP($A6,DataPrixBillets!$M$66:$Q$700,5,FALSE),"")</f>
        <v/>
      </c>
      <c r="F6" s="21">
        <f t="shared" si="2"/>
        <v>0</v>
      </c>
    </row>
    <row r="7" spans="1:6" x14ac:dyDescent="0.3">
      <c r="A7" s="185" t="str">
        <f>DataDemande!AA66</f>
        <v/>
      </c>
      <c r="B7" s="8">
        <f>IFERROR(VLOOKUP($A7,DataDemande!$AA$63:$AE$700,2,FALSE)*VLOOKUP($A7,DataPrixBillets!$M$66:$Q$700,2,FALSE),"")</f>
        <v>0</v>
      </c>
      <c r="C7" s="8">
        <f>IFERROR(VLOOKUP($A7,DataDemande!$AA$63:$AE$700,3,FALSE)*VLOOKUP($A7,DataPrixBillets!$M$66:$Q$700,3,FALSE),"")</f>
        <v>0</v>
      </c>
      <c r="D7" s="8">
        <f>IFERROR(VLOOKUP($A7,DataDemande!$AA$63:$AE$700,4,FALSE)*VLOOKUP($A7,DataPrixBillets!$M$66:$Q$700,4,FALSE),"")</f>
        <v>0</v>
      </c>
      <c r="E7" s="8">
        <f>IFERROR(VLOOKUP($A7,DataDemande!$AA$63:$AE$700,5,FALSE)*VLOOKUP($A7,DataPrixBillets!$M$66:$Q$700,5,FALSE),"")</f>
        <v>0</v>
      </c>
      <c r="F7" s="21">
        <f t="shared" si="2"/>
        <v>0</v>
      </c>
    </row>
    <row r="8" spans="1:6" x14ac:dyDescent="0.3">
      <c r="A8" s="185" t="str">
        <f>DataDemande!AA67</f>
        <v>DEL/FNA</v>
      </c>
      <c r="B8" s="8" t="str">
        <f>IFERROR(VLOOKUP($A8,DataDemande!$AA$63:$AE$700,2,FALSE)*VLOOKUP($A8,DataPrixBillets!$M$66:$Q$700,2,FALSE),"")</f>
        <v/>
      </c>
      <c r="C8" s="8" t="str">
        <f>IFERROR(VLOOKUP($A8,DataDemande!$AA$63:$AE$700,3,FALSE)*VLOOKUP($A8,DataPrixBillets!$M$66:$Q$700,3,FALSE),"")</f>
        <v/>
      </c>
      <c r="D8" s="8" t="str">
        <f>IFERROR(VLOOKUP($A8,DataDemande!$AA$63:$AE$700,4,FALSE)*VLOOKUP($A8,DataPrixBillets!$M$66:$Q$700,4,FALSE),"")</f>
        <v/>
      </c>
      <c r="E8" s="8" t="str">
        <f>IFERROR(VLOOKUP($A8,DataDemande!$AA$63:$AE$700,5,FALSE)*VLOOKUP($A8,DataPrixBillets!$M$66:$Q$700,5,FALSE),"")</f>
        <v/>
      </c>
      <c r="F8" s="21">
        <f t="shared" si="2"/>
        <v>0</v>
      </c>
    </row>
    <row r="9" spans="1:6" x14ac:dyDescent="0.3">
      <c r="A9" s="185" t="str">
        <f>DataDemande!AA68</f>
        <v/>
      </c>
      <c r="B9" s="8">
        <f>IFERROR(VLOOKUP($A9,DataDemande!$AA$63:$AE$700,2,FALSE)*VLOOKUP($A9,DataPrixBillets!$M$66:$Q$700,2,FALSE),"")</f>
        <v>0</v>
      </c>
      <c r="C9" s="8">
        <f>IFERROR(VLOOKUP($A9,DataDemande!$AA$63:$AE$700,3,FALSE)*VLOOKUP($A9,DataPrixBillets!$M$66:$Q$700,3,FALSE),"")</f>
        <v>0</v>
      </c>
      <c r="D9" s="8">
        <f>IFERROR(VLOOKUP($A9,DataDemande!$AA$63:$AE$700,4,FALSE)*VLOOKUP($A9,DataPrixBillets!$M$66:$Q$700,4,FALSE),"")</f>
        <v>0</v>
      </c>
      <c r="E9" s="8">
        <f>IFERROR(VLOOKUP($A9,DataDemande!$AA$63:$AE$700,5,FALSE)*VLOOKUP($A9,DataPrixBillets!$M$66:$Q$700,5,FALSE),"")</f>
        <v>0</v>
      </c>
      <c r="F9" s="21">
        <f t="shared" si="2"/>
        <v>0</v>
      </c>
    </row>
    <row r="10" spans="1:6" x14ac:dyDescent="0.3">
      <c r="A10" s="185" t="str">
        <f>DataDemande!AA69</f>
        <v>FNA/HYD</v>
      </c>
      <c r="B10" s="8" t="str">
        <f>IFERROR(VLOOKUP($A10,DataDemande!$AA$63:$AE$700,2,FALSE)*VLOOKUP($A10,DataPrixBillets!$M$66:$Q$700,2,FALSE),"")</f>
        <v/>
      </c>
      <c r="C10" s="8" t="str">
        <f>IFERROR(VLOOKUP($A10,DataDemande!$AA$63:$AE$700,3,FALSE)*VLOOKUP($A10,DataPrixBillets!$M$66:$Q$700,3,FALSE),"")</f>
        <v/>
      </c>
      <c r="D10" s="8" t="str">
        <f>IFERROR(VLOOKUP($A10,DataDemande!$AA$63:$AE$700,4,FALSE)*VLOOKUP($A10,DataPrixBillets!$M$66:$Q$700,4,FALSE),"")</f>
        <v/>
      </c>
      <c r="E10" s="8" t="str">
        <f>IFERROR(VLOOKUP($A10,DataDemande!$AA$63:$AE$700,5,FALSE)*VLOOKUP($A10,DataPrixBillets!$M$66:$Q$700,5,FALSE),"")</f>
        <v/>
      </c>
      <c r="F10" s="21">
        <f t="shared" si="2"/>
        <v>0</v>
      </c>
    </row>
    <row r="11" spans="1:6" x14ac:dyDescent="0.3">
      <c r="A11" s="185" t="str">
        <f>DataDemande!AA70</f>
        <v/>
      </c>
      <c r="B11" s="8">
        <f>IFERROR(VLOOKUP($A11,DataDemande!$AA$63:$AE$700,2,FALSE)*VLOOKUP($A11,DataPrixBillets!$M$66:$Q$700,2,FALSE),"")</f>
        <v>0</v>
      </c>
      <c r="C11" s="8">
        <f>IFERROR(VLOOKUP($A11,DataDemande!$AA$63:$AE$700,3,FALSE)*VLOOKUP($A11,DataPrixBillets!$M$66:$Q$700,3,FALSE),"")</f>
        <v>0</v>
      </c>
      <c r="D11" s="8">
        <f>IFERROR(VLOOKUP($A11,DataDemande!$AA$63:$AE$700,4,FALSE)*VLOOKUP($A11,DataPrixBillets!$M$66:$Q$700,4,FALSE),"")</f>
        <v>0</v>
      </c>
      <c r="E11" s="8">
        <f>IFERROR(VLOOKUP($A11,DataDemande!$AA$63:$AE$700,5,FALSE)*VLOOKUP($A11,DataPrixBillets!$M$66:$Q$700,5,FALSE),"")</f>
        <v>0</v>
      </c>
      <c r="F11" s="21">
        <f t="shared" si="2"/>
        <v>0</v>
      </c>
    </row>
    <row r="12" spans="1:6" x14ac:dyDescent="0.3">
      <c r="A12" s="185" t="str">
        <f>DataDemande!AA71</f>
        <v>LOS/CCU</v>
      </c>
      <c r="B12" s="8" t="str">
        <f>IFERROR(VLOOKUP($A12,DataDemande!$AA$63:$AE$700,2,FALSE)*VLOOKUP($A12,DataPrixBillets!$M$66:$Q$700,2,FALSE),"")</f>
        <v/>
      </c>
      <c r="C12" s="8" t="str">
        <f>IFERROR(VLOOKUP($A12,DataDemande!$AA$63:$AE$700,3,FALSE)*VLOOKUP($A12,DataPrixBillets!$M$66:$Q$700,3,FALSE),"")</f>
        <v/>
      </c>
      <c r="D12" s="8" t="str">
        <f>IFERROR(VLOOKUP($A12,DataDemande!$AA$63:$AE$700,4,FALSE)*VLOOKUP($A12,DataPrixBillets!$M$66:$Q$700,4,FALSE),"")</f>
        <v/>
      </c>
      <c r="E12" s="8" t="str">
        <f>IFERROR(VLOOKUP($A12,DataDemande!$AA$63:$AE$700,5,FALSE)*VLOOKUP($A12,DataPrixBillets!$M$66:$Q$700,5,FALSE),"")</f>
        <v/>
      </c>
      <c r="F12" s="21">
        <f t="shared" si="2"/>
        <v>0</v>
      </c>
    </row>
    <row r="13" spans="1:6" x14ac:dyDescent="0.3">
      <c r="A13" s="185" t="str">
        <f>DataDemande!AA72</f>
        <v/>
      </c>
      <c r="B13" s="8">
        <f>IFERROR(VLOOKUP($A13,DataDemande!$AA$63:$AE$700,2,FALSE)*VLOOKUP($A13,DataPrixBillets!$M$66:$Q$700,2,FALSE),"")</f>
        <v>0</v>
      </c>
      <c r="C13" s="8">
        <f>IFERROR(VLOOKUP($A13,DataDemande!$AA$63:$AE$700,3,FALSE)*VLOOKUP($A13,DataPrixBillets!$M$66:$Q$700,3,FALSE),"")</f>
        <v>0</v>
      </c>
      <c r="D13" s="8">
        <f>IFERROR(VLOOKUP($A13,DataDemande!$AA$63:$AE$700,4,FALSE)*VLOOKUP($A13,DataPrixBillets!$M$66:$Q$700,4,FALSE),"")</f>
        <v>0</v>
      </c>
      <c r="E13" s="8">
        <f>IFERROR(VLOOKUP($A13,DataDemande!$AA$63:$AE$700,5,FALSE)*VLOOKUP($A13,DataPrixBillets!$M$66:$Q$700,5,FALSE),"")</f>
        <v>0</v>
      </c>
      <c r="F13" s="21">
        <f t="shared" si="2"/>
        <v>0</v>
      </c>
    </row>
    <row r="14" spans="1:6" x14ac:dyDescent="0.3">
      <c r="A14" s="185" t="str">
        <f>DataDemande!AA73</f>
        <v>WDH/BKK</v>
      </c>
      <c r="B14" s="8" t="str">
        <f>IFERROR(VLOOKUP($A14,DataDemande!$AA$63:$AE$700,2,FALSE)*VLOOKUP($A14,DataPrixBillets!$M$66:$Q$700,2,FALSE),"")</f>
        <v/>
      </c>
      <c r="C14" s="8" t="str">
        <f>IFERROR(VLOOKUP($A14,DataDemande!$AA$63:$AE$700,3,FALSE)*VLOOKUP($A14,DataPrixBillets!$M$66:$Q$700,3,FALSE),"")</f>
        <v/>
      </c>
      <c r="D14" s="8" t="str">
        <f>IFERROR(VLOOKUP($A14,DataDemande!$AA$63:$AE$700,4,FALSE)*VLOOKUP($A14,DataPrixBillets!$M$66:$Q$700,4,FALSE),"")</f>
        <v/>
      </c>
      <c r="E14" s="8" t="str">
        <f>IFERROR(VLOOKUP($A14,DataDemande!$AA$63:$AE$700,5,FALSE)*VLOOKUP($A14,DataPrixBillets!$M$66:$Q$700,5,FALSE),"")</f>
        <v/>
      </c>
      <c r="F14" s="21">
        <f t="shared" si="2"/>
        <v>0</v>
      </c>
    </row>
    <row r="15" spans="1:6" x14ac:dyDescent="0.3">
      <c r="A15" s="185" t="str">
        <f>DataDemande!AA74</f>
        <v/>
      </c>
      <c r="B15" s="8">
        <f>IFERROR(VLOOKUP($A15,DataDemande!$AA$63:$AE$700,2,FALSE)*VLOOKUP($A15,DataPrixBillets!$M$66:$Q$700,2,FALSE),"")</f>
        <v>0</v>
      </c>
      <c r="C15" s="8">
        <f>IFERROR(VLOOKUP($A15,DataDemande!$AA$63:$AE$700,3,FALSE)*VLOOKUP($A15,DataPrixBillets!$M$66:$Q$700,3,FALSE),"")</f>
        <v>0</v>
      </c>
      <c r="D15" s="8">
        <f>IFERROR(VLOOKUP($A15,DataDemande!$AA$63:$AE$700,4,FALSE)*VLOOKUP($A15,DataPrixBillets!$M$66:$Q$700,4,FALSE),"")</f>
        <v>0</v>
      </c>
      <c r="E15" s="8">
        <f>IFERROR(VLOOKUP($A15,DataDemande!$AA$63:$AE$700,5,FALSE)*VLOOKUP($A15,DataPrixBillets!$M$66:$Q$700,5,FALSE),"")</f>
        <v>0</v>
      </c>
      <c r="F15" s="21">
        <f t="shared" si="2"/>
        <v>0</v>
      </c>
    </row>
    <row r="16" spans="1:6" x14ac:dyDescent="0.3">
      <c r="A16" s="185" t="str">
        <f>DataDemande!AA75</f>
        <v>WDH/DMK</v>
      </c>
      <c r="B16" s="8" t="str">
        <f>IFERROR(VLOOKUP($A16,DataDemande!$AA$63:$AE$700,2,FALSE)*VLOOKUP($A16,DataPrixBillets!$M$66:$Q$700,2,FALSE),"")</f>
        <v/>
      </c>
      <c r="C16" s="8" t="str">
        <f>IFERROR(VLOOKUP($A16,DataDemande!$AA$63:$AE$700,3,FALSE)*VLOOKUP($A16,DataPrixBillets!$M$66:$Q$700,3,FALSE),"")</f>
        <v/>
      </c>
      <c r="D16" s="8" t="str">
        <f>IFERROR(VLOOKUP($A16,DataDemande!$AA$63:$AE$700,4,FALSE)*VLOOKUP($A16,DataPrixBillets!$M$66:$Q$700,4,FALSE),"")</f>
        <v/>
      </c>
      <c r="E16" s="8" t="str">
        <f>IFERROR(VLOOKUP($A16,DataDemande!$AA$63:$AE$700,5,FALSE)*VLOOKUP($A16,DataPrixBillets!$M$66:$Q$700,5,FALSE),"")</f>
        <v/>
      </c>
      <c r="F16" s="21">
        <f t="shared" si="2"/>
        <v>0</v>
      </c>
    </row>
    <row r="17" spans="1:6" x14ac:dyDescent="0.3">
      <c r="A17" s="185" t="str">
        <f>DataDemande!AA76</f>
        <v/>
      </c>
      <c r="B17" s="8">
        <f>IFERROR(VLOOKUP($A17,DataDemande!$AA$63:$AE$700,2,FALSE)*VLOOKUP($A17,DataPrixBillets!$M$66:$Q$700,2,FALSE),"")</f>
        <v>0</v>
      </c>
      <c r="C17" s="8">
        <f>IFERROR(VLOOKUP($A17,DataDemande!$AA$63:$AE$700,3,FALSE)*VLOOKUP($A17,DataPrixBillets!$M$66:$Q$700,3,FALSE),"")</f>
        <v>0</v>
      </c>
      <c r="D17" s="8">
        <f>IFERROR(VLOOKUP($A17,DataDemande!$AA$63:$AE$700,4,FALSE)*VLOOKUP($A17,DataPrixBillets!$M$66:$Q$700,4,FALSE),"")</f>
        <v>0</v>
      </c>
      <c r="E17" s="8">
        <f>IFERROR(VLOOKUP($A17,DataDemande!$AA$63:$AE$700,5,FALSE)*VLOOKUP($A17,DataPrixBillets!$M$66:$Q$700,5,FALSE),"")</f>
        <v>0</v>
      </c>
      <c r="F17" s="21">
        <f t="shared" si="2"/>
        <v>0</v>
      </c>
    </row>
    <row r="18" spans="1:6" x14ac:dyDescent="0.3">
      <c r="A18" s="185" t="str">
        <f>DataDemande!AA77</f>
        <v>BOM/DKR</v>
      </c>
      <c r="B18" s="8" t="str">
        <f>IFERROR(VLOOKUP($A18,DataDemande!$AA$63:$AE$700,2,FALSE)*VLOOKUP($A18,DataPrixBillets!$M$66:$Q$700,2,FALSE),"")</f>
        <v/>
      </c>
      <c r="C18" s="8" t="str">
        <f>IFERROR(VLOOKUP($A18,DataDemande!$AA$63:$AE$700,3,FALSE)*VLOOKUP($A18,DataPrixBillets!$M$66:$Q$700,3,FALSE),"")</f>
        <v/>
      </c>
      <c r="D18" s="8" t="str">
        <f>IFERROR(VLOOKUP($A18,DataDemande!$AA$63:$AE$700,4,FALSE)*VLOOKUP($A18,DataPrixBillets!$M$66:$Q$700,4,FALSE),"")</f>
        <v/>
      </c>
      <c r="E18" s="8" t="str">
        <f>IFERROR(VLOOKUP($A18,DataDemande!$AA$63:$AE$700,5,FALSE)*VLOOKUP($A18,DataPrixBillets!$M$66:$Q$700,5,FALSE),"")</f>
        <v/>
      </c>
      <c r="F18" s="21">
        <f t="shared" si="2"/>
        <v>0</v>
      </c>
    </row>
    <row r="19" spans="1:6" x14ac:dyDescent="0.3">
      <c r="A19" s="185" t="str">
        <f>DataDemande!AA78</f>
        <v/>
      </c>
      <c r="B19" s="8">
        <f>IFERROR(VLOOKUP($A19,DataDemande!$AA$63:$AE$700,2,FALSE)*VLOOKUP($A19,DataPrixBillets!$M$66:$Q$700,2,FALSE),"")</f>
        <v>0</v>
      </c>
      <c r="C19" s="8">
        <f>IFERROR(VLOOKUP($A19,DataDemande!$AA$63:$AE$700,3,FALSE)*VLOOKUP($A19,DataPrixBillets!$M$66:$Q$700,3,FALSE),"")</f>
        <v>0</v>
      </c>
      <c r="D19" s="8">
        <f>IFERROR(VLOOKUP($A19,DataDemande!$AA$63:$AE$700,4,FALSE)*VLOOKUP($A19,DataPrixBillets!$M$66:$Q$700,4,FALSE),"")</f>
        <v>0</v>
      </c>
      <c r="E19" s="8">
        <f>IFERROR(VLOOKUP($A19,DataDemande!$AA$63:$AE$700,5,FALSE)*VLOOKUP($A19,DataPrixBillets!$M$66:$Q$700,5,FALSE),"")</f>
        <v>0</v>
      </c>
      <c r="F19" s="21">
        <f t="shared" si="2"/>
        <v>0</v>
      </c>
    </row>
    <row r="20" spans="1:6" x14ac:dyDescent="0.3">
      <c r="A20" s="185" t="str">
        <f>DataDemande!AA79</f>
        <v>FNA/BLR</v>
      </c>
      <c r="B20" s="8" t="str">
        <f>IFERROR(VLOOKUP($A20,DataDemande!$AA$63:$AE$700,2,FALSE)*VLOOKUP($A20,DataPrixBillets!$M$66:$Q$700,2,FALSE),"")</f>
        <v/>
      </c>
      <c r="C20" s="8" t="str">
        <f>IFERROR(VLOOKUP($A20,DataDemande!$AA$63:$AE$700,3,FALSE)*VLOOKUP($A20,DataPrixBillets!$M$66:$Q$700,3,FALSE),"")</f>
        <v/>
      </c>
      <c r="D20" s="8" t="str">
        <f>IFERROR(VLOOKUP($A20,DataDemande!$AA$63:$AE$700,4,FALSE)*VLOOKUP($A20,DataPrixBillets!$M$66:$Q$700,4,FALSE),"")</f>
        <v/>
      </c>
      <c r="E20" s="8" t="str">
        <f>IFERROR(VLOOKUP($A20,DataDemande!$AA$63:$AE$700,5,FALSE)*VLOOKUP($A20,DataPrixBillets!$M$66:$Q$700,5,FALSE),"")</f>
        <v/>
      </c>
      <c r="F20" s="21">
        <f t="shared" si="2"/>
        <v>0</v>
      </c>
    </row>
    <row r="21" spans="1:6" x14ac:dyDescent="0.3">
      <c r="A21" s="185" t="str">
        <f>DataDemande!AA80</f>
        <v/>
      </c>
      <c r="B21" s="8">
        <f>IFERROR(VLOOKUP($A21,DataDemande!$AA$63:$AE$700,2,FALSE)*VLOOKUP($A21,DataPrixBillets!$M$66:$Q$700,2,FALSE),"")</f>
        <v>0</v>
      </c>
      <c r="C21" s="8">
        <f>IFERROR(VLOOKUP($A21,DataDemande!$AA$63:$AE$700,3,FALSE)*VLOOKUP($A21,DataPrixBillets!$M$66:$Q$700,3,FALSE),"")</f>
        <v>0</v>
      </c>
      <c r="D21" s="8">
        <f>IFERROR(VLOOKUP($A21,DataDemande!$AA$63:$AE$700,4,FALSE)*VLOOKUP($A21,DataPrixBillets!$M$66:$Q$700,4,FALSE),"")</f>
        <v>0</v>
      </c>
      <c r="E21" s="8">
        <f>IFERROR(VLOOKUP($A21,DataDemande!$AA$63:$AE$700,5,FALSE)*VLOOKUP($A21,DataPrixBillets!$M$66:$Q$700,5,FALSE),"")</f>
        <v>0</v>
      </c>
      <c r="F21" s="21">
        <f t="shared" si="2"/>
        <v>0</v>
      </c>
    </row>
    <row r="22" spans="1:6" x14ac:dyDescent="0.3">
      <c r="A22" s="185" t="str">
        <f>DataDemande!AA81</f>
        <v>BOM/OXB</v>
      </c>
      <c r="B22" s="8" t="str">
        <f>IFERROR(VLOOKUP($A22,DataDemande!$AA$63:$AE$700,2,FALSE)*VLOOKUP($A22,DataPrixBillets!$M$66:$Q$700,2,FALSE),"")</f>
        <v/>
      </c>
      <c r="C22" s="8" t="str">
        <f>IFERROR(VLOOKUP($A22,DataDemande!$AA$63:$AE$700,3,FALSE)*VLOOKUP($A22,DataPrixBillets!$M$66:$Q$700,3,FALSE),"")</f>
        <v/>
      </c>
      <c r="D22" s="8" t="str">
        <f>IFERROR(VLOOKUP($A22,DataDemande!$AA$63:$AE$700,4,FALSE)*VLOOKUP($A22,DataPrixBillets!$M$66:$Q$700,4,FALSE),"")</f>
        <v/>
      </c>
      <c r="E22" s="8" t="str">
        <f>IFERROR(VLOOKUP($A22,DataDemande!$AA$63:$AE$700,5,FALSE)*VLOOKUP($A22,DataPrixBillets!$M$66:$Q$700,5,FALSE),"")</f>
        <v/>
      </c>
      <c r="F22" s="21">
        <f t="shared" si="2"/>
        <v>0</v>
      </c>
    </row>
    <row r="23" spans="1:6" x14ac:dyDescent="0.3">
      <c r="A23" s="185" t="str">
        <f>DataDemande!AA82</f>
        <v/>
      </c>
      <c r="B23" s="8">
        <f>IFERROR(VLOOKUP($A23,DataDemande!$AA$63:$AE$700,2,FALSE)*VLOOKUP($A23,DataPrixBillets!$M$66:$Q$700,2,FALSE),"")</f>
        <v>0</v>
      </c>
      <c r="C23" s="8">
        <f>IFERROR(VLOOKUP($A23,DataDemande!$AA$63:$AE$700,3,FALSE)*VLOOKUP($A23,DataPrixBillets!$M$66:$Q$700,3,FALSE),"")</f>
        <v>0</v>
      </c>
      <c r="D23" s="8">
        <f>IFERROR(VLOOKUP($A23,DataDemande!$AA$63:$AE$700,4,FALSE)*VLOOKUP($A23,DataPrixBillets!$M$66:$Q$700,4,FALSE),"")</f>
        <v>0</v>
      </c>
      <c r="E23" s="8">
        <f>IFERROR(VLOOKUP($A23,DataDemande!$AA$63:$AE$700,5,FALSE)*VLOOKUP($A23,DataPrixBillets!$M$66:$Q$700,5,FALSE),"")</f>
        <v>0</v>
      </c>
      <c r="F23" s="21">
        <f t="shared" si="2"/>
        <v>0</v>
      </c>
    </row>
    <row r="24" spans="1:6" x14ac:dyDescent="0.3">
      <c r="A24" s="185" t="str">
        <f>DataDemande!AA83</f>
        <v>BOM/ROB</v>
      </c>
      <c r="B24" s="8" t="str">
        <f>IFERROR(VLOOKUP($A24,DataDemande!$AA$63:$AE$700,2,FALSE)*VLOOKUP($A24,DataPrixBillets!$M$66:$Q$700,2,FALSE),"")</f>
        <v/>
      </c>
      <c r="C24" s="8" t="str">
        <f>IFERROR(VLOOKUP($A24,DataDemande!$AA$63:$AE$700,3,FALSE)*VLOOKUP($A24,DataPrixBillets!$M$66:$Q$700,3,FALSE),"")</f>
        <v/>
      </c>
      <c r="D24" s="8" t="str">
        <f>IFERROR(VLOOKUP($A24,DataDemande!$AA$63:$AE$700,4,FALSE)*VLOOKUP($A24,DataPrixBillets!$M$66:$Q$700,4,FALSE),"")</f>
        <v/>
      </c>
      <c r="E24" s="8" t="str">
        <f>IFERROR(VLOOKUP($A24,DataDemande!$AA$63:$AE$700,5,FALSE)*VLOOKUP($A24,DataPrixBillets!$M$66:$Q$700,5,FALSE),"")</f>
        <v/>
      </c>
      <c r="F24" s="21">
        <f t="shared" si="2"/>
        <v>0</v>
      </c>
    </row>
    <row r="25" spans="1:6" x14ac:dyDescent="0.3">
      <c r="A25" s="185" t="str">
        <f>DataDemande!AA84</f>
        <v/>
      </c>
      <c r="B25" s="8">
        <f>IFERROR(VLOOKUP($A25,DataDemande!$AA$63:$AE$700,2,FALSE)*VLOOKUP($A25,DataPrixBillets!$M$66:$Q$700,2,FALSE),"")</f>
        <v>0</v>
      </c>
      <c r="C25" s="8">
        <f>IFERROR(VLOOKUP($A25,DataDemande!$AA$63:$AE$700,3,FALSE)*VLOOKUP($A25,DataPrixBillets!$M$66:$Q$700,3,FALSE),"")</f>
        <v>0</v>
      </c>
      <c r="D25" s="8">
        <f>IFERROR(VLOOKUP($A25,DataDemande!$AA$63:$AE$700,4,FALSE)*VLOOKUP($A25,DataPrixBillets!$M$66:$Q$700,4,FALSE),"")</f>
        <v>0</v>
      </c>
      <c r="E25" s="8">
        <f>IFERROR(VLOOKUP($A25,DataDemande!$AA$63:$AE$700,5,FALSE)*VLOOKUP($A25,DataPrixBillets!$M$66:$Q$700,5,FALSE),"")</f>
        <v>0</v>
      </c>
      <c r="F25" s="21">
        <f t="shared" si="2"/>
        <v>0</v>
      </c>
    </row>
    <row r="26" spans="1:6" x14ac:dyDescent="0.3">
      <c r="A26" s="185" t="str">
        <f>DataDemande!AA85</f>
        <v>BOM/NKC</v>
      </c>
      <c r="B26" s="8" t="str">
        <f>IFERROR(VLOOKUP($A26,DataDemande!$AA$63:$AE$700,2,FALSE)*VLOOKUP($A26,DataPrixBillets!$M$66:$Q$700,2,FALSE),"")</f>
        <v/>
      </c>
      <c r="C26" s="8" t="str">
        <f>IFERROR(VLOOKUP($A26,DataDemande!$AA$63:$AE$700,3,FALSE)*VLOOKUP($A26,DataPrixBillets!$M$66:$Q$700,3,FALSE),"")</f>
        <v/>
      </c>
      <c r="D26" s="8" t="str">
        <f>IFERROR(VLOOKUP($A26,DataDemande!$AA$63:$AE$700,4,FALSE)*VLOOKUP($A26,DataPrixBillets!$M$66:$Q$700,4,FALSE),"")</f>
        <v/>
      </c>
      <c r="E26" s="8" t="str">
        <f>IFERROR(VLOOKUP($A26,DataDemande!$AA$63:$AE$700,5,FALSE)*VLOOKUP($A26,DataPrixBillets!$M$66:$Q$700,5,FALSE),"")</f>
        <v/>
      </c>
      <c r="F26" s="21">
        <f t="shared" si="2"/>
        <v>0</v>
      </c>
    </row>
    <row r="27" spans="1:6" x14ac:dyDescent="0.3">
      <c r="A27" s="185" t="str">
        <f>DataDemande!AA86</f>
        <v/>
      </c>
      <c r="B27" s="8">
        <f>IFERROR(VLOOKUP($A27,DataDemande!$AA$63:$AE$700,2,FALSE)*VLOOKUP($A27,DataPrixBillets!$M$66:$Q$700,2,FALSE),"")</f>
        <v>0</v>
      </c>
      <c r="C27" s="8">
        <f>IFERROR(VLOOKUP($A27,DataDemande!$AA$63:$AE$700,3,FALSE)*VLOOKUP($A27,DataPrixBillets!$M$66:$Q$700,3,FALSE),"")</f>
        <v>0</v>
      </c>
      <c r="D27" s="8">
        <f>IFERROR(VLOOKUP($A27,DataDemande!$AA$63:$AE$700,4,FALSE)*VLOOKUP($A27,DataPrixBillets!$M$66:$Q$700,4,FALSE),"")</f>
        <v>0</v>
      </c>
      <c r="E27" s="8">
        <f>IFERROR(VLOOKUP($A27,DataDemande!$AA$63:$AE$700,5,FALSE)*VLOOKUP($A27,DataPrixBillets!$M$66:$Q$700,5,FALSE),"")</f>
        <v>0</v>
      </c>
      <c r="F27" s="21">
        <f t="shared" si="2"/>
        <v>0</v>
      </c>
    </row>
    <row r="28" spans="1:6" x14ac:dyDescent="0.3">
      <c r="A28" s="185" t="str">
        <f>DataDemande!AA87</f>
        <v>BOG/LOS</v>
      </c>
      <c r="B28" s="8" t="str">
        <f>IFERROR(VLOOKUP($A28,DataDemande!$AA$63:$AE$700,2,FALSE)*VLOOKUP($A28,DataPrixBillets!$M$66:$Q$700,2,FALSE),"")</f>
        <v/>
      </c>
      <c r="C28" s="8" t="str">
        <f>IFERROR(VLOOKUP($A28,DataDemande!$AA$63:$AE$700,3,FALSE)*VLOOKUP($A28,DataPrixBillets!$M$66:$Q$700,3,FALSE),"")</f>
        <v/>
      </c>
      <c r="D28" s="8" t="str">
        <f>IFERROR(VLOOKUP($A28,DataDemande!$AA$63:$AE$700,4,FALSE)*VLOOKUP($A28,DataPrixBillets!$M$66:$Q$700,4,FALSE),"")</f>
        <v/>
      </c>
      <c r="E28" s="8" t="str">
        <f>IFERROR(VLOOKUP($A28,DataDemande!$AA$63:$AE$700,5,FALSE)*VLOOKUP($A28,DataPrixBillets!$M$66:$Q$700,5,FALSE),"")</f>
        <v/>
      </c>
      <c r="F28" s="21">
        <f t="shared" si="2"/>
        <v>0</v>
      </c>
    </row>
    <row r="29" spans="1:6" x14ac:dyDescent="0.3">
      <c r="A29" s="185" t="str">
        <f>DataDemande!AA88</f>
        <v/>
      </c>
      <c r="B29" s="8">
        <f>IFERROR(VLOOKUP($A29,DataDemande!$AA$63:$AE$700,2,FALSE)*VLOOKUP($A29,DataPrixBillets!$M$66:$Q$700,2,FALSE),"")</f>
        <v>0</v>
      </c>
      <c r="C29" s="8">
        <f>IFERROR(VLOOKUP($A29,DataDemande!$AA$63:$AE$700,3,FALSE)*VLOOKUP($A29,DataPrixBillets!$M$66:$Q$700,3,FALSE),"")</f>
        <v>0</v>
      </c>
      <c r="D29" s="8">
        <f>IFERROR(VLOOKUP($A29,DataDemande!$AA$63:$AE$700,4,FALSE)*VLOOKUP($A29,DataPrixBillets!$M$66:$Q$700,4,FALSE),"")</f>
        <v>0</v>
      </c>
      <c r="E29" s="8">
        <f>IFERROR(VLOOKUP($A29,DataDemande!$AA$63:$AE$700,5,FALSE)*VLOOKUP($A29,DataPrixBillets!$M$66:$Q$700,5,FALSE),"")</f>
        <v>0</v>
      </c>
      <c r="F29" s="21">
        <f t="shared" si="2"/>
        <v>0</v>
      </c>
    </row>
    <row r="30" spans="1:6" x14ac:dyDescent="0.3">
      <c r="A30" s="185" t="str">
        <f>DataDemande!AA89</f>
        <v>BOG/ABV</v>
      </c>
      <c r="B30" s="8" t="str">
        <f>IFERROR(VLOOKUP($A30,DataDemande!$AA$63:$AE$700,2,FALSE)*VLOOKUP($A30,DataPrixBillets!$M$66:$Q$700,2,FALSE),"")</f>
        <v/>
      </c>
      <c r="C30" s="8" t="str">
        <f>IFERROR(VLOOKUP($A30,DataDemande!$AA$63:$AE$700,3,FALSE)*VLOOKUP($A30,DataPrixBillets!$M$66:$Q$700,3,FALSE),"")</f>
        <v/>
      </c>
      <c r="D30" s="8" t="str">
        <f>IFERROR(VLOOKUP($A30,DataDemande!$AA$63:$AE$700,4,FALSE)*VLOOKUP($A30,DataPrixBillets!$M$66:$Q$700,4,FALSE),"")</f>
        <v/>
      </c>
      <c r="E30" s="8" t="str">
        <f>IFERROR(VLOOKUP($A30,DataDemande!$AA$63:$AE$700,5,FALSE)*VLOOKUP($A30,DataPrixBillets!$M$66:$Q$700,5,FALSE),"")</f>
        <v/>
      </c>
      <c r="F30" s="21">
        <f t="shared" si="2"/>
        <v>0</v>
      </c>
    </row>
    <row r="31" spans="1:6" x14ac:dyDescent="0.3">
      <c r="A31" s="185" t="str">
        <f>DataDemande!AA90</f>
        <v/>
      </c>
      <c r="B31" s="8">
        <f>IFERROR(VLOOKUP($A31,DataDemande!$AA$63:$AE$700,2,FALSE)*VLOOKUP($A31,DataPrixBillets!$M$66:$Q$700,2,FALSE),"")</f>
        <v>0</v>
      </c>
      <c r="C31" s="8">
        <f>IFERROR(VLOOKUP($A31,DataDemande!$AA$63:$AE$700,3,FALSE)*VLOOKUP($A31,DataPrixBillets!$M$66:$Q$700,3,FALSE),"")</f>
        <v>0</v>
      </c>
      <c r="D31" s="8">
        <f>IFERROR(VLOOKUP($A31,DataDemande!$AA$63:$AE$700,4,FALSE)*VLOOKUP($A31,DataPrixBillets!$M$66:$Q$700,4,FALSE),"")</f>
        <v>0</v>
      </c>
      <c r="E31" s="8">
        <f>IFERROR(VLOOKUP($A31,DataDemande!$AA$63:$AE$700,5,FALSE)*VLOOKUP($A31,DataPrixBillets!$M$66:$Q$700,5,FALSE),"")</f>
        <v>0</v>
      </c>
      <c r="F31" s="21">
        <f t="shared" si="2"/>
        <v>0</v>
      </c>
    </row>
    <row r="32" spans="1:6" x14ac:dyDescent="0.3">
      <c r="A32" s="185" t="str">
        <f>DataDemande!AA91</f>
        <v>DEL/NKC</v>
      </c>
      <c r="B32" s="8" t="str">
        <f>IFERROR(VLOOKUP($A32,DataDemande!$AA$63:$AE$700,2,FALSE)*VLOOKUP($A32,DataPrixBillets!$M$66:$Q$700,2,FALSE),"")</f>
        <v/>
      </c>
      <c r="C32" s="8" t="str">
        <f>IFERROR(VLOOKUP($A32,DataDemande!$AA$63:$AE$700,3,FALSE)*VLOOKUP($A32,DataPrixBillets!$M$66:$Q$700,3,FALSE),"")</f>
        <v/>
      </c>
      <c r="D32" s="8" t="str">
        <f>IFERROR(VLOOKUP($A32,DataDemande!$AA$63:$AE$700,4,FALSE)*VLOOKUP($A32,DataPrixBillets!$M$66:$Q$700,4,FALSE),"")</f>
        <v/>
      </c>
      <c r="E32" s="8" t="str">
        <f>IFERROR(VLOOKUP($A32,DataDemande!$AA$63:$AE$700,5,FALSE)*VLOOKUP($A32,DataPrixBillets!$M$66:$Q$700,5,FALSE),"")</f>
        <v/>
      </c>
      <c r="F32" s="21">
        <f t="shared" si="2"/>
        <v>0</v>
      </c>
    </row>
    <row r="33" spans="1:6" x14ac:dyDescent="0.3">
      <c r="A33" s="185" t="str">
        <f>DataDemande!AA92</f>
        <v/>
      </c>
      <c r="B33" s="8">
        <f>IFERROR(VLOOKUP($A33,DataDemande!$AA$63:$AE$700,2,FALSE)*VLOOKUP($A33,DataPrixBillets!$M$66:$Q$700,2,FALSE),"")</f>
        <v>0</v>
      </c>
      <c r="C33" s="8">
        <f>IFERROR(VLOOKUP($A33,DataDemande!$AA$63:$AE$700,3,FALSE)*VLOOKUP($A33,DataPrixBillets!$M$66:$Q$700,3,FALSE),"")</f>
        <v>0</v>
      </c>
      <c r="D33" s="8">
        <f>IFERROR(VLOOKUP($A33,DataDemande!$AA$63:$AE$700,4,FALSE)*VLOOKUP($A33,DataPrixBillets!$M$66:$Q$700,4,FALSE),"")</f>
        <v>0</v>
      </c>
      <c r="E33" s="8">
        <f>IFERROR(VLOOKUP($A33,DataDemande!$AA$63:$AE$700,5,FALSE)*VLOOKUP($A33,DataPrixBillets!$M$66:$Q$700,5,FALSE),"")</f>
        <v>0</v>
      </c>
      <c r="F33" s="21">
        <f t="shared" si="2"/>
        <v>0</v>
      </c>
    </row>
    <row r="34" spans="1:6" x14ac:dyDescent="0.3">
      <c r="A34" s="185" t="str">
        <f>DataDemande!AA93</f>
        <v>DEL/CPT</v>
      </c>
      <c r="B34" s="8" t="str">
        <f>IFERROR(VLOOKUP($A34,DataDemande!$AA$63:$AE$700,2,FALSE)*VLOOKUP($A34,DataPrixBillets!$M$66:$Q$700,2,FALSE),"")</f>
        <v/>
      </c>
      <c r="C34" s="8" t="str">
        <f>IFERROR(VLOOKUP($A34,DataDemande!$AA$63:$AE$700,3,FALSE)*VLOOKUP($A34,DataPrixBillets!$M$66:$Q$700,3,FALSE),"")</f>
        <v/>
      </c>
      <c r="D34" s="8" t="str">
        <f>IFERROR(VLOOKUP($A34,DataDemande!$AA$63:$AE$700,4,FALSE)*VLOOKUP($A34,DataPrixBillets!$M$66:$Q$700,4,FALSE),"")</f>
        <v/>
      </c>
      <c r="E34" s="8" t="str">
        <f>IFERROR(VLOOKUP($A34,DataDemande!$AA$63:$AE$700,5,FALSE)*VLOOKUP($A34,DataPrixBillets!$M$66:$Q$700,5,FALSE),"")</f>
        <v/>
      </c>
      <c r="F34" s="21">
        <f t="shared" si="2"/>
        <v>0</v>
      </c>
    </row>
    <row r="35" spans="1:6" x14ac:dyDescent="0.3">
      <c r="A35" s="185" t="str">
        <f>DataDemande!AA94</f>
        <v/>
      </c>
      <c r="B35" s="8">
        <f>IFERROR(VLOOKUP($A35,DataDemande!$AA$63:$AE$700,2,FALSE)*VLOOKUP($A35,DataPrixBillets!$M$66:$Q$700,2,FALSE),"")</f>
        <v>0</v>
      </c>
      <c r="C35" s="8">
        <f>IFERROR(VLOOKUP($A35,DataDemande!$AA$63:$AE$700,3,FALSE)*VLOOKUP($A35,DataPrixBillets!$M$66:$Q$700,3,FALSE),"")</f>
        <v>0</v>
      </c>
      <c r="D35" s="8">
        <f>IFERROR(VLOOKUP($A35,DataDemande!$AA$63:$AE$700,4,FALSE)*VLOOKUP($A35,DataPrixBillets!$M$66:$Q$700,4,FALSE),"")</f>
        <v>0</v>
      </c>
      <c r="E35" s="8">
        <f>IFERROR(VLOOKUP($A35,DataDemande!$AA$63:$AE$700,5,FALSE)*VLOOKUP($A35,DataPrixBillets!$M$66:$Q$700,5,FALSE),"")</f>
        <v>0</v>
      </c>
      <c r="F35" s="21">
        <f t="shared" si="2"/>
        <v>0</v>
      </c>
    </row>
    <row r="36" spans="1:6" x14ac:dyDescent="0.3">
      <c r="A36" s="185" t="str">
        <f>DataDemande!AA95</f>
        <v>DEL/CKY</v>
      </c>
      <c r="B36" s="8" t="str">
        <f>IFERROR(VLOOKUP($A36,DataDemande!$AA$63:$AE$700,2,FALSE)*VLOOKUP($A36,DataPrixBillets!$M$66:$Q$700,2,FALSE),"")</f>
        <v/>
      </c>
      <c r="C36" s="8" t="str">
        <f>IFERROR(VLOOKUP($A36,DataDemande!$AA$63:$AE$700,3,FALSE)*VLOOKUP($A36,DataPrixBillets!$M$66:$Q$700,3,FALSE),"")</f>
        <v/>
      </c>
      <c r="D36" s="8" t="str">
        <f>IFERROR(VLOOKUP($A36,DataDemande!$AA$63:$AE$700,4,FALSE)*VLOOKUP($A36,DataPrixBillets!$M$66:$Q$700,4,FALSE),"")</f>
        <v/>
      </c>
      <c r="E36" s="8" t="str">
        <f>IFERROR(VLOOKUP($A36,DataDemande!$AA$63:$AE$700,5,FALSE)*VLOOKUP($A36,DataPrixBillets!$M$66:$Q$700,5,FALSE),"")</f>
        <v/>
      </c>
      <c r="F36" s="21">
        <f t="shared" si="2"/>
        <v>0</v>
      </c>
    </row>
    <row r="37" spans="1:6" x14ac:dyDescent="0.3">
      <c r="A37" s="185" t="str">
        <f>DataDemande!AA96</f>
        <v/>
      </c>
      <c r="B37" s="8">
        <f>IFERROR(VLOOKUP($A37,DataDemande!$AA$63:$AE$700,2,FALSE)*VLOOKUP($A37,DataPrixBillets!$M$66:$Q$700,2,FALSE),"")</f>
        <v>0</v>
      </c>
      <c r="C37" s="8">
        <f>IFERROR(VLOOKUP($A37,DataDemande!$AA$63:$AE$700,3,FALSE)*VLOOKUP($A37,DataPrixBillets!$M$66:$Q$700,3,FALSE),"")</f>
        <v>0</v>
      </c>
      <c r="D37" s="8">
        <f>IFERROR(VLOOKUP($A37,DataDemande!$AA$63:$AE$700,4,FALSE)*VLOOKUP($A37,DataPrixBillets!$M$66:$Q$700,4,FALSE),"")</f>
        <v>0</v>
      </c>
      <c r="E37" s="8">
        <f>IFERROR(VLOOKUP($A37,DataDemande!$AA$63:$AE$700,5,FALSE)*VLOOKUP($A37,DataPrixBillets!$M$66:$Q$700,5,FALSE),"")</f>
        <v>0</v>
      </c>
      <c r="F37" s="21">
        <f t="shared" si="2"/>
        <v>0</v>
      </c>
    </row>
    <row r="38" spans="1:6" x14ac:dyDescent="0.3">
      <c r="A38" s="185" t="str">
        <f>DataDemande!AA97</f>
        <v>DEL/DKR</v>
      </c>
      <c r="B38" s="8" t="str">
        <f>IFERROR(VLOOKUP($A38,DataDemande!$AA$63:$AE$700,2,FALSE)*VLOOKUP($A38,DataPrixBillets!$M$66:$Q$700,2,FALSE),"")</f>
        <v/>
      </c>
      <c r="C38" s="8" t="str">
        <f>IFERROR(VLOOKUP($A38,DataDemande!$AA$63:$AE$700,3,FALSE)*VLOOKUP($A38,DataPrixBillets!$M$66:$Q$700,3,FALSE),"")</f>
        <v/>
      </c>
      <c r="D38" s="8" t="str">
        <f>IFERROR(VLOOKUP($A38,DataDemande!$AA$63:$AE$700,4,FALSE)*VLOOKUP($A38,DataPrixBillets!$M$66:$Q$700,4,FALSE),"")</f>
        <v/>
      </c>
      <c r="E38" s="8" t="str">
        <f>IFERROR(VLOOKUP($A38,DataDemande!$AA$63:$AE$700,5,FALSE)*VLOOKUP($A38,DataPrixBillets!$M$66:$Q$700,5,FALSE),"")</f>
        <v/>
      </c>
      <c r="F38" s="21">
        <f t="shared" si="2"/>
        <v>0</v>
      </c>
    </row>
    <row r="39" spans="1:6" x14ac:dyDescent="0.3">
      <c r="A39" s="185" t="str">
        <f>DataDemande!AA98</f>
        <v/>
      </c>
      <c r="B39" s="8">
        <f>IFERROR(VLOOKUP($A39,DataDemande!$AA$63:$AE$700,2,FALSE)*VLOOKUP($A39,DataPrixBillets!$M$66:$Q$700,2,FALSE),"")</f>
        <v>0</v>
      </c>
      <c r="C39" s="8">
        <f>IFERROR(VLOOKUP($A39,DataDemande!$AA$63:$AE$700,3,FALSE)*VLOOKUP($A39,DataPrixBillets!$M$66:$Q$700,3,FALSE),"")</f>
        <v>0</v>
      </c>
      <c r="D39" s="8">
        <f>IFERROR(VLOOKUP($A39,DataDemande!$AA$63:$AE$700,4,FALSE)*VLOOKUP($A39,DataPrixBillets!$M$66:$Q$700,4,FALSE),"")</f>
        <v>0</v>
      </c>
      <c r="E39" s="8">
        <f>IFERROR(VLOOKUP($A39,DataDemande!$AA$63:$AE$700,5,FALSE)*VLOOKUP($A39,DataPrixBillets!$M$66:$Q$700,5,FALSE),"")</f>
        <v>0</v>
      </c>
      <c r="F39" s="21">
        <f t="shared" si="2"/>
        <v>0</v>
      </c>
    </row>
    <row r="40" spans="1:6" x14ac:dyDescent="0.3">
      <c r="A40" s="185" t="str">
        <f>DataDemande!AA99</f>
        <v>DEL/BJL</v>
      </c>
      <c r="B40" s="8" t="str">
        <f>IFERROR(VLOOKUP($A40,DataDemande!$AA$63:$AE$700,2,FALSE)*VLOOKUP($A40,DataPrixBillets!$M$66:$Q$700,2,FALSE),"")</f>
        <v/>
      </c>
      <c r="C40" s="8" t="str">
        <f>IFERROR(VLOOKUP($A40,DataDemande!$AA$63:$AE$700,3,FALSE)*VLOOKUP($A40,DataPrixBillets!$M$66:$Q$700,3,FALSE),"")</f>
        <v/>
      </c>
      <c r="D40" s="8" t="str">
        <f>IFERROR(VLOOKUP($A40,DataDemande!$AA$63:$AE$700,4,FALSE)*VLOOKUP($A40,DataPrixBillets!$M$66:$Q$700,4,FALSE),"")</f>
        <v/>
      </c>
      <c r="E40" s="8" t="str">
        <f>IFERROR(VLOOKUP($A40,DataDemande!$AA$63:$AE$700,5,FALSE)*VLOOKUP($A40,DataPrixBillets!$M$66:$Q$700,5,FALSE),"")</f>
        <v/>
      </c>
      <c r="F40" s="21">
        <f t="shared" si="2"/>
        <v>0</v>
      </c>
    </row>
    <row r="41" spans="1:6" x14ac:dyDescent="0.3">
      <c r="A41" s="185" t="str">
        <f>DataDemande!AA100</f>
        <v/>
      </c>
      <c r="B41" s="8">
        <f>IFERROR(VLOOKUP($A41,DataDemande!$AA$63:$AE$700,2,FALSE)*VLOOKUP($A41,DataPrixBillets!$M$66:$Q$700,2,FALSE),"")</f>
        <v>0</v>
      </c>
      <c r="C41" s="8">
        <f>IFERROR(VLOOKUP($A41,DataDemande!$AA$63:$AE$700,3,FALSE)*VLOOKUP($A41,DataPrixBillets!$M$66:$Q$700,3,FALSE),"")</f>
        <v>0</v>
      </c>
      <c r="D41" s="8">
        <f>IFERROR(VLOOKUP($A41,DataDemande!$AA$63:$AE$700,4,FALSE)*VLOOKUP($A41,DataPrixBillets!$M$66:$Q$700,4,FALSE),"")</f>
        <v>0</v>
      </c>
      <c r="E41" s="8">
        <f>IFERROR(VLOOKUP($A41,DataDemande!$AA$63:$AE$700,5,FALSE)*VLOOKUP($A41,DataPrixBillets!$M$66:$Q$700,5,FALSE),"")</f>
        <v>0</v>
      </c>
      <c r="F41" s="21">
        <f t="shared" si="2"/>
        <v>0</v>
      </c>
    </row>
    <row r="42" spans="1:6" x14ac:dyDescent="0.3">
      <c r="A42" s="185" t="str">
        <f>DataDemande!AA101</f>
        <v>DEL/OXB</v>
      </c>
      <c r="B42" s="8" t="str">
        <f>IFERROR(VLOOKUP($A42,DataDemande!$AA$63:$AE$700,2,FALSE)*VLOOKUP($A42,DataPrixBillets!$M$66:$Q$700,2,FALSE),"")</f>
        <v/>
      </c>
      <c r="C42" s="8" t="str">
        <f>IFERROR(VLOOKUP($A42,DataDemande!$AA$63:$AE$700,3,FALSE)*VLOOKUP($A42,DataPrixBillets!$M$66:$Q$700,3,FALSE),"")</f>
        <v/>
      </c>
      <c r="D42" s="8" t="str">
        <f>IFERROR(VLOOKUP($A42,DataDemande!$AA$63:$AE$700,4,FALSE)*VLOOKUP($A42,DataPrixBillets!$M$66:$Q$700,4,FALSE),"")</f>
        <v/>
      </c>
      <c r="E42" s="8" t="str">
        <f>IFERROR(VLOOKUP($A42,DataDemande!$AA$63:$AE$700,5,FALSE)*VLOOKUP($A42,DataPrixBillets!$M$66:$Q$700,5,FALSE),"")</f>
        <v/>
      </c>
      <c r="F42" s="21">
        <f t="shared" si="2"/>
        <v>0</v>
      </c>
    </row>
    <row r="43" spans="1:6" x14ac:dyDescent="0.3">
      <c r="A43" s="185" t="str">
        <f>DataDemande!AA102</f>
        <v/>
      </c>
      <c r="B43" s="8">
        <f>IFERROR(VLOOKUP($A43,DataDemande!$AA$63:$AE$700,2,FALSE)*VLOOKUP($A43,DataPrixBillets!$M$66:$Q$700,2,FALSE),"")</f>
        <v>0</v>
      </c>
      <c r="C43" s="8">
        <f>IFERROR(VLOOKUP($A43,DataDemande!$AA$63:$AE$700,3,FALSE)*VLOOKUP($A43,DataPrixBillets!$M$66:$Q$700,3,FALSE),"")</f>
        <v>0</v>
      </c>
      <c r="D43" s="8">
        <f>IFERROR(VLOOKUP($A43,DataDemande!$AA$63:$AE$700,4,FALSE)*VLOOKUP($A43,DataPrixBillets!$M$66:$Q$700,4,FALSE),"")</f>
        <v>0</v>
      </c>
      <c r="E43" s="8">
        <f>IFERROR(VLOOKUP($A43,DataDemande!$AA$63:$AE$700,5,FALSE)*VLOOKUP($A43,DataPrixBillets!$M$66:$Q$700,5,FALSE),"")</f>
        <v>0</v>
      </c>
      <c r="F43" s="21">
        <f t="shared" si="2"/>
        <v>0</v>
      </c>
    </row>
    <row r="44" spans="1:6" x14ac:dyDescent="0.3">
      <c r="A44" s="185" t="str">
        <f>DataDemande!AA103</f>
        <v>BOG/PHC</v>
      </c>
      <c r="B44" s="8" t="str">
        <f>IFERROR(VLOOKUP($A44,DataDemande!$AA$63:$AE$700,2,FALSE)*VLOOKUP($A44,DataPrixBillets!$M$66:$Q$700,2,FALSE),"")</f>
        <v/>
      </c>
      <c r="C44" s="8" t="str">
        <f>IFERROR(VLOOKUP($A44,DataDemande!$AA$63:$AE$700,3,FALSE)*VLOOKUP($A44,DataPrixBillets!$M$66:$Q$700,3,FALSE),"")</f>
        <v/>
      </c>
      <c r="D44" s="8" t="str">
        <f>IFERROR(VLOOKUP($A44,DataDemande!$AA$63:$AE$700,4,FALSE)*VLOOKUP($A44,DataPrixBillets!$M$66:$Q$700,4,FALSE),"")</f>
        <v/>
      </c>
      <c r="E44" s="8" t="str">
        <f>IFERROR(VLOOKUP($A44,DataDemande!$AA$63:$AE$700,5,FALSE)*VLOOKUP($A44,DataPrixBillets!$M$66:$Q$700,5,FALSE),"")</f>
        <v/>
      </c>
      <c r="F44" s="21">
        <f t="shared" si="2"/>
        <v>0</v>
      </c>
    </row>
    <row r="45" spans="1:6" x14ac:dyDescent="0.3">
      <c r="A45" s="185" t="str">
        <f>DataDemande!AA104</f>
        <v/>
      </c>
      <c r="B45" s="8">
        <f>IFERROR(VLOOKUP($A45,DataDemande!$AA$63:$AE$700,2,FALSE)*VLOOKUP($A45,DataPrixBillets!$M$66:$Q$700,2,FALSE),"")</f>
        <v>0</v>
      </c>
      <c r="C45" s="8">
        <f>IFERROR(VLOOKUP($A45,DataDemande!$AA$63:$AE$700,3,FALSE)*VLOOKUP($A45,DataPrixBillets!$M$66:$Q$700,3,FALSE),"")</f>
        <v>0</v>
      </c>
      <c r="D45" s="8">
        <f>IFERROR(VLOOKUP($A45,DataDemande!$AA$63:$AE$700,4,FALSE)*VLOOKUP($A45,DataPrixBillets!$M$66:$Q$700,4,FALSE),"")</f>
        <v>0</v>
      </c>
      <c r="E45" s="8">
        <f>IFERROR(VLOOKUP($A45,DataDemande!$AA$63:$AE$700,5,FALSE)*VLOOKUP($A45,DataPrixBillets!$M$66:$Q$700,5,FALSE),"")</f>
        <v>0</v>
      </c>
      <c r="F45" s="21">
        <f t="shared" si="2"/>
        <v>0</v>
      </c>
    </row>
    <row r="46" spans="1:6" x14ac:dyDescent="0.3">
      <c r="A46" s="185" t="str">
        <f>DataDemande!AA105</f>
        <v>BOG/KAN</v>
      </c>
      <c r="B46" s="8" t="str">
        <f>IFERROR(VLOOKUP($A46,DataDemande!$AA$63:$AE$700,2,FALSE)*VLOOKUP($A46,DataPrixBillets!$M$66:$Q$700,2,FALSE),"")</f>
        <v/>
      </c>
      <c r="C46" s="8" t="str">
        <f>IFERROR(VLOOKUP($A46,DataDemande!$AA$63:$AE$700,3,FALSE)*VLOOKUP($A46,DataPrixBillets!$M$66:$Q$700,3,FALSE),"")</f>
        <v/>
      </c>
      <c r="D46" s="8" t="str">
        <f>IFERROR(VLOOKUP($A46,DataDemande!$AA$63:$AE$700,4,FALSE)*VLOOKUP($A46,DataPrixBillets!$M$66:$Q$700,4,FALSE),"")</f>
        <v/>
      </c>
      <c r="E46" s="8" t="str">
        <f>IFERROR(VLOOKUP($A46,DataDemande!$AA$63:$AE$700,5,FALSE)*VLOOKUP($A46,DataPrixBillets!$M$66:$Q$700,5,FALSE),"")</f>
        <v/>
      </c>
      <c r="F46" s="21">
        <f t="shared" si="2"/>
        <v>0</v>
      </c>
    </row>
    <row r="47" spans="1:6" x14ac:dyDescent="0.3">
      <c r="A47" s="185" t="str">
        <f>DataDemande!AA106</f>
        <v/>
      </c>
      <c r="B47" s="8">
        <f>IFERROR(VLOOKUP($A47,DataDemande!$AA$63:$AE$700,2,FALSE)*VLOOKUP($A47,DataPrixBillets!$M$66:$Q$700,2,FALSE),"")</f>
        <v>0</v>
      </c>
      <c r="C47" s="8">
        <f>IFERROR(VLOOKUP($A47,DataDemande!$AA$63:$AE$700,3,FALSE)*VLOOKUP($A47,DataPrixBillets!$M$66:$Q$700,3,FALSE),"")</f>
        <v>0</v>
      </c>
      <c r="D47" s="8">
        <f>IFERROR(VLOOKUP($A47,DataDemande!$AA$63:$AE$700,4,FALSE)*VLOOKUP($A47,DataPrixBillets!$M$66:$Q$700,4,FALSE),"")</f>
        <v>0</v>
      </c>
      <c r="E47" s="8">
        <f>IFERROR(VLOOKUP($A47,DataDemande!$AA$63:$AE$700,5,FALSE)*VLOOKUP($A47,DataPrixBillets!$M$66:$Q$700,5,FALSE),"")</f>
        <v>0</v>
      </c>
      <c r="F47" s="21">
        <f t="shared" si="2"/>
        <v>0</v>
      </c>
    </row>
    <row r="48" spans="1:6" x14ac:dyDescent="0.3">
      <c r="A48" s="185" t="str">
        <f>DataDemande!AA107</f>
        <v>BOG/NDJ</v>
      </c>
      <c r="B48" s="8" t="str">
        <f>IFERROR(VLOOKUP($A48,DataDemande!$AA$63:$AE$700,2,FALSE)*VLOOKUP($A48,DataPrixBillets!$M$66:$Q$700,2,FALSE),"")</f>
        <v/>
      </c>
      <c r="C48" s="8" t="str">
        <f>IFERROR(VLOOKUP($A48,DataDemande!$AA$63:$AE$700,3,FALSE)*VLOOKUP($A48,DataPrixBillets!$M$66:$Q$700,3,FALSE),"")</f>
        <v/>
      </c>
      <c r="D48" s="8" t="str">
        <f>IFERROR(VLOOKUP($A48,DataDemande!$AA$63:$AE$700,4,FALSE)*VLOOKUP($A48,DataPrixBillets!$M$66:$Q$700,4,FALSE),"")</f>
        <v/>
      </c>
      <c r="E48" s="8" t="str">
        <f>IFERROR(VLOOKUP($A48,DataDemande!$AA$63:$AE$700,5,FALSE)*VLOOKUP($A48,DataPrixBillets!$M$66:$Q$700,5,FALSE),"")</f>
        <v/>
      </c>
      <c r="F48" s="21">
        <f t="shared" si="2"/>
        <v>0</v>
      </c>
    </row>
    <row r="49" spans="1:6" x14ac:dyDescent="0.3">
      <c r="A49" s="185" t="str">
        <f>DataDemande!AA108</f>
        <v/>
      </c>
      <c r="B49" s="8">
        <f>IFERROR(VLOOKUP($A49,DataDemande!$AA$63:$AE$700,2,FALSE)*VLOOKUP($A49,DataPrixBillets!$M$66:$Q$700,2,FALSE),"")</f>
        <v>0</v>
      </c>
      <c r="C49" s="8">
        <f>IFERROR(VLOOKUP($A49,DataDemande!$AA$63:$AE$700,3,FALSE)*VLOOKUP($A49,DataPrixBillets!$M$66:$Q$700,3,FALSE),"")</f>
        <v>0</v>
      </c>
      <c r="D49" s="8">
        <f>IFERROR(VLOOKUP($A49,DataDemande!$AA$63:$AE$700,4,FALSE)*VLOOKUP($A49,DataPrixBillets!$M$66:$Q$700,4,FALSE),"")</f>
        <v>0</v>
      </c>
      <c r="E49" s="8">
        <f>IFERROR(VLOOKUP($A49,DataDemande!$AA$63:$AE$700,5,FALSE)*VLOOKUP($A49,DataPrixBillets!$M$66:$Q$700,5,FALSE),"")</f>
        <v>0</v>
      </c>
      <c r="F49" s="21">
        <f t="shared" si="2"/>
        <v>0</v>
      </c>
    </row>
    <row r="50" spans="1:6" x14ac:dyDescent="0.3">
      <c r="A50" s="185" t="str">
        <f>DataDemande!AA109</f>
        <v>BOG/LAD</v>
      </c>
      <c r="B50" s="8" t="str">
        <f>IFERROR(VLOOKUP($A50,DataDemande!$AA$63:$AE$700,2,FALSE)*VLOOKUP($A50,DataPrixBillets!$M$66:$Q$700,2,FALSE),"")</f>
        <v/>
      </c>
      <c r="C50" s="8" t="str">
        <f>IFERROR(VLOOKUP($A50,DataDemande!$AA$63:$AE$700,3,FALSE)*VLOOKUP($A50,DataPrixBillets!$M$66:$Q$700,3,FALSE),"")</f>
        <v/>
      </c>
      <c r="D50" s="8" t="str">
        <f>IFERROR(VLOOKUP($A50,DataDemande!$AA$63:$AE$700,4,FALSE)*VLOOKUP($A50,DataPrixBillets!$M$66:$Q$700,4,FALSE),"")</f>
        <v/>
      </c>
      <c r="E50" s="8" t="str">
        <f>IFERROR(VLOOKUP($A50,DataDemande!$AA$63:$AE$700,5,FALSE)*VLOOKUP($A50,DataPrixBillets!$M$66:$Q$700,5,FALSE),"")</f>
        <v/>
      </c>
      <c r="F50" s="21">
        <f t="shared" si="2"/>
        <v>0</v>
      </c>
    </row>
    <row r="51" spans="1:6" x14ac:dyDescent="0.3">
      <c r="A51" s="185" t="str">
        <f>DataDemande!AA110</f>
        <v/>
      </c>
      <c r="B51" s="8">
        <f>IFERROR(VLOOKUP($A51,DataDemande!$AA$63:$AE$700,2,FALSE)*VLOOKUP($A51,DataPrixBillets!$M$66:$Q$700,2,FALSE),"")</f>
        <v>0</v>
      </c>
      <c r="C51" s="8">
        <f>IFERROR(VLOOKUP($A51,DataDemande!$AA$63:$AE$700,3,FALSE)*VLOOKUP($A51,DataPrixBillets!$M$66:$Q$700,3,FALSE),"")</f>
        <v>0</v>
      </c>
      <c r="D51" s="8">
        <f>IFERROR(VLOOKUP($A51,DataDemande!$AA$63:$AE$700,4,FALSE)*VLOOKUP($A51,DataPrixBillets!$M$66:$Q$700,4,FALSE),"")</f>
        <v>0</v>
      </c>
      <c r="E51" s="8">
        <f>IFERROR(VLOOKUP($A51,DataDemande!$AA$63:$AE$700,5,FALSE)*VLOOKUP($A51,DataPrixBillets!$M$66:$Q$700,5,FALSE),"")</f>
        <v>0</v>
      </c>
      <c r="F51" s="21">
        <f t="shared" si="2"/>
        <v>0</v>
      </c>
    </row>
    <row r="52" spans="1:6" x14ac:dyDescent="0.3">
      <c r="A52" s="185" t="str">
        <f>DataDemande!AA111</f>
        <v>BOM/CKY</v>
      </c>
      <c r="B52" s="8" t="str">
        <f>IFERROR(VLOOKUP($A52,DataDemande!$AA$63:$AE$700,2,FALSE)*VLOOKUP($A52,DataPrixBillets!$M$66:$Q$700,2,FALSE),"")</f>
        <v/>
      </c>
      <c r="C52" s="8" t="str">
        <f>IFERROR(VLOOKUP($A52,DataDemande!$AA$63:$AE$700,3,FALSE)*VLOOKUP($A52,DataPrixBillets!$M$66:$Q$700,3,FALSE),"")</f>
        <v/>
      </c>
      <c r="D52" s="8" t="str">
        <f>IFERROR(VLOOKUP($A52,DataDemande!$AA$63:$AE$700,4,FALSE)*VLOOKUP($A52,DataPrixBillets!$M$66:$Q$700,4,FALSE),"")</f>
        <v/>
      </c>
      <c r="E52" s="8" t="str">
        <f>IFERROR(VLOOKUP($A52,DataDemande!$AA$63:$AE$700,5,FALSE)*VLOOKUP($A52,DataPrixBillets!$M$66:$Q$700,5,FALSE),"")</f>
        <v/>
      </c>
      <c r="F52" s="21">
        <f t="shared" si="2"/>
        <v>0</v>
      </c>
    </row>
    <row r="53" spans="1:6" x14ac:dyDescent="0.3">
      <c r="A53" s="185" t="str">
        <f>DataDemande!AA112</f>
        <v/>
      </c>
      <c r="B53" s="8">
        <f>IFERROR(VLOOKUP($A53,DataDemande!$AA$63:$AE$700,2,FALSE)*VLOOKUP($A53,DataPrixBillets!$M$66:$Q$700,2,FALSE),"")</f>
        <v>0</v>
      </c>
      <c r="C53" s="8">
        <f>IFERROR(VLOOKUP($A53,DataDemande!$AA$63:$AE$700,3,FALSE)*VLOOKUP($A53,DataPrixBillets!$M$66:$Q$700,3,FALSE),"")</f>
        <v>0</v>
      </c>
      <c r="D53" s="8">
        <f>IFERROR(VLOOKUP($A53,DataDemande!$AA$63:$AE$700,4,FALSE)*VLOOKUP($A53,DataPrixBillets!$M$66:$Q$700,4,FALSE),"")</f>
        <v>0</v>
      </c>
      <c r="E53" s="8">
        <f>IFERROR(VLOOKUP($A53,DataDemande!$AA$63:$AE$700,5,FALSE)*VLOOKUP($A53,DataPrixBillets!$M$66:$Q$700,5,FALSE),"")</f>
        <v>0</v>
      </c>
      <c r="F53" s="21">
        <f t="shared" si="2"/>
        <v>0</v>
      </c>
    </row>
    <row r="54" spans="1:6" x14ac:dyDescent="0.3">
      <c r="A54" s="185" t="str">
        <f>DataDemande!AA113</f>
        <v>BOM/FNA</v>
      </c>
      <c r="B54" s="8" t="str">
        <f>IFERROR(VLOOKUP($A54,DataDemande!$AA$63:$AE$700,2,FALSE)*VLOOKUP($A54,DataPrixBillets!$M$66:$Q$700,2,FALSE),"")</f>
        <v/>
      </c>
      <c r="C54" s="8" t="str">
        <f>IFERROR(VLOOKUP($A54,DataDemande!$AA$63:$AE$700,3,FALSE)*VLOOKUP($A54,DataPrixBillets!$M$66:$Q$700,3,FALSE),"")</f>
        <v/>
      </c>
      <c r="D54" s="8" t="str">
        <f>IFERROR(VLOOKUP($A54,DataDemande!$AA$63:$AE$700,4,FALSE)*VLOOKUP($A54,DataPrixBillets!$M$66:$Q$700,4,FALSE),"")</f>
        <v/>
      </c>
      <c r="E54" s="8" t="str">
        <f>IFERROR(VLOOKUP($A54,DataDemande!$AA$63:$AE$700,5,FALSE)*VLOOKUP($A54,DataPrixBillets!$M$66:$Q$700,5,FALSE),"")</f>
        <v/>
      </c>
      <c r="F54" s="21">
        <f t="shared" si="2"/>
        <v>0</v>
      </c>
    </row>
    <row r="55" spans="1:6" x14ac:dyDescent="0.3">
      <c r="A55" s="185" t="str">
        <f>DataDemande!AA114</f>
        <v/>
      </c>
      <c r="B55" s="8">
        <f>IFERROR(VLOOKUP($A55,DataDemande!$AA$63:$AE$700,2,FALSE)*VLOOKUP($A55,DataPrixBillets!$M$66:$Q$700,2,FALSE),"")</f>
        <v>0</v>
      </c>
      <c r="C55" s="8">
        <f>IFERROR(VLOOKUP($A55,DataDemande!$AA$63:$AE$700,3,FALSE)*VLOOKUP($A55,DataPrixBillets!$M$66:$Q$700,3,FALSE),"")</f>
        <v>0</v>
      </c>
      <c r="D55" s="8">
        <f>IFERROR(VLOOKUP($A55,DataDemande!$AA$63:$AE$700,4,FALSE)*VLOOKUP($A55,DataPrixBillets!$M$66:$Q$700,4,FALSE),"")</f>
        <v>0</v>
      </c>
      <c r="E55" s="8">
        <f>IFERROR(VLOOKUP($A55,DataDemande!$AA$63:$AE$700,5,FALSE)*VLOOKUP($A55,DataPrixBillets!$M$66:$Q$700,5,FALSE),"")</f>
        <v>0</v>
      </c>
      <c r="F55" s="21">
        <f t="shared" si="2"/>
        <v>0</v>
      </c>
    </row>
    <row r="56" spans="1:6" x14ac:dyDescent="0.3">
      <c r="A56" s="185" t="str">
        <f>DataDemande!AA115</f>
        <v>BOM/BJL</v>
      </c>
      <c r="B56" s="8" t="str">
        <f>IFERROR(VLOOKUP($A56,DataDemande!$AA$63:$AE$700,2,FALSE)*VLOOKUP($A56,DataPrixBillets!$M$66:$Q$700,2,FALSE),"")</f>
        <v/>
      </c>
      <c r="C56" s="8" t="str">
        <f>IFERROR(VLOOKUP($A56,DataDemande!$AA$63:$AE$700,3,FALSE)*VLOOKUP($A56,DataPrixBillets!$M$66:$Q$700,3,FALSE),"")</f>
        <v/>
      </c>
      <c r="D56" s="8" t="str">
        <f>IFERROR(VLOOKUP($A56,DataDemande!$AA$63:$AE$700,4,FALSE)*VLOOKUP($A56,DataPrixBillets!$M$66:$Q$700,4,FALSE),"")</f>
        <v/>
      </c>
      <c r="E56" s="8" t="str">
        <f>IFERROR(VLOOKUP($A56,DataDemande!$AA$63:$AE$700,5,FALSE)*VLOOKUP($A56,DataPrixBillets!$M$66:$Q$700,5,FALSE),"")</f>
        <v/>
      </c>
      <c r="F56" s="21">
        <f t="shared" si="2"/>
        <v>0</v>
      </c>
    </row>
    <row r="57" spans="1:6" x14ac:dyDescent="0.3">
      <c r="A57" s="185" t="str">
        <f>DataDemande!AA116</f>
        <v/>
      </c>
      <c r="B57" s="8">
        <f>IFERROR(VLOOKUP($A57,DataDemande!$AA$63:$AE$700,2,FALSE)*VLOOKUP($A57,DataPrixBillets!$M$66:$Q$700,2,FALSE),"")</f>
        <v>0</v>
      </c>
      <c r="C57" s="8">
        <f>IFERROR(VLOOKUP($A57,DataDemande!$AA$63:$AE$700,3,FALSE)*VLOOKUP($A57,DataPrixBillets!$M$66:$Q$700,3,FALSE),"")</f>
        <v>0</v>
      </c>
      <c r="D57" s="8">
        <f>IFERROR(VLOOKUP($A57,DataDemande!$AA$63:$AE$700,4,FALSE)*VLOOKUP($A57,DataPrixBillets!$M$66:$Q$700,4,FALSE),"")</f>
        <v>0</v>
      </c>
      <c r="E57" s="8">
        <f>IFERROR(VLOOKUP($A57,DataDemande!$AA$63:$AE$700,5,FALSE)*VLOOKUP($A57,DataPrixBillets!$M$66:$Q$700,5,FALSE),"")</f>
        <v>0</v>
      </c>
      <c r="F57" s="21">
        <f t="shared" si="2"/>
        <v>0</v>
      </c>
    </row>
    <row r="58" spans="1:6" x14ac:dyDescent="0.3">
      <c r="A58" s="185" t="str">
        <f>DataDemande!AA117</f>
        <v/>
      </c>
      <c r="B58" s="8">
        <f>IFERROR(VLOOKUP($A58,DataDemande!$AA$63:$AE$700,2,FALSE)*VLOOKUP($A58,DataPrixBillets!$M$66:$Q$700,2,FALSE),"")</f>
        <v>0</v>
      </c>
      <c r="C58" s="8">
        <f>IFERROR(VLOOKUP($A58,DataDemande!$AA$63:$AE$700,3,FALSE)*VLOOKUP($A58,DataPrixBillets!$M$66:$Q$700,3,FALSE),"")</f>
        <v>0</v>
      </c>
      <c r="D58" s="8">
        <f>IFERROR(VLOOKUP($A58,DataDemande!$AA$63:$AE$700,4,FALSE)*VLOOKUP($A58,DataPrixBillets!$M$66:$Q$700,4,FALSE),"")</f>
        <v>0</v>
      </c>
      <c r="E58" s="8">
        <f>IFERROR(VLOOKUP($A58,DataDemande!$AA$63:$AE$700,5,FALSE)*VLOOKUP($A58,DataPrixBillets!$M$66:$Q$700,5,FALSE),"")</f>
        <v>0</v>
      </c>
      <c r="F58" s="21">
        <f t="shared" si="2"/>
        <v>0</v>
      </c>
    </row>
    <row r="59" spans="1:6" x14ac:dyDescent="0.3">
      <c r="A59" s="185" t="str">
        <f>DataDemande!AA118</f>
        <v/>
      </c>
      <c r="B59" s="8">
        <f>IFERROR(VLOOKUP($A59,DataDemande!$AA$63:$AE$700,2,FALSE)*VLOOKUP($A59,DataPrixBillets!$M$66:$Q$700,2,FALSE),"")</f>
        <v>0</v>
      </c>
      <c r="C59" s="8">
        <f>IFERROR(VLOOKUP($A59,DataDemande!$AA$63:$AE$700,3,FALSE)*VLOOKUP($A59,DataPrixBillets!$M$66:$Q$700,3,FALSE),"")</f>
        <v>0</v>
      </c>
      <c r="D59" s="8">
        <f>IFERROR(VLOOKUP($A59,DataDemande!$AA$63:$AE$700,4,FALSE)*VLOOKUP($A59,DataPrixBillets!$M$66:$Q$700,4,FALSE),"")</f>
        <v>0</v>
      </c>
      <c r="E59" s="8">
        <f>IFERROR(VLOOKUP($A59,DataDemande!$AA$63:$AE$700,5,FALSE)*VLOOKUP($A59,DataPrixBillets!$M$66:$Q$700,5,FALSE),"")</f>
        <v>0</v>
      </c>
      <c r="F59" s="21">
        <f t="shared" si="2"/>
        <v>0</v>
      </c>
    </row>
    <row r="60" spans="1:6" x14ac:dyDescent="0.3">
      <c r="A60" s="185" t="str">
        <f>DataDemande!AA119</f>
        <v/>
      </c>
      <c r="B60" s="8">
        <f>IFERROR(VLOOKUP($A60,DataDemande!$AA$63:$AE$700,2,FALSE)*VLOOKUP($A60,DataPrixBillets!$M$66:$Q$700,2,FALSE),"")</f>
        <v>0</v>
      </c>
      <c r="C60" s="8">
        <f>IFERROR(VLOOKUP($A60,DataDemande!$AA$63:$AE$700,3,FALSE)*VLOOKUP($A60,DataPrixBillets!$M$66:$Q$700,3,FALSE),"")</f>
        <v>0</v>
      </c>
      <c r="D60" s="8">
        <f>IFERROR(VLOOKUP($A60,DataDemande!$AA$63:$AE$700,4,FALSE)*VLOOKUP($A60,DataPrixBillets!$M$66:$Q$700,4,FALSE),"")</f>
        <v>0</v>
      </c>
      <c r="E60" s="8">
        <f>IFERROR(VLOOKUP($A60,DataDemande!$AA$63:$AE$700,5,FALSE)*VLOOKUP($A60,DataPrixBillets!$M$66:$Q$700,5,FALSE),"")</f>
        <v>0</v>
      </c>
      <c r="F60" s="21">
        <f t="shared" si="2"/>
        <v>0</v>
      </c>
    </row>
    <row r="61" spans="1:6" x14ac:dyDescent="0.3">
      <c r="A61" s="185" t="str">
        <f>DataDemande!AA120</f>
        <v/>
      </c>
      <c r="B61" s="8">
        <f>IFERROR(VLOOKUP($A61,DataDemande!$AA$63:$AE$700,2,FALSE)*VLOOKUP($A61,DataPrixBillets!$M$66:$Q$700,2,FALSE),"")</f>
        <v>0</v>
      </c>
      <c r="C61" s="8">
        <f>IFERROR(VLOOKUP($A61,DataDemande!$AA$63:$AE$700,3,FALSE)*VLOOKUP($A61,DataPrixBillets!$M$66:$Q$700,3,FALSE),"")</f>
        <v>0</v>
      </c>
      <c r="D61" s="8">
        <f>IFERROR(VLOOKUP($A61,DataDemande!$AA$63:$AE$700,4,FALSE)*VLOOKUP($A61,DataPrixBillets!$M$66:$Q$700,4,FALSE),"")</f>
        <v>0</v>
      </c>
      <c r="E61" s="8">
        <f>IFERROR(VLOOKUP($A61,DataDemande!$AA$63:$AE$700,5,FALSE)*VLOOKUP($A61,DataPrixBillets!$M$66:$Q$700,5,FALSE),"")</f>
        <v>0</v>
      </c>
      <c r="F61" s="21">
        <f t="shared" si="2"/>
        <v>0</v>
      </c>
    </row>
    <row r="62" spans="1:6" x14ac:dyDescent="0.3">
      <c r="A62" s="185" t="str">
        <f>DataDemande!AA121</f>
        <v/>
      </c>
      <c r="B62" s="8">
        <f>IFERROR(VLOOKUP($A62,DataDemande!$AA$63:$AE$700,2,FALSE)*VLOOKUP($A62,DataPrixBillets!$M$66:$Q$700,2,FALSE),"")</f>
        <v>0</v>
      </c>
      <c r="C62" s="8">
        <f>IFERROR(VLOOKUP($A62,DataDemande!$AA$63:$AE$700,3,FALSE)*VLOOKUP($A62,DataPrixBillets!$M$66:$Q$700,3,FALSE),"")</f>
        <v>0</v>
      </c>
      <c r="D62" s="8">
        <f>IFERROR(VLOOKUP($A62,DataDemande!$AA$63:$AE$700,4,FALSE)*VLOOKUP($A62,DataPrixBillets!$M$66:$Q$700,4,FALSE),"")</f>
        <v>0</v>
      </c>
      <c r="E62" s="8">
        <f>IFERROR(VLOOKUP($A62,DataDemande!$AA$63:$AE$700,5,FALSE)*VLOOKUP($A62,DataPrixBillets!$M$66:$Q$700,5,FALSE),"")</f>
        <v>0</v>
      </c>
      <c r="F62" s="21">
        <f t="shared" si="2"/>
        <v>0</v>
      </c>
    </row>
    <row r="63" spans="1:6" x14ac:dyDescent="0.3">
      <c r="A63" s="185" t="str">
        <f>DataDemande!AA122</f>
        <v/>
      </c>
      <c r="B63" s="8">
        <f>IFERROR(VLOOKUP($A63,DataDemande!$AA$63:$AE$700,2,FALSE)*VLOOKUP($A63,DataPrixBillets!$M$66:$Q$700,2,FALSE),"")</f>
        <v>0</v>
      </c>
      <c r="C63" s="8">
        <f>IFERROR(VLOOKUP($A63,DataDemande!$AA$63:$AE$700,3,FALSE)*VLOOKUP($A63,DataPrixBillets!$M$66:$Q$700,3,FALSE),"")</f>
        <v>0</v>
      </c>
      <c r="D63" s="8">
        <f>IFERROR(VLOOKUP($A63,DataDemande!$AA$63:$AE$700,4,FALSE)*VLOOKUP($A63,DataPrixBillets!$M$66:$Q$700,4,FALSE),"")</f>
        <v>0</v>
      </c>
      <c r="E63" s="8">
        <f>IFERROR(VLOOKUP($A63,DataDemande!$AA$63:$AE$700,5,FALSE)*VLOOKUP($A63,DataPrixBillets!$M$66:$Q$700,5,FALSE),"")</f>
        <v>0</v>
      </c>
      <c r="F63" s="21">
        <f t="shared" si="2"/>
        <v>0</v>
      </c>
    </row>
    <row r="64" spans="1:6" x14ac:dyDescent="0.3">
      <c r="A64" s="185" t="str">
        <f>DataDemande!AA123</f>
        <v/>
      </c>
      <c r="B64" s="8">
        <f>IFERROR(VLOOKUP($A64,DataDemande!$AA$63:$AE$700,2,FALSE)*VLOOKUP($A64,DataPrixBillets!$M$66:$Q$700,2,FALSE),"")</f>
        <v>0</v>
      </c>
      <c r="C64" s="8">
        <f>IFERROR(VLOOKUP($A64,DataDemande!$AA$63:$AE$700,3,FALSE)*VLOOKUP($A64,DataPrixBillets!$M$66:$Q$700,3,FALSE),"")</f>
        <v>0</v>
      </c>
      <c r="D64" s="8">
        <f>IFERROR(VLOOKUP($A64,DataDemande!$AA$63:$AE$700,4,FALSE)*VLOOKUP($A64,DataPrixBillets!$M$66:$Q$700,4,FALSE),"")</f>
        <v>0</v>
      </c>
      <c r="E64" s="8">
        <f>IFERROR(VLOOKUP($A64,DataDemande!$AA$63:$AE$700,5,FALSE)*VLOOKUP($A64,DataPrixBillets!$M$66:$Q$700,5,FALSE),"")</f>
        <v>0</v>
      </c>
      <c r="F64" s="21">
        <f t="shared" si="2"/>
        <v>0</v>
      </c>
    </row>
    <row r="65" spans="1:6" x14ac:dyDescent="0.3">
      <c r="A65" s="185" t="str">
        <f>DataDemande!AA124</f>
        <v/>
      </c>
      <c r="B65" s="8">
        <f>IFERROR(VLOOKUP($A65,DataDemande!$AA$63:$AE$700,2,FALSE)*VLOOKUP($A65,DataPrixBillets!$M$66:$Q$700,2,FALSE),"")</f>
        <v>0</v>
      </c>
      <c r="C65" s="8">
        <f>IFERROR(VLOOKUP($A65,DataDemande!$AA$63:$AE$700,3,FALSE)*VLOOKUP($A65,DataPrixBillets!$M$66:$Q$700,3,FALSE),"")</f>
        <v>0</v>
      </c>
      <c r="D65" s="8">
        <f>IFERROR(VLOOKUP($A65,DataDemande!$AA$63:$AE$700,4,FALSE)*VLOOKUP($A65,DataPrixBillets!$M$66:$Q$700,4,FALSE),"")</f>
        <v>0</v>
      </c>
      <c r="E65" s="8">
        <f>IFERROR(VLOOKUP($A65,DataDemande!$AA$63:$AE$700,5,FALSE)*VLOOKUP($A65,DataPrixBillets!$M$66:$Q$700,5,FALSE),"")</f>
        <v>0</v>
      </c>
      <c r="F65" s="21">
        <f t="shared" si="2"/>
        <v>0</v>
      </c>
    </row>
    <row r="66" spans="1:6" x14ac:dyDescent="0.3">
      <c r="A66" s="185" t="str">
        <f>DataDemande!AA125</f>
        <v/>
      </c>
      <c r="B66" s="8">
        <f>IFERROR(VLOOKUP($A66,DataDemande!$AA$63:$AE$700,2,FALSE)*VLOOKUP($A66,DataPrixBillets!$M$66:$Q$700,2,FALSE),"")</f>
        <v>0</v>
      </c>
      <c r="C66" s="8">
        <f>IFERROR(VLOOKUP($A66,DataDemande!$AA$63:$AE$700,3,FALSE)*VLOOKUP($A66,DataPrixBillets!$M$66:$Q$700,3,FALSE),"")</f>
        <v>0</v>
      </c>
      <c r="D66" s="8">
        <f>IFERROR(VLOOKUP($A66,DataDemande!$AA$63:$AE$700,4,FALSE)*VLOOKUP($A66,DataPrixBillets!$M$66:$Q$700,4,FALSE),"")</f>
        <v>0</v>
      </c>
      <c r="E66" s="8">
        <f>IFERROR(VLOOKUP($A66,DataDemande!$AA$63:$AE$700,5,FALSE)*VLOOKUP($A66,DataPrixBillets!$M$66:$Q$700,5,FALSE),"")</f>
        <v>0</v>
      </c>
      <c r="F66" s="21">
        <f t="shared" si="2"/>
        <v>0</v>
      </c>
    </row>
    <row r="67" spans="1:6" x14ac:dyDescent="0.3">
      <c r="A67" s="185" t="str">
        <f>DataDemande!AA126</f>
        <v/>
      </c>
      <c r="B67" s="8">
        <f>IFERROR(VLOOKUP($A67,DataDemande!$AA$63:$AE$700,2,FALSE)*VLOOKUP($A67,DataPrixBillets!$M$66:$Q$700,2,FALSE),"")</f>
        <v>0</v>
      </c>
      <c r="C67" s="8">
        <f>IFERROR(VLOOKUP($A67,DataDemande!$AA$63:$AE$700,3,FALSE)*VLOOKUP($A67,DataPrixBillets!$M$66:$Q$700,3,FALSE),"")</f>
        <v>0</v>
      </c>
      <c r="D67" s="8">
        <f>IFERROR(VLOOKUP($A67,DataDemande!$AA$63:$AE$700,4,FALSE)*VLOOKUP($A67,DataPrixBillets!$M$66:$Q$700,4,FALSE),"")</f>
        <v>0</v>
      </c>
      <c r="E67" s="8">
        <f>IFERROR(VLOOKUP($A67,DataDemande!$AA$63:$AE$700,5,FALSE)*VLOOKUP($A67,DataPrixBillets!$M$66:$Q$700,5,FALSE),"")</f>
        <v>0</v>
      </c>
      <c r="F67" s="21">
        <f t="shared" si="2"/>
        <v>0</v>
      </c>
    </row>
    <row r="68" spans="1:6" x14ac:dyDescent="0.3">
      <c r="A68" s="185" t="str">
        <f>DataDemande!AA127</f>
        <v/>
      </c>
      <c r="B68" s="8">
        <f>IFERROR(VLOOKUP($A68,DataDemande!$AA$63:$AE$700,2,FALSE)*VLOOKUP($A68,DataPrixBillets!$M$66:$Q$700,2,FALSE),"")</f>
        <v>0</v>
      </c>
      <c r="C68" s="8">
        <f>IFERROR(VLOOKUP($A68,DataDemande!$AA$63:$AE$700,3,FALSE)*VLOOKUP($A68,DataPrixBillets!$M$66:$Q$700,3,FALSE),"")</f>
        <v>0</v>
      </c>
      <c r="D68" s="8">
        <f>IFERROR(VLOOKUP($A68,DataDemande!$AA$63:$AE$700,4,FALSE)*VLOOKUP($A68,DataPrixBillets!$M$66:$Q$700,4,FALSE),"")</f>
        <v>0</v>
      </c>
      <c r="E68" s="8">
        <f>IFERROR(VLOOKUP($A68,DataDemande!$AA$63:$AE$700,5,FALSE)*VLOOKUP($A68,DataPrixBillets!$M$66:$Q$700,5,FALSE),"")</f>
        <v>0</v>
      </c>
      <c r="F68" s="21">
        <f t="shared" si="2"/>
        <v>0</v>
      </c>
    </row>
    <row r="69" spans="1:6" x14ac:dyDescent="0.3">
      <c r="A69" s="185" t="str">
        <f>DataDemande!AA128</f>
        <v/>
      </c>
      <c r="B69" s="8">
        <f>IFERROR(VLOOKUP($A69,DataDemande!$AA$63:$AE$700,2,FALSE)*VLOOKUP($A69,DataPrixBillets!$M$66:$Q$700,2,FALSE),"")</f>
        <v>0</v>
      </c>
      <c r="C69" s="8">
        <f>IFERROR(VLOOKUP($A69,DataDemande!$AA$63:$AE$700,3,FALSE)*VLOOKUP($A69,DataPrixBillets!$M$66:$Q$700,3,FALSE),"")</f>
        <v>0</v>
      </c>
      <c r="D69" s="8">
        <f>IFERROR(VLOOKUP($A69,DataDemande!$AA$63:$AE$700,4,FALSE)*VLOOKUP($A69,DataPrixBillets!$M$66:$Q$700,4,FALSE),"")</f>
        <v>0</v>
      </c>
      <c r="E69" s="8">
        <f>IFERROR(VLOOKUP($A69,DataDemande!$AA$63:$AE$700,5,FALSE)*VLOOKUP($A69,DataPrixBillets!$M$66:$Q$700,5,FALSE),"")</f>
        <v>0</v>
      </c>
      <c r="F69" s="21">
        <f t="shared" ref="F69:F132" si="3">SUM(B69:E69)</f>
        <v>0</v>
      </c>
    </row>
    <row r="70" spans="1:6" x14ac:dyDescent="0.3">
      <c r="A70" s="185" t="str">
        <f>DataDemande!AA129</f>
        <v/>
      </c>
      <c r="B70" s="8">
        <f>IFERROR(VLOOKUP($A70,DataDemande!$AA$63:$AE$700,2,FALSE)*VLOOKUP($A70,DataPrixBillets!$M$66:$Q$700,2,FALSE),"")</f>
        <v>0</v>
      </c>
      <c r="C70" s="8">
        <f>IFERROR(VLOOKUP($A70,DataDemande!$AA$63:$AE$700,3,FALSE)*VLOOKUP($A70,DataPrixBillets!$M$66:$Q$700,3,FALSE),"")</f>
        <v>0</v>
      </c>
      <c r="D70" s="8">
        <f>IFERROR(VLOOKUP($A70,DataDemande!$AA$63:$AE$700,4,FALSE)*VLOOKUP($A70,DataPrixBillets!$M$66:$Q$700,4,FALSE),"")</f>
        <v>0</v>
      </c>
      <c r="E70" s="8">
        <f>IFERROR(VLOOKUP($A70,DataDemande!$AA$63:$AE$700,5,FALSE)*VLOOKUP($A70,DataPrixBillets!$M$66:$Q$700,5,FALSE),"")</f>
        <v>0</v>
      </c>
      <c r="F70" s="21">
        <f t="shared" si="3"/>
        <v>0</v>
      </c>
    </row>
    <row r="71" spans="1:6" x14ac:dyDescent="0.3">
      <c r="A71" s="185" t="str">
        <f>DataDemande!AA130</f>
        <v/>
      </c>
      <c r="B71" s="8">
        <f>IFERROR(VLOOKUP($A71,DataDemande!$AA$63:$AE$700,2,FALSE)*VLOOKUP($A71,DataPrixBillets!$M$66:$Q$700,2,FALSE),"")</f>
        <v>0</v>
      </c>
      <c r="C71" s="8">
        <f>IFERROR(VLOOKUP($A71,DataDemande!$AA$63:$AE$700,3,FALSE)*VLOOKUP($A71,DataPrixBillets!$M$66:$Q$700,3,FALSE),"")</f>
        <v>0</v>
      </c>
      <c r="D71" s="8">
        <f>IFERROR(VLOOKUP($A71,DataDemande!$AA$63:$AE$700,4,FALSE)*VLOOKUP($A71,DataPrixBillets!$M$66:$Q$700,4,FALSE),"")</f>
        <v>0</v>
      </c>
      <c r="E71" s="8">
        <f>IFERROR(VLOOKUP($A71,DataDemande!$AA$63:$AE$700,5,FALSE)*VLOOKUP($A71,DataPrixBillets!$M$66:$Q$700,5,FALSE),"")</f>
        <v>0</v>
      </c>
      <c r="F71" s="21">
        <f t="shared" si="3"/>
        <v>0</v>
      </c>
    </row>
    <row r="72" spans="1:6" x14ac:dyDescent="0.3">
      <c r="A72" s="185" t="str">
        <f>DataDemande!AA131</f>
        <v/>
      </c>
      <c r="B72" s="8">
        <f>IFERROR(VLOOKUP($A72,DataDemande!$AA$63:$AE$700,2,FALSE)*VLOOKUP($A72,DataPrixBillets!$M$66:$Q$700,2,FALSE),"")</f>
        <v>0</v>
      </c>
      <c r="C72" s="8">
        <f>IFERROR(VLOOKUP($A72,DataDemande!$AA$63:$AE$700,3,FALSE)*VLOOKUP($A72,DataPrixBillets!$M$66:$Q$700,3,FALSE),"")</f>
        <v>0</v>
      </c>
      <c r="D72" s="8">
        <f>IFERROR(VLOOKUP($A72,DataDemande!$AA$63:$AE$700,4,FALSE)*VLOOKUP($A72,DataPrixBillets!$M$66:$Q$700,4,FALSE),"")</f>
        <v>0</v>
      </c>
      <c r="E72" s="8">
        <f>IFERROR(VLOOKUP($A72,DataDemande!$AA$63:$AE$700,5,FALSE)*VLOOKUP($A72,DataPrixBillets!$M$66:$Q$700,5,FALSE),"")</f>
        <v>0</v>
      </c>
      <c r="F72" s="21">
        <f t="shared" si="3"/>
        <v>0</v>
      </c>
    </row>
    <row r="73" spans="1:6" x14ac:dyDescent="0.3">
      <c r="A73" s="185" t="str">
        <f>DataDemande!AA132</f>
        <v/>
      </c>
      <c r="B73" s="8">
        <f>IFERROR(VLOOKUP($A73,DataDemande!$AA$63:$AE$700,2,FALSE)*VLOOKUP($A73,DataPrixBillets!$M$66:$Q$700,2,FALSE),"")</f>
        <v>0</v>
      </c>
      <c r="C73" s="8">
        <f>IFERROR(VLOOKUP($A73,DataDemande!$AA$63:$AE$700,3,FALSE)*VLOOKUP($A73,DataPrixBillets!$M$66:$Q$700,3,FALSE),"")</f>
        <v>0</v>
      </c>
      <c r="D73" s="8">
        <f>IFERROR(VLOOKUP($A73,DataDemande!$AA$63:$AE$700,4,FALSE)*VLOOKUP($A73,DataPrixBillets!$M$66:$Q$700,4,FALSE),"")</f>
        <v>0</v>
      </c>
      <c r="E73" s="8">
        <f>IFERROR(VLOOKUP($A73,DataDemande!$AA$63:$AE$700,5,FALSE)*VLOOKUP($A73,DataPrixBillets!$M$66:$Q$700,5,FALSE),"")</f>
        <v>0</v>
      </c>
      <c r="F73" s="21">
        <f t="shared" si="3"/>
        <v>0</v>
      </c>
    </row>
    <row r="74" spans="1:6" x14ac:dyDescent="0.3">
      <c r="A74" s="185" t="str">
        <f>DataDemande!AA133</f>
        <v/>
      </c>
      <c r="B74" s="8">
        <f>IFERROR(VLOOKUP($A74,DataDemande!$AA$63:$AE$700,2,FALSE)*VLOOKUP($A74,DataPrixBillets!$M$66:$Q$700,2,FALSE),"")</f>
        <v>0</v>
      </c>
      <c r="C74" s="8">
        <f>IFERROR(VLOOKUP($A74,DataDemande!$AA$63:$AE$700,3,FALSE)*VLOOKUP($A74,DataPrixBillets!$M$66:$Q$700,3,FALSE),"")</f>
        <v>0</v>
      </c>
      <c r="D74" s="8">
        <f>IFERROR(VLOOKUP($A74,DataDemande!$AA$63:$AE$700,4,FALSE)*VLOOKUP($A74,DataPrixBillets!$M$66:$Q$700,4,FALSE),"")</f>
        <v>0</v>
      </c>
      <c r="E74" s="8">
        <f>IFERROR(VLOOKUP($A74,DataDemande!$AA$63:$AE$700,5,FALSE)*VLOOKUP($A74,DataPrixBillets!$M$66:$Q$700,5,FALSE),"")</f>
        <v>0</v>
      </c>
      <c r="F74" s="21">
        <f t="shared" si="3"/>
        <v>0</v>
      </c>
    </row>
    <row r="75" spans="1:6" x14ac:dyDescent="0.3">
      <c r="A75" s="185" t="str">
        <f>DataDemande!AA134</f>
        <v/>
      </c>
      <c r="B75" s="8">
        <f>IFERROR(VLOOKUP($A75,DataDemande!$AA$63:$AE$700,2,FALSE)*VLOOKUP($A75,DataPrixBillets!$M$66:$Q$700,2,FALSE),"")</f>
        <v>0</v>
      </c>
      <c r="C75" s="8">
        <f>IFERROR(VLOOKUP($A75,DataDemande!$AA$63:$AE$700,3,FALSE)*VLOOKUP($A75,DataPrixBillets!$M$66:$Q$700,3,FALSE),"")</f>
        <v>0</v>
      </c>
      <c r="D75" s="8">
        <f>IFERROR(VLOOKUP($A75,DataDemande!$AA$63:$AE$700,4,FALSE)*VLOOKUP($A75,DataPrixBillets!$M$66:$Q$700,4,FALSE),"")</f>
        <v>0</v>
      </c>
      <c r="E75" s="8">
        <f>IFERROR(VLOOKUP($A75,DataDemande!$AA$63:$AE$700,5,FALSE)*VLOOKUP($A75,DataPrixBillets!$M$66:$Q$700,5,FALSE),"")</f>
        <v>0</v>
      </c>
      <c r="F75" s="21">
        <f t="shared" si="3"/>
        <v>0</v>
      </c>
    </row>
    <row r="76" spans="1:6" x14ac:dyDescent="0.3">
      <c r="A76" s="185" t="str">
        <f>DataDemande!AA135</f>
        <v/>
      </c>
      <c r="B76" s="8">
        <f>IFERROR(VLOOKUP($A76,DataDemande!$AA$63:$AE$700,2,FALSE)*VLOOKUP($A76,DataPrixBillets!$M$66:$Q$700,2,FALSE),"")</f>
        <v>0</v>
      </c>
      <c r="C76" s="8">
        <f>IFERROR(VLOOKUP($A76,DataDemande!$AA$63:$AE$700,3,FALSE)*VLOOKUP($A76,DataPrixBillets!$M$66:$Q$700,3,FALSE),"")</f>
        <v>0</v>
      </c>
      <c r="D76" s="8">
        <f>IFERROR(VLOOKUP($A76,DataDemande!$AA$63:$AE$700,4,FALSE)*VLOOKUP($A76,DataPrixBillets!$M$66:$Q$700,4,FALSE),"")</f>
        <v>0</v>
      </c>
      <c r="E76" s="8">
        <f>IFERROR(VLOOKUP($A76,DataDemande!$AA$63:$AE$700,5,FALSE)*VLOOKUP($A76,DataPrixBillets!$M$66:$Q$700,5,FALSE),"")</f>
        <v>0</v>
      </c>
      <c r="F76" s="21">
        <f t="shared" si="3"/>
        <v>0</v>
      </c>
    </row>
    <row r="77" spans="1:6" x14ac:dyDescent="0.3">
      <c r="A77" s="185" t="str">
        <f>DataDemande!AA136</f>
        <v/>
      </c>
      <c r="B77" s="8">
        <f>IFERROR(VLOOKUP($A77,DataDemande!$AA$63:$AE$700,2,FALSE)*VLOOKUP($A77,DataPrixBillets!$M$66:$Q$700,2,FALSE),"")</f>
        <v>0</v>
      </c>
      <c r="C77" s="8">
        <f>IFERROR(VLOOKUP($A77,DataDemande!$AA$63:$AE$700,3,FALSE)*VLOOKUP($A77,DataPrixBillets!$M$66:$Q$700,3,FALSE),"")</f>
        <v>0</v>
      </c>
      <c r="D77" s="8">
        <f>IFERROR(VLOOKUP($A77,DataDemande!$AA$63:$AE$700,4,FALSE)*VLOOKUP($A77,DataPrixBillets!$M$66:$Q$700,4,FALSE),"")</f>
        <v>0</v>
      </c>
      <c r="E77" s="8">
        <f>IFERROR(VLOOKUP($A77,DataDemande!$AA$63:$AE$700,5,FALSE)*VLOOKUP($A77,DataPrixBillets!$M$66:$Q$700,5,FALSE),"")</f>
        <v>0</v>
      </c>
      <c r="F77" s="21">
        <f t="shared" si="3"/>
        <v>0</v>
      </c>
    </row>
    <row r="78" spans="1:6" x14ac:dyDescent="0.3">
      <c r="A78" s="185" t="str">
        <f>DataDemande!AA137</f>
        <v/>
      </c>
      <c r="B78" s="8">
        <f>IFERROR(VLOOKUP($A78,DataDemande!$AA$63:$AE$700,2,FALSE)*VLOOKUP($A78,DataPrixBillets!$M$66:$Q$700,2,FALSE),"")</f>
        <v>0</v>
      </c>
      <c r="C78" s="8">
        <f>IFERROR(VLOOKUP($A78,DataDemande!$AA$63:$AE$700,3,FALSE)*VLOOKUP($A78,DataPrixBillets!$M$66:$Q$700,3,FALSE),"")</f>
        <v>0</v>
      </c>
      <c r="D78" s="8">
        <f>IFERROR(VLOOKUP($A78,DataDemande!$AA$63:$AE$700,4,FALSE)*VLOOKUP($A78,DataPrixBillets!$M$66:$Q$700,4,FALSE),"")</f>
        <v>0</v>
      </c>
      <c r="E78" s="8">
        <f>IFERROR(VLOOKUP($A78,DataDemande!$AA$63:$AE$700,5,FALSE)*VLOOKUP($A78,DataPrixBillets!$M$66:$Q$700,5,FALSE),"")</f>
        <v>0</v>
      </c>
      <c r="F78" s="21">
        <f t="shared" si="3"/>
        <v>0</v>
      </c>
    </row>
    <row r="79" spans="1:6" x14ac:dyDescent="0.3">
      <c r="A79" s="185" t="str">
        <f>DataDemande!AA138</f>
        <v/>
      </c>
      <c r="B79" s="8">
        <f>IFERROR(VLOOKUP($A79,DataDemande!$AA$63:$AE$700,2,FALSE)*VLOOKUP($A79,DataPrixBillets!$M$66:$Q$700,2,FALSE),"")</f>
        <v>0</v>
      </c>
      <c r="C79" s="8">
        <f>IFERROR(VLOOKUP($A79,DataDemande!$AA$63:$AE$700,3,FALSE)*VLOOKUP($A79,DataPrixBillets!$M$66:$Q$700,3,FALSE),"")</f>
        <v>0</v>
      </c>
      <c r="D79" s="8">
        <f>IFERROR(VLOOKUP($A79,DataDemande!$AA$63:$AE$700,4,FALSE)*VLOOKUP($A79,DataPrixBillets!$M$66:$Q$700,4,FALSE),"")</f>
        <v>0</v>
      </c>
      <c r="E79" s="8">
        <f>IFERROR(VLOOKUP($A79,DataDemande!$AA$63:$AE$700,5,FALSE)*VLOOKUP($A79,DataPrixBillets!$M$66:$Q$700,5,FALSE),"")</f>
        <v>0</v>
      </c>
      <c r="F79" s="21">
        <f t="shared" si="3"/>
        <v>0</v>
      </c>
    </row>
    <row r="80" spans="1:6" x14ac:dyDescent="0.3">
      <c r="A80" s="185" t="str">
        <f>DataDemande!AA139</f>
        <v/>
      </c>
      <c r="B80" s="8">
        <f>IFERROR(VLOOKUP($A80,DataDemande!$AA$63:$AE$700,2,FALSE)*VLOOKUP($A80,DataPrixBillets!$M$66:$Q$700,2,FALSE),"")</f>
        <v>0</v>
      </c>
      <c r="C80" s="8">
        <f>IFERROR(VLOOKUP($A80,DataDemande!$AA$63:$AE$700,3,FALSE)*VLOOKUP($A80,DataPrixBillets!$M$66:$Q$700,3,FALSE),"")</f>
        <v>0</v>
      </c>
      <c r="D80" s="8">
        <f>IFERROR(VLOOKUP($A80,DataDemande!$AA$63:$AE$700,4,FALSE)*VLOOKUP($A80,DataPrixBillets!$M$66:$Q$700,4,FALSE),"")</f>
        <v>0</v>
      </c>
      <c r="E80" s="8">
        <f>IFERROR(VLOOKUP($A80,DataDemande!$AA$63:$AE$700,5,FALSE)*VLOOKUP($A80,DataPrixBillets!$M$66:$Q$700,5,FALSE),"")</f>
        <v>0</v>
      </c>
      <c r="F80" s="21">
        <f t="shared" si="3"/>
        <v>0</v>
      </c>
    </row>
    <row r="81" spans="1:6" x14ac:dyDescent="0.3">
      <c r="A81" s="185" t="str">
        <f>DataDemande!AA140</f>
        <v/>
      </c>
      <c r="B81" s="8">
        <f>IFERROR(VLOOKUP($A81,DataDemande!$AA$63:$AE$700,2,FALSE)*VLOOKUP($A81,DataPrixBillets!$M$66:$Q$700,2,FALSE),"")</f>
        <v>0</v>
      </c>
      <c r="C81" s="8">
        <f>IFERROR(VLOOKUP($A81,DataDemande!$AA$63:$AE$700,3,FALSE)*VLOOKUP($A81,DataPrixBillets!$M$66:$Q$700,3,FALSE),"")</f>
        <v>0</v>
      </c>
      <c r="D81" s="8">
        <f>IFERROR(VLOOKUP($A81,DataDemande!$AA$63:$AE$700,4,FALSE)*VLOOKUP($A81,DataPrixBillets!$M$66:$Q$700,4,FALSE),"")</f>
        <v>0</v>
      </c>
      <c r="E81" s="8">
        <f>IFERROR(VLOOKUP($A81,DataDemande!$AA$63:$AE$700,5,FALSE)*VLOOKUP($A81,DataPrixBillets!$M$66:$Q$700,5,FALSE),"")</f>
        <v>0</v>
      </c>
      <c r="F81" s="21">
        <f t="shared" si="3"/>
        <v>0</v>
      </c>
    </row>
    <row r="82" spans="1:6" x14ac:dyDescent="0.3">
      <c r="A82" s="185" t="str">
        <f>DataDemande!AA141</f>
        <v/>
      </c>
      <c r="B82" s="8">
        <f>IFERROR(VLOOKUP($A82,DataDemande!$AA$63:$AE$700,2,FALSE)*VLOOKUP($A82,DataPrixBillets!$M$66:$Q$700,2,FALSE),"")</f>
        <v>0</v>
      </c>
      <c r="C82" s="8">
        <f>IFERROR(VLOOKUP($A82,DataDemande!$AA$63:$AE$700,3,FALSE)*VLOOKUP($A82,DataPrixBillets!$M$66:$Q$700,3,FALSE),"")</f>
        <v>0</v>
      </c>
      <c r="D82" s="8">
        <f>IFERROR(VLOOKUP($A82,DataDemande!$AA$63:$AE$700,4,FALSE)*VLOOKUP($A82,DataPrixBillets!$M$66:$Q$700,4,FALSE),"")</f>
        <v>0</v>
      </c>
      <c r="E82" s="8">
        <f>IFERROR(VLOOKUP($A82,DataDemande!$AA$63:$AE$700,5,FALSE)*VLOOKUP($A82,DataPrixBillets!$M$66:$Q$700,5,FALSE),"")</f>
        <v>0</v>
      </c>
      <c r="F82" s="21">
        <f t="shared" si="3"/>
        <v>0</v>
      </c>
    </row>
    <row r="83" spans="1:6" x14ac:dyDescent="0.3">
      <c r="A83" s="185" t="str">
        <f>DataDemande!AA142</f>
        <v/>
      </c>
      <c r="B83" s="8">
        <f>IFERROR(VLOOKUP($A83,DataDemande!$AA$63:$AE$700,2,FALSE)*VLOOKUP($A83,DataPrixBillets!$M$66:$Q$700,2,FALSE),"")</f>
        <v>0</v>
      </c>
      <c r="C83" s="8">
        <f>IFERROR(VLOOKUP($A83,DataDemande!$AA$63:$AE$700,3,FALSE)*VLOOKUP($A83,DataPrixBillets!$M$66:$Q$700,3,FALSE),"")</f>
        <v>0</v>
      </c>
      <c r="D83" s="8">
        <f>IFERROR(VLOOKUP($A83,DataDemande!$AA$63:$AE$700,4,FALSE)*VLOOKUP($A83,DataPrixBillets!$M$66:$Q$700,4,FALSE),"")</f>
        <v>0</v>
      </c>
      <c r="E83" s="8">
        <f>IFERROR(VLOOKUP($A83,DataDemande!$AA$63:$AE$700,5,FALSE)*VLOOKUP($A83,DataPrixBillets!$M$66:$Q$700,5,FALSE),"")</f>
        <v>0</v>
      </c>
      <c r="F83" s="21">
        <f t="shared" si="3"/>
        <v>0</v>
      </c>
    </row>
    <row r="84" spans="1:6" x14ac:dyDescent="0.3">
      <c r="A84" s="185" t="str">
        <f>DataDemande!AA143</f>
        <v/>
      </c>
      <c r="B84" s="8">
        <f>IFERROR(VLOOKUP($A84,DataDemande!$AA$63:$AE$700,2,FALSE)*VLOOKUP($A84,DataPrixBillets!$M$66:$Q$700,2,FALSE),"")</f>
        <v>0</v>
      </c>
      <c r="C84" s="8">
        <f>IFERROR(VLOOKUP($A84,DataDemande!$AA$63:$AE$700,3,FALSE)*VLOOKUP($A84,DataPrixBillets!$M$66:$Q$700,3,FALSE),"")</f>
        <v>0</v>
      </c>
      <c r="D84" s="8">
        <f>IFERROR(VLOOKUP($A84,DataDemande!$AA$63:$AE$700,4,FALSE)*VLOOKUP($A84,DataPrixBillets!$M$66:$Q$700,4,FALSE),"")</f>
        <v>0</v>
      </c>
      <c r="E84" s="8">
        <f>IFERROR(VLOOKUP($A84,DataDemande!$AA$63:$AE$700,5,FALSE)*VLOOKUP($A84,DataPrixBillets!$M$66:$Q$700,5,FALSE),"")</f>
        <v>0</v>
      </c>
      <c r="F84" s="21">
        <f t="shared" si="3"/>
        <v>0</v>
      </c>
    </row>
    <row r="85" spans="1:6" x14ac:dyDescent="0.3">
      <c r="A85" s="185" t="str">
        <f>DataDemande!AA144</f>
        <v/>
      </c>
      <c r="B85" s="8">
        <f>IFERROR(VLOOKUP($A85,DataDemande!$AA$63:$AE$700,2,FALSE)*VLOOKUP($A85,DataPrixBillets!$M$66:$Q$700,2,FALSE),"")</f>
        <v>0</v>
      </c>
      <c r="C85" s="8">
        <f>IFERROR(VLOOKUP($A85,DataDemande!$AA$63:$AE$700,3,FALSE)*VLOOKUP($A85,DataPrixBillets!$M$66:$Q$700,3,FALSE),"")</f>
        <v>0</v>
      </c>
      <c r="D85" s="8">
        <f>IFERROR(VLOOKUP($A85,DataDemande!$AA$63:$AE$700,4,FALSE)*VLOOKUP($A85,DataPrixBillets!$M$66:$Q$700,4,FALSE),"")</f>
        <v>0</v>
      </c>
      <c r="E85" s="8">
        <f>IFERROR(VLOOKUP($A85,DataDemande!$AA$63:$AE$700,5,FALSE)*VLOOKUP($A85,DataPrixBillets!$M$66:$Q$700,5,FALSE),"")</f>
        <v>0</v>
      </c>
      <c r="F85" s="21">
        <f t="shared" si="3"/>
        <v>0</v>
      </c>
    </row>
    <row r="86" spans="1:6" x14ac:dyDescent="0.3">
      <c r="A86" s="185" t="str">
        <f>DataDemande!AA145</f>
        <v/>
      </c>
      <c r="B86" s="8">
        <f>IFERROR(VLOOKUP($A86,DataDemande!$AA$63:$AE$700,2,FALSE)*VLOOKUP($A86,DataPrixBillets!$M$66:$Q$700,2,FALSE),"")</f>
        <v>0</v>
      </c>
      <c r="C86" s="8">
        <f>IFERROR(VLOOKUP($A86,DataDemande!$AA$63:$AE$700,3,FALSE)*VLOOKUP($A86,DataPrixBillets!$M$66:$Q$700,3,FALSE),"")</f>
        <v>0</v>
      </c>
      <c r="D86" s="8">
        <f>IFERROR(VLOOKUP($A86,DataDemande!$AA$63:$AE$700,4,FALSE)*VLOOKUP($A86,DataPrixBillets!$M$66:$Q$700,4,FALSE),"")</f>
        <v>0</v>
      </c>
      <c r="E86" s="8">
        <f>IFERROR(VLOOKUP($A86,DataDemande!$AA$63:$AE$700,5,FALSE)*VLOOKUP($A86,DataPrixBillets!$M$66:$Q$700,5,FALSE),"")</f>
        <v>0</v>
      </c>
      <c r="F86" s="21">
        <f t="shared" si="3"/>
        <v>0</v>
      </c>
    </row>
    <row r="87" spans="1:6" x14ac:dyDescent="0.3">
      <c r="A87" s="185" t="str">
        <f>DataDemande!AA146</f>
        <v/>
      </c>
      <c r="B87" s="8">
        <f>IFERROR(VLOOKUP($A87,DataDemande!$AA$63:$AE$700,2,FALSE)*VLOOKUP($A87,DataPrixBillets!$M$66:$Q$700,2,FALSE),"")</f>
        <v>0</v>
      </c>
      <c r="C87" s="8">
        <f>IFERROR(VLOOKUP($A87,DataDemande!$AA$63:$AE$700,3,FALSE)*VLOOKUP($A87,DataPrixBillets!$M$66:$Q$700,3,FALSE),"")</f>
        <v>0</v>
      </c>
      <c r="D87" s="8">
        <f>IFERROR(VLOOKUP($A87,DataDemande!$AA$63:$AE$700,4,FALSE)*VLOOKUP($A87,DataPrixBillets!$M$66:$Q$700,4,FALSE),"")</f>
        <v>0</v>
      </c>
      <c r="E87" s="8">
        <f>IFERROR(VLOOKUP($A87,DataDemande!$AA$63:$AE$700,5,FALSE)*VLOOKUP($A87,DataPrixBillets!$M$66:$Q$700,5,FALSE),"")</f>
        <v>0</v>
      </c>
      <c r="F87" s="21">
        <f t="shared" si="3"/>
        <v>0</v>
      </c>
    </row>
    <row r="88" spans="1:6" x14ac:dyDescent="0.3">
      <c r="A88" s="185" t="str">
        <f>DataDemande!AA147</f>
        <v/>
      </c>
      <c r="B88" s="8">
        <f>IFERROR(VLOOKUP($A88,DataDemande!$AA$63:$AE$700,2,FALSE)*VLOOKUP($A88,DataPrixBillets!$M$66:$Q$700,2,FALSE),"")</f>
        <v>0</v>
      </c>
      <c r="C88" s="8">
        <f>IFERROR(VLOOKUP($A88,DataDemande!$AA$63:$AE$700,3,FALSE)*VLOOKUP($A88,DataPrixBillets!$M$66:$Q$700,3,FALSE),"")</f>
        <v>0</v>
      </c>
      <c r="D88" s="8">
        <f>IFERROR(VLOOKUP($A88,DataDemande!$AA$63:$AE$700,4,FALSE)*VLOOKUP($A88,DataPrixBillets!$M$66:$Q$700,4,FALSE),"")</f>
        <v>0</v>
      </c>
      <c r="E88" s="8">
        <f>IFERROR(VLOOKUP($A88,DataDemande!$AA$63:$AE$700,5,FALSE)*VLOOKUP($A88,DataPrixBillets!$M$66:$Q$700,5,FALSE),"")</f>
        <v>0</v>
      </c>
      <c r="F88" s="21">
        <f t="shared" si="3"/>
        <v>0</v>
      </c>
    </row>
    <row r="89" spans="1:6" x14ac:dyDescent="0.3">
      <c r="A89" s="185" t="str">
        <f>DataDemande!AA148</f>
        <v/>
      </c>
      <c r="B89" s="8">
        <f>IFERROR(VLOOKUP($A89,DataDemande!$AA$63:$AE$700,2,FALSE)*VLOOKUP($A89,DataPrixBillets!$M$66:$Q$700,2,FALSE),"")</f>
        <v>0</v>
      </c>
      <c r="C89" s="8">
        <f>IFERROR(VLOOKUP($A89,DataDemande!$AA$63:$AE$700,3,FALSE)*VLOOKUP($A89,DataPrixBillets!$M$66:$Q$700,3,FALSE),"")</f>
        <v>0</v>
      </c>
      <c r="D89" s="8">
        <f>IFERROR(VLOOKUP($A89,DataDemande!$AA$63:$AE$700,4,FALSE)*VLOOKUP($A89,DataPrixBillets!$M$66:$Q$700,4,FALSE),"")</f>
        <v>0</v>
      </c>
      <c r="E89" s="8">
        <f>IFERROR(VLOOKUP($A89,DataDemande!$AA$63:$AE$700,5,FALSE)*VLOOKUP($A89,DataPrixBillets!$M$66:$Q$700,5,FALSE),"")</f>
        <v>0</v>
      </c>
      <c r="F89" s="21">
        <f t="shared" si="3"/>
        <v>0</v>
      </c>
    </row>
    <row r="90" spans="1:6" x14ac:dyDescent="0.3">
      <c r="A90" s="185" t="str">
        <f>DataDemande!AA149</f>
        <v/>
      </c>
      <c r="B90" s="8">
        <f>IFERROR(VLOOKUP($A90,DataDemande!$AA$63:$AE$700,2,FALSE)*VLOOKUP($A90,DataPrixBillets!$M$66:$Q$700,2,FALSE),"")</f>
        <v>0</v>
      </c>
      <c r="C90" s="8">
        <f>IFERROR(VLOOKUP($A90,DataDemande!$AA$63:$AE$700,3,FALSE)*VLOOKUP($A90,DataPrixBillets!$M$66:$Q$700,3,FALSE),"")</f>
        <v>0</v>
      </c>
      <c r="D90" s="8">
        <f>IFERROR(VLOOKUP($A90,DataDemande!$AA$63:$AE$700,4,FALSE)*VLOOKUP($A90,DataPrixBillets!$M$66:$Q$700,4,FALSE),"")</f>
        <v>0</v>
      </c>
      <c r="E90" s="8">
        <f>IFERROR(VLOOKUP($A90,DataDemande!$AA$63:$AE$700,5,FALSE)*VLOOKUP($A90,DataPrixBillets!$M$66:$Q$700,5,FALSE),"")</f>
        <v>0</v>
      </c>
      <c r="F90" s="21">
        <f t="shared" si="3"/>
        <v>0</v>
      </c>
    </row>
    <row r="91" spans="1:6" x14ac:dyDescent="0.3">
      <c r="A91" s="185" t="str">
        <f>DataDemande!AA150</f>
        <v/>
      </c>
      <c r="B91" s="8">
        <f>IFERROR(VLOOKUP($A91,DataDemande!$AA$63:$AE$700,2,FALSE)*VLOOKUP($A91,DataPrixBillets!$M$66:$Q$700,2,FALSE),"")</f>
        <v>0</v>
      </c>
      <c r="C91" s="8">
        <f>IFERROR(VLOOKUP($A91,DataDemande!$AA$63:$AE$700,3,FALSE)*VLOOKUP($A91,DataPrixBillets!$M$66:$Q$700,3,FALSE),"")</f>
        <v>0</v>
      </c>
      <c r="D91" s="8">
        <f>IFERROR(VLOOKUP($A91,DataDemande!$AA$63:$AE$700,4,FALSE)*VLOOKUP($A91,DataPrixBillets!$M$66:$Q$700,4,FALSE),"")</f>
        <v>0</v>
      </c>
      <c r="E91" s="8">
        <f>IFERROR(VLOOKUP($A91,DataDemande!$AA$63:$AE$700,5,FALSE)*VLOOKUP($A91,DataPrixBillets!$M$66:$Q$700,5,FALSE),"")</f>
        <v>0</v>
      </c>
      <c r="F91" s="21">
        <f t="shared" si="3"/>
        <v>0</v>
      </c>
    </row>
    <row r="92" spans="1:6" x14ac:dyDescent="0.3">
      <c r="A92" s="185" t="str">
        <f>DataDemande!AA151</f>
        <v/>
      </c>
      <c r="B92" s="8">
        <f>IFERROR(VLOOKUP($A92,DataDemande!$AA$63:$AE$700,2,FALSE)*VLOOKUP($A92,DataPrixBillets!$M$66:$Q$700,2,FALSE),"")</f>
        <v>0</v>
      </c>
      <c r="C92" s="8">
        <f>IFERROR(VLOOKUP($A92,DataDemande!$AA$63:$AE$700,3,FALSE)*VLOOKUP($A92,DataPrixBillets!$M$66:$Q$700,3,FALSE),"")</f>
        <v>0</v>
      </c>
      <c r="D92" s="8">
        <f>IFERROR(VLOOKUP($A92,DataDemande!$AA$63:$AE$700,4,FALSE)*VLOOKUP($A92,DataPrixBillets!$M$66:$Q$700,4,FALSE),"")</f>
        <v>0</v>
      </c>
      <c r="E92" s="8">
        <f>IFERROR(VLOOKUP($A92,DataDemande!$AA$63:$AE$700,5,FALSE)*VLOOKUP($A92,DataPrixBillets!$M$66:$Q$700,5,FALSE),"")</f>
        <v>0</v>
      </c>
      <c r="F92" s="21">
        <f t="shared" si="3"/>
        <v>0</v>
      </c>
    </row>
    <row r="93" spans="1:6" x14ac:dyDescent="0.3">
      <c r="A93" s="185" t="str">
        <f>DataDemande!AA152</f>
        <v/>
      </c>
      <c r="B93" s="8">
        <f>IFERROR(VLOOKUP($A93,DataDemande!$AA$63:$AE$700,2,FALSE)*VLOOKUP($A93,DataPrixBillets!$M$66:$Q$700,2,FALSE),"")</f>
        <v>0</v>
      </c>
      <c r="C93" s="8">
        <f>IFERROR(VLOOKUP($A93,DataDemande!$AA$63:$AE$700,3,FALSE)*VLOOKUP($A93,DataPrixBillets!$M$66:$Q$700,3,FALSE),"")</f>
        <v>0</v>
      </c>
      <c r="D93" s="8">
        <f>IFERROR(VLOOKUP($A93,DataDemande!$AA$63:$AE$700,4,FALSE)*VLOOKUP($A93,DataPrixBillets!$M$66:$Q$700,4,FALSE),"")</f>
        <v>0</v>
      </c>
      <c r="E93" s="8">
        <f>IFERROR(VLOOKUP($A93,DataDemande!$AA$63:$AE$700,5,FALSE)*VLOOKUP($A93,DataPrixBillets!$M$66:$Q$700,5,FALSE),"")</f>
        <v>0</v>
      </c>
      <c r="F93" s="21">
        <f t="shared" si="3"/>
        <v>0</v>
      </c>
    </row>
    <row r="94" spans="1:6" x14ac:dyDescent="0.3">
      <c r="A94" s="185" t="str">
        <f>DataDemande!AA153</f>
        <v/>
      </c>
      <c r="B94" s="8">
        <f>IFERROR(VLOOKUP($A94,DataDemande!$AA$63:$AE$700,2,FALSE)*VLOOKUP($A94,DataPrixBillets!$M$66:$Q$700,2,FALSE),"")</f>
        <v>0</v>
      </c>
      <c r="C94" s="8">
        <f>IFERROR(VLOOKUP($A94,DataDemande!$AA$63:$AE$700,3,FALSE)*VLOOKUP($A94,DataPrixBillets!$M$66:$Q$700,3,FALSE),"")</f>
        <v>0</v>
      </c>
      <c r="D94" s="8">
        <f>IFERROR(VLOOKUP($A94,DataDemande!$AA$63:$AE$700,4,FALSE)*VLOOKUP($A94,DataPrixBillets!$M$66:$Q$700,4,FALSE),"")</f>
        <v>0</v>
      </c>
      <c r="E94" s="8">
        <f>IFERROR(VLOOKUP($A94,DataDemande!$AA$63:$AE$700,5,FALSE)*VLOOKUP($A94,DataPrixBillets!$M$66:$Q$700,5,FALSE),"")</f>
        <v>0</v>
      </c>
      <c r="F94" s="21">
        <f t="shared" si="3"/>
        <v>0</v>
      </c>
    </row>
    <row r="95" spans="1:6" x14ac:dyDescent="0.3">
      <c r="A95" s="185" t="str">
        <f>DataDemande!AA154</f>
        <v/>
      </c>
      <c r="B95" s="8">
        <f>IFERROR(VLOOKUP($A95,DataDemande!$AA$63:$AE$700,2,FALSE)*VLOOKUP($A95,DataPrixBillets!$M$66:$Q$700,2,FALSE),"")</f>
        <v>0</v>
      </c>
      <c r="C95" s="8">
        <f>IFERROR(VLOOKUP($A95,DataDemande!$AA$63:$AE$700,3,FALSE)*VLOOKUP($A95,DataPrixBillets!$M$66:$Q$700,3,FALSE),"")</f>
        <v>0</v>
      </c>
      <c r="D95" s="8">
        <f>IFERROR(VLOOKUP($A95,DataDemande!$AA$63:$AE$700,4,FALSE)*VLOOKUP($A95,DataPrixBillets!$M$66:$Q$700,4,FALSE),"")</f>
        <v>0</v>
      </c>
      <c r="E95" s="8">
        <f>IFERROR(VLOOKUP($A95,DataDemande!$AA$63:$AE$700,5,FALSE)*VLOOKUP($A95,DataPrixBillets!$M$66:$Q$700,5,FALSE),"")</f>
        <v>0</v>
      </c>
      <c r="F95" s="21">
        <f t="shared" si="3"/>
        <v>0</v>
      </c>
    </row>
    <row r="96" spans="1:6" x14ac:dyDescent="0.3">
      <c r="A96" s="185" t="str">
        <f>DataDemande!AA155</f>
        <v/>
      </c>
      <c r="B96" s="8">
        <f>IFERROR(VLOOKUP($A96,DataDemande!$AA$63:$AE$700,2,FALSE)*VLOOKUP($A96,DataPrixBillets!$M$66:$Q$700,2,FALSE),"")</f>
        <v>0</v>
      </c>
      <c r="C96" s="8">
        <f>IFERROR(VLOOKUP($A96,DataDemande!$AA$63:$AE$700,3,FALSE)*VLOOKUP($A96,DataPrixBillets!$M$66:$Q$700,3,FALSE),"")</f>
        <v>0</v>
      </c>
      <c r="D96" s="8">
        <f>IFERROR(VLOOKUP($A96,DataDemande!$AA$63:$AE$700,4,FALSE)*VLOOKUP($A96,DataPrixBillets!$M$66:$Q$700,4,FALSE),"")</f>
        <v>0</v>
      </c>
      <c r="E96" s="8">
        <f>IFERROR(VLOOKUP($A96,DataDemande!$AA$63:$AE$700,5,FALSE)*VLOOKUP($A96,DataPrixBillets!$M$66:$Q$700,5,FALSE),"")</f>
        <v>0</v>
      </c>
      <c r="F96" s="21">
        <f t="shared" si="3"/>
        <v>0</v>
      </c>
    </row>
    <row r="97" spans="1:6" x14ac:dyDescent="0.3">
      <c r="A97" s="185" t="str">
        <f>DataDemande!AA156</f>
        <v/>
      </c>
      <c r="B97" s="8">
        <f>IFERROR(VLOOKUP($A97,DataDemande!$AA$63:$AE$700,2,FALSE)*VLOOKUP($A97,DataPrixBillets!$M$66:$Q$700,2,FALSE),"")</f>
        <v>0</v>
      </c>
      <c r="C97" s="8">
        <f>IFERROR(VLOOKUP($A97,DataDemande!$AA$63:$AE$700,3,FALSE)*VLOOKUP($A97,DataPrixBillets!$M$66:$Q$700,3,FALSE),"")</f>
        <v>0</v>
      </c>
      <c r="D97" s="8">
        <f>IFERROR(VLOOKUP($A97,DataDemande!$AA$63:$AE$700,4,FALSE)*VLOOKUP($A97,DataPrixBillets!$M$66:$Q$700,4,FALSE),"")</f>
        <v>0</v>
      </c>
      <c r="E97" s="8">
        <f>IFERROR(VLOOKUP($A97,DataDemande!$AA$63:$AE$700,5,FALSE)*VLOOKUP($A97,DataPrixBillets!$M$66:$Q$700,5,FALSE),"")</f>
        <v>0</v>
      </c>
      <c r="F97" s="21">
        <f t="shared" si="3"/>
        <v>0</v>
      </c>
    </row>
    <row r="98" spans="1:6" x14ac:dyDescent="0.3">
      <c r="A98" s="185" t="str">
        <f>DataDemande!AA157</f>
        <v/>
      </c>
      <c r="B98" s="8">
        <f>IFERROR(VLOOKUP($A98,DataDemande!$AA$63:$AE$700,2,FALSE)*VLOOKUP($A98,DataPrixBillets!$M$66:$Q$700,2,FALSE),"")</f>
        <v>0</v>
      </c>
      <c r="C98" s="8">
        <f>IFERROR(VLOOKUP($A98,DataDemande!$AA$63:$AE$700,3,FALSE)*VLOOKUP($A98,DataPrixBillets!$M$66:$Q$700,3,FALSE),"")</f>
        <v>0</v>
      </c>
      <c r="D98" s="8">
        <f>IFERROR(VLOOKUP($A98,DataDemande!$AA$63:$AE$700,4,FALSE)*VLOOKUP($A98,DataPrixBillets!$M$66:$Q$700,4,FALSE),"")</f>
        <v>0</v>
      </c>
      <c r="E98" s="8">
        <f>IFERROR(VLOOKUP($A98,DataDemande!$AA$63:$AE$700,5,FALSE)*VLOOKUP($A98,DataPrixBillets!$M$66:$Q$700,5,FALSE),"")</f>
        <v>0</v>
      </c>
      <c r="F98" s="21">
        <f t="shared" si="3"/>
        <v>0</v>
      </c>
    </row>
    <row r="99" spans="1:6" x14ac:dyDescent="0.3">
      <c r="A99" s="185" t="str">
        <f>DataDemande!AA158</f>
        <v/>
      </c>
      <c r="B99" s="8">
        <f>IFERROR(VLOOKUP($A99,DataDemande!$AA$63:$AE$700,2,FALSE)*VLOOKUP($A99,DataPrixBillets!$M$66:$Q$700,2,FALSE),"")</f>
        <v>0</v>
      </c>
      <c r="C99" s="8">
        <f>IFERROR(VLOOKUP($A99,DataDemande!$AA$63:$AE$700,3,FALSE)*VLOOKUP($A99,DataPrixBillets!$M$66:$Q$700,3,FALSE),"")</f>
        <v>0</v>
      </c>
      <c r="D99" s="8">
        <f>IFERROR(VLOOKUP($A99,DataDemande!$AA$63:$AE$700,4,FALSE)*VLOOKUP($A99,DataPrixBillets!$M$66:$Q$700,4,FALSE),"")</f>
        <v>0</v>
      </c>
      <c r="E99" s="8">
        <f>IFERROR(VLOOKUP($A99,DataDemande!$AA$63:$AE$700,5,FALSE)*VLOOKUP($A99,DataPrixBillets!$M$66:$Q$700,5,FALSE),"")</f>
        <v>0</v>
      </c>
      <c r="F99" s="21">
        <f t="shared" si="3"/>
        <v>0</v>
      </c>
    </row>
    <row r="100" spans="1:6" x14ac:dyDescent="0.3">
      <c r="A100" s="185" t="str">
        <f>DataDemande!AA159</f>
        <v/>
      </c>
      <c r="B100" s="8">
        <f>IFERROR(VLOOKUP($A100,DataDemande!$AA$63:$AE$700,2,FALSE)*VLOOKUP($A100,DataPrixBillets!$M$66:$Q$700,2,FALSE),"")</f>
        <v>0</v>
      </c>
      <c r="C100" s="8">
        <f>IFERROR(VLOOKUP($A100,DataDemande!$AA$63:$AE$700,3,FALSE)*VLOOKUP($A100,DataPrixBillets!$M$66:$Q$700,3,FALSE),"")</f>
        <v>0</v>
      </c>
      <c r="D100" s="8">
        <f>IFERROR(VLOOKUP($A100,DataDemande!$AA$63:$AE$700,4,FALSE)*VLOOKUP($A100,DataPrixBillets!$M$66:$Q$700,4,FALSE),"")</f>
        <v>0</v>
      </c>
      <c r="E100" s="8">
        <f>IFERROR(VLOOKUP($A100,DataDemande!$AA$63:$AE$700,5,FALSE)*VLOOKUP($A100,DataPrixBillets!$M$66:$Q$700,5,FALSE),"")</f>
        <v>0</v>
      </c>
      <c r="F100" s="21">
        <f t="shared" si="3"/>
        <v>0</v>
      </c>
    </row>
    <row r="101" spans="1:6" x14ac:dyDescent="0.3">
      <c r="A101" s="185" t="str">
        <f>DataDemande!AA160</f>
        <v/>
      </c>
      <c r="B101" s="8">
        <f>IFERROR(VLOOKUP($A101,DataDemande!$AA$63:$AE$700,2,FALSE)*VLOOKUP($A101,DataPrixBillets!$M$66:$Q$700,2,FALSE),"")</f>
        <v>0</v>
      </c>
      <c r="C101" s="8">
        <f>IFERROR(VLOOKUP($A101,DataDemande!$AA$63:$AE$700,3,FALSE)*VLOOKUP($A101,DataPrixBillets!$M$66:$Q$700,3,FALSE),"")</f>
        <v>0</v>
      </c>
      <c r="D101" s="8">
        <f>IFERROR(VLOOKUP($A101,DataDemande!$AA$63:$AE$700,4,FALSE)*VLOOKUP($A101,DataPrixBillets!$M$66:$Q$700,4,FALSE),"")</f>
        <v>0</v>
      </c>
      <c r="E101" s="8">
        <f>IFERROR(VLOOKUP($A101,DataDemande!$AA$63:$AE$700,5,FALSE)*VLOOKUP($A101,DataPrixBillets!$M$66:$Q$700,5,FALSE),"")</f>
        <v>0</v>
      </c>
      <c r="F101" s="21">
        <f t="shared" si="3"/>
        <v>0</v>
      </c>
    </row>
    <row r="102" spans="1:6" x14ac:dyDescent="0.3">
      <c r="A102" s="185" t="str">
        <f>DataDemande!AA161</f>
        <v/>
      </c>
      <c r="B102" s="8">
        <f>IFERROR(VLOOKUP($A102,DataDemande!$AA$63:$AE$700,2,FALSE)*VLOOKUP($A102,DataPrixBillets!$M$66:$Q$700,2,FALSE),"")</f>
        <v>0</v>
      </c>
      <c r="C102" s="8">
        <f>IFERROR(VLOOKUP($A102,DataDemande!$AA$63:$AE$700,3,FALSE)*VLOOKUP($A102,DataPrixBillets!$M$66:$Q$700,3,FALSE),"")</f>
        <v>0</v>
      </c>
      <c r="D102" s="8">
        <f>IFERROR(VLOOKUP($A102,DataDemande!$AA$63:$AE$700,4,FALSE)*VLOOKUP($A102,DataPrixBillets!$M$66:$Q$700,4,FALSE),"")</f>
        <v>0</v>
      </c>
      <c r="E102" s="8">
        <f>IFERROR(VLOOKUP($A102,DataDemande!$AA$63:$AE$700,5,FALSE)*VLOOKUP($A102,DataPrixBillets!$M$66:$Q$700,5,FALSE),"")</f>
        <v>0</v>
      </c>
      <c r="F102" s="21">
        <f t="shared" si="3"/>
        <v>0</v>
      </c>
    </row>
    <row r="103" spans="1:6" x14ac:dyDescent="0.3">
      <c r="A103" s="185" t="str">
        <f>DataDemande!AA162</f>
        <v/>
      </c>
      <c r="B103" s="8">
        <f>IFERROR(VLOOKUP($A103,DataDemande!$AA$63:$AE$700,2,FALSE)*VLOOKUP($A103,DataPrixBillets!$M$66:$Q$700,2,FALSE),"")</f>
        <v>0</v>
      </c>
      <c r="C103" s="8">
        <f>IFERROR(VLOOKUP($A103,DataDemande!$AA$63:$AE$700,3,FALSE)*VLOOKUP($A103,DataPrixBillets!$M$66:$Q$700,3,FALSE),"")</f>
        <v>0</v>
      </c>
      <c r="D103" s="8">
        <f>IFERROR(VLOOKUP($A103,DataDemande!$AA$63:$AE$700,4,FALSE)*VLOOKUP($A103,DataPrixBillets!$M$66:$Q$700,4,FALSE),"")</f>
        <v>0</v>
      </c>
      <c r="E103" s="8">
        <f>IFERROR(VLOOKUP($A103,DataDemande!$AA$63:$AE$700,5,FALSE)*VLOOKUP($A103,DataPrixBillets!$M$66:$Q$700,5,FALSE),"")</f>
        <v>0</v>
      </c>
      <c r="F103" s="21">
        <f t="shared" si="3"/>
        <v>0</v>
      </c>
    </row>
    <row r="104" spans="1:6" x14ac:dyDescent="0.3">
      <c r="A104" s="185" t="str">
        <f>DataDemande!AA163</f>
        <v/>
      </c>
      <c r="B104" s="8">
        <f>IFERROR(VLOOKUP($A104,DataDemande!$AA$63:$AE$700,2,FALSE)*VLOOKUP($A104,DataPrixBillets!$M$66:$Q$700,2,FALSE),"")</f>
        <v>0</v>
      </c>
      <c r="C104" s="8">
        <f>IFERROR(VLOOKUP($A104,DataDemande!$AA$63:$AE$700,3,FALSE)*VLOOKUP($A104,DataPrixBillets!$M$66:$Q$700,3,FALSE),"")</f>
        <v>0</v>
      </c>
      <c r="D104" s="8">
        <f>IFERROR(VLOOKUP($A104,DataDemande!$AA$63:$AE$700,4,FALSE)*VLOOKUP($A104,DataPrixBillets!$M$66:$Q$700,4,FALSE),"")</f>
        <v>0</v>
      </c>
      <c r="E104" s="8">
        <f>IFERROR(VLOOKUP($A104,DataDemande!$AA$63:$AE$700,5,FALSE)*VLOOKUP($A104,DataPrixBillets!$M$66:$Q$700,5,FALSE),"")</f>
        <v>0</v>
      </c>
      <c r="F104" s="21">
        <f t="shared" si="3"/>
        <v>0</v>
      </c>
    </row>
    <row r="105" spans="1:6" x14ac:dyDescent="0.3">
      <c r="A105" s="185" t="str">
        <f>DataDemande!AA164</f>
        <v/>
      </c>
      <c r="B105" s="8">
        <f>IFERROR(VLOOKUP($A105,DataDemande!$AA$63:$AE$700,2,FALSE)*VLOOKUP($A105,DataPrixBillets!$M$66:$Q$700,2,FALSE),"")</f>
        <v>0</v>
      </c>
      <c r="C105" s="8">
        <f>IFERROR(VLOOKUP($A105,DataDemande!$AA$63:$AE$700,3,FALSE)*VLOOKUP($A105,DataPrixBillets!$M$66:$Q$700,3,FALSE),"")</f>
        <v>0</v>
      </c>
      <c r="D105" s="8">
        <f>IFERROR(VLOOKUP($A105,DataDemande!$AA$63:$AE$700,4,FALSE)*VLOOKUP($A105,DataPrixBillets!$M$66:$Q$700,4,FALSE),"")</f>
        <v>0</v>
      </c>
      <c r="E105" s="8">
        <f>IFERROR(VLOOKUP($A105,DataDemande!$AA$63:$AE$700,5,FALSE)*VLOOKUP($A105,DataPrixBillets!$M$66:$Q$700,5,FALSE),"")</f>
        <v>0</v>
      </c>
      <c r="F105" s="21">
        <f t="shared" si="3"/>
        <v>0</v>
      </c>
    </row>
    <row r="106" spans="1:6" x14ac:dyDescent="0.3">
      <c r="A106" s="185" t="str">
        <f>DataDemande!AA165</f>
        <v/>
      </c>
      <c r="B106" s="8">
        <f>IFERROR(VLOOKUP($A106,DataDemande!$AA$63:$AE$700,2,FALSE)*VLOOKUP($A106,DataPrixBillets!$M$66:$Q$700,2,FALSE),"")</f>
        <v>0</v>
      </c>
      <c r="C106" s="8">
        <f>IFERROR(VLOOKUP($A106,DataDemande!$AA$63:$AE$700,3,FALSE)*VLOOKUP($A106,DataPrixBillets!$M$66:$Q$700,3,FALSE),"")</f>
        <v>0</v>
      </c>
      <c r="D106" s="8">
        <f>IFERROR(VLOOKUP($A106,DataDemande!$AA$63:$AE$700,4,FALSE)*VLOOKUP($A106,DataPrixBillets!$M$66:$Q$700,4,FALSE),"")</f>
        <v>0</v>
      </c>
      <c r="E106" s="8">
        <f>IFERROR(VLOOKUP($A106,DataDemande!$AA$63:$AE$700,5,FALSE)*VLOOKUP($A106,DataPrixBillets!$M$66:$Q$700,5,FALSE),"")</f>
        <v>0</v>
      </c>
      <c r="F106" s="21">
        <f t="shared" si="3"/>
        <v>0</v>
      </c>
    </row>
    <row r="107" spans="1:6" x14ac:dyDescent="0.3">
      <c r="A107" s="185" t="str">
        <f>DataDemande!AA166</f>
        <v/>
      </c>
      <c r="B107" s="8">
        <f>IFERROR(VLOOKUP($A107,DataDemande!$AA$63:$AE$700,2,FALSE)*VLOOKUP($A107,DataPrixBillets!$M$66:$Q$700,2,FALSE),"")</f>
        <v>0</v>
      </c>
      <c r="C107" s="8">
        <f>IFERROR(VLOOKUP($A107,DataDemande!$AA$63:$AE$700,3,FALSE)*VLOOKUP($A107,DataPrixBillets!$M$66:$Q$700,3,FALSE),"")</f>
        <v>0</v>
      </c>
      <c r="D107" s="8">
        <f>IFERROR(VLOOKUP($A107,DataDemande!$AA$63:$AE$700,4,FALSE)*VLOOKUP($A107,DataPrixBillets!$M$66:$Q$700,4,FALSE),"")</f>
        <v>0</v>
      </c>
      <c r="E107" s="8">
        <f>IFERROR(VLOOKUP($A107,DataDemande!$AA$63:$AE$700,5,FALSE)*VLOOKUP($A107,DataPrixBillets!$M$66:$Q$700,5,FALSE),"")</f>
        <v>0</v>
      </c>
      <c r="F107" s="21">
        <f t="shared" si="3"/>
        <v>0</v>
      </c>
    </row>
    <row r="108" spans="1:6" x14ac:dyDescent="0.3">
      <c r="A108" s="185" t="str">
        <f>DataDemande!AA167</f>
        <v/>
      </c>
      <c r="B108" s="8">
        <f>IFERROR(VLOOKUP($A108,DataDemande!$AA$63:$AE$700,2,FALSE)*VLOOKUP($A108,DataPrixBillets!$M$66:$Q$700,2,FALSE),"")</f>
        <v>0</v>
      </c>
      <c r="C108" s="8">
        <f>IFERROR(VLOOKUP($A108,DataDemande!$AA$63:$AE$700,3,FALSE)*VLOOKUP($A108,DataPrixBillets!$M$66:$Q$700,3,FALSE),"")</f>
        <v>0</v>
      </c>
      <c r="D108" s="8">
        <f>IFERROR(VLOOKUP($A108,DataDemande!$AA$63:$AE$700,4,FALSE)*VLOOKUP($A108,DataPrixBillets!$M$66:$Q$700,4,FALSE),"")</f>
        <v>0</v>
      </c>
      <c r="E108" s="8">
        <f>IFERROR(VLOOKUP($A108,DataDemande!$AA$63:$AE$700,5,FALSE)*VLOOKUP($A108,DataPrixBillets!$M$66:$Q$700,5,FALSE),"")</f>
        <v>0</v>
      </c>
      <c r="F108" s="21">
        <f t="shared" si="3"/>
        <v>0</v>
      </c>
    </row>
    <row r="109" spans="1:6" x14ac:dyDescent="0.3">
      <c r="A109" s="185" t="str">
        <f>DataDemande!AA168</f>
        <v/>
      </c>
      <c r="B109" s="8">
        <f>IFERROR(VLOOKUP($A109,DataDemande!$AA$63:$AE$700,2,FALSE)*VLOOKUP($A109,DataPrixBillets!$M$66:$Q$700,2,FALSE),"")</f>
        <v>0</v>
      </c>
      <c r="C109" s="8">
        <f>IFERROR(VLOOKUP($A109,DataDemande!$AA$63:$AE$700,3,FALSE)*VLOOKUP($A109,DataPrixBillets!$M$66:$Q$700,3,FALSE),"")</f>
        <v>0</v>
      </c>
      <c r="D109" s="8">
        <f>IFERROR(VLOOKUP($A109,DataDemande!$AA$63:$AE$700,4,FALSE)*VLOOKUP($A109,DataPrixBillets!$M$66:$Q$700,4,FALSE),"")</f>
        <v>0</v>
      </c>
      <c r="E109" s="8">
        <f>IFERROR(VLOOKUP($A109,DataDemande!$AA$63:$AE$700,5,FALSE)*VLOOKUP($A109,DataPrixBillets!$M$66:$Q$700,5,FALSE),"")</f>
        <v>0</v>
      </c>
      <c r="F109" s="21">
        <f t="shared" si="3"/>
        <v>0</v>
      </c>
    </row>
    <row r="110" spans="1:6" x14ac:dyDescent="0.3">
      <c r="A110" s="185" t="str">
        <f>DataDemande!AA169</f>
        <v/>
      </c>
      <c r="B110" s="8">
        <f>IFERROR(VLOOKUP($A110,DataDemande!$AA$63:$AE$700,2,FALSE)*VLOOKUP($A110,DataPrixBillets!$M$66:$Q$700,2,FALSE),"")</f>
        <v>0</v>
      </c>
      <c r="C110" s="8">
        <f>IFERROR(VLOOKUP($A110,DataDemande!$AA$63:$AE$700,3,FALSE)*VLOOKUP($A110,DataPrixBillets!$M$66:$Q$700,3,FALSE),"")</f>
        <v>0</v>
      </c>
      <c r="D110" s="8">
        <f>IFERROR(VLOOKUP($A110,DataDemande!$AA$63:$AE$700,4,FALSE)*VLOOKUP($A110,DataPrixBillets!$M$66:$Q$700,4,FALSE),"")</f>
        <v>0</v>
      </c>
      <c r="E110" s="8">
        <f>IFERROR(VLOOKUP($A110,DataDemande!$AA$63:$AE$700,5,FALSE)*VLOOKUP($A110,DataPrixBillets!$M$66:$Q$700,5,FALSE),"")</f>
        <v>0</v>
      </c>
      <c r="F110" s="21">
        <f t="shared" si="3"/>
        <v>0</v>
      </c>
    </row>
    <row r="111" spans="1:6" x14ac:dyDescent="0.3">
      <c r="A111" s="185" t="str">
        <f>DataDemande!AA170</f>
        <v/>
      </c>
      <c r="B111" s="8">
        <f>IFERROR(VLOOKUP($A111,DataDemande!$AA$63:$AE$700,2,FALSE)*VLOOKUP($A111,DataPrixBillets!$M$66:$Q$700,2,FALSE),"")</f>
        <v>0</v>
      </c>
      <c r="C111" s="8">
        <f>IFERROR(VLOOKUP($A111,DataDemande!$AA$63:$AE$700,3,FALSE)*VLOOKUP($A111,DataPrixBillets!$M$66:$Q$700,3,FALSE),"")</f>
        <v>0</v>
      </c>
      <c r="D111" s="8">
        <f>IFERROR(VLOOKUP($A111,DataDemande!$AA$63:$AE$700,4,FALSE)*VLOOKUP($A111,DataPrixBillets!$M$66:$Q$700,4,FALSE),"")</f>
        <v>0</v>
      </c>
      <c r="E111" s="8">
        <f>IFERROR(VLOOKUP($A111,DataDemande!$AA$63:$AE$700,5,FALSE)*VLOOKUP($A111,DataPrixBillets!$M$66:$Q$700,5,FALSE),"")</f>
        <v>0</v>
      </c>
      <c r="F111" s="21">
        <f t="shared" si="3"/>
        <v>0</v>
      </c>
    </row>
    <row r="112" spans="1:6" x14ac:dyDescent="0.3">
      <c r="A112" s="185" t="str">
        <f>DataDemande!AA171</f>
        <v/>
      </c>
      <c r="B112" s="8">
        <f>IFERROR(VLOOKUP($A112,DataDemande!$AA$63:$AE$700,2,FALSE)*VLOOKUP($A112,DataPrixBillets!$M$66:$Q$700,2,FALSE),"")</f>
        <v>0</v>
      </c>
      <c r="C112" s="8">
        <f>IFERROR(VLOOKUP($A112,DataDemande!$AA$63:$AE$700,3,FALSE)*VLOOKUP($A112,DataPrixBillets!$M$66:$Q$700,3,FALSE),"")</f>
        <v>0</v>
      </c>
      <c r="D112" s="8">
        <f>IFERROR(VLOOKUP($A112,DataDemande!$AA$63:$AE$700,4,FALSE)*VLOOKUP($A112,DataPrixBillets!$M$66:$Q$700,4,FALSE),"")</f>
        <v>0</v>
      </c>
      <c r="E112" s="8">
        <f>IFERROR(VLOOKUP($A112,DataDemande!$AA$63:$AE$700,5,FALSE)*VLOOKUP($A112,DataPrixBillets!$M$66:$Q$700,5,FALSE),"")</f>
        <v>0</v>
      </c>
      <c r="F112" s="21">
        <f t="shared" si="3"/>
        <v>0</v>
      </c>
    </row>
    <row r="113" spans="1:6" x14ac:dyDescent="0.3">
      <c r="A113" s="185" t="str">
        <f>DataDemande!AA172</f>
        <v/>
      </c>
      <c r="B113" s="8">
        <f>IFERROR(VLOOKUP($A113,DataDemande!$AA$63:$AE$700,2,FALSE)*VLOOKUP($A113,DataPrixBillets!$M$66:$Q$700,2,FALSE),"")</f>
        <v>0</v>
      </c>
      <c r="C113" s="8">
        <f>IFERROR(VLOOKUP($A113,DataDemande!$AA$63:$AE$700,3,FALSE)*VLOOKUP($A113,DataPrixBillets!$M$66:$Q$700,3,FALSE),"")</f>
        <v>0</v>
      </c>
      <c r="D113" s="8">
        <f>IFERROR(VLOOKUP($A113,DataDemande!$AA$63:$AE$700,4,FALSE)*VLOOKUP($A113,DataPrixBillets!$M$66:$Q$700,4,FALSE),"")</f>
        <v>0</v>
      </c>
      <c r="E113" s="8">
        <f>IFERROR(VLOOKUP($A113,DataDemande!$AA$63:$AE$700,5,FALSE)*VLOOKUP($A113,DataPrixBillets!$M$66:$Q$700,5,FALSE),"")</f>
        <v>0</v>
      </c>
      <c r="F113" s="21">
        <f t="shared" si="3"/>
        <v>0</v>
      </c>
    </row>
    <row r="114" spans="1:6" x14ac:dyDescent="0.3">
      <c r="A114" s="185" t="str">
        <f>DataDemande!AA173</f>
        <v/>
      </c>
      <c r="B114" s="8">
        <f>IFERROR(VLOOKUP($A114,DataDemande!$AA$63:$AE$700,2,FALSE)*VLOOKUP($A114,DataPrixBillets!$M$66:$Q$700,2,FALSE),"")</f>
        <v>0</v>
      </c>
      <c r="C114" s="8">
        <f>IFERROR(VLOOKUP($A114,DataDemande!$AA$63:$AE$700,3,FALSE)*VLOOKUP($A114,DataPrixBillets!$M$66:$Q$700,3,FALSE),"")</f>
        <v>0</v>
      </c>
      <c r="D114" s="8">
        <f>IFERROR(VLOOKUP($A114,DataDemande!$AA$63:$AE$700,4,FALSE)*VLOOKUP($A114,DataPrixBillets!$M$66:$Q$700,4,FALSE),"")</f>
        <v>0</v>
      </c>
      <c r="E114" s="8">
        <f>IFERROR(VLOOKUP($A114,DataDemande!$AA$63:$AE$700,5,FALSE)*VLOOKUP($A114,DataPrixBillets!$M$66:$Q$700,5,FALSE),"")</f>
        <v>0</v>
      </c>
      <c r="F114" s="21">
        <f t="shared" si="3"/>
        <v>0</v>
      </c>
    </row>
    <row r="115" spans="1:6" x14ac:dyDescent="0.3">
      <c r="A115" s="185" t="str">
        <f>DataDemande!AA174</f>
        <v/>
      </c>
      <c r="B115" s="8">
        <f>IFERROR(VLOOKUP($A115,DataDemande!$AA$63:$AE$700,2,FALSE)*VLOOKUP($A115,DataPrixBillets!$M$66:$Q$700,2,FALSE),"")</f>
        <v>0</v>
      </c>
      <c r="C115" s="8">
        <f>IFERROR(VLOOKUP($A115,DataDemande!$AA$63:$AE$700,3,FALSE)*VLOOKUP($A115,DataPrixBillets!$M$66:$Q$700,3,FALSE),"")</f>
        <v>0</v>
      </c>
      <c r="D115" s="8">
        <f>IFERROR(VLOOKUP($A115,DataDemande!$AA$63:$AE$700,4,FALSE)*VLOOKUP($A115,DataPrixBillets!$M$66:$Q$700,4,FALSE),"")</f>
        <v>0</v>
      </c>
      <c r="E115" s="8">
        <f>IFERROR(VLOOKUP($A115,DataDemande!$AA$63:$AE$700,5,FALSE)*VLOOKUP($A115,DataPrixBillets!$M$66:$Q$700,5,FALSE),"")</f>
        <v>0</v>
      </c>
      <c r="F115" s="21">
        <f t="shared" si="3"/>
        <v>0</v>
      </c>
    </row>
    <row r="116" spans="1:6" x14ac:dyDescent="0.3">
      <c r="A116" s="185" t="str">
        <f>DataDemande!AA175</f>
        <v/>
      </c>
      <c r="B116" s="8">
        <f>IFERROR(VLOOKUP($A116,DataDemande!$AA$63:$AE$700,2,FALSE)*VLOOKUP($A116,DataPrixBillets!$M$66:$Q$700,2,FALSE),"")</f>
        <v>0</v>
      </c>
      <c r="C116" s="8">
        <f>IFERROR(VLOOKUP($A116,DataDemande!$AA$63:$AE$700,3,FALSE)*VLOOKUP($A116,DataPrixBillets!$M$66:$Q$700,3,FALSE),"")</f>
        <v>0</v>
      </c>
      <c r="D116" s="8">
        <f>IFERROR(VLOOKUP($A116,DataDemande!$AA$63:$AE$700,4,FALSE)*VLOOKUP($A116,DataPrixBillets!$M$66:$Q$700,4,FALSE),"")</f>
        <v>0</v>
      </c>
      <c r="E116" s="8">
        <f>IFERROR(VLOOKUP($A116,DataDemande!$AA$63:$AE$700,5,FALSE)*VLOOKUP($A116,DataPrixBillets!$M$66:$Q$700,5,FALSE),"")</f>
        <v>0</v>
      </c>
      <c r="F116" s="21">
        <f t="shared" si="3"/>
        <v>0</v>
      </c>
    </row>
    <row r="117" spans="1:6" x14ac:dyDescent="0.3">
      <c r="A117" s="185" t="str">
        <f>DataDemande!AA176</f>
        <v/>
      </c>
      <c r="B117" s="8">
        <f>IFERROR(VLOOKUP($A117,DataDemande!$AA$63:$AE$700,2,FALSE)*VLOOKUP($A117,DataPrixBillets!$M$66:$Q$700,2,FALSE),"")</f>
        <v>0</v>
      </c>
      <c r="C117" s="8">
        <f>IFERROR(VLOOKUP($A117,DataDemande!$AA$63:$AE$700,3,FALSE)*VLOOKUP($A117,DataPrixBillets!$M$66:$Q$700,3,FALSE),"")</f>
        <v>0</v>
      </c>
      <c r="D117" s="8">
        <f>IFERROR(VLOOKUP($A117,DataDemande!$AA$63:$AE$700,4,FALSE)*VLOOKUP($A117,DataPrixBillets!$M$66:$Q$700,4,FALSE),"")</f>
        <v>0</v>
      </c>
      <c r="E117" s="8">
        <f>IFERROR(VLOOKUP($A117,DataDemande!$AA$63:$AE$700,5,FALSE)*VLOOKUP($A117,DataPrixBillets!$M$66:$Q$700,5,FALSE),"")</f>
        <v>0</v>
      </c>
      <c r="F117" s="21">
        <f t="shared" si="3"/>
        <v>0</v>
      </c>
    </row>
    <row r="118" spans="1:6" x14ac:dyDescent="0.3">
      <c r="A118" s="185" t="str">
        <f>DataDemande!AA177</f>
        <v/>
      </c>
      <c r="B118" s="8">
        <f>IFERROR(VLOOKUP($A118,DataDemande!$AA$63:$AE$700,2,FALSE)*VLOOKUP($A118,DataPrixBillets!$M$66:$Q$700,2,FALSE),"")</f>
        <v>0</v>
      </c>
      <c r="C118" s="8">
        <f>IFERROR(VLOOKUP($A118,DataDemande!$AA$63:$AE$700,3,FALSE)*VLOOKUP($A118,DataPrixBillets!$M$66:$Q$700,3,FALSE),"")</f>
        <v>0</v>
      </c>
      <c r="D118" s="8">
        <f>IFERROR(VLOOKUP($A118,DataDemande!$AA$63:$AE$700,4,FALSE)*VLOOKUP($A118,DataPrixBillets!$M$66:$Q$700,4,FALSE),"")</f>
        <v>0</v>
      </c>
      <c r="E118" s="8">
        <f>IFERROR(VLOOKUP($A118,DataDemande!$AA$63:$AE$700,5,FALSE)*VLOOKUP($A118,DataPrixBillets!$M$66:$Q$700,5,FALSE),"")</f>
        <v>0</v>
      </c>
      <c r="F118" s="21">
        <f t="shared" si="3"/>
        <v>0</v>
      </c>
    </row>
    <row r="119" spans="1:6" x14ac:dyDescent="0.3">
      <c r="A119" s="185" t="str">
        <f>DataDemande!AA178</f>
        <v/>
      </c>
      <c r="B119" s="8">
        <f>IFERROR(VLOOKUP($A119,DataDemande!$AA$63:$AE$700,2,FALSE)*VLOOKUP($A119,DataPrixBillets!$M$66:$Q$700,2,FALSE),"")</f>
        <v>0</v>
      </c>
      <c r="C119" s="8">
        <f>IFERROR(VLOOKUP($A119,DataDemande!$AA$63:$AE$700,3,FALSE)*VLOOKUP($A119,DataPrixBillets!$M$66:$Q$700,3,FALSE),"")</f>
        <v>0</v>
      </c>
      <c r="D119" s="8">
        <f>IFERROR(VLOOKUP($A119,DataDemande!$AA$63:$AE$700,4,FALSE)*VLOOKUP($A119,DataPrixBillets!$M$66:$Q$700,4,FALSE),"")</f>
        <v>0</v>
      </c>
      <c r="E119" s="8">
        <f>IFERROR(VLOOKUP($A119,DataDemande!$AA$63:$AE$700,5,FALSE)*VLOOKUP($A119,DataPrixBillets!$M$66:$Q$700,5,FALSE),"")</f>
        <v>0</v>
      </c>
      <c r="F119" s="21">
        <f t="shared" si="3"/>
        <v>0</v>
      </c>
    </row>
    <row r="120" spans="1:6" x14ac:dyDescent="0.3">
      <c r="A120" s="185" t="str">
        <f>DataDemande!AA179</f>
        <v/>
      </c>
      <c r="B120" s="8">
        <f>IFERROR(VLOOKUP($A120,DataDemande!$AA$63:$AE$700,2,FALSE)*VLOOKUP($A120,DataPrixBillets!$M$66:$Q$700,2,FALSE),"")</f>
        <v>0</v>
      </c>
      <c r="C120" s="8">
        <f>IFERROR(VLOOKUP($A120,DataDemande!$AA$63:$AE$700,3,FALSE)*VLOOKUP($A120,DataPrixBillets!$M$66:$Q$700,3,FALSE),"")</f>
        <v>0</v>
      </c>
      <c r="D120" s="8">
        <f>IFERROR(VLOOKUP($A120,DataDemande!$AA$63:$AE$700,4,FALSE)*VLOOKUP($A120,DataPrixBillets!$M$66:$Q$700,4,FALSE),"")</f>
        <v>0</v>
      </c>
      <c r="E120" s="8">
        <f>IFERROR(VLOOKUP($A120,DataDemande!$AA$63:$AE$700,5,FALSE)*VLOOKUP($A120,DataPrixBillets!$M$66:$Q$700,5,FALSE),"")</f>
        <v>0</v>
      </c>
      <c r="F120" s="21">
        <f t="shared" si="3"/>
        <v>0</v>
      </c>
    </row>
    <row r="121" spans="1:6" x14ac:dyDescent="0.3">
      <c r="A121" s="185" t="str">
        <f>DataDemande!AA180</f>
        <v/>
      </c>
      <c r="B121" s="8">
        <f>IFERROR(VLOOKUP($A121,DataDemande!$AA$63:$AE$700,2,FALSE)*VLOOKUP($A121,DataPrixBillets!$M$66:$Q$700,2,FALSE),"")</f>
        <v>0</v>
      </c>
      <c r="C121" s="8">
        <f>IFERROR(VLOOKUP($A121,DataDemande!$AA$63:$AE$700,3,FALSE)*VLOOKUP($A121,DataPrixBillets!$M$66:$Q$700,3,FALSE),"")</f>
        <v>0</v>
      </c>
      <c r="D121" s="8">
        <f>IFERROR(VLOOKUP($A121,DataDemande!$AA$63:$AE$700,4,FALSE)*VLOOKUP($A121,DataPrixBillets!$M$66:$Q$700,4,FALSE),"")</f>
        <v>0</v>
      </c>
      <c r="E121" s="8">
        <f>IFERROR(VLOOKUP($A121,DataDemande!$AA$63:$AE$700,5,FALSE)*VLOOKUP($A121,DataPrixBillets!$M$66:$Q$700,5,FALSE),"")</f>
        <v>0</v>
      </c>
      <c r="F121" s="21">
        <f t="shared" si="3"/>
        <v>0</v>
      </c>
    </row>
    <row r="122" spans="1:6" x14ac:dyDescent="0.3">
      <c r="A122" s="185" t="str">
        <f>DataDemande!AA181</f>
        <v/>
      </c>
      <c r="B122" s="8">
        <f>IFERROR(VLOOKUP($A122,DataDemande!$AA$63:$AE$700,2,FALSE)*VLOOKUP($A122,DataPrixBillets!$M$66:$Q$700,2,FALSE),"")</f>
        <v>0</v>
      </c>
      <c r="C122" s="8">
        <f>IFERROR(VLOOKUP($A122,DataDemande!$AA$63:$AE$700,3,FALSE)*VLOOKUP($A122,DataPrixBillets!$M$66:$Q$700,3,FALSE),"")</f>
        <v>0</v>
      </c>
      <c r="D122" s="8">
        <f>IFERROR(VLOOKUP($A122,DataDemande!$AA$63:$AE$700,4,FALSE)*VLOOKUP($A122,DataPrixBillets!$M$66:$Q$700,4,FALSE),"")</f>
        <v>0</v>
      </c>
      <c r="E122" s="8">
        <f>IFERROR(VLOOKUP($A122,DataDemande!$AA$63:$AE$700,5,FALSE)*VLOOKUP($A122,DataPrixBillets!$M$66:$Q$700,5,FALSE),"")</f>
        <v>0</v>
      </c>
      <c r="F122" s="21">
        <f t="shared" si="3"/>
        <v>0</v>
      </c>
    </row>
    <row r="123" spans="1:6" x14ac:dyDescent="0.3">
      <c r="A123" s="185" t="str">
        <f>DataDemande!AA182</f>
        <v/>
      </c>
      <c r="B123" s="8">
        <f>IFERROR(VLOOKUP($A123,DataDemande!$AA$63:$AE$700,2,FALSE)*VLOOKUP($A123,DataPrixBillets!$M$66:$Q$700,2,FALSE),"")</f>
        <v>0</v>
      </c>
      <c r="C123" s="8">
        <f>IFERROR(VLOOKUP($A123,DataDemande!$AA$63:$AE$700,3,FALSE)*VLOOKUP($A123,DataPrixBillets!$M$66:$Q$700,3,FALSE),"")</f>
        <v>0</v>
      </c>
      <c r="D123" s="8">
        <f>IFERROR(VLOOKUP($A123,DataDemande!$AA$63:$AE$700,4,FALSE)*VLOOKUP($A123,DataPrixBillets!$M$66:$Q$700,4,FALSE),"")</f>
        <v>0</v>
      </c>
      <c r="E123" s="8">
        <f>IFERROR(VLOOKUP($A123,DataDemande!$AA$63:$AE$700,5,FALSE)*VLOOKUP($A123,DataPrixBillets!$M$66:$Q$700,5,FALSE),"")</f>
        <v>0</v>
      </c>
      <c r="F123" s="21">
        <f t="shared" si="3"/>
        <v>0</v>
      </c>
    </row>
    <row r="124" spans="1:6" x14ac:dyDescent="0.3">
      <c r="A124" s="185" t="str">
        <f>DataDemande!AA183</f>
        <v/>
      </c>
      <c r="B124" s="8">
        <f>IFERROR(VLOOKUP($A124,DataDemande!$AA$63:$AE$700,2,FALSE)*VLOOKUP($A124,DataPrixBillets!$M$66:$Q$700,2,FALSE),"")</f>
        <v>0</v>
      </c>
      <c r="C124" s="8">
        <f>IFERROR(VLOOKUP($A124,DataDemande!$AA$63:$AE$700,3,FALSE)*VLOOKUP($A124,DataPrixBillets!$M$66:$Q$700,3,FALSE),"")</f>
        <v>0</v>
      </c>
      <c r="D124" s="8">
        <f>IFERROR(VLOOKUP($A124,DataDemande!$AA$63:$AE$700,4,FALSE)*VLOOKUP($A124,DataPrixBillets!$M$66:$Q$700,4,FALSE),"")</f>
        <v>0</v>
      </c>
      <c r="E124" s="8">
        <f>IFERROR(VLOOKUP($A124,DataDemande!$AA$63:$AE$700,5,FALSE)*VLOOKUP($A124,DataPrixBillets!$M$66:$Q$700,5,FALSE),"")</f>
        <v>0</v>
      </c>
      <c r="F124" s="21">
        <f t="shared" si="3"/>
        <v>0</v>
      </c>
    </row>
    <row r="125" spans="1:6" x14ac:dyDescent="0.3">
      <c r="A125" s="185" t="str">
        <f>DataDemande!AA184</f>
        <v/>
      </c>
      <c r="B125" s="8">
        <f>IFERROR(VLOOKUP($A125,DataDemande!$AA$63:$AE$700,2,FALSE)*VLOOKUP($A125,DataPrixBillets!$M$66:$Q$700,2,FALSE),"")</f>
        <v>0</v>
      </c>
      <c r="C125" s="8">
        <f>IFERROR(VLOOKUP($A125,DataDemande!$AA$63:$AE$700,3,FALSE)*VLOOKUP($A125,DataPrixBillets!$M$66:$Q$700,3,FALSE),"")</f>
        <v>0</v>
      </c>
      <c r="D125" s="8">
        <f>IFERROR(VLOOKUP($A125,DataDemande!$AA$63:$AE$700,4,FALSE)*VLOOKUP($A125,DataPrixBillets!$M$66:$Q$700,4,FALSE),"")</f>
        <v>0</v>
      </c>
      <c r="E125" s="8">
        <f>IFERROR(VLOOKUP($A125,DataDemande!$AA$63:$AE$700,5,FALSE)*VLOOKUP($A125,DataPrixBillets!$M$66:$Q$700,5,FALSE),"")</f>
        <v>0</v>
      </c>
      <c r="F125" s="21">
        <f t="shared" si="3"/>
        <v>0</v>
      </c>
    </row>
    <row r="126" spans="1:6" x14ac:dyDescent="0.3">
      <c r="A126" s="185" t="str">
        <f>DataDemande!AA185</f>
        <v/>
      </c>
      <c r="B126" s="8">
        <f>IFERROR(VLOOKUP($A126,DataDemande!$AA$63:$AE$700,2,FALSE)*VLOOKUP($A126,DataPrixBillets!$M$66:$Q$700,2,FALSE),"")</f>
        <v>0</v>
      </c>
      <c r="C126" s="8">
        <f>IFERROR(VLOOKUP($A126,DataDemande!$AA$63:$AE$700,3,FALSE)*VLOOKUP($A126,DataPrixBillets!$M$66:$Q$700,3,FALSE),"")</f>
        <v>0</v>
      </c>
      <c r="D126" s="8">
        <f>IFERROR(VLOOKUP($A126,DataDemande!$AA$63:$AE$700,4,FALSE)*VLOOKUP($A126,DataPrixBillets!$M$66:$Q$700,4,FALSE),"")</f>
        <v>0</v>
      </c>
      <c r="E126" s="8">
        <f>IFERROR(VLOOKUP($A126,DataDemande!$AA$63:$AE$700,5,FALSE)*VLOOKUP($A126,DataPrixBillets!$M$66:$Q$700,5,FALSE),"")</f>
        <v>0</v>
      </c>
      <c r="F126" s="21">
        <f t="shared" si="3"/>
        <v>0</v>
      </c>
    </row>
    <row r="127" spans="1:6" x14ac:dyDescent="0.3">
      <c r="A127" s="185" t="str">
        <f>DataDemande!AA186</f>
        <v/>
      </c>
      <c r="B127" s="8">
        <f>IFERROR(VLOOKUP($A127,DataDemande!$AA$63:$AE$700,2,FALSE)*VLOOKUP($A127,DataPrixBillets!$M$66:$Q$700,2,FALSE),"")</f>
        <v>0</v>
      </c>
      <c r="C127" s="8">
        <f>IFERROR(VLOOKUP($A127,DataDemande!$AA$63:$AE$700,3,FALSE)*VLOOKUP($A127,DataPrixBillets!$M$66:$Q$700,3,FALSE),"")</f>
        <v>0</v>
      </c>
      <c r="D127" s="8">
        <f>IFERROR(VLOOKUP($A127,DataDemande!$AA$63:$AE$700,4,FALSE)*VLOOKUP($A127,DataPrixBillets!$M$66:$Q$700,4,FALSE),"")</f>
        <v>0</v>
      </c>
      <c r="E127" s="8">
        <f>IFERROR(VLOOKUP($A127,DataDemande!$AA$63:$AE$700,5,FALSE)*VLOOKUP($A127,DataPrixBillets!$M$66:$Q$700,5,FALSE),"")</f>
        <v>0</v>
      </c>
      <c r="F127" s="21">
        <f t="shared" si="3"/>
        <v>0</v>
      </c>
    </row>
    <row r="128" spans="1:6" x14ac:dyDescent="0.3">
      <c r="A128" s="185" t="str">
        <f>DataDemande!AA187</f>
        <v/>
      </c>
      <c r="B128" s="8">
        <f>IFERROR(VLOOKUP($A128,DataDemande!$AA$63:$AE$700,2,FALSE)*VLOOKUP($A128,DataPrixBillets!$M$66:$Q$700,2,FALSE),"")</f>
        <v>0</v>
      </c>
      <c r="C128" s="8">
        <f>IFERROR(VLOOKUP($A128,DataDemande!$AA$63:$AE$700,3,FALSE)*VLOOKUP($A128,DataPrixBillets!$M$66:$Q$700,3,FALSE),"")</f>
        <v>0</v>
      </c>
      <c r="D128" s="8">
        <f>IFERROR(VLOOKUP($A128,DataDemande!$AA$63:$AE$700,4,FALSE)*VLOOKUP($A128,DataPrixBillets!$M$66:$Q$700,4,FALSE),"")</f>
        <v>0</v>
      </c>
      <c r="E128" s="8">
        <f>IFERROR(VLOOKUP($A128,DataDemande!$AA$63:$AE$700,5,FALSE)*VLOOKUP($A128,DataPrixBillets!$M$66:$Q$700,5,FALSE),"")</f>
        <v>0</v>
      </c>
      <c r="F128" s="21">
        <f t="shared" si="3"/>
        <v>0</v>
      </c>
    </row>
    <row r="129" spans="1:6" x14ac:dyDescent="0.3">
      <c r="A129" s="185" t="str">
        <f>DataDemande!AA188</f>
        <v/>
      </c>
      <c r="B129" s="8">
        <f>IFERROR(VLOOKUP($A129,DataDemande!$AA$63:$AE$700,2,FALSE)*VLOOKUP($A129,DataPrixBillets!$M$66:$Q$700,2,FALSE),"")</f>
        <v>0</v>
      </c>
      <c r="C129" s="8">
        <f>IFERROR(VLOOKUP($A129,DataDemande!$AA$63:$AE$700,3,FALSE)*VLOOKUP($A129,DataPrixBillets!$M$66:$Q$700,3,FALSE),"")</f>
        <v>0</v>
      </c>
      <c r="D129" s="8">
        <f>IFERROR(VLOOKUP($A129,DataDemande!$AA$63:$AE$700,4,FALSE)*VLOOKUP($A129,DataPrixBillets!$M$66:$Q$700,4,FALSE),"")</f>
        <v>0</v>
      </c>
      <c r="E129" s="8">
        <f>IFERROR(VLOOKUP($A129,DataDemande!$AA$63:$AE$700,5,FALSE)*VLOOKUP($A129,DataPrixBillets!$M$66:$Q$700,5,FALSE),"")</f>
        <v>0</v>
      </c>
      <c r="F129" s="21">
        <f t="shared" si="3"/>
        <v>0</v>
      </c>
    </row>
    <row r="130" spans="1:6" x14ac:dyDescent="0.3">
      <c r="A130" s="185" t="str">
        <f>DataDemande!AA189</f>
        <v/>
      </c>
      <c r="B130" s="8">
        <f>IFERROR(VLOOKUP($A130,DataDemande!$AA$63:$AE$700,2,FALSE)*VLOOKUP($A130,DataPrixBillets!$M$66:$Q$700,2,FALSE),"")</f>
        <v>0</v>
      </c>
      <c r="C130" s="8">
        <f>IFERROR(VLOOKUP($A130,DataDemande!$AA$63:$AE$700,3,FALSE)*VLOOKUP($A130,DataPrixBillets!$M$66:$Q$700,3,FALSE),"")</f>
        <v>0</v>
      </c>
      <c r="D130" s="8">
        <f>IFERROR(VLOOKUP($A130,DataDemande!$AA$63:$AE$700,4,FALSE)*VLOOKUP($A130,DataPrixBillets!$M$66:$Q$700,4,FALSE),"")</f>
        <v>0</v>
      </c>
      <c r="E130" s="8">
        <f>IFERROR(VLOOKUP($A130,DataDemande!$AA$63:$AE$700,5,FALSE)*VLOOKUP($A130,DataPrixBillets!$M$66:$Q$700,5,FALSE),"")</f>
        <v>0</v>
      </c>
      <c r="F130" s="21">
        <f t="shared" si="3"/>
        <v>0</v>
      </c>
    </row>
    <row r="131" spans="1:6" x14ac:dyDescent="0.3">
      <c r="A131" s="185" t="str">
        <f>DataDemande!AA190</f>
        <v/>
      </c>
      <c r="B131" s="8">
        <f>IFERROR(VLOOKUP($A131,DataDemande!$AA$63:$AE$700,2,FALSE)*VLOOKUP($A131,DataPrixBillets!$M$66:$Q$700,2,FALSE),"")</f>
        <v>0</v>
      </c>
      <c r="C131" s="8">
        <f>IFERROR(VLOOKUP($A131,DataDemande!$AA$63:$AE$700,3,FALSE)*VLOOKUP($A131,DataPrixBillets!$M$66:$Q$700,3,FALSE),"")</f>
        <v>0</v>
      </c>
      <c r="D131" s="8">
        <f>IFERROR(VLOOKUP($A131,DataDemande!$AA$63:$AE$700,4,FALSE)*VLOOKUP($A131,DataPrixBillets!$M$66:$Q$700,4,FALSE),"")</f>
        <v>0</v>
      </c>
      <c r="E131" s="8">
        <f>IFERROR(VLOOKUP($A131,DataDemande!$AA$63:$AE$700,5,FALSE)*VLOOKUP($A131,DataPrixBillets!$M$66:$Q$700,5,FALSE),"")</f>
        <v>0</v>
      </c>
      <c r="F131" s="21">
        <f t="shared" si="3"/>
        <v>0</v>
      </c>
    </row>
    <row r="132" spans="1:6" x14ac:dyDescent="0.3">
      <c r="A132" s="185" t="str">
        <f>DataDemande!AA191</f>
        <v/>
      </c>
      <c r="B132" s="8">
        <f>IFERROR(VLOOKUP($A132,DataDemande!$AA$63:$AE$700,2,FALSE)*VLOOKUP($A132,DataPrixBillets!$M$66:$Q$700,2,FALSE),"")</f>
        <v>0</v>
      </c>
      <c r="C132" s="8">
        <f>IFERROR(VLOOKUP($A132,DataDemande!$AA$63:$AE$700,3,FALSE)*VLOOKUP($A132,DataPrixBillets!$M$66:$Q$700,3,FALSE),"")</f>
        <v>0</v>
      </c>
      <c r="D132" s="8">
        <f>IFERROR(VLOOKUP($A132,DataDemande!$AA$63:$AE$700,4,FALSE)*VLOOKUP($A132,DataPrixBillets!$M$66:$Q$700,4,FALSE),"")</f>
        <v>0</v>
      </c>
      <c r="E132" s="8">
        <f>IFERROR(VLOOKUP($A132,DataDemande!$AA$63:$AE$700,5,FALSE)*VLOOKUP($A132,DataPrixBillets!$M$66:$Q$700,5,FALSE),"")</f>
        <v>0</v>
      </c>
      <c r="F132" s="21">
        <f t="shared" si="3"/>
        <v>0</v>
      </c>
    </row>
    <row r="133" spans="1:6" x14ac:dyDescent="0.3">
      <c r="A133" s="185" t="str">
        <f>DataDemande!AA192</f>
        <v/>
      </c>
      <c r="B133" s="8">
        <f>IFERROR(VLOOKUP($A133,DataDemande!$AA$63:$AE$700,2,FALSE)*VLOOKUP($A133,DataPrixBillets!$M$66:$Q$700,2,FALSE),"")</f>
        <v>0</v>
      </c>
      <c r="C133" s="8">
        <f>IFERROR(VLOOKUP($A133,DataDemande!$AA$63:$AE$700,3,FALSE)*VLOOKUP($A133,DataPrixBillets!$M$66:$Q$700,3,FALSE),"")</f>
        <v>0</v>
      </c>
      <c r="D133" s="8">
        <f>IFERROR(VLOOKUP($A133,DataDemande!$AA$63:$AE$700,4,FALSE)*VLOOKUP($A133,DataPrixBillets!$M$66:$Q$700,4,FALSE),"")</f>
        <v>0</v>
      </c>
      <c r="E133" s="8">
        <f>IFERROR(VLOOKUP($A133,DataDemande!$AA$63:$AE$700,5,FALSE)*VLOOKUP($A133,DataPrixBillets!$M$66:$Q$700,5,FALSE),"")</f>
        <v>0</v>
      </c>
      <c r="F133" s="21">
        <f t="shared" ref="F133:F196" si="4">SUM(B133:E133)</f>
        <v>0</v>
      </c>
    </row>
    <row r="134" spans="1:6" x14ac:dyDescent="0.3">
      <c r="A134" s="185" t="str">
        <f>DataDemande!AA193</f>
        <v/>
      </c>
      <c r="B134" s="8">
        <f>IFERROR(VLOOKUP($A134,DataDemande!$AA$63:$AE$700,2,FALSE)*VLOOKUP($A134,DataPrixBillets!$M$66:$Q$700,2,FALSE),"")</f>
        <v>0</v>
      </c>
      <c r="C134" s="8">
        <f>IFERROR(VLOOKUP($A134,DataDemande!$AA$63:$AE$700,3,FALSE)*VLOOKUP($A134,DataPrixBillets!$M$66:$Q$700,3,FALSE),"")</f>
        <v>0</v>
      </c>
      <c r="D134" s="8">
        <f>IFERROR(VLOOKUP($A134,DataDemande!$AA$63:$AE$700,4,FALSE)*VLOOKUP($A134,DataPrixBillets!$M$66:$Q$700,4,FALSE),"")</f>
        <v>0</v>
      </c>
      <c r="E134" s="8">
        <f>IFERROR(VLOOKUP($A134,DataDemande!$AA$63:$AE$700,5,FALSE)*VLOOKUP($A134,DataPrixBillets!$M$66:$Q$700,5,FALSE),"")</f>
        <v>0</v>
      </c>
      <c r="F134" s="21">
        <f t="shared" si="4"/>
        <v>0</v>
      </c>
    </row>
    <row r="135" spans="1:6" x14ac:dyDescent="0.3">
      <c r="A135" s="185" t="str">
        <f>DataDemande!AA194</f>
        <v/>
      </c>
      <c r="B135" s="8">
        <f>IFERROR(VLOOKUP($A135,DataDemande!$AA$63:$AE$700,2,FALSE)*VLOOKUP($A135,DataPrixBillets!$M$66:$Q$700,2,FALSE),"")</f>
        <v>0</v>
      </c>
      <c r="C135" s="8">
        <f>IFERROR(VLOOKUP($A135,DataDemande!$AA$63:$AE$700,3,FALSE)*VLOOKUP($A135,DataPrixBillets!$M$66:$Q$700,3,FALSE),"")</f>
        <v>0</v>
      </c>
      <c r="D135" s="8">
        <f>IFERROR(VLOOKUP($A135,DataDemande!$AA$63:$AE$700,4,FALSE)*VLOOKUP($A135,DataPrixBillets!$M$66:$Q$700,4,FALSE),"")</f>
        <v>0</v>
      </c>
      <c r="E135" s="8">
        <f>IFERROR(VLOOKUP($A135,DataDemande!$AA$63:$AE$700,5,FALSE)*VLOOKUP($A135,DataPrixBillets!$M$66:$Q$700,5,FALSE),"")</f>
        <v>0</v>
      </c>
      <c r="F135" s="21">
        <f t="shared" si="4"/>
        <v>0</v>
      </c>
    </row>
    <row r="136" spans="1:6" x14ac:dyDescent="0.3">
      <c r="A136" s="185" t="str">
        <f>DataDemande!AA195</f>
        <v/>
      </c>
      <c r="B136" s="8">
        <f>IFERROR(VLOOKUP($A136,DataDemande!$AA$63:$AE$700,2,FALSE)*VLOOKUP($A136,DataPrixBillets!$M$66:$Q$700,2,FALSE),"")</f>
        <v>0</v>
      </c>
      <c r="C136" s="8">
        <f>IFERROR(VLOOKUP($A136,DataDemande!$AA$63:$AE$700,3,FALSE)*VLOOKUP($A136,DataPrixBillets!$M$66:$Q$700,3,FALSE),"")</f>
        <v>0</v>
      </c>
      <c r="D136" s="8">
        <f>IFERROR(VLOOKUP($A136,DataDemande!$AA$63:$AE$700,4,FALSE)*VLOOKUP($A136,DataPrixBillets!$M$66:$Q$700,4,FALSE),"")</f>
        <v>0</v>
      </c>
      <c r="E136" s="8">
        <f>IFERROR(VLOOKUP($A136,DataDemande!$AA$63:$AE$700,5,FALSE)*VLOOKUP($A136,DataPrixBillets!$M$66:$Q$700,5,FALSE),"")</f>
        <v>0</v>
      </c>
      <c r="F136" s="21">
        <f t="shared" si="4"/>
        <v>0</v>
      </c>
    </row>
    <row r="137" spans="1:6" x14ac:dyDescent="0.3">
      <c r="A137" s="185" t="str">
        <f>DataDemande!AA196</f>
        <v/>
      </c>
      <c r="B137" s="8">
        <f>IFERROR(VLOOKUP($A137,DataDemande!$AA$63:$AE$700,2,FALSE)*VLOOKUP($A137,DataPrixBillets!$M$66:$Q$700,2,FALSE),"")</f>
        <v>0</v>
      </c>
      <c r="C137" s="8">
        <f>IFERROR(VLOOKUP($A137,DataDemande!$AA$63:$AE$700,3,FALSE)*VLOOKUP($A137,DataPrixBillets!$M$66:$Q$700,3,FALSE),"")</f>
        <v>0</v>
      </c>
      <c r="D137" s="8">
        <f>IFERROR(VLOOKUP($A137,DataDemande!$AA$63:$AE$700,4,FALSE)*VLOOKUP($A137,DataPrixBillets!$M$66:$Q$700,4,FALSE),"")</f>
        <v>0</v>
      </c>
      <c r="E137" s="8">
        <f>IFERROR(VLOOKUP($A137,DataDemande!$AA$63:$AE$700,5,FALSE)*VLOOKUP($A137,DataPrixBillets!$M$66:$Q$700,5,FALSE),"")</f>
        <v>0</v>
      </c>
      <c r="F137" s="21">
        <f t="shared" si="4"/>
        <v>0</v>
      </c>
    </row>
    <row r="138" spans="1:6" x14ac:dyDescent="0.3">
      <c r="A138" s="185" t="str">
        <f>DataDemande!AA197</f>
        <v/>
      </c>
      <c r="B138" s="8">
        <f>IFERROR(VLOOKUP($A138,DataDemande!$AA$63:$AE$700,2,FALSE)*VLOOKUP($A138,DataPrixBillets!$M$66:$Q$700,2,FALSE),"")</f>
        <v>0</v>
      </c>
      <c r="C138" s="8">
        <f>IFERROR(VLOOKUP($A138,DataDemande!$AA$63:$AE$700,3,FALSE)*VLOOKUP($A138,DataPrixBillets!$M$66:$Q$700,3,FALSE),"")</f>
        <v>0</v>
      </c>
      <c r="D138" s="8">
        <f>IFERROR(VLOOKUP($A138,DataDemande!$AA$63:$AE$700,4,FALSE)*VLOOKUP($A138,DataPrixBillets!$M$66:$Q$700,4,FALSE),"")</f>
        <v>0</v>
      </c>
      <c r="E138" s="8">
        <f>IFERROR(VLOOKUP($A138,DataDemande!$AA$63:$AE$700,5,FALSE)*VLOOKUP($A138,DataPrixBillets!$M$66:$Q$700,5,FALSE),"")</f>
        <v>0</v>
      </c>
      <c r="F138" s="21">
        <f t="shared" si="4"/>
        <v>0</v>
      </c>
    </row>
    <row r="139" spans="1:6" x14ac:dyDescent="0.3">
      <c r="A139" s="185" t="str">
        <f>DataDemande!AA198</f>
        <v/>
      </c>
      <c r="B139" s="8">
        <f>IFERROR(VLOOKUP($A139,DataDemande!$AA$63:$AE$700,2,FALSE)*VLOOKUP($A139,DataPrixBillets!$M$66:$Q$700,2,FALSE),"")</f>
        <v>0</v>
      </c>
      <c r="C139" s="8">
        <f>IFERROR(VLOOKUP($A139,DataDemande!$AA$63:$AE$700,3,FALSE)*VLOOKUP($A139,DataPrixBillets!$M$66:$Q$700,3,FALSE),"")</f>
        <v>0</v>
      </c>
      <c r="D139" s="8">
        <f>IFERROR(VLOOKUP($A139,DataDemande!$AA$63:$AE$700,4,FALSE)*VLOOKUP($A139,DataPrixBillets!$M$66:$Q$700,4,FALSE),"")</f>
        <v>0</v>
      </c>
      <c r="E139" s="8">
        <f>IFERROR(VLOOKUP($A139,DataDemande!$AA$63:$AE$700,5,FALSE)*VLOOKUP($A139,DataPrixBillets!$M$66:$Q$700,5,FALSE),"")</f>
        <v>0</v>
      </c>
      <c r="F139" s="21">
        <f t="shared" si="4"/>
        <v>0</v>
      </c>
    </row>
    <row r="140" spans="1:6" x14ac:dyDescent="0.3">
      <c r="A140" s="185" t="str">
        <f>DataDemande!AA199</f>
        <v/>
      </c>
      <c r="B140" s="8">
        <f>IFERROR(VLOOKUP($A140,DataDemande!$AA$63:$AE$700,2,FALSE)*VLOOKUP($A140,DataPrixBillets!$M$66:$Q$700,2,FALSE),"")</f>
        <v>0</v>
      </c>
      <c r="C140" s="8">
        <f>IFERROR(VLOOKUP($A140,DataDemande!$AA$63:$AE$700,3,FALSE)*VLOOKUP($A140,DataPrixBillets!$M$66:$Q$700,3,FALSE),"")</f>
        <v>0</v>
      </c>
      <c r="D140" s="8">
        <f>IFERROR(VLOOKUP($A140,DataDemande!$AA$63:$AE$700,4,FALSE)*VLOOKUP($A140,DataPrixBillets!$M$66:$Q$700,4,FALSE),"")</f>
        <v>0</v>
      </c>
      <c r="E140" s="8">
        <f>IFERROR(VLOOKUP($A140,DataDemande!$AA$63:$AE$700,5,FALSE)*VLOOKUP($A140,DataPrixBillets!$M$66:$Q$700,5,FALSE),"")</f>
        <v>0</v>
      </c>
      <c r="F140" s="21">
        <f t="shared" si="4"/>
        <v>0</v>
      </c>
    </row>
    <row r="141" spans="1:6" x14ac:dyDescent="0.3">
      <c r="A141" s="185" t="str">
        <f>DataDemande!AA200</f>
        <v/>
      </c>
      <c r="B141" s="8">
        <f>IFERROR(VLOOKUP($A141,DataDemande!$AA$63:$AE$700,2,FALSE)*VLOOKUP($A141,DataPrixBillets!$M$66:$Q$700,2,FALSE),"")</f>
        <v>0</v>
      </c>
      <c r="C141" s="8">
        <f>IFERROR(VLOOKUP($A141,DataDemande!$AA$63:$AE$700,3,FALSE)*VLOOKUP($A141,DataPrixBillets!$M$66:$Q$700,3,FALSE),"")</f>
        <v>0</v>
      </c>
      <c r="D141" s="8">
        <f>IFERROR(VLOOKUP($A141,DataDemande!$AA$63:$AE$700,4,FALSE)*VLOOKUP($A141,DataPrixBillets!$M$66:$Q$700,4,FALSE),"")</f>
        <v>0</v>
      </c>
      <c r="E141" s="8">
        <f>IFERROR(VLOOKUP($A141,DataDemande!$AA$63:$AE$700,5,FALSE)*VLOOKUP($A141,DataPrixBillets!$M$66:$Q$700,5,FALSE),"")</f>
        <v>0</v>
      </c>
      <c r="F141" s="21">
        <f t="shared" si="4"/>
        <v>0</v>
      </c>
    </row>
    <row r="142" spans="1:6" x14ac:dyDescent="0.3">
      <c r="A142" s="185" t="str">
        <f>DataDemande!AA201</f>
        <v/>
      </c>
      <c r="B142" s="8">
        <f>IFERROR(VLOOKUP($A142,DataDemande!$AA$63:$AE$700,2,FALSE)*VLOOKUP($A142,DataPrixBillets!$M$66:$Q$700,2,FALSE),"")</f>
        <v>0</v>
      </c>
      <c r="C142" s="8">
        <f>IFERROR(VLOOKUP($A142,DataDemande!$AA$63:$AE$700,3,FALSE)*VLOOKUP($A142,DataPrixBillets!$M$66:$Q$700,3,FALSE),"")</f>
        <v>0</v>
      </c>
      <c r="D142" s="8">
        <f>IFERROR(VLOOKUP($A142,DataDemande!$AA$63:$AE$700,4,FALSE)*VLOOKUP($A142,DataPrixBillets!$M$66:$Q$700,4,FALSE),"")</f>
        <v>0</v>
      </c>
      <c r="E142" s="8">
        <f>IFERROR(VLOOKUP($A142,DataDemande!$AA$63:$AE$700,5,FALSE)*VLOOKUP($A142,DataPrixBillets!$M$66:$Q$700,5,FALSE),"")</f>
        <v>0</v>
      </c>
      <c r="F142" s="21">
        <f t="shared" si="4"/>
        <v>0</v>
      </c>
    </row>
    <row r="143" spans="1:6" x14ac:dyDescent="0.3">
      <c r="A143" s="185" t="str">
        <f>DataDemande!AA202</f>
        <v/>
      </c>
      <c r="B143" s="8">
        <f>IFERROR(VLOOKUP($A143,DataDemande!$AA$63:$AE$700,2,FALSE)*VLOOKUP($A143,DataPrixBillets!$M$66:$Q$700,2,FALSE),"")</f>
        <v>0</v>
      </c>
      <c r="C143" s="8">
        <f>IFERROR(VLOOKUP($A143,DataDemande!$AA$63:$AE$700,3,FALSE)*VLOOKUP($A143,DataPrixBillets!$M$66:$Q$700,3,FALSE),"")</f>
        <v>0</v>
      </c>
      <c r="D143" s="8">
        <f>IFERROR(VLOOKUP($A143,DataDemande!$AA$63:$AE$700,4,FALSE)*VLOOKUP($A143,DataPrixBillets!$M$66:$Q$700,4,FALSE),"")</f>
        <v>0</v>
      </c>
      <c r="E143" s="8">
        <f>IFERROR(VLOOKUP($A143,DataDemande!$AA$63:$AE$700,5,FALSE)*VLOOKUP($A143,DataPrixBillets!$M$66:$Q$700,5,FALSE),"")</f>
        <v>0</v>
      </c>
      <c r="F143" s="21">
        <f t="shared" si="4"/>
        <v>0</v>
      </c>
    </row>
    <row r="144" spans="1:6" x14ac:dyDescent="0.3">
      <c r="A144" s="185" t="str">
        <f>DataDemande!AA203</f>
        <v/>
      </c>
      <c r="B144" s="8">
        <f>IFERROR(VLOOKUP($A144,DataDemande!$AA$63:$AE$700,2,FALSE)*VLOOKUP($A144,DataPrixBillets!$M$66:$Q$700,2,FALSE),"")</f>
        <v>0</v>
      </c>
      <c r="C144" s="8">
        <f>IFERROR(VLOOKUP($A144,DataDemande!$AA$63:$AE$700,3,FALSE)*VLOOKUP($A144,DataPrixBillets!$M$66:$Q$700,3,FALSE),"")</f>
        <v>0</v>
      </c>
      <c r="D144" s="8">
        <f>IFERROR(VLOOKUP($A144,DataDemande!$AA$63:$AE$700,4,FALSE)*VLOOKUP($A144,DataPrixBillets!$M$66:$Q$700,4,FALSE),"")</f>
        <v>0</v>
      </c>
      <c r="E144" s="8">
        <f>IFERROR(VLOOKUP($A144,DataDemande!$AA$63:$AE$700,5,FALSE)*VLOOKUP($A144,DataPrixBillets!$M$66:$Q$700,5,FALSE),"")</f>
        <v>0</v>
      </c>
      <c r="F144" s="21">
        <f t="shared" si="4"/>
        <v>0</v>
      </c>
    </row>
    <row r="145" spans="1:6" x14ac:dyDescent="0.3">
      <c r="A145" s="185" t="str">
        <f>DataDemande!AA204</f>
        <v/>
      </c>
      <c r="B145" s="8">
        <f>IFERROR(VLOOKUP($A145,DataDemande!$AA$63:$AE$700,2,FALSE)*VLOOKUP($A145,DataPrixBillets!$M$66:$Q$700,2,FALSE),"")</f>
        <v>0</v>
      </c>
      <c r="C145" s="8">
        <f>IFERROR(VLOOKUP($A145,DataDemande!$AA$63:$AE$700,3,FALSE)*VLOOKUP($A145,DataPrixBillets!$M$66:$Q$700,3,FALSE),"")</f>
        <v>0</v>
      </c>
      <c r="D145" s="8">
        <f>IFERROR(VLOOKUP($A145,DataDemande!$AA$63:$AE$700,4,FALSE)*VLOOKUP($A145,DataPrixBillets!$M$66:$Q$700,4,FALSE),"")</f>
        <v>0</v>
      </c>
      <c r="E145" s="8">
        <f>IFERROR(VLOOKUP($A145,DataDemande!$AA$63:$AE$700,5,FALSE)*VLOOKUP($A145,DataPrixBillets!$M$66:$Q$700,5,FALSE),"")</f>
        <v>0</v>
      </c>
      <c r="F145" s="21">
        <f t="shared" si="4"/>
        <v>0</v>
      </c>
    </row>
    <row r="146" spans="1:6" x14ac:dyDescent="0.3">
      <c r="A146" s="185" t="str">
        <f>DataDemande!AA205</f>
        <v/>
      </c>
      <c r="B146" s="8">
        <f>IFERROR(VLOOKUP($A146,DataDemande!$AA$63:$AE$700,2,FALSE)*VLOOKUP($A146,DataPrixBillets!$M$66:$Q$700,2,FALSE),"")</f>
        <v>0</v>
      </c>
      <c r="C146" s="8">
        <f>IFERROR(VLOOKUP($A146,DataDemande!$AA$63:$AE$700,3,FALSE)*VLOOKUP($A146,DataPrixBillets!$M$66:$Q$700,3,FALSE),"")</f>
        <v>0</v>
      </c>
      <c r="D146" s="8">
        <f>IFERROR(VLOOKUP($A146,DataDemande!$AA$63:$AE$700,4,FALSE)*VLOOKUP($A146,DataPrixBillets!$M$66:$Q$700,4,FALSE),"")</f>
        <v>0</v>
      </c>
      <c r="E146" s="8">
        <f>IFERROR(VLOOKUP($A146,DataDemande!$AA$63:$AE$700,5,FALSE)*VLOOKUP($A146,DataPrixBillets!$M$66:$Q$700,5,FALSE),"")</f>
        <v>0</v>
      </c>
      <c r="F146" s="21">
        <f t="shared" si="4"/>
        <v>0</v>
      </c>
    </row>
    <row r="147" spans="1:6" x14ac:dyDescent="0.3">
      <c r="A147" s="185" t="str">
        <f>DataDemande!AA206</f>
        <v/>
      </c>
      <c r="B147" s="8">
        <f>IFERROR(VLOOKUP($A147,DataDemande!$AA$63:$AE$700,2,FALSE)*VLOOKUP($A147,DataPrixBillets!$M$66:$Q$700,2,FALSE),"")</f>
        <v>0</v>
      </c>
      <c r="C147" s="8">
        <f>IFERROR(VLOOKUP($A147,DataDemande!$AA$63:$AE$700,3,FALSE)*VLOOKUP($A147,DataPrixBillets!$M$66:$Q$700,3,FALSE),"")</f>
        <v>0</v>
      </c>
      <c r="D147" s="8">
        <f>IFERROR(VLOOKUP($A147,DataDemande!$AA$63:$AE$700,4,FALSE)*VLOOKUP($A147,DataPrixBillets!$M$66:$Q$700,4,FALSE),"")</f>
        <v>0</v>
      </c>
      <c r="E147" s="8">
        <f>IFERROR(VLOOKUP($A147,DataDemande!$AA$63:$AE$700,5,FALSE)*VLOOKUP($A147,DataPrixBillets!$M$66:$Q$700,5,FALSE),"")</f>
        <v>0</v>
      </c>
      <c r="F147" s="21">
        <f t="shared" si="4"/>
        <v>0</v>
      </c>
    </row>
    <row r="148" spans="1:6" x14ac:dyDescent="0.3">
      <c r="A148" s="185" t="str">
        <f>DataDemande!AA207</f>
        <v/>
      </c>
      <c r="B148" s="8">
        <f>IFERROR(VLOOKUP($A148,DataDemande!$AA$63:$AE$700,2,FALSE)*VLOOKUP($A148,DataPrixBillets!$M$66:$Q$700,2,FALSE),"")</f>
        <v>0</v>
      </c>
      <c r="C148" s="8">
        <f>IFERROR(VLOOKUP($A148,DataDemande!$AA$63:$AE$700,3,FALSE)*VLOOKUP($A148,DataPrixBillets!$M$66:$Q$700,3,FALSE),"")</f>
        <v>0</v>
      </c>
      <c r="D148" s="8">
        <f>IFERROR(VLOOKUP($A148,DataDemande!$AA$63:$AE$700,4,FALSE)*VLOOKUP($A148,DataPrixBillets!$M$66:$Q$700,4,FALSE),"")</f>
        <v>0</v>
      </c>
      <c r="E148" s="8">
        <f>IFERROR(VLOOKUP($A148,DataDemande!$AA$63:$AE$700,5,FALSE)*VLOOKUP($A148,DataPrixBillets!$M$66:$Q$700,5,FALSE),"")</f>
        <v>0</v>
      </c>
      <c r="F148" s="21">
        <f t="shared" si="4"/>
        <v>0</v>
      </c>
    </row>
    <row r="149" spans="1:6" x14ac:dyDescent="0.3">
      <c r="A149" s="185" t="str">
        <f>DataDemande!AA208</f>
        <v/>
      </c>
      <c r="B149" s="8">
        <f>IFERROR(VLOOKUP($A149,DataDemande!$AA$63:$AE$700,2,FALSE)*VLOOKUP($A149,DataPrixBillets!$M$66:$Q$700,2,FALSE),"")</f>
        <v>0</v>
      </c>
      <c r="C149" s="8">
        <f>IFERROR(VLOOKUP($A149,DataDemande!$AA$63:$AE$700,3,FALSE)*VLOOKUP($A149,DataPrixBillets!$M$66:$Q$700,3,FALSE),"")</f>
        <v>0</v>
      </c>
      <c r="D149" s="8">
        <f>IFERROR(VLOOKUP($A149,DataDemande!$AA$63:$AE$700,4,FALSE)*VLOOKUP($A149,DataPrixBillets!$M$66:$Q$700,4,FALSE),"")</f>
        <v>0</v>
      </c>
      <c r="E149" s="8">
        <f>IFERROR(VLOOKUP($A149,DataDemande!$AA$63:$AE$700,5,FALSE)*VLOOKUP($A149,DataPrixBillets!$M$66:$Q$700,5,FALSE),"")</f>
        <v>0</v>
      </c>
      <c r="F149" s="21">
        <f t="shared" si="4"/>
        <v>0</v>
      </c>
    </row>
    <row r="150" spans="1:6" x14ac:dyDescent="0.3">
      <c r="A150" s="185" t="str">
        <f>DataDemande!AA209</f>
        <v/>
      </c>
      <c r="B150" s="8">
        <f>IFERROR(VLOOKUP($A150,DataDemande!$AA$63:$AE$700,2,FALSE)*VLOOKUP($A150,DataPrixBillets!$M$66:$Q$700,2,FALSE),"")</f>
        <v>0</v>
      </c>
      <c r="C150" s="8">
        <f>IFERROR(VLOOKUP($A150,DataDemande!$AA$63:$AE$700,3,FALSE)*VLOOKUP($A150,DataPrixBillets!$M$66:$Q$700,3,FALSE),"")</f>
        <v>0</v>
      </c>
      <c r="D150" s="8">
        <f>IFERROR(VLOOKUP($A150,DataDemande!$AA$63:$AE$700,4,FALSE)*VLOOKUP($A150,DataPrixBillets!$M$66:$Q$700,4,FALSE),"")</f>
        <v>0</v>
      </c>
      <c r="E150" s="8">
        <f>IFERROR(VLOOKUP($A150,DataDemande!$AA$63:$AE$700,5,FALSE)*VLOOKUP($A150,DataPrixBillets!$M$66:$Q$700,5,FALSE),"")</f>
        <v>0</v>
      </c>
      <c r="F150" s="21">
        <f t="shared" si="4"/>
        <v>0</v>
      </c>
    </row>
    <row r="151" spans="1:6" x14ac:dyDescent="0.3">
      <c r="A151" s="185" t="str">
        <f>DataDemande!AA210</f>
        <v/>
      </c>
      <c r="B151" s="8">
        <f>IFERROR(VLOOKUP($A151,DataDemande!$AA$63:$AE$700,2,FALSE)*VLOOKUP($A151,DataPrixBillets!$M$66:$Q$700,2,FALSE),"")</f>
        <v>0</v>
      </c>
      <c r="C151" s="8">
        <f>IFERROR(VLOOKUP($A151,DataDemande!$AA$63:$AE$700,3,FALSE)*VLOOKUP($A151,DataPrixBillets!$M$66:$Q$700,3,FALSE),"")</f>
        <v>0</v>
      </c>
      <c r="D151" s="8">
        <f>IFERROR(VLOOKUP($A151,DataDemande!$AA$63:$AE$700,4,FALSE)*VLOOKUP($A151,DataPrixBillets!$M$66:$Q$700,4,FALSE),"")</f>
        <v>0</v>
      </c>
      <c r="E151" s="8">
        <f>IFERROR(VLOOKUP($A151,DataDemande!$AA$63:$AE$700,5,FALSE)*VLOOKUP($A151,DataPrixBillets!$M$66:$Q$700,5,FALSE),"")</f>
        <v>0</v>
      </c>
      <c r="F151" s="21">
        <f t="shared" si="4"/>
        <v>0</v>
      </c>
    </row>
    <row r="152" spans="1:6" x14ac:dyDescent="0.3">
      <c r="A152" s="185" t="str">
        <f>DataDemande!AA211</f>
        <v/>
      </c>
      <c r="B152" s="8">
        <f>IFERROR(VLOOKUP($A152,DataDemande!$AA$63:$AE$700,2,FALSE)*VLOOKUP($A152,DataPrixBillets!$M$66:$Q$700,2,FALSE),"")</f>
        <v>0</v>
      </c>
      <c r="C152" s="8">
        <f>IFERROR(VLOOKUP($A152,DataDemande!$AA$63:$AE$700,3,FALSE)*VLOOKUP($A152,DataPrixBillets!$M$66:$Q$700,3,FALSE),"")</f>
        <v>0</v>
      </c>
      <c r="D152" s="8">
        <f>IFERROR(VLOOKUP($A152,DataDemande!$AA$63:$AE$700,4,FALSE)*VLOOKUP($A152,DataPrixBillets!$M$66:$Q$700,4,FALSE),"")</f>
        <v>0</v>
      </c>
      <c r="E152" s="8">
        <f>IFERROR(VLOOKUP($A152,DataDemande!$AA$63:$AE$700,5,FALSE)*VLOOKUP($A152,DataPrixBillets!$M$66:$Q$700,5,FALSE),"")</f>
        <v>0</v>
      </c>
      <c r="F152" s="21">
        <f t="shared" si="4"/>
        <v>0</v>
      </c>
    </row>
    <row r="153" spans="1:6" x14ac:dyDescent="0.3">
      <c r="A153" s="185" t="str">
        <f>DataDemande!AA212</f>
        <v/>
      </c>
      <c r="B153" s="8">
        <f>IFERROR(VLOOKUP($A153,DataDemande!$AA$63:$AE$700,2,FALSE)*VLOOKUP($A153,DataPrixBillets!$M$66:$Q$700,2,FALSE),"")</f>
        <v>0</v>
      </c>
      <c r="C153" s="8">
        <f>IFERROR(VLOOKUP($A153,DataDemande!$AA$63:$AE$700,3,FALSE)*VLOOKUP($A153,DataPrixBillets!$M$66:$Q$700,3,FALSE),"")</f>
        <v>0</v>
      </c>
      <c r="D153" s="8">
        <f>IFERROR(VLOOKUP($A153,DataDemande!$AA$63:$AE$700,4,FALSE)*VLOOKUP($A153,DataPrixBillets!$M$66:$Q$700,4,FALSE),"")</f>
        <v>0</v>
      </c>
      <c r="E153" s="8">
        <f>IFERROR(VLOOKUP($A153,DataDemande!$AA$63:$AE$700,5,FALSE)*VLOOKUP($A153,DataPrixBillets!$M$66:$Q$700,5,FALSE),"")</f>
        <v>0</v>
      </c>
      <c r="F153" s="21">
        <f t="shared" si="4"/>
        <v>0</v>
      </c>
    </row>
    <row r="154" spans="1:6" x14ac:dyDescent="0.3">
      <c r="A154" s="185" t="str">
        <f>DataDemande!AA213</f>
        <v/>
      </c>
      <c r="B154" s="8">
        <f>IFERROR(VLOOKUP($A154,DataDemande!$AA$63:$AE$700,2,FALSE)*VLOOKUP($A154,DataPrixBillets!$M$66:$Q$700,2,FALSE),"")</f>
        <v>0</v>
      </c>
      <c r="C154" s="8">
        <f>IFERROR(VLOOKUP($A154,DataDemande!$AA$63:$AE$700,3,FALSE)*VLOOKUP($A154,DataPrixBillets!$M$66:$Q$700,3,FALSE),"")</f>
        <v>0</v>
      </c>
      <c r="D154" s="8">
        <f>IFERROR(VLOOKUP($A154,DataDemande!$AA$63:$AE$700,4,FALSE)*VLOOKUP($A154,DataPrixBillets!$M$66:$Q$700,4,FALSE),"")</f>
        <v>0</v>
      </c>
      <c r="E154" s="8">
        <f>IFERROR(VLOOKUP($A154,DataDemande!$AA$63:$AE$700,5,FALSE)*VLOOKUP($A154,DataPrixBillets!$M$66:$Q$700,5,FALSE),"")</f>
        <v>0</v>
      </c>
      <c r="F154" s="21">
        <f t="shared" si="4"/>
        <v>0</v>
      </c>
    </row>
    <row r="155" spans="1:6" x14ac:dyDescent="0.3">
      <c r="A155" s="185" t="str">
        <f>DataDemande!AA214</f>
        <v/>
      </c>
      <c r="B155" s="8">
        <f>IFERROR(VLOOKUP($A155,DataDemande!$AA$63:$AE$700,2,FALSE)*VLOOKUP($A155,DataPrixBillets!$M$66:$Q$700,2,FALSE),"")</f>
        <v>0</v>
      </c>
      <c r="C155" s="8">
        <f>IFERROR(VLOOKUP($A155,DataDemande!$AA$63:$AE$700,3,FALSE)*VLOOKUP($A155,DataPrixBillets!$M$66:$Q$700,3,FALSE),"")</f>
        <v>0</v>
      </c>
      <c r="D155" s="8">
        <f>IFERROR(VLOOKUP($A155,DataDemande!$AA$63:$AE$700,4,FALSE)*VLOOKUP($A155,DataPrixBillets!$M$66:$Q$700,4,FALSE),"")</f>
        <v>0</v>
      </c>
      <c r="E155" s="8">
        <f>IFERROR(VLOOKUP($A155,DataDemande!$AA$63:$AE$700,5,FALSE)*VLOOKUP($A155,DataPrixBillets!$M$66:$Q$700,5,FALSE),"")</f>
        <v>0</v>
      </c>
      <c r="F155" s="21">
        <f t="shared" si="4"/>
        <v>0</v>
      </c>
    </row>
    <row r="156" spans="1:6" x14ac:dyDescent="0.3">
      <c r="A156" s="185" t="str">
        <f>DataDemande!AA215</f>
        <v/>
      </c>
      <c r="B156" s="8">
        <f>IFERROR(VLOOKUP($A156,DataDemande!$AA$63:$AE$700,2,FALSE)*VLOOKUP($A156,DataPrixBillets!$M$66:$Q$700,2,FALSE),"")</f>
        <v>0</v>
      </c>
      <c r="C156" s="8">
        <f>IFERROR(VLOOKUP($A156,DataDemande!$AA$63:$AE$700,3,FALSE)*VLOOKUP($A156,DataPrixBillets!$M$66:$Q$700,3,FALSE),"")</f>
        <v>0</v>
      </c>
      <c r="D156" s="8">
        <f>IFERROR(VLOOKUP($A156,DataDemande!$AA$63:$AE$700,4,FALSE)*VLOOKUP($A156,DataPrixBillets!$M$66:$Q$700,4,FALSE),"")</f>
        <v>0</v>
      </c>
      <c r="E156" s="8">
        <f>IFERROR(VLOOKUP($A156,DataDemande!$AA$63:$AE$700,5,FALSE)*VLOOKUP($A156,DataPrixBillets!$M$66:$Q$700,5,FALSE),"")</f>
        <v>0</v>
      </c>
      <c r="F156" s="21">
        <f t="shared" si="4"/>
        <v>0</v>
      </c>
    </row>
    <row r="157" spans="1:6" x14ac:dyDescent="0.3">
      <c r="A157" s="185" t="str">
        <f>DataDemande!AA216</f>
        <v/>
      </c>
      <c r="B157" s="8">
        <f>IFERROR(VLOOKUP($A157,DataDemande!$AA$63:$AE$700,2,FALSE)*VLOOKUP($A157,DataPrixBillets!$M$66:$Q$700,2,FALSE),"")</f>
        <v>0</v>
      </c>
      <c r="C157" s="8">
        <f>IFERROR(VLOOKUP($A157,DataDemande!$AA$63:$AE$700,3,FALSE)*VLOOKUP($A157,DataPrixBillets!$M$66:$Q$700,3,FALSE),"")</f>
        <v>0</v>
      </c>
      <c r="D157" s="8">
        <f>IFERROR(VLOOKUP($A157,DataDemande!$AA$63:$AE$700,4,FALSE)*VLOOKUP($A157,DataPrixBillets!$M$66:$Q$700,4,FALSE),"")</f>
        <v>0</v>
      </c>
      <c r="E157" s="8">
        <f>IFERROR(VLOOKUP($A157,DataDemande!$AA$63:$AE$700,5,FALSE)*VLOOKUP($A157,DataPrixBillets!$M$66:$Q$700,5,FALSE),"")</f>
        <v>0</v>
      </c>
      <c r="F157" s="21">
        <f t="shared" si="4"/>
        <v>0</v>
      </c>
    </row>
    <row r="158" spans="1:6" x14ac:dyDescent="0.3">
      <c r="A158" s="185" t="str">
        <f>DataDemande!AA217</f>
        <v/>
      </c>
      <c r="B158" s="8">
        <f>IFERROR(VLOOKUP($A158,DataDemande!$AA$63:$AE$700,2,FALSE)*VLOOKUP($A158,DataPrixBillets!$M$66:$Q$700,2,FALSE),"")</f>
        <v>0</v>
      </c>
      <c r="C158" s="8">
        <f>IFERROR(VLOOKUP($A158,DataDemande!$AA$63:$AE$700,3,FALSE)*VLOOKUP($A158,DataPrixBillets!$M$66:$Q$700,3,FALSE),"")</f>
        <v>0</v>
      </c>
      <c r="D158" s="8">
        <f>IFERROR(VLOOKUP($A158,DataDemande!$AA$63:$AE$700,4,FALSE)*VLOOKUP($A158,DataPrixBillets!$M$66:$Q$700,4,FALSE),"")</f>
        <v>0</v>
      </c>
      <c r="E158" s="8">
        <f>IFERROR(VLOOKUP($A158,DataDemande!$AA$63:$AE$700,5,FALSE)*VLOOKUP($A158,DataPrixBillets!$M$66:$Q$700,5,FALSE),"")</f>
        <v>0</v>
      </c>
      <c r="F158" s="21">
        <f t="shared" si="4"/>
        <v>0</v>
      </c>
    </row>
    <row r="159" spans="1:6" x14ac:dyDescent="0.3">
      <c r="A159" s="185" t="str">
        <f>DataDemande!AA218</f>
        <v/>
      </c>
      <c r="B159" s="8">
        <f>IFERROR(VLOOKUP($A159,DataDemande!$AA$63:$AE$700,2,FALSE)*VLOOKUP($A159,DataPrixBillets!$M$66:$Q$700,2,FALSE),"")</f>
        <v>0</v>
      </c>
      <c r="C159" s="8">
        <f>IFERROR(VLOOKUP($A159,DataDemande!$AA$63:$AE$700,3,FALSE)*VLOOKUP($A159,DataPrixBillets!$M$66:$Q$700,3,FALSE),"")</f>
        <v>0</v>
      </c>
      <c r="D159" s="8">
        <f>IFERROR(VLOOKUP($A159,DataDemande!$AA$63:$AE$700,4,FALSE)*VLOOKUP($A159,DataPrixBillets!$M$66:$Q$700,4,FALSE),"")</f>
        <v>0</v>
      </c>
      <c r="E159" s="8">
        <f>IFERROR(VLOOKUP($A159,DataDemande!$AA$63:$AE$700,5,FALSE)*VLOOKUP($A159,DataPrixBillets!$M$66:$Q$700,5,FALSE),"")</f>
        <v>0</v>
      </c>
      <c r="F159" s="21">
        <f t="shared" si="4"/>
        <v>0</v>
      </c>
    </row>
    <row r="160" spans="1:6" x14ac:dyDescent="0.3">
      <c r="A160" s="185" t="str">
        <f>DataDemande!AA219</f>
        <v/>
      </c>
      <c r="B160" s="8">
        <f>IFERROR(VLOOKUP($A160,DataDemande!$AA$63:$AE$700,2,FALSE)*VLOOKUP($A160,DataPrixBillets!$M$66:$Q$700,2,FALSE),"")</f>
        <v>0</v>
      </c>
      <c r="C160" s="8">
        <f>IFERROR(VLOOKUP($A160,DataDemande!$AA$63:$AE$700,3,FALSE)*VLOOKUP($A160,DataPrixBillets!$M$66:$Q$700,3,FALSE),"")</f>
        <v>0</v>
      </c>
      <c r="D160" s="8">
        <f>IFERROR(VLOOKUP($A160,DataDemande!$AA$63:$AE$700,4,FALSE)*VLOOKUP($A160,DataPrixBillets!$M$66:$Q$700,4,FALSE),"")</f>
        <v>0</v>
      </c>
      <c r="E160" s="8">
        <f>IFERROR(VLOOKUP($A160,DataDemande!$AA$63:$AE$700,5,FALSE)*VLOOKUP($A160,DataPrixBillets!$M$66:$Q$700,5,FALSE),"")</f>
        <v>0</v>
      </c>
      <c r="F160" s="21">
        <f t="shared" si="4"/>
        <v>0</v>
      </c>
    </row>
    <row r="161" spans="1:6" x14ac:dyDescent="0.3">
      <c r="A161" s="185" t="str">
        <f>DataDemande!AA220</f>
        <v/>
      </c>
      <c r="B161" s="8">
        <f>IFERROR(VLOOKUP($A161,DataDemande!$AA$63:$AE$700,2,FALSE)*VLOOKUP($A161,DataPrixBillets!$M$66:$Q$700,2,FALSE),"")</f>
        <v>0</v>
      </c>
      <c r="C161" s="8">
        <f>IFERROR(VLOOKUP($A161,DataDemande!$AA$63:$AE$700,3,FALSE)*VLOOKUP($A161,DataPrixBillets!$M$66:$Q$700,3,FALSE),"")</f>
        <v>0</v>
      </c>
      <c r="D161" s="8">
        <f>IFERROR(VLOOKUP($A161,DataDemande!$AA$63:$AE$700,4,FALSE)*VLOOKUP($A161,DataPrixBillets!$M$66:$Q$700,4,FALSE),"")</f>
        <v>0</v>
      </c>
      <c r="E161" s="8">
        <f>IFERROR(VLOOKUP($A161,DataDemande!$AA$63:$AE$700,5,FALSE)*VLOOKUP($A161,DataPrixBillets!$M$66:$Q$700,5,FALSE),"")</f>
        <v>0</v>
      </c>
      <c r="F161" s="21">
        <f t="shared" si="4"/>
        <v>0</v>
      </c>
    </row>
    <row r="162" spans="1:6" x14ac:dyDescent="0.3">
      <c r="A162" s="185" t="str">
        <f>DataDemande!AA221</f>
        <v/>
      </c>
      <c r="B162" s="8">
        <f>IFERROR(VLOOKUP($A162,DataDemande!$AA$63:$AE$700,2,FALSE)*VLOOKUP($A162,DataPrixBillets!$M$66:$Q$700,2,FALSE),"")</f>
        <v>0</v>
      </c>
      <c r="C162" s="8">
        <f>IFERROR(VLOOKUP($A162,DataDemande!$AA$63:$AE$700,3,FALSE)*VLOOKUP($A162,DataPrixBillets!$M$66:$Q$700,3,FALSE),"")</f>
        <v>0</v>
      </c>
      <c r="D162" s="8">
        <f>IFERROR(VLOOKUP($A162,DataDemande!$AA$63:$AE$700,4,FALSE)*VLOOKUP($A162,DataPrixBillets!$M$66:$Q$700,4,FALSE),"")</f>
        <v>0</v>
      </c>
      <c r="E162" s="8">
        <f>IFERROR(VLOOKUP($A162,DataDemande!$AA$63:$AE$700,5,FALSE)*VLOOKUP($A162,DataPrixBillets!$M$66:$Q$700,5,FALSE),"")</f>
        <v>0</v>
      </c>
      <c r="F162" s="21">
        <f t="shared" si="4"/>
        <v>0</v>
      </c>
    </row>
    <row r="163" spans="1:6" x14ac:dyDescent="0.3">
      <c r="A163" s="185" t="str">
        <f>DataDemande!AA222</f>
        <v/>
      </c>
      <c r="B163" s="8">
        <f>IFERROR(VLOOKUP($A163,DataDemande!$AA$63:$AE$700,2,FALSE)*VLOOKUP($A163,DataPrixBillets!$M$66:$Q$700,2,FALSE),"")</f>
        <v>0</v>
      </c>
      <c r="C163" s="8">
        <f>IFERROR(VLOOKUP($A163,DataDemande!$AA$63:$AE$700,3,FALSE)*VLOOKUP($A163,DataPrixBillets!$M$66:$Q$700,3,FALSE),"")</f>
        <v>0</v>
      </c>
      <c r="D163" s="8">
        <f>IFERROR(VLOOKUP($A163,DataDemande!$AA$63:$AE$700,4,FALSE)*VLOOKUP($A163,DataPrixBillets!$M$66:$Q$700,4,FALSE),"")</f>
        <v>0</v>
      </c>
      <c r="E163" s="8">
        <f>IFERROR(VLOOKUP($A163,DataDemande!$AA$63:$AE$700,5,FALSE)*VLOOKUP($A163,DataPrixBillets!$M$66:$Q$700,5,FALSE),"")</f>
        <v>0</v>
      </c>
      <c r="F163" s="21">
        <f t="shared" si="4"/>
        <v>0</v>
      </c>
    </row>
    <row r="164" spans="1:6" x14ac:dyDescent="0.3">
      <c r="A164" s="185" t="str">
        <f>DataDemande!AA223</f>
        <v/>
      </c>
      <c r="B164" s="8">
        <f>IFERROR(VLOOKUP($A164,DataDemande!$AA$63:$AE$700,2,FALSE)*VLOOKUP($A164,DataPrixBillets!$M$66:$Q$700,2,FALSE),"")</f>
        <v>0</v>
      </c>
      <c r="C164" s="8">
        <f>IFERROR(VLOOKUP($A164,DataDemande!$AA$63:$AE$700,3,FALSE)*VLOOKUP($A164,DataPrixBillets!$M$66:$Q$700,3,FALSE),"")</f>
        <v>0</v>
      </c>
      <c r="D164" s="8">
        <f>IFERROR(VLOOKUP($A164,DataDemande!$AA$63:$AE$700,4,FALSE)*VLOOKUP($A164,DataPrixBillets!$M$66:$Q$700,4,FALSE),"")</f>
        <v>0</v>
      </c>
      <c r="E164" s="8">
        <f>IFERROR(VLOOKUP($A164,DataDemande!$AA$63:$AE$700,5,FALSE)*VLOOKUP($A164,DataPrixBillets!$M$66:$Q$700,5,FALSE),"")</f>
        <v>0</v>
      </c>
      <c r="F164" s="21">
        <f t="shared" si="4"/>
        <v>0</v>
      </c>
    </row>
    <row r="165" spans="1:6" x14ac:dyDescent="0.3">
      <c r="A165" s="185" t="str">
        <f>DataDemande!AA224</f>
        <v/>
      </c>
      <c r="B165" s="8">
        <f>IFERROR(VLOOKUP($A165,DataDemande!$AA$63:$AE$700,2,FALSE)*VLOOKUP($A165,DataPrixBillets!$M$66:$Q$700,2,FALSE),"")</f>
        <v>0</v>
      </c>
      <c r="C165" s="8">
        <f>IFERROR(VLOOKUP($A165,DataDemande!$AA$63:$AE$700,3,FALSE)*VLOOKUP($A165,DataPrixBillets!$M$66:$Q$700,3,FALSE),"")</f>
        <v>0</v>
      </c>
      <c r="D165" s="8">
        <f>IFERROR(VLOOKUP($A165,DataDemande!$AA$63:$AE$700,4,FALSE)*VLOOKUP($A165,DataPrixBillets!$M$66:$Q$700,4,FALSE),"")</f>
        <v>0</v>
      </c>
      <c r="E165" s="8">
        <f>IFERROR(VLOOKUP($A165,DataDemande!$AA$63:$AE$700,5,FALSE)*VLOOKUP($A165,DataPrixBillets!$M$66:$Q$700,5,FALSE),"")</f>
        <v>0</v>
      </c>
      <c r="F165" s="21">
        <f t="shared" si="4"/>
        <v>0</v>
      </c>
    </row>
    <row r="166" spans="1:6" x14ac:dyDescent="0.3">
      <c r="A166" s="185" t="str">
        <f>DataDemande!AA225</f>
        <v/>
      </c>
      <c r="B166" s="8">
        <f>IFERROR(VLOOKUP($A166,DataDemande!$AA$63:$AE$700,2,FALSE)*VLOOKUP($A166,DataPrixBillets!$M$66:$Q$700,2,FALSE),"")</f>
        <v>0</v>
      </c>
      <c r="C166" s="8">
        <f>IFERROR(VLOOKUP($A166,DataDemande!$AA$63:$AE$700,3,FALSE)*VLOOKUP($A166,DataPrixBillets!$M$66:$Q$700,3,FALSE),"")</f>
        <v>0</v>
      </c>
      <c r="D166" s="8">
        <f>IFERROR(VLOOKUP($A166,DataDemande!$AA$63:$AE$700,4,FALSE)*VLOOKUP($A166,DataPrixBillets!$M$66:$Q$700,4,FALSE),"")</f>
        <v>0</v>
      </c>
      <c r="E166" s="8">
        <f>IFERROR(VLOOKUP($A166,DataDemande!$AA$63:$AE$700,5,FALSE)*VLOOKUP($A166,DataPrixBillets!$M$66:$Q$700,5,FALSE),"")</f>
        <v>0</v>
      </c>
      <c r="F166" s="21">
        <f t="shared" si="4"/>
        <v>0</v>
      </c>
    </row>
    <row r="167" spans="1:6" x14ac:dyDescent="0.3">
      <c r="A167" s="185" t="str">
        <f>DataDemande!AA226</f>
        <v/>
      </c>
      <c r="B167" s="8">
        <f>IFERROR(VLOOKUP($A167,DataDemande!$AA$63:$AE$700,2,FALSE)*VLOOKUP($A167,DataPrixBillets!$M$66:$Q$700,2,FALSE),"")</f>
        <v>0</v>
      </c>
      <c r="C167" s="8">
        <f>IFERROR(VLOOKUP($A167,DataDemande!$AA$63:$AE$700,3,FALSE)*VLOOKUP($A167,DataPrixBillets!$M$66:$Q$700,3,FALSE),"")</f>
        <v>0</v>
      </c>
      <c r="D167" s="8">
        <f>IFERROR(VLOOKUP($A167,DataDemande!$AA$63:$AE$700,4,FALSE)*VLOOKUP($A167,DataPrixBillets!$M$66:$Q$700,4,FALSE),"")</f>
        <v>0</v>
      </c>
      <c r="E167" s="8">
        <f>IFERROR(VLOOKUP($A167,DataDemande!$AA$63:$AE$700,5,FALSE)*VLOOKUP($A167,DataPrixBillets!$M$66:$Q$700,5,FALSE),"")</f>
        <v>0</v>
      </c>
      <c r="F167" s="21">
        <f t="shared" si="4"/>
        <v>0</v>
      </c>
    </row>
    <row r="168" spans="1:6" x14ac:dyDescent="0.3">
      <c r="A168" s="185" t="str">
        <f>DataDemande!AA227</f>
        <v/>
      </c>
      <c r="B168" s="8">
        <f>IFERROR(VLOOKUP($A168,DataDemande!$AA$63:$AE$700,2,FALSE)*VLOOKUP($A168,DataPrixBillets!$M$66:$Q$700,2,FALSE),"")</f>
        <v>0</v>
      </c>
      <c r="C168" s="8">
        <f>IFERROR(VLOOKUP($A168,DataDemande!$AA$63:$AE$700,3,FALSE)*VLOOKUP($A168,DataPrixBillets!$M$66:$Q$700,3,FALSE),"")</f>
        <v>0</v>
      </c>
      <c r="D168" s="8">
        <f>IFERROR(VLOOKUP($A168,DataDemande!$AA$63:$AE$700,4,FALSE)*VLOOKUP($A168,DataPrixBillets!$M$66:$Q$700,4,FALSE),"")</f>
        <v>0</v>
      </c>
      <c r="E168" s="8">
        <f>IFERROR(VLOOKUP($A168,DataDemande!$AA$63:$AE$700,5,FALSE)*VLOOKUP($A168,DataPrixBillets!$M$66:$Q$700,5,FALSE),"")</f>
        <v>0</v>
      </c>
      <c r="F168" s="21">
        <f t="shared" si="4"/>
        <v>0</v>
      </c>
    </row>
    <row r="169" spans="1:6" x14ac:dyDescent="0.3">
      <c r="A169" s="185" t="str">
        <f>DataDemande!AA228</f>
        <v/>
      </c>
      <c r="B169" s="8">
        <f>IFERROR(VLOOKUP($A169,DataDemande!$AA$63:$AE$700,2,FALSE)*VLOOKUP($A169,DataPrixBillets!$M$66:$Q$700,2,FALSE),"")</f>
        <v>0</v>
      </c>
      <c r="C169" s="8">
        <f>IFERROR(VLOOKUP($A169,DataDemande!$AA$63:$AE$700,3,FALSE)*VLOOKUP($A169,DataPrixBillets!$M$66:$Q$700,3,FALSE),"")</f>
        <v>0</v>
      </c>
      <c r="D169" s="8">
        <f>IFERROR(VLOOKUP($A169,DataDemande!$AA$63:$AE$700,4,FALSE)*VLOOKUP($A169,DataPrixBillets!$M$66:$Q$700,4,FALSE),"")</f>
        <v>0</v>
      </c>
      <c r="E169" s="8">
        <f>IFERROR(VLOOKUP($A169,DataDemande!$AA$63:$AE$700,5,FALSE)*VLOOKUP($A169,DataPrixBillets!$M$66:$Q$700,5,FALSE),"")</f>
        <v>0</v>
      </c>
      <c r="F169" s="21">
        <f t="shared" si="4"/>
        <v>0</v>
      </c>
    </row>
    <row r="170" spans="1:6" x14ac:dyDescent="0.3">
      <c r="A170" s="185" t="str">
        <f>DataDemande!AA229</f>
        <v/>
      </c>
      <c r="B170" s="8">
        <f>IFERROR(VLOOKUP($A170,DataDemande!$AA$63:$AE$700,2,FALSE)*VLOOKUP($A170,DataPrixBillets!$M$66:$Q$700,2,FALSE),"")</f>
        <v>0</v>
      </c>
      <c r="C170" s="8">
        <f>IFERROR(VLOOKUP($A170,DataDemande!$AA$63:$AE$700,3,FALSE)*VLOOKUP($A170,DataPrixBillets!$M$66:$Q$700,3,FALSE),"")</f>
        <v>0</v>
      </c>
      <c r="D170" s="8">
        <f>IFERROR(VLOOKUP($A170,DataDemande!$AA$63:$AE$700,4,FALSE)*VLOOKUP($A170,DataPrixBillets!$M$66:$Q$700,4,FALSE),"")</f>
        <v>0</v>
      </c>
      <c r="E170" s="8">
        <f>IFERROR(VLOOKUP($A170,DataDemande!$AA$63:$AE$700,5,FALSE)*VLOOKUP($A170,DataPrixBillets!$M$66:$Q$700,5,FALSE),"")</f>
        <v>0</v>
      </c>
      <c r="F170" s="21">
        <f t="shared" si="4"/>
        <v>0</v>
      </c>
    </row>
    <row r="171" spans="1:6" x14ac:dyDescent="0.3">
      <c r="A171" s="185" t="str">
        <f>DataDemande!AA230</f>
        <v/>
      </c>
      <c r="B171" s="8">
        <f>IFERROR(VLOOKUP($A171,DataDemande!$AA$63:$AE$700,2,FALSE)*VLOOKUP($A171,DataPrixBillets!$M$66:$Q$700,2,FALSE),"")</f>
        <v>0</v>
      </c>
      <c r="C171" s="8">
        <f>IFERROR(VLOOKUP($A171,DataDemande!$AA$63:$AE$700,3,FALSE)*VLOOKUP($A171,DataPrixBillets!$M$66:$Q$700,3,FALSE),"")</f>
        <v>0</v>
      </c>
      <c r="D171" s="8">
        <f>IFERROR(VLOOKUP($A171,DataDemande!$AA$63:$AE$700,4,FALSE)*VLOOKUP($A171,DataPrixBillets!$M$66:$Q$700,4,FALSE),"")</f>
        <v>0</v>
      </c>
      <c r="E171" s="8">
        <f>IFERROR(VLOOKUP($A171,DataDemande!$AA$63:$AE$700,5,FALSE)*VLOOKUP($A171,DataPrixBillets!$M$66:$Q$700,5,FALSE),"")</f>
        <v>0</v>
      </c>
      <c r="F171" s="21">
        <f t="shared" si="4"/>
        <v>0</v>
      </c>
    </row>
    <row r="172" spans="1:6" x14ac:dyDescent="0.3">
      <c r="A172" s="185" t="str">
        <f>DataDemande!AA231</f>
        <v/>
      </c>
      <c r="B172" s="8">
        <f>IFERROR(VLOOKUP($A172,DataDemande!$AA$63:$AE$700,2,FALSE)*VLOOKUP($A172,DataPrixBillets!$M$66:$Q$700,2,FALSE),"")</f>
        <v>0</v>
      </c>
      <c r="C172" s="8">
        <f>IFERROR(VLOOKUP($A172,DataDemande!$AA$63:$AE$700,3,FALSE)*VLOOKUP($A172,DataPrixBillets!$M$66:$Q$700,3,FALSE),"")</f>
        <v>0</v>
      </c>
      <c r="D172" s="8">
        <f>IFERROR(VLOOKUP($A172,DataDemande!$AA$63:$AE$700,4,FALSE)*VLOOKUP($A172,DataPrixBillets!$M$66:$Q$700,4,FALSE),"")</f>
        <v>0</v>
      </c>
      <c r="E172" s="8">
        <f>IFERROR(VLOOKUP($A172,DataDemande!$AA$63:$AE$700,5,FALSE)*VLOOKUP($A172,DataPrixBillets!$M$66:$Q$700,5,FALSE),"")</f>
        <v>0</v>
      </c>
      <c r="F172" s="21">
        <f t="shared" si="4"/>
        <v>0</v>
      </c>
    </row>
    <row r="173" spans="1:6" x14ac:dyDescent="0.3">
      <c r="A173" s="185" t="str">
        <f>DataDemande!AA232</f>
        <v/>
      </c>
      <c r="B173" s="8">
        <f>IFERROR(VLOOKUP($A173,DataDemande!$AA$63:$AE$700,2,FALSE)*VLOOKUP($A173,DataPrixBillets!$M$66:$Q$700,2,FALSE),"")</f>
        <v>0</v>
      </c>
      <c r="C173" s="8">
        <f>IFERROR(VLOOKUP($A173,DataDemande!$AA$63:$AE$700,3,FALSE)*VLOOKUP($A173,DataPrixBillets!$M$66:$Q$700,3,FALSE),"")</f>
        <v>0</v>
      </c>
      <c r="D173" s="8">
        <f>IFERROR(VLOOKUP($A173,DataDemande!$AA$63:$AE$700,4,FALSE)*VLOOKUP($A173,DataPrixBillets!$M$66:$Q$700,4,FALSE),"")</f>
        <v>0</v>
      </c>
      <c r="E173" s="8">
        <f>IFERROR(VLOOKUP($A173,DataDemande!$AA$63:$AE$700,5,FALSE)*VLOOKUP($A173,DataPrixBillets!$M$66:$Q$700,5,FALSE),"")</f>
        <v>0</v>
      </c>
      <c r="F173" s="21">
        <f t="shared" si="4"/>
        <v>0</v>
      </c>
    </row>
    <row r="174" spans="1:6" x14ac:dyDescent="0.3">
      <c r="A174" s="185" t="str">
        <f>DataDemande!AA233</f>
        <v/>
      </c>
      <c r="B174" s="8">
        <f>IFERROR(VLOOKUP($A174,DataDemande!$AA$63:$AE$700,2,FALSE)*VLOOKUP($A174,DataPrixBillets!$M$66:$Q$700,2,FALSE),"")</f>
        <v>0</v>
      </c>
      <c r="C174" s="8">
        <f>IFERROR(VLOOKUP($A174,DataDemande!$AA$63:$AE$700,3,FALSE)*VLOOKUP($A174,DataPrixBillets!$M$66:$Q$700,3,FALSE),"")</f>
        <v>0</v>
      </c>
      <c r="D174" s="8">
        <f>IFERROR(VLOOKUP($A174,DataDemande!$AA$63:$AE$700,4,FALSE)*VLOOKUP($A174,DataPrixBillets!$M$66:$Q$700,4,FALSE),"")</f>
        <v>0</v>
      </c>
      <c r="E174" s="8">
        <f>IFERROR(VLOOKUP($A174,DataDemande!$AA$63:$AE$700,5,FALSE)*VLOOKUP($A174,DataPrixBillets!$M$66:$Q$700,5,FALSE),"")</f>
        <v>0</v>
      </c>
      <c r="F174" s="21">
        <f t="shared" si="4"/>
        <v>0</v>
      </c>
    </row>
    <row r="175" spans="1:6" x14ac:dyDescent="0.3">
      <c r="A175" s="185" t="str">
        <f>DataDemande!AA234</f>
        <v/>
      </c>
      <c r="B175" s="8">
        <f>IFERROR(VLOOKUP($A175,DataDemande!$AA$63:$AE$700,2,FALSE)*VLOOKUP($A175,DataPrixBillets!$M$66:$Q$700,2,FALSE),"")</f>
        <v>0</v>
      </c>
      <c r="C175" s="8">
        <f>IFERROR(VLOOKUP($A175,DataDemande!$AA$63:$AE$700,3,FALSE)*VLOOKUP($A175,DataPrixBillets!$M$66:$Q$700,3,FALSE),"")</f>
        <v>0</v>
      </c>
      <c r="D175" s="8">
        <f>IFERROR(VLOOKUP($A175,DataDemande!$AA$63:$AE$700,4,FALSE)*VLOOKUP($A175,DataPrixBillets!$M$66:$Q$700,4,FALSE),"")</f>
        <v>0</v>
      </c>
      <c r="E175" s="8">
        <f>IFERROR(VLOOKUP($A175,DataDemande!$AA$63:$AE$700,5,FALSE)*VLOOKUP($A175,DataPrixBillets!$M$66:$Q$700,5,FALSE),"")</f>
        <v>0</v>
      </c>
      <c r="F175" s="21">
        <f t="shared" si="4"/>
        <v>0</v>
      </c>
    </row>
    <row r="176" spans="1:6" x14ac:dyDescent="0.3">
      <c r="A176" s="185" t="str">
        <f>DataDemande!AA235</f>
        <v/>
      </c>
      <c r="B176" s="8">
        <f>IFERROR(VLOOKUP($A176,DataDemande!$AA$63:$AE$700,2,FALSE)*VLOOKUP($A176,DataPrixBillets!$M$66:$Q$700,2,FALSE),"")</f>
        <v>0</v>
      </c>
      <c r="C176" s="8">
        <f>IFERROR(VLOOKUP($A176,DataDemande!$AA$63:$AE$700,3,FALSE)*VLOOKUP($A176,DataPrixBillets!$M$66:$Q$700,3,FALSE),"")</f>
        <v>0</v>
      </c>
      <c r="D176" s="8">
        <f>IFERROR(VLOOKUP($A176,DataDemande!$AA$63:$AE$700,4,FALSE)*VLOOKUP($A176,DataPrixBillets!$M$66:$Q$700,4,FALSE),"")</f>
        <v>0</v>
      </c>
      <c r="E176" s="8">
        <f>IFERROR(VLOOKUP($A176,DataDemande!$AA$63:$AE$700,5,FALSE)*VLOOKUP($A176,DataPrixBillets!$M$66:$Q$700,5,FALSE),"")</f>
        <v>0</v>
      </c>
      <c r="F176" s="21">
        <f t="shared" si="4"/>
        <v>0</v>
      </c>
    </row>
    <row r="177" spans="1:6" x14ac:dyDescent="0.3">
      <c r="A177" s="185" t="str">
        <f>DataDemande!AA236</f>
        <v/>
      </c>
      <c r="B177" s="8">
        <f>IFERROR(VLOOKUP($A177,DataDemande!$AA$63:$AE$700,2,FALSE)*VLOOKUP($A177,DataPrixBillets!$M$66:$Q$700,2,FALSE),"")</f>
        <v>0</v>
      </c>
      <c r="C177" s="8">
        <f>IFERROR(VLOOKUP($A177,DataDemande!$AA$63:$AE$700,3,FALSE)*VLOOKUP($A177,DataPrixBillets!$M$66:$Q$700,3,FALSE),"")</f>
        <v>0</v>
      </c>
      <c r="D177" s="8">
        <f>IFERROR(VLOOKUP($A177,DataDemande!$AA$63:$AE$700,4,FALSE)*VLOOKUP($A177,DataPrixBillets!$M$66:$Q$700,4,FALSE),"")</f>
        <v>0</v>
      </c>
      <c r="E177" s="8">
        <f>IFERROR(VLOOKUP($A177,DataDemande!$AA$63:$AE$700,5,FALSE)*VLOOKUP($A177,DataPrixBillets!$M$66:$Q$700,5,FALSE),"")</f>
        <v>0</v>
      </c>
      <c r="F177" s="21">
        <f t="shared" si="4"/>
        <v>0</v>
      </c>
    </row>
    <row r="178" spans="1:6" x14ac:dyDescent="0.3">
      <c r="A178" s="185" t="str">
        <f>DataDemande!AA237</f>
        <v/>
      </c>
      <c r="B178" s="8">
        <f>IFERROR(VLOOKUP($A178,DataDemande!$AA$63:$AE$700,2,FALSE)*VLOOKUP($A178,DataPrixBillets!$M$66:$Q$700,2,FALSE),"")</f>
        <v>0</v>
      </c>
      <c r="C178" s="8">
        <f>IFERROR(VLOOKUP($A178,DataDemande!$AA$63:$AE$700,3,FALSE)*VLOOKUP($A178,DataPrixBillets!$M$66:$Q$700,3,FALSE),"")</f>
        <v>0</v>
      </c>
      <c r="D178" s="8">
        <f>IFERROR(VLOOKUP($A178,DataDemande!$AA$63:$AE$700,4,FALSE)*VLOOKUP($A178,DataPrixBillets!$M$66:$Q$700,4,FALSE),"")</f>
        <v>0</v>
      </c>
      <c r="E178" s="8">
        <f>IFERROR(VLOOKUP($A178,DataDemande!$AA$63:$AE$700,5,FALSE)*VLOOKUP($A178,DataPrixBillets!$M$66:$Q$700,5,FALSE),"")</f>
        <v>0</v>
      </c>
      <c r="F178" s="21">
        <f t="shared" si="4"/>
        <v>0</v>
      </c>
    </row>
    <row r="179" spans="1:6" x14ac:dyDescent="0.3">
      <c r="A179" s="185" t="str">
        <f>DataDemande!AA238</f>
        <v/>
      </c>
      <c r="B179" s="8">
        <f>IFERROR(VLOOKUP($A179,DataDemande!$AA$63:$AE$700,2,FALSE)*VLOOKUP($A179,DataPrixBillets!$M$66:$Q$700,2,FALSE),"")</f>
        <v>0</v>
      </c>
      <c r="C179" s="8">
        <f>IFERROR(VLOOKUP($A179,DataDemande!$AA$63:$AE$700,3,FALSE)*VLOOKUP($A179,DataPrixBillets!$M$66:$Q$700,3,FALSE),"")</f>
        <v>0</v>
      </c>
      <c r="D179" s="8">
        <f>IFERROR(VLOOKUP($A179,DataDemande!$AA$63:$AE$700,4,FALSE)*VLOOKUP($A179,DataPrixBillets!$M$66:$Q$700,4,FALSE),"")</f>
        <v>0</v>
      </c>
      <c r="E179" s="8">
        <f>IFERROR(VLOOKUP($A179,DataDemande!$AA$63:$AE$700,5,FALSE)*VLOOKUP($A179,DataPrixBillets!$M$66:$Q$700,5,FALSE),"")</f>
        <v>0</v>
      </c>
      <c r="F179" s="21">
        <f t="shared" si="4"/>
        <v>0</v>
      </c>
    </row>
    <row r="180" spans="1:6" x14ac:dyDescent="0.3">
      <c r="A180" s="185" t="str">
        <f>DataDemande!AA239</f>
        <v/>
      </c>
      <c r="B180" s="8">
        <f>IFERROR(VLOOKUP($A180,DataDemande!$AA$63:$AE$700,2,FALSE)*VLOOKUP($A180,DataPrixBillets!$M$66:$Q$700,2,FALSE),"")</f>
        <v>0</v>
      </c>
      <c r="C180" s="8">
        <f>IFERROR(VLOOKUP($A180,DataDemande!$AA$63:$AE$700,3,FALSE)*VLOOKUP($A180,DataPrixBillets!$M$66:$Q$700,3,FALSE),"")</f>
        <v>0</v>
      </c>
      <c r="D180" s="8">
        <f>IFERROR(VLOOKUP($A180,DataDemande!$AA$63:$AE$700,4,FALSE)*VLOOKUP($A180,DataPrixBillets!$M$66:$Q$700,4,FALSE),"")</f>
        <v>0</v>
      </c>
      <c r="E180" s="8">
        <f>IFERROR(VLOOKUP($A180,DataDemande!$AA$63:$AE$700,5,FALSE)*VLOOKUP($A180,DataPrixBillets!$M$66:$Q$700,5,FALSE),"")</f>
        <v>0</v>
      </c>
      <c r="F180" s="21">
        <f t="shared" si="4"/>
        <v>0</v>
      </c>
    </row>
    <row r="181" spans="1:6" x14ac:dyDescent="0.3">
      <c r="A181" s="185" t="str">
        <f>DataDemande!AA240</f>
        <v/>
      </c>
      <c r="B181" s="8">
        <f>IFERROR(VLOOKUP($A181,DataDemande!$AA$63:$AE$700,2,FALSE)*VLOOKUP($A181,DataPrixBillets!$M$66:$Q$700,2,FALSE),"")</f>
        <v>0</v>
      </c>
      <c r="C181" s="8">
        <f>IFERROR(VLOOKUP($A181,DataDemande!$AA$63:$AE$700,3,FALSE)*VLOOKUP($A181,DataPrixBillets!$M$66:$Q$700,3,FALSE),"")</f>
        <v>0</v>
      </c>
      <c r="D181" s="8">
        <f>IFERROR(VLOOKUP($A181,DataDemande!$AA$63:$AE$700,4,FALSE)*VLOOKUP($A181,DataPrixBillets!$M$66:$Q$700,4,FALSE),"")</f>
        <v>0</v>
      </c>
      <c r="E181" s="8">
        <f>IFERROR(VLOOKUP($A181,DataDemande!$AA$63:$AE$700,5,FALSE)*VLOOKUP($A181,DataPrixBillets!$M$66:$Q$700,5,FALSE),"")</f>
        <v>0</v>
      </c>
      <c r="F181" s="21">
        <f t="shared" si="4"/>
        <v>0</v>
      </c>
    </row>
    <row r="182" spans="1:6" x14ac:dyDescent="0.3">
      <c r="A182" s="185" t="str">
        <f>DataDemande!AA241</f>
        <v/>
      </c>
      <c r="B182" s="8">
        <f>IFERROR(VLOOKUP($A182,DataDemande!$AA$63:$AE$700,2,FALSE)*VLOOKUP($A182,DataPrixBillets!$M$66:$Q$700,2,FALSE),"")</f>
        <v>0</v>
      </c>
      <c r="C182" s="8">
        <f>IFERROR(VLOOKUP($A182,DataDemande!$AA$63:$AE$700,3,FALSE)*VLOOKUP($A182,DataPrixBillets!$M$66:$Q$700,3,FALSE),"")</f>
        <v>0</v>
      </c>
      <c r="D182" s="8">
        <f>IFERROR(VLOOKUP($A182,DataDemande!$AA$63:$AE$700,4,FALSE)*VLOOKUP($A182,DataPrixBillets!$M$66:$Q$700,4,FALSE),"")</f>
        <v>0</v>
      </c>
      <c r="E182" s="8">
        <f>IFERROR(VLOOKUP($A182,DataDemande!$AA$63:$AE$700,5,FALSE)*VLOOKUP($A182,DataPrixBillets!$M$66:$Q$700,5,FALSE),"")</f>
        <v>0</v>
      </c>
      <c r="F182" s="21">
        <f t="shared" si="4"/>
        <v>0</v>
      </c>
    </row>
    <row r="183" spans="1:6" x14ac:dyDescent="0.3">
      <c r="A183" s="185" t="str">
        <f>DataDemande!AA242</f>
        <v/>
      </c>
      <c r="B183" s="8">
        <f>IFERROR(VLOOKUP($A183,DataDemande!$AA$63:$AE$700,2,FALSE)*VLOOKUP($A183,DataPrixBillets!$M$66:$Q$700,2,FALSE),"")</f>
        <v>0</v>
      </c>
      <c r="C183" s="8">
        <f>IFERROR(VLOOKUP($A183,DataDemande!$AA$63:$AE$700,3,FALSE)*VLOOKUP($A183,DataPrixBillets!$M$66:$Q$700,3,FALSE),"")</f>
        <v>0</v>
      </c>
      <c r="D183" s="8">
        <f>IFERROR(VLOOKUP($A183,DataDemande!$AA$63:$AE$700,4,FALSE)*VLOOKUP($A183,DataPrixBillets!$M$66:$Q$700,4,FALSE),"")</f>
        <v>0</v>
      </c>
      <c r="E183" s="8">
        <f>IFERROR(VLOOKUP($A183,DataDemande!$AA$63:$AE$700,5,FALSE)*VLOOKUP($A183,DataPrixBillets!$M$66:$Q$700,5,FALSE),"")</f>
        <v>0</v>
      </c>
      <c r="F183" s="21">
        <f t="shared" si="4"/>
        <v>0</v>
      </c>
    </row>
    <row r="184" spans="1:6" x14ac:dyDescent="0.3">
      <c r="A184" s="185" t="str">
        <f>DataDemande!AA243</f>
        <v/>
      </c>
      <c r="B184" s="8">
        <f>IFERROR(VLOOKUP($A184,DataDemande!$AA$63:$AE$700,2,FALSE)*VLOOKUP($A184,DataPrixBillets!$M$66:$Q$700,2,FALSE),"")</f>
        <v>0</v>
      </c>
      <c r="C184" s="8">
        <f>IFERROR(VLOOKUP($A184,DataDemande!$AA$63:$AE$700,3,FALSE)*VLOOKUP($A184,DataPrixBillets!$M$66:$Q$700,3,FALSE),"")</f>
        <v>0</v>
      </c>
      <c r="D184" s="8">
        <f>IFERROR(VLOOKUP($A184,DataDemande!$AA$63:$AE$700,4,FALSE)*VLOOKUP($A184,DataPrixBillets!$M$66:$Q$700,4,FALSE),"")</f>
        <v>0</v>
      </c>
      <c r="E184" s="8">
        <f>IFERROR(VLOOKUP($A184,DataDemande!$AA$63:$AE$700,5,FALSE)*VLOOKUP($A184,DataPrixBillets!$M$66:$Q$700,5,FALSE),"")</f>
        <v>0</v>
      </c>
      <c r="F184" s="21">
        <f t="shared" si="4"/>
        <v>0</v>
      </c>
    </row>
    <row r="185" spans="1:6" x14ac:dyDescent="0.3">
      <c r="A185" s="185" t="str">
        <f>DataDemande!AA244</f>
        <v/>
      </c>
      <c r="B185" s="8">
        <f>IFERROR(VLOOKUP($A185,DataDemande!$AA$63:$AE$700,2,FALSE)*VLOOKUP($A185,DataPrixBillets!$M$66:$Q$700,2,FALSE),"")</f>
        <v>0</v>
      </c>
      <c r="C185" s="8">
        <f>IFERROR(VLOOKUP($A185,DataDemande!$AA$63:$AE$700,3,FALSE)*VLOOKUP($A185,DataPrixBillets!$M$66:$Q$700,3,FALSE),"")</f>
        <v>0</v>
      </c>
      <c r="D185" s="8">
        <f>IFERROR(VLOOKUP($A185,DataDemande!$AA$63:$AE$700,4,FALSE)*VLOOKUP($A185,DataPrixBillets!$M$66:$Q$700,4,FALSE),"")</f>
        <v>0</v>
      </c>
      <c r="E185" s="8">
        <f>IFERROR(VLOOKUP($A185,DataDemande!$AA$63:$AE$700,5,FALSE)*VLOOKUP($A185,DataPrixBillets!$M$66:$Q$700,5,FALSE),"")</f>
        <v>0</v>
      </c>
      <c r="F185" s="21">
        <f t="shared" si="4"/>
        <v>0</v>
      </c>
    </row>
    <row r="186" spans="1:6" x14ac:dyDescent="0.3">
      <c r="A186" s="185" t="str">
        <f>DataDemande!AA245</f>
        <v/>
      </c>
      <c r="B186" s="8">
        <f>IFERROR(VLOOKUP($A186,DataDemande!$AA$63:$AE$700,2,FALSE)*VLOOKUP($A186,DataPrixBillets!$M$66:$Q$700,2,FALSE),"")</f>
        <v>0</v>
      </c>
      <c r="C186" s="8">
        <f>IFERROR(VLOOKUP($A186,DataDemande!$AA$63:$AE$700,3,FALSE)*VLOOKUP($A186,DataPrixBillets!$M$66:$Q$700,3,FALSE),"")</f>
        <v>0</v>
      </c>
      <c r="D186" s="8">
        <f>IFERROR(VLOOKUP($A186,DataDemande!$AA$63:$AE$700,4,FALSE)*VLOOKUP($A186,DataPrixBillets!$M$66:$Q$700,4,FALSE),"")</f>
        <v>0</v>
      </c>
      <c r="E186" s="8">
        <f>IFERROR(VLOOKUP($A186,DataDemande!$AA$63:$AE$700,5,FALSE)*VLOOKUP($A186,DataPrixBillets!$M$66:$Q$700,5,FALSE),"")</f>
        <v>0</v>
      </c>
      <c r="F186" s="21">
        <f t="shared" si="4"/>
        <v>0</v>
      </c>
    </row>
    <row r="187" spans="1:6" x14ac:dyDescent="0.3">
      <c r="A187" s="185" t="str">
        <f>DataDemande!AA246</f>
        <v/>
      </c>
      <c r="B187" s="8">
        <f>IFERROR(VLOOKUP($A187,DataDemande!$AA$63:$AE$700,2,FALSE)*VLOOKUP($A187,DataPrixBillets!$M$66:$Q$700,2,FALSE),"")</f>
        <v>0</v>
      </c>
      <c r="C187" s="8">
        <f>IFERROR(VLOOKUP($A187,DataDemande!$AA$63:$AE$700,3,FALSE)*VLOOKUP($A187,DataPrixBillets!$M$66:$Q$700,3,FALSE),"")</f>
        <v>0</v>
      </c>
      <c r="D187" s="8">
        <f>IFERROR(VLOOKUP($A187,DataDemande!$AA$63:$AE$700,4,FALSE)*VLOOKUP($A187,DataPrixBillets!$M$66:$Q$700,4,FALSE),"")</f>
        <v>0</v>
      </c>
      <c r="E187" s="8">
        <f>IFERROR(VLOOKUP($A187,DataDemande!$AA$63:$AE$700,5,FALSE)*VLOOKUP($A187,DataPrixBillets!$M$66:$Q$700,5,FALSE),"")</f>
        <v>0</v>
      </c>
      <c r="F187" s="21">
        <f t="shared" si="4"/>
        <v>0</v>
      </c>
    </row>
    <row r="188" spans="1:6" x14ac:dyDescent="0.3">
      <c r="A188" s="185" t="str">
        <f>DataDemande!AA247</f>
        <v/>
      </c>
      <c r="B188" s="8">
        <f>IFERROR(VLOOKUP($A188,DataDemande!$AA$63:$AE$700,2,FALSE)*VLOOKUP($A188,DataPrixBillets!$M$66:$Q$700,2,FALSE),"")</f>
        <v>0</v>
      </c>
      <c r="C188" s="8">
        <f>IFERROR(VLOOKUP($A188,DataDemande!$AA$63:$AE$700,3,FALSE)*VLOOKUP($A188,DataPrixBillets!$M$66:$Q$700,3,FALSE),"")</f>
        <v>0</v>
      </c>
      <c r="D188" s="8">
        <f>IFERROR(VLOOKUP($A188,DataDemande!$AA$63:$AE$700,4,FALSE)*VLOOKUP($A188,DataPrixBillets!$M$66:$Q$700,4,FALSE),"")</f>
        <v>0</v>
      </c>
      <c r="E188" s="8">
        <f>IFERROR(VLOOKUP($A188,DataDemande!$AA$63:$AE$700,5,FALSE)*VLOOKUP($A188,DataPrixBillets!$M$66:$Q$700,5,FALSE),"")</f>
        <v>0</v>
      </c>
      <c r="F188" s="21">
        <f t="shared" si="4"/>
        <v>0</v>
      </c>
    </row>
    <row r="189" spans="1:6" x14ac:dyDescent="0.3">
      <c r="A189" s="185" t="str">
        <f>DataDemande!AA248</f>
        <v/>
      </c>
      <c r="B189" s="8">
        <f>IFERROR(VLOOKUP($A189,DataDemande!$AA$63:$AE$700,2,FALSE)*VLOOKUP($A189,DataPrixBillets!$M$66:$Q$700,2,FALSE),"")</f>
        <v>0</v>
      </c>
      <c r="C189" s="8">
        <f>IFERROR(VLOOKUP($A189,DataDemande!$AA$63:$AE$700,3,FALSE)*VLOOKUP($A189,DataPrixBillets!$M$66:$Q$700,3,FALSE),"")</f>
        <v>0</v>
      </c>
      <c r="D189" s="8">
        <f>IFERROR(VLOOKUP($A189,DataDemande!$AA$63:$AE$700,4,FALSE)*VLOOKUP($A189,DataPrixBillets!$M$66:$Q$700,4,FALSE),"")</f>
        <v>0</v>
      </c>
      <c r="E189" s="8">
        <f>IFERROR(VLOOKUP($A189,DataDemande!$AA$63:$AE$700,5,FALSE)*VLOOKUP($A189,DataPrixBillets!$M$66:$Q$700,5,FALSE),"")</f>
        <v>0</v>
      </c>
      <c r="F189" s="21">
        <f t="shared" si="4"/>
        <v>0</v>
      </c>
    </row>
    <row r="190" spans="1:6" x14ac:dyDescent="0.3">
      <c r="A190" s="185" t="str">
        <f>DataDemande!AA249</f>
        <v/>
      </c>
      <c r="B190" s="8">
        <f>IFERROR(VLOOKUP($A190,DataDemande!$AA$63:$AE$700,2,FALSE)*VLOOKUP($A190,DataPrixBillets!$M$66:$Q$700,2,FALSE),"")</f>
        <v>0</v>
      </c>
      <c r="C190" s="8">
        <f>IFERROR(VLOOKUP($A190,DataDemande!$AA$63:$AE$700,3,FALSE)*VLOOKUP($A190,DataPrixBillets!$M$66:$Q$700,3,FALSE),"")</f>
        <v>0</v>
      </c>
      <c r="D190" s="8">
        <f>IFERROR(VLOOKUP($A190,DataDemande!$AA$63:$AE$700,4,FALSE)*VLOOKUP($A190,DataPrixBillets!$M$66:$Q$700,4,FALSE),"")</f>
        <v>0</v>
      </c>
      <c r="E190" s="8">
        <f>IFERROR(VLOOKUP($A190,DataDemande!$AA$63:$AE$700,5,FALSE)*VLOOKUP($A190,DataPrixBillets!$M$66:$Q$700,5,FALSE),"")</f>
        <v>0</v>
      </c>
      <c r="F190" s="21">
        <f t="shared" si="4"/>
        <v>0</v>
      </c>
    </row>
    <row r="191" spans="1:6" x14ac:dyDescent="0.3">
      <c r="A191" s="185" t="str">
        <f>DataDemande!AA250</f>
        <v/>
      </c>
      <c r="B191" s="8">
        <f>IFERROR(VLOOKUP($A191,DataDemande!$AA$63:$AE$700,2,FALSE)*VLOOKUP($A191,DataPrixBillets!$M$66:$Q$700,2,FALSE),"")</f>
        <v>0</v>
      </c>
      <c r="C191" s="8">
        <f>IFERROR(VLOOKUP($A191,DataDemande!$AA$63:$AE$700,3,FALSE)*VLOOKUP($A191,DataPrixBillets!$M$66:$Q$700,3,FALSE),"")</f>
        <v>0</v>
      </c>
      <c r="D191" s="8">
        <f>IFERROR(VLOOKUP($A191,DataDemande!$AA$63:$AE$700,4,FALSE)*VLOOKUP($A191,DataPrixBillets!$M$66:$Q$700,4,FALSE),"")</f>
        <v>0</v>
      </c>
      <c r="E191" s="8">
        <f>IFERROR(VLOOKUP($A191,DataDemande!$AA$63:$AE$700,5,FALSE)*VLOOKUP($A191,DataPrixBillets!$M$66:$Q$700,5,FALSE),"")</f>
        <v>0</v>
      </c>
      <c r="F191" s="21">
        <f t="shared" si="4"/>
        <v>0</v>
      </c>
    </row>
    <row r="192" spans="1:6" x14ac:dyDescent="0.3">
      <c r="A192" s="185" t="str">
        <f>DataDemande!AA251</f>
        <v/>
      </c>
      <c r="B192" s="8">
        <f>IFERROR(VLOOKUP($A192,DataDemande!$AA$63:$AE$700,2,FALSE)*VLOOKUP($A192,DataPrixBillets!$M$66:$Q$700,2,FALSE),"")</f>
        <v>0</v>
      </c>
      <c r="C192" s="8">
        <f>IFERROR(VLOOKUP($A192,DataDemande!$AA$63:$AE$700,3,FALSE)*VLOOKUP($A192,DataPrixBillets!$M$66:$Q$700,3,FALSE),"")</f>
        <v>0</v>
      </c>
      <c r="D192" s="8">
        <f>IFERROR(VLOOKUP($A192,DataDemande!$AA$63:$AE$700,4,FALSE)*VLOOKUP($A192,DataPrixBillets!$M$66:$Q$700,4,FALSE),"")</f>
        <v>0</v>
      </c>
      <c r="E192" s="8">
        <f>IFERROR(VLOOKUP($A192,DataDemande!$AA$63:$AE$700,5,FALSE)*VLOOKUP($A192,DataPrixBillets!$M$66:$Q$700,5,FALSE),"")</f>
        <v>0</v>
      </c>
      <c r="F192" s="21">
        <f t="shared" si="4"/>
        <v>0</v>
      </c>
    </row>
    <row r="193" spans="1:6" x14ac:dyDescent="0.3">
      <c r="A193" s="185" t="str">
        <f>DataDemande!AA252</f>
        <v/>
      </c>
      <c r="B193" s="8">
        <f>IFERROR(VLOOKUP($A193,DataDemande!$AA$63:$AE$700,2,FALSE)*VLOOKUP($A193,DataPrixBillets!$M$66:$Q$700,2,FALSE),"")</f>
        <v>0</v>
      </c>
      <c r="C193" s="8">
        <f>IFERROR(VLOOKUP($A193,DataDemande!$AA$63:$AE$700,3,FALSE)*VLOOKUP($A193,DataPrixBillets!$M$66:$Q$700,3,FALSE),"")</f>
        <v>0</v>
      </c>
      <c r="D193" s="8">
        <f>IFERROR(VLOOKUP($A193,DataDemande!$AA$63:$AE$700,4,FALSE)*VLOOKUP($A193,DataPrixBillets!$M$66:$Q$700,4,FALSE),"")</f>
        <v>0</v>
      </c>
      <c r="E193" s="8">
        <f>IFERROR(VLOOKUP($A193,DataDemande!$AA$63:$AE$700,5,FALSE)*VLOOKUP($A193,DataPrixBillets!$M$66:$Q$700,5,FALSE),"")</f>
        <v>0</v>
      </c>
      <c r="F193" s="21">
        <f t="shared" si="4"/>
        <v>0</v>
      </c>
    </row>
    <row r="194" spans="1:6" x14ac:dyDescent="0.3">
      <c r="A194" s="185" t="str">
        <f>DataDemande!AA253</f>
        <v/>
      </c>
      <c r="B194" s="8">
        <f>IFERROR(VLOOKUP($A194,DataDemande!$AA$63:$AE$700,2,FALSE)*VLOOKUP($A194,DataPrixBillets!$M$66:$Q$700,2,FALSE),"")</f>
        <v>0</v>
      </c>
      <c r="C194" s="8">
        <f>IFERROR(VLOOKUP($A194,DataDemande!$AA$63:$AE$700,3,FALSE)*VLOOKUP($A194,DataPrixBillets!$M$66:$Q$700,3,FALSE),"")</f>
        <v>0</v>
      </c>
      <c r="D194" s="8">
        <f>IFERROR(VLOOKUP($A194,DataDemande!$AA$63:$AE$700,4,FALSE)*VLOOKUP($A194,DataPrixBillets!$M$66:$Q$700,4,FALSE),"")</f>
        <v>0</v>
      </c>
      <c r="E194" s="8">
        <f>IFERROR(VLOOKUP($A194,DataDemande!$AA$63:$AE$700,5,FALSE)*VLOOKUP($A194,DataPrixBillets!$M$66:$Q$700,5,FALSE),"")</f>
        <v>0</v>
      </c>
      <c r="F194" s="21">
        <f t="shared" si="4"/>
        <v>0</v>
      </c>
    </row>
    <row r="195" spans="1:6" x14ac:dyDescent="0.3">
      <c r="A195" s="185" t="str">
        <f>DataDemande!AA254</f>
        <v/>
      </c>
      <c r="B195" s="8">
        <f>IFERROR(VLOOKUP($A195,DataDemande!$AA$63:$AE$700,2,FALSE)*VLOOKUP($A195,DataPrixBillets!$M$66:$Q$700,2,FALSE),"")</f>
        <v>0</v>
      </c>
      <c r="C195" s="8">
        <f>IFERROR(VLOOKUP($A195,DataDemande!$AA$63:$AE$700,3,FALSE)*VLOOKUP($A195,DataPrixBillets!$M$66:$Q$700,3,FALSE),"")</f>
        <v>0</v>
      </c>
      <c r="D195" s="8">
        <f>IFERROR(VLOOKUP($A195,DataDemande!$AA$63:$AE$700,4,FALSE)*VLOOKUP($A195,DataPrixBillets!$M$66:$Q$700,4,FALSE),"")</f>
        <v>0</v>
      </c>
      <c r="E195" s="8">
        <f>IFERROR(VLOOKUP($A195,DataDemande!$AA$63:$AE$700,5,FALSE)*VLOOKUP($A195,DataPrixBillets!$M$66:$Q$700,5,FALSE),"")</f>
        <v>0</v>
      </c>
      <c r="F195" s="21">
        <f t="shared" si="4"/>
        <v>0</v>
      </c>
    </row>
    <row r="196" spans="1:6" x14ac:dyDescent="0.3">
      <c r="A196" s="185" t="str">
        <f>DataDemande!AA255</f>
        <v/>
      </c>
      <c r="B196" s="8">
        <f>IFERROR(VLOOKUP($A196,DataDemande!$AA$63:$AE$700,2,FALSE)*VLOOKUP($A196,DataPrixBillets!$M$66:$Q$700,2,FALSE),"")</f>
        <v>0</v>
      </c>
      <c r="C196" s="8">
        <f>IFERROR(VLOOKUP($A196,DataDemande!$AA$63:$AE$700,3,FALSE)*VLOOKUP($A196,DataPrixBillets!$M$66:$Q$700,3,FALSE),"")</f>
        <v>0</v>
      </c>
      <c r="D196" s="8">
        <f>IFERROR(VLOOKUP($A196,DataDemande!$AA$63:$AE$700,4,FALSE)*VLOOKUP($A196,DataPrixBillets!$M$66:$Q$700,4,FALSE),"")</f>
        <v>0</v>
      </c>
      <c r="E196" s="8">
        <f>IFERROR(VLOOKUP($A196,DataDemande!$AA$63:$AE$700,5,FALSE)*VLOOKUP($A196,DataPrixBillets!$M$66:$Q$700,5,FALSE),"")</f>
        <v>0</v>
      </c>
      <c r="F196" s="21">
        <f t="shared" si="4"/>
        <v>0</v>
      </c>
    </row>
    <row r="197" spans="1:6" x14ac:dyDescent="0.3">
      <c r="A197" s="185" t="str">
        <f>DataDemande!AA256</f>
        <v/>
      </c>
      <c r="B197" s="8">
        <f>IFERROR(VLOOKUP($A197,DataDemande!$AA$63:$AE$700,2,FALSE)*VLOOKUP($A197,DataPrixBillets!$M$66:$Q$700,2,FALSE),"")</f>
        <v>0</v>
      </c>
      <c r="C197" s="8">
        <f>IFERROR(VLOOKUP($A197,DataDemande!$AA$63:$AE$700,3,FALSE)*VLOOKUP($A197,DataPrixBillets!$M$66:$Q$700,3,FALSE),"")</f>
        <v>0</v>
      </c>
      <c r="D197" s="8">
        <f>IFERROR(VLOOKUP($A197,DataDemande!$AA$63:$AE$700,4,FALSE)*VLOOKUP($A197,DataPrixBillets!$M$66:$Q$700,4,FALSE),"")</f>
        <v>0</v>
      </c>
      <c r="E197" s="8">
        <f>IFERROR(VLOOKUP($A197,DataDemande!$AA$63:$AE$700,5,FALSE)*VLOOKUP($A197,DataPrixBillets!$M$66:$Q$700,5,FALSE),"")</f>
        <v>0</v>
      </c>
      <c r="F197" s="21">
        <f t="shared" ref="F197:F260" si="5">SUM(B197:E197)</f>
        <v>0</v>
      </c>
    </row>
    <row r="198" spans="1:6" x14ac:dyDescent="0.3">
      <c r="A198" s="185" t="str">
        <f>DataDemande!AA257</f>
        <v/>
      </c>
      <c r="B198" s="8">
        <f>IFERROR(VLOOKUP($A198,DataDemande!$AA$63:$AE$700,2,FALSE)*VLOOKUP($A198,DataPrixBillets!$M$66:$Q$700,2,FALSE),"")</f>
        <v>0</v>
      </c>
      <c r="C198" s="8">
        <f>IFERROR(VLOOKUP($A198,DataDemande!$AA$63:$AE$700,3,FALSE)*VLOOKUP($A198,DataPrixBillets!$M$66:$Q$700,3,FALSE),"")</f>
        <v>0</v>
      </c>
      <c r="D198" s="8">
        <f>IFERROR(VLOOKUP($A198,DataDemande!$AA$63:$AE$700,4,FALSE)*VLOOKUP($A198,DataPrixBillets!$M$66:$Q$700,4,FALSE),"")</f>
        <v>0</v>
      </c>
      <c r="E198" s="8">
        <f>IFERROR(VLOOKUP($A198,DataDemande!$AA$63:$AE$700,5,FALSE)*VLOOKUP($A198,DataPrixBillets!$M$66:$Q$700,5,FALSE),"")</f>
        <v>0</v>
      </c>
      <c r="F198" s="21">
        <f t="shared" si="5"/>
        <v>0</v>
      </c>
    </row>
    <row r="199" spans="1:6" x14ac:dyDescent="0.3">
      <c r="A199" s="185" t="str">
        <f>DataDemande!AA258</f>
        <v/>
      </c>
      <c r="B199" s="8">
        <f>IFERROR(VLOOKUP($A199,DataDemande!$AA$63:$AE$700,2,FALSE)*VLOOKUP($A199,DataPrixBillets!$M$66:$Q$700,2,FALSE),"")</f>
        <v>0</v>
      </c>
      <c r="C199" s="8">
        <f>IFERROR(VLOOKUP($A199,DataDemande!$AA$63:$AE$700,3,FALSE)*VLOOKUP($A199,DataPrixBillets!$M$66:$Q$700,3,FALSE),"")</f>
        <v>0</v>
      </c>
      <c r="D199" s="8">
        <f>IFERROR(VLOOKUP($A199,DataDemande!$AA$63:$AE$700,4,FALSE)*VLOOKUP($A199,DataPrixBillets!$M$66:$Q$700,4,FALSE),"")</f>
        <v>0</v>
      </c>
      <c r="E199" s="8">
        <f>IFERROR(VLOOKUP($A199,DataDemande!$AA$63:$AE$700,5,FALSE)*VLOOKUP($A199,DataPrixBillets!$M$66:$Q$700,5,FALSE),"")</f>
        <v>0</v>
      </c>
      <c r="F199" s="21">
        <f t="shared" si="5"/>
        <v>0</v>
      </c>
    </row>
    <row r="200" spans="1:6" x14ac:dyDescent="0.3">
      <c r="A200" s="185" t="str">
        <f>DataDemande!AA259</f>
        <v/>
      </c>
      <c r="B200" s="8">
        <f>IFERROR(VLOOKUP($A200,DataDemande!$AA$63:$AE$700,2,FALSE)*VLOOKUP($A200,DataPrixBillets!$M$66:$Q$700,2,FALSE),"")</f>
        <v>0</v>
      </c>
      <c r="C200" s="8">
        <f>IFERROR(VLOOKUP($A200,DataDemande!$AA$63:$AE$700,3,FALSE)*VLOOKUP($A200,DataPrixBillets!$M$66:$Q$700,3,FALSE),"")</f>
        <v>0</v>
      </c>
      <c r="D200" s="8">
        <f>IFERROR(VLOOKUP($A200,DataDemande!$AA$63:$AE$700,4,FALSE)*VLOOKUP($A200,DataPrixBillets!$M$66:$Q$700,4,FALSE),"")</f>
        <v>0</v>
      </c>
      <c r="E200" s="8">
        <f>IFERROR(VLOOKUP($A200,DataDemande!$AA$63:$AE$700,5,FALSE)*VLOOKUP($A200,DataPrixBillets!$M$66:$Q$700,5,FALSE),"")</f>
        <v>0</v>
      </c>
      <c r="F200" s="21">
        <f t="shared" si="5"/>
        <v>0</v>
      </c>
    </row>
    <row r="201" spans="1:6" x14ac:dyDescent="0.3">
      <c r="A201" s="185" t="str">
        <f>DataDemande!AA260</f>
        <v/>
      </c>
      <c r="B201" s="8">
        <f>IFERROR(VLOOKUP($A201,DataDemande!$AA$63:$AE$700,2,FALSE)*VLOOKUP($A201,DataPrixBillets!$M$66:$Q$700,2,FALSE),"")</f>
        <v>0</v>
      </c>
      <c r="C201" s="8">
        <f>IFERROR(VLOOKUP($A201,DataDemande!$AA$63:$AE$700,3,FALSE)*VLOOKUP($A201,DataPrixBillets!$M$66:$Q$700,3,FALSE),"")</f>
        <v>0</v>
      </c>
      <c r="D201" s="8">
        <f>IFERROR(VLOOKUP($A201,DataDemande!$AA$63:$AE$700,4,FALSE)*VLOOKUP($A201,DataPrixBillets!$M$66:$Q$700,4,FALSE),"")</f>
        <v>0</v>
      </c>
      <c r="E201" s="8">
        <f>IFERROR(VLOOKUP($A201,DataDemande!$AA$63:$AE$700,5,FALSE)*VLOOKUP($A201,DataPrixBillets!$M$66:$Q$700,5,FALSE),"")</f>
        <v>0</v>
      </c>
      <c r="F201" s="21">
        <f t="shared" si="5"/>
        <v>0</v>
      </c>
    </row>
    <row r="202" spans="1:6" x14ac:dyDescent="0.3">
      <c r="A202" s="185" t="str">
        <f>DataDemande!AA261</f>
        <v/>
      </c>
      <c r="B202" s="8">
        <f>IFERROR(VLOOKUP($A202,DataDemande!$AA$63:$AE$700,2,FALSE)*VLOOKUP($A202,DataPrixBillets!$M$66:$Q$700,2,FALSE),"")</f>
        <v>0</v>
      </c>
      <c r="C202" s="8">
        <f>IFERROR(VLOOKUP($A202,DataDemande!$AA$63:$AE$700,3,FALSE)*VLOOKUP($A202,DataPrixBillets!$M$66:$Q$700,3,FALSE),"")</f>
        <v>0</v>
      </c>
      <c r="D202" s="8">
        <f>IFERROR(VLOOKUP($A202,DataDemande!$AA$63:$AE$700,4,FALSE)*VLOOKUP($A202,DataPrixBillets!$M$66:$Q$700,4,FALSE),"")</f>
        <v>0</v>
      </c>
      <c r="E202" s="8">
        <f>IFERROR(VLOOKUP($A202,DataDemande!$AA$63:$AE$700,5,FALSE)*VLOOKUP($A202,DataPrixBillets!$M$66:$Q$700,5,FALSE),"")</f>
        <v>0</v>
      </c>
      <c r="F202" s="21">
        <f t="shared" si="5"/>
        <v>0</v>
      </c>
    </row>
    <row r="203" spans="1:6" x14ac:dyDescent="0.3">
      <c r="A203" s="185" t="str">
        <f>DataDemande!AA262</f>
        <v/>
      </c>
      <c r="B203" s="8">
        <f>IFERROR(VLOOKUP($A203,DataDemande!$AA$63:$AE$700,2,FALSE)*VLOOKUP($A203,DataPrixBillets!$M$66:$Q$700,2,FALSE),"")</f>
        <v>0</v>
      </c>
      <c r="C203" s="8">
        <f>IFERROR(VLOOKUP($A203,DataDemande!$AA$63:$AE$700,3,FALSE)*VLOOKUP($A203,DataPrixBillets!$M$66:$Q$700,3,FALSE),"")</f>
        <v>0</v>
      </c>
      <c r="D203" s="8">
        <f>IFERROR(VLOOKUP($A203,DataDemande!$AA$63:$AE$700,4,FALSE)*VLOOKUP($A203,DataPrixBillets!$M$66:$Q$700,4,FALSE),"")</f>
        <v>0</v>
      </c>
      <c r="E203" s="8">
        <f>IFERROR(VLOOKUP($A203,DataDemande!$AA$63:$AE$700,5,FALSE)*VLOOKUP($A203,DataPrixBillets!$M$66:$Q$700,5,FALSE),"")</f>
        <v>0</v>
      </c>
      <c r="F203" s="21">
        <f t="shared" si="5"/>
        <v>0</v>
      </c>
    </row>
    <row r="204" spans="1:6" x14ac:dyDescent="0.3">
      <c r="A204" s="185" t="str">
        <f>DataDemande!AA263</f>
        <v/>
      </c>
      <c r="B204" s="8">
        <f>IFERROR(VLOOKUP($A204,DataDemande!$AA$63:$AE$700,2,FALSE)*VLOOKUP($A204,DataPrixBillets!$M$66:$Q$700,2,FALSE),"")</f>
        <v>0</v>
      </c>
      <c r="C204" s="8">
        <f>IFERROR(VLOOKUP($A204,DataDemande!$AA$63:$AE$700,3,FALSE)*VLOOKUP($A204,DataPrixBillets!$M$66:$Q$700,3,FALSE),"")</f>
        <v>0</v>
      </c>
      <c r="D204" s="8">
        <f>IFERROR(VLOOKUP($A204,DataDemande!$AA$63:$AE$700,4,FALSE)*VLOOKUP($A204,DataPrixBillets!$M$66:$Q$700,4,FALSE),"")</f>
        <v>0</v>
      </c>
      <c r="E204" s="8">
        <f>IFERROR(VLOOKUP($A204,DataDemande!$AA$63:$AE$700,5,FALSE)*VLOOKUP($A204,DataPrixBillets!$M$66:$Q$700,5,FALSE),"")</f>
        <v>0</v>
      </c>
      <c r="F204" s="21">
        <f t="shared" si="5"/>
        <v>0</v>
      </c>
    </row>
    <row r="205" spans="1:6" x14ac:dyDescent="0.3">
      <c r="A205" s="185" t="str">
        <f>DataDemande!AA264</f>
        <v/>
      </c>
      <c r="B205" s="8">
        <f>IFERROR(VLOOKUP($A205,DataDemande!$AA$63:$AE$700,2,FALSE)*VLOOKUP($A205,DataPrixBillets!$M$66:$Q$700,2,FALSE),"")</f>
        <v>0</v>
      </c>
      <c r="C205" s="8">
        <f>IFERROR(VLOOKUP($A205,DataDemande!$AA$63:$AE$700,3,FALSE)*VLOOKUP($A205,DataPrixBillets!$M$66:$Q$700,3,FALSE),"")</f>
        <v>0</v>
      </c>
      <c r="D205" s="8">
        <f>IFERROR(VLOOKUP($A205,DataDemande!$AA$63:$AE$700,4,FALSE)*VLOOKUP($A205,DataPrixBillets!$M$66:$Q$700,4,FALSE),"")</f>
        <v>0</v>
      </c>
      <c r="E205" s="8">
        <f>IFERROR(VLOOKUP($A205,DataDemande!$AA$63:$AE$700,5,FALSE)*VLOOKUP($A205,DataPrixBillets!$M$66:$Q$700,5,FALSE),"")</f>
        <v>0</v>
      </c>
      <c r="F205" s="21">
        <f t="shared" si="5"/>
        <v>0</v>
      </c>
    </row>
    <row r="206" spans="1:6" x14ac:dyDescent="0.3">
      <c r="A206" s="185" t="str">
        <f>DataDemande!AA265</f>
        <v/>
      </c>
      <c r="B206" s="8">
        <f>IFERROR(VLOOKUP($A206,DataDemande!$AA$63:$AE$700,2,FALSE)*VLOOKUP($A206,DataPrixBillets!$M$66:$Q$700,2,FALSE),"")</f>
        <v>0</v>
      </c>
      <c r="C206" s="8">
        <f>IFERROR(VLOOKUP($A206,DataDemande!$AA$63:$AE$700,3,FALSE)*VLOOKUP($A206,DataPrixBillets!$M$66:$Q$700,3,FALSE),"")</f>
        <v>0</v>
      </c>
      <c r="D206" s="8">
        <f>IFERROR(VLOOKUP($A206,DataDemande!$AA$63:$AE$700,4,FALSE)*VLOOKUP($A206,DataPrixBillets!$M$66:$Q$700,4,FALSE),"")</f>
        <v>0</v>
      </c>
      <c r="E206" s="8">
        <f>IFERROR(VLOOKUP($A206,DataDemande!$AA$63:$AE$700,5,FALSE)*VLOOKUP($A206,DataPrixBillets!$M$66:$Q$700,5,FALSE),"")</f>
        <v>0</v>
      </c>
      <c r="F206" s="21">
        <f t="shared" si="5"/>
        <v>0</v>
      </c>
    </row>
    <row r="207" spans="1:6" x14ac:dyDescent="0.3">
      <c r="A207" s="185" t="str">
        <f>DataDemande!AA266</f>
        <v/>
      </c>
      <c r="B207" s="8">
        <f>IFERROR(VLOOKUP($A207,DataDemande!$AA$63:$AE$700,2,FALSE)*VLOOKUP($A207,DataPrixBillets!$M$66:$Q$700,2,FALSE),"")</f>
        <v>0</v>
      </c>
      <c r="C207" s="8">
        <f>IFERROR(VLOOKUP($A207,DataDemande!$AA$63:$AE$700,3,FALSE)*VLOOKUP($A207,DataPrixBillets!$M$66:$Q$700,3,FALSE),"")</f>
        <v>0</v>
      </c>
      <c r="D207" s="8">
        <f>IFERROR(VLOOKUP($A207,DataDemande!$AA$63:$AE$700,4,FALSE)*VLOOKUP($A207,DataPrixBillets!$M$66:$Q$700,4,FALSE),"")</f>
        <v>0</v>
      </c>
      <c r="E207" s="8">
        <f>IFERROR(VLOOKUP($A207,DataDemande!$AA$63:$AE$700,5,FALSE)*VLOOKUP($A207,DataPrixBillets!$M$66:$Q$700,5,FALSE),"")</f>
        <v>0</v>
      </c>
      <c r="F207" s="21">
        <f t="shared" si="5"/>
        <v>0</v>
      </c>
    </row>
    <row r="208" spans="1:6" x14ac:dyDescent="0.3">
      <c r="A208" s="185" t="str">
        <f>DataDemande!AA267</f>
        <v/>
      </c>
      <c r="B208" s="8">
        <f>IFERROR(VLOOKUP($A208,DataDemande!$AA$63:$AE$700,2,FALSE)*VLOOKUP($A208,DataPrixBillets!$M$66:$Q$700,2,FALSE),"")</f>
        <v>0</v>
      </c>
      <c r="C208" s="8">
        <f>IFERROR(VLOOKUP($A208,DataDemande!$AA$63:$AE$700,3,FALSE)*VLOOKUP($A208,DataPrixBillets!$M$66:$Q$700,3,FALSE),"")</f>
        <v>0</v>
      </c>
      <c r="D208" s="8">
        <f>IFERROR(VLOOKUP($A208,DataDemande!$AA$63:$AE$700,4,FALSE)*VLOOKUP($A208,DataPrixBillets!$M$66:$Q$700,4,FALSE),"")</f>
        <v>0</v>
      </c>
      <c r="E208" s="8">
        <f>IFERROR(VLOOKUP($A208,DataDemande!$AA$63:$AE$700,5,FALSE)*VLOOKUP($A208,DataPrixBillets!$M$66:$Q$700,5,FALSE),"")</f>
        <v>0</v>
      </c>
      <c r="F208" s="21">
        <f t="shared" si="5"/>
        <v>0</v>
      </c>
    </row>
    <row r="209" spans="1:6" x14ac:dyDescent="0.3">
      <c r="A209" s="185" t="str">
        <f>DataDemande!AA268</f>
        <v/>
      </c>
      <c r="B209" s="8">
        <f>IFERROR(VLOOKUP($A209,DataDemande!$AA$63:$AE$700,2,FALSE)*VLOOKUP($A209,DataPrixBillets!$M$66:$Q$700,2,FALSE),"")</f>
        <v>0</v>
      </c>
      <c r="C209" s="8">
        <f>IFERROR(VLOOKUP($A209,DataDemande!$AA$63:$AE$700,3,FALSE)*VLOOKUP($A209,DataPrixBillets!$M$66:$Q$700,3,FALSE),"")</f>
        <v>0</v>
      </c>
      <c r="D209" s="8">
        <f>IFERROR(VLOOKUP($A209,DataDemande!$AA$63:$AE$700,4,FALSE)*VLOOKUP($A209,DataPrixBillets!$M$66:$Q$700,4,FALSE),"")</f>
        <v>0</v>
      </c>
      <c r="E209" s="8">
        <f>IFERROR(VLOOKUP($A209,DataDemande!$AA$63:$AE$700,5,FALSE)*VLOOKUP($A209,DataPrixBillets!$M$66:$Q$700,5,FALSE),"")</f>
        <v>0</v>
      </c>
      <c r="F209" s="21">
        <f t="shared" si="5"/>
        <v>0</v>
      </c>
    </row>
    <row r="210" spans="1:6" x14ac:dyDescent="0.3">
      <c r="A210" s="185" t="str">
        <f>DataDemande!AA269</f>
        <v/>
      </c>
      <c r="B210" s="8">
        <f>IFERROR(VLOOKUP($A210,DataDemande!$AA$63:$AE$700,2,FALSE)*VLOOKUP($A210,DataPrixBillets!$M$66:$Q$700,2,FALSE),"")</f>
        <v>0</v>
      </c>
      <c r="C210" s="8">
        <f>IFERROR(VLOOKUP($A210,DataDemande!$AA$63:$AE$700,3,FALSE)*VLOOKUP($A210,DataPrixBillets!$M$66:$Q$700,3,FALSE),"")</f>
        <v>0</v>
      </c>
      <c r="D210" s="8">
        <f>IFERROR(VLOOKUP($A210,DataDemande!$AA$63:$AE$700,4,FALSE)*VLOOKUP($A210,DataPrixBillets!$M$66:$Q$700,4,FALSE),"")</f>
        <v>0</v>
      </c>
      <c r="E210" s="8">
        <f>IFERROR(VLOOKUP($A210,DataDemande!$AA$63:$AE$700,5,FALSE)*VLOOKUP($A210,DataPrixBillets!$M$66:$Q$700,5,FALSE),"")</f>
        <v>0</v>
      </c>
      <c r="F210" s="21">
        <f t="shared" si="5"/>
        <v>0</v>
      </c>
    </row>
    <row r="211" spans="1:6" x14ac:dyDescent="0.3">
      <c r="A211" s="185" t="str">
        <f>DataDemande!AA270</f>
        <v/>
      </c>
      <c r="B211" s="8">
        <f>IFERROR(VLOOKUP($A211,DataDemande!$AA$63:$AE$700,2,FALSE)*VLOOKUP($A211,DataPrixBillets!$M$66:$Q$700,2,FALSE),"")</f>
        <v>0</v>
      </c>
      <c r="C211" s="8">
        <f>IFERROR(VLOOKUP($A211,DataDemande!$AA$63:$AE$700,3,FALSE)*VLOOKUP($A211,DataPrixBillets!$M$66:$Q$700,3,FALSE),"")</f>
        <v>0</v>
      </c>
      <c r="D211" s="8">
        <f>IFERROR(VLOOKUP($A211,DataDemande!$AA$63:$AE$700,4,FALSE)*VLOOKUP($A211,DataPrixBillets!$M$66:$Q$700,4,FALSE),"")</f>
        <v>0</v>
      </c>
      <c r="E211" s="8">
        <f>IFERROR(VLOOKUP($A211,DataDemande!$AA$63:$AE$700,5,FALSE)*VLOOKUP($A211,DataPrixBillets!$M$66:$Q$700,5,FALSE),"")</f>
        <v>0</v>
      </c>
      <c r="F211" s="21">
        <f t="shared" si="5"/>
        <v>0</v>
      </c>
    </row>
    <row r="212" spans="1:6" x14ac:dyDescent="0.3">
      <c r="A212" s="185" t="str">
        <f>DataDemande!AA271</f>
        <v/>
      </c>
      <c r="B212" s="8">
        <f>IFERROR(VLOOKUP($A212,DataDemande!$AA$63:$AE$700,2,FALSE)*VLOOKUP($A212,DataPrixBillets!$M$66:$Q$700,2,FALSE),"")</f>
        <v>0</v>
      </c>
      <c r="C212" s="8">
        <f>IFERROR(VLOOKUP($A212,DataDemande!$AA$63:$AE$700,3,FALSE)*VLOOKUP($A212,DataPrixBillets!$M$66:$Q$700,3,FALSE),"")</f>
        <v>0</v>
      </c>
      <c r="D212" s="8">
        <f>IFERROR(VLOOKUP($A212,DataDemande!$AA$63:$AE$700,4,FALSE)*VLOOKUP($A212,DataPrixBillets!$M$66:$Q$700,4,FALSE),"")</f>
        <v>0</v>
      </c>
      <c r="E212" s="8">
        <f>IFERROR(VLOOKUP($A212,DataDemande!$AA$63:$AE$700,5,FALSE)*VLOOKUP($A212,DataPrixBillets!$M$66:$Q$700,5,FALSE),"")</f>
        <v>0</v>
      </c>
      <c r="F212" s="21">
        <f t="shared" si="5"/>
        <v>0</v>
      </c>
    </row>
    <row r="213" spans="1:6" x14ac:dyDescent="0.3">
      <c r="A213" s="185" t="str">
        <f>DataDemande!AA272</f>
        <v/>
      </c>
      <c r="B213" s="8">
        <f>IFERROR(VLOOKUP($A213,DataDemande!$AA$63:$AE$700,2,FALSE)*VLOOKUP($A213,DataPrixBillets!$M$66:$Q$700,2,FALSE),"")</f>
        <v>0</v>
      </c>
      <c r="C213" s="8">
        <f>IFERROR(VLOOKUP($A213,DataDemande!$AA$63:$AE$700,3,FALSE)*VLOOKUP($A213,DataPrixBillets!$M$66:$Q$700,3,FALSE),"")</f>
        <v>0</v>
      </c>
      <c r="D213" s="8">
        <f>IFERROR(VLOOKUP($A213,DataDemande!$AA$63:$AE$700,4,FALSE)*VLOOKUP($A213,DataPrixBillets!$M$66:$Q$700,4,FALSE),"")</f>
        <v>0</v>
      </c>
      <c r="E213" s="8">
        <f>IFERROR(VLOOKUP($A213,DataDemande!$AA$63:$AE$700,5,FALSE)*VLOOKUP($A213,DataPrixBillets!$M$66:$Q$700,5,FALSE),"")</f>
        <v>0</v>
      </c>
      <c r="F213" s="21">
        <f t="shared" si="5"/>
        <v>0</v>
      </c>
    </row>
    <row r="214" spans="1:6" x14ac:dyDescent="0.3">
      <c r="A214" s="185" t="str">
        <f>DataDemande!AA273</f>
        <v/>
      </c>
      <c r="B214" s="8">
        <f>IFERROR(VLOOKUP($A214,DataDemande!$AA$63:$AE$700,2,FALSE)*VLOOKUP($A214,DataPrixBillets!$M$66:$Q$700,2,FALSE),"")</f>
        <v>0</v>
      </c>
      <c r="C214" s="8">
        <f>IFERROR(VLOOKUP($A214,DataDemande!$AA$63:$AE$700,3,FALSE)*VLOOKUP($A214,DataPrixBillets!$M$66:$Q$700,3,FALSE),"")</f>
        <v>0</v>
      </c>
      <c r="D214" s="8">
        <f>IFERROR(VLOOKUP($A214,DataDemande!$AA$63:$AE$700,4,FALSE)*VLOOKUP($A214,DataPrixBillets!$M$66:$Q$700,4,FALSE),"")</f>
        <v>0</v>
      </c>
      <c r="E214" s="8">
        <f>IFERROR(VLOOKUP($A214,DataDemande!$AA$63:$AE$700,5,FALSE)*VLOOKUP($A214,DataPrixBillets!$M$66:$Q$700,5,FALSE),"")</f>
        <v>0</v>
      </c>
      <c r="F214" s="21">
        <f t="shared" si="5"/>
        <v>0</v>
      </c>
    </row>
    <row r="215" spans="1:6" x14ac:dyDescent="0.3">
      <c r="A215" s="185" t="str">
        <f>DataDemande!AA274</f>
        <v/>
      </c>
      <c r="B215" s="8">
        <f>IFERROR(VLOOKUP($A215,DataDemande!$AA$63:$AE$700,2,FALSE)*VLOOKUP($A215,DataPrixBillets!$M$66:$Q$700,2,FALSE),"")</f>
        <v>0</v>
      </c>
      <c r="C215" s="8">
        <f>IFERROR(VLOOKUP($A215,DataDemande!$AA$63:$AE$700,3,FALSE)*VLOOKUP($A215,DataPrixBillets!$M$66:$Q$700,3,FALSE),"")</f>
        <v>0</v>
      </c>
      <c r="D215" s="8">
        <f>IFERROR(VLOOKUP($A215,DataDemande!$AA$63:$AE$700,4,FALSE)*VLOOKUP($A215,DataPrixBillets!$M$66:$Q$700,4,FALSE),"")</f>
        <v>0</v>
      </c>
      <c r="E215" s="8">
        <f>IFERROR(VLOOKUP($A215,DataDemande!$AA$63:$AE$700,5,FALSE)*VLOOKUP($A215,DataPrixBillets!$M$66:$Q$700,5,FALSE),"")</f>
        <v>0</v>
      </c>
      <c r="F215" s="21">
        <f t="shared" si="5"/>
        <v>0</v>
      </c>
    </row>
    <row r="216" spans="1:6" x14ac:dyDescent="0.3">
      <c r="A216" s="185" t="str">
        <f>DataDemande!AA275</f>
        <v/>
      </c>
      <c r="B216" s="8">
        <f>IFERROR(VLOOKUP($A216,DataDemande!$AA$63:$AE$700,2,FALSE)*VLOOKUP($A216,DataPrixBillets!$M$66:$Q$700,2,FALSE),"")</f>
        <v>0</v>
      </c>
      <c r="C216" s="8">
        <f>IFERROR(VLOOKUP($A216,DataDemande!$AA$63:$AE$700,3,FALSE)*VLOOKUP($A216,DataPrixBillets!$M$66:$Q$700,3,FALSE),"")</f>
        <v>0</v>
      </c>
      <c r="D216" s="8">
        <f>IFERROR(VLOOKUP($A216,DataDemande!$AA$63:$AE$700,4,FALSE)*VLOOKUP($A216,DataPrixBillets!$M$66:$Q$700,4,FALSE),"")</f>
        <v>0</v>
      </c>
      <c r="E216" s="8">
        <f>IFERROR(VLOOKUP($A216,DataDemande!$AA$63:$AE$700,5,FALSE)*VLOOKUP($A216,DataPrixBillets!$M$66:$Q$700,5,FALSE),"")</f>
        <v>0</v>
      </c>
      <c r="F216" s="21">
        <f t="shared" si="5"/>
        <v>0</v>
      </c>
    </row>
    <row r="217" spans="1:6" x14ac:dyDescent="0.3">
      <c r="A217" s="185" t="str">
        <f>DataDemande!AA276</f>
        <v/>
      </c>
      <c r="B217" s="8">
        <f>IFERROR(VLOOKUP($A217,DataDemande!$AA$63:$AE$700,2,FALSE)*VLOOKUP($A217,DataPrixBillets!$M$66:$Q$700,2,FALSE),"")</f>
        <v>0</v>
      </c>
      <c r="C217" s="8">
        <f>IFERROR(VLOOKUP($A217,DataDemande!$AA$63:$AE$700,3,FALSE)*VLOOKUP($A217,DataPrixBillets!$M$66:$Q$700,3,FALSE),"")</f>
        <v>0</v>
      </c>
      <c r="D217" s="8">
        <f>IFERROR(VLOOKUP($A217,DataDemande!$AA$63:$AE$700,4,FALSE)*VLOOKUP($A217,DataPrixBillets!$M$66:$Q$700,4,FALSE),"")</f>
        <v>0</v>
      </c>
      <c r="E217" s="8">
        <f>IFERROR(VLOOKUP($A217,DataDemande!$AA$63:$AE$700,5,FALSE)*VLOOKUP($A217,DataPrixBillets!$M$66:$Q$700,5,FALSE),"")</f>
        <v>0</v>
      </c>
      <c r="F217" s="21">
        <f t="shared" si="5"/>
        <v>0</v>
      </c>
    </row>
    <row r="218" spans="1:6" x14ac:dyDescent="0.3">
      <c r="A218" s="185" t="str">
        <f>DataDemande!AA277</f>
        <v/>
      </c>
      <c r="B218" s="8">
        <f>IFERROR(VLOOKUP($A218,DataDemande!$AA$63:$AE$700,2,FALSE)*VLOOKUP($A218,DataPrixBillets!$M$66:$Q$700,2,FALSE),"")</f>
        <v>0</v>
      </c>
      <c r="C218" s="8">
        <f>IFERROR(VLOOKUP($A218,DataDemande!$AA$63:$AE$700,3,FALSE)*VLOOKUP($A218,DataPrixBillets!$M$66:$Q$700,3,FALSE),"")</f>
        <v>0</v>
      </c>
      <c r="D218" s="8">
        <f>IFERROR(VLOOKUP($A218,DataDemande!$AA$63:$AE$700,4,FALSE)*VLOOKUP($A218,DataPrixBillets!$M$66:$Q$700,4,FALSE),"")</f>
        <v>0</v>
      </c>
      <c r="E218" s="8">
        <f>IFERROR(VLOOKUP($A218,DataDemande!$AA$63:$AE$700,5,FALSE)*VLOOKUP($A218,DataPrixBillets!$M$66:$Q$700,5,FALSE),"")</f>
        <v>0</v>
      </c>
      <c r="F218" s="21">
        <f t="shared" si="5"/>
        <v>0</v>
      </c>
    </row>
    <row r="219" spans="1:6" x14ac:dyDescent="0.3">
      <c r="A219" s="185" t="str">
        <f>DataDemande!AA278</f>
        <v/>
      </c>
      <c r="B219" s="8">
        <f>IFERROR(VLOOKUP($A219,DataDemande!$AA$63:$AE$700,2,FALSE)*VLOOKUP($A219,DataPrixBillets!$M$66:$Q$700,2,FALSE),"")</f>
        <v>0</v>
      </c>
      <c r="C219" s="8">
        <f>IFERROR(VLOOKUP($A219,DataDemande!$AA$63:$AE$700,3,FALSE)*VLOOKUP($A219,DataPrixBillets!$M$66:$Q$700,3,FALSE),"")</f>
        <v>0</v>
      </c>
      <c r="D219" s="8">
        <f>IFERROR(VLOOKUP($A219,DataDemande!$AA$63:$AE$700,4,FALSE)*VLOOKUP($A219,DataPrixBillets!$M$66:$Q$700,4,FALSE),"")</f>
        <v>0</v>
      </c>
      <c r="E219" s="8">
        <f>IFERROR(VLOOKUP($A219,DataDemande!$AA$63:$AE$700,5,FALSE)*VLOOKUP($A219,DataPrixBillets!$M$66:$Q$700,5,FALSE),"")</f>
        <v>0</v>
      </c>
      <c r="F219" s="21">
        <f t="shared" si="5"/>
        <v>0</v>
      </c>
    </row>
    <row r="220" spans="1:6" x14ac:dyDescent="0.3">
      <c r="A220" s="185" t="str">
        <f>DataDemande!AA279</f>
        <v/>
      </c>
      <c r="B220" s="8">
        <f>IFERROR(VLOOKUP($A220,DataDemande!$AA$63:$AE$700,2,FALSE)*VLOOKUP($A220,DataPrixBillets!$M$66:$Q$700,2,FALSE),"")</f>
        <v>0</v>
      </c>
      <c r="C220" s="8">
        <f>IFERROR(VLOOKUP($A220,DataDemande!$AA$63:$AE$700,3,FALSE)*VLOOKUP($A220,DataPrixBillets!$M$66:$Q$700,3,FALSE),"")</f>
        <v>0</v>
      </c>
      <c r="D220" s="8">
        <f>IFERROR(VLOOKUP($A220,DataDemande!$AA$63:$AE$700,4,FALSE)*VLOOKUP($A220,DataPrixBillets!$M$66:$Q$700,4,FALSE),"")</f>
        <v>0</v>
      </c>
      <c r="E220" s="8">
        <f>IFERROR(VLOOKUP($A220,DataDemande!$AA$63:$AE$700,5,FALSE)*VLOOKUP($A220,DataPrixBillets!$M$66:$Q$700,5,FALSE),"")</f>
        <v>0</v>
      </c>
      <c r="F220" s="21">
        <f t="shared" si="5"/>
        <v>0</v>
      </c>
    </row>
    <row r="221" spans="1:6" x14ac:dyDescent="0.3">
      <c r="A221" s="185" t="str">
        <f>DataDemande!AA280</f>
        <v/>
      </c>
      <c r="B221" s="8">
        <f>IFERROR(VLOOKUP($A221,DataDemande!$AA$63:$AE$700,2,FALSE)*VLOOKUP($A221,DataPrixBillets!$M$66:$Q$700,2,FALSE),"")</f>
        <v>0</v>
      </c>
      <c r="C221" s="8">
        <f>IFERROR(VLOOKUP($A221,DataDemande!$AA$63:$AE$700,3,FALSE)*VLOOKUP($A221,DataPrixBillets!$M$66:$Q$700,3,FALSE),"")</f>
        <v>0</v>
      </c>
      <c r="D221" s="8">
        <f>IFERROR(VLOOKUP($A221,DataDemande!$AA$63:$AE$700,4,FALSE)*VLOOKUP($A221,DataPrixBillets!$M$66:$Q$700,4,FALSE),"")</f>
        <v>0</v>
      </c>
      <c r="E221" s="8">
        <f>IFERROR(VLOOKUP($A221,DataDemande!$AA$63:$AE$700,5,FALSE)*VLOOKUP($A221,DataPrixBillets!$M$66:$Q$700,5,FALSE),"")</f>
        <v>0</v>
      </c>
      <c r="F221" s="21">
        <f t="shared" si="5"/>
        <v>0</v>
      </c>
    </row>
    <row r="222" spans="1:6" x14ac:dyDescent="0.3">
      <c r="A222" s="185" t="str">
        <f>DataDemande!AA281</f>
        <v/>
      </c>
      <c r="B222" s="8">
        <f>IFERROR(VLOOKUP($A222,DataDemande!$AA$63:$AE$700,2,FALSE)*VLOOKUP($A222,DataPrixBillets!$M$66:$Q$700,2,FALSE),"")</f>
        <v>0</v>
      </c>
      <c r="C222" s="8">
        <f>IFERROR(VLOOKUP($A222,DataDemande!$AA$63:$AE$700,3,FALSE)*VLOOKUP($A222,DataPrixBillets!$M$66:$Q$700,3,FALSE),"")</f>
        <v>0</v>
      </c>
      <c r="D222" s="8">
        <f>IFERROR(VLOOKUP($A222,DataDemande!$AA$63:$AE$700,4,FALSE)*VLOOKUP($A222,DataPrixBillets!$M$66:$Q$700,4,FALSE),"")</f>
        <v>0</v>
      </c>
      <c r="E222" s="8">
        <f>IFERROR(VLOOKUP($A222,DataDemande!$AA$63:$AE$700,5,FALSE)*VLOOKUP($A222,DataPrixBillets!$M$66:$Q$700,5,FALSE),"")</f>
        <v>0</v>
      </c>
      <c r="F222" s="21">
        <f t="shared" si="5"/>
        <v>0</v>
      </c>
    </row>
    <row r="223" spans="1:6" x14ac:dyDescent="0.3">
      <c r="A223" s="185" t="str">
        <f>DataDemande!AA282</f>
        <v/>
      </c>
      <c r="B223" s="8">
        <f>IFERROR(VLOOKUP($A223,DataDemande!$AA$63:$AE$700,2,FALSE)*VLOOKUP($A223,DataPrixBillets!$M$66:$Q$700,2,FALSE),"")</f>
        <v>0</v>
      </c>
      <c r="C223" s="8">
        <f>IFERROR(VLOOKUP($A223,DataDemande!$AA$63:$AE$700,3,FALSE)*VLOOKUP($A223,DataPrixBillets!$M$66:$Q$700,3,FALSE),"")</f>
        <v>0</v>
      </c>
      <c r="D223" s="8">
        <f>IFERROR(VLOOKUP($A223,DataDemande!$AA$63:$AE$700,4,FALSE)*VLOOKUP($A223,DataPrixBillets!$M$66:$Q$700,4,FALSE),"")</f>
        <v>0</v>
      </c>
      <c r="E223" s="8">
        <f>IFERROR(VLOOKUP($A223,DataDemande!$AA$63:$AE$700,5,FALSE)*VLOOKUP($A223,DataPrixBillets!$M$66:$Q$700,5,FALSE),"")</f>
        <v>0</v>
      </c>
      <c r="F223" s="21">
        <f t="shared" si="5"/>
        <v>0</v>
      </c>
    </row>
    <row r="224" spans="1:6" x14ac:dyDescent="0.3">
      <c r="A224" s="185" t="str">
        <f>DataDemande!AA283</f>
        <v/>
      </c>
      <c r="B224" s="8">
        <f>IFERROR(VLOOKUP($A224,DataDemande!$AA$63:$AE$700,2,FALSE)*VLOOKUP($A224,DataPrixBillets!$M$66:$Q$700,2,FALSE),"")</f>
        <v>0</v>
      </c>
      <c r="C224" s="8">
        <f>IFERROR(VLOOKUP($A224,DataDemande!$AA$63:$AE$700,3,FALSE)*VLOOKUP($A224,DataPrixBillets!$M$66:$Q$700,3,FALSE),"")</f>
        <v>0</v>
      </c>
      <c r="D224" s="8">
        <f>IFERROR(VLOOKUP($A224,DataDemande!$AA$63:$AE$700,4,FALSE)*VLOOKUP($A224,DataPrixBillets!$M$66:$Q$700,4,FALSE),"")</f>
        <v>0</v>
      </c>
      <c r="E224" s="8">
        <f>IFERROR(VLOOKUP($A224,DataDemande!$AA$63:$AE$700,5,FALSE)*VLOOKUP($A224,DataPrixBillets!$M$66:$Q$700,5,FALSE),"")</f>
        <v>0</v>
      </c>
      <c r="F224" s="21">
        <f t="shared" si="5"/>
        <v>0</v>
      </c>
    </row>
    <row r="225" spans="1:6" x14ac:dyDescent="0.3">
      <c r="A225" s="185" t="str">
        <f>DataDemande!AA284</f>
        <v/>
      </c>
      <c r="B225" s="8">
        <f>IFERROR(VLOOKUP($A225,DataDemande!$AA$63:$AE$700,2,FALSE)*VLOOKUP($A225,DataPrixBillets!$M$66:$Q$700,2,FALSE),"")</f>
        <v>0</v>
      </c>
      <c r="C225" s="8">
        <f>IFERROR(VLOOKUP($A225,DataDemande!$AA$63:$AE$700,3,FALSE)*VLOOKUP($A225,DataPrixBillets!$M$66:$Q$700,3,FALSE),"")</f>
        <v>0</v>
      </c>
      <c r="D225" s="8">
        <f>IFERROR(VLOOKUP($A225,DataDemande!$AA$63:$AE$700,4,FALSE)*VLOOKUP($A225,DataPrixBillets!$M$66:$Q$700,4,FALSE),"")</f>
        <v>0</v>
      </c>
      <c r="E225" s="8">
        <f>IFERROR(VLOOKUP($A225,DataDemande!$AA$63:$AE$700,5,FALSE)*VLOOKUP($A225,DataPrixBillets!$M$66:$Q$700,5,FALSE),"")</f>
        <v>0</v>
      </c>
      <c r="F225" s="21">
        <f t="shared" si="5"/>
        <v>0</v>
      </c>
    </row>
    <row r="226" spans="1:6" x14ac:dyDescent="0.3">
      <c r="A226" s="185" t="str">
        <f>DataDemande!AA285</f>
        <v/>
      </c>
      <c r="B226" s="8">
        <f>IFERROR(VLOOKUP($A226,DataDemande!$AA$63:$AE$700,2,FALSE)*VLOOKUP($A226,DataPrixBillets!$M$66:$Q$700,2,FALSE),"")</f>
        <v>0</v>
      </c>
      <c r="C226" s="8">
        <f>IFERROR(VLOOKUP($A226,DataDemande!$AA$63:$AE$700,3,FALSE)*VLOOKUP($A226,DataPrixBillets!$M$66:$Q$700,3,FALSE),"")</f>
        <v>0</v>
      </c>
      <c r="D226" s="8">
        <f>IFERROR(VLOOKUP($A226,DataDemande!$AA$63:$AE$700,4,FALSE)*VLOOKUP($A226,DataPrixBillets!$M$66:$Q$700,4,FALSE),"")</f>
        <v>0</v>
      </c>
      <c r="E226" s="8">
        <f>IFERROR(VLOOKUP($A226,DataDemande!$AA$63:$AE$700,5,FALSE)*VLOOKUP($A226,DataPrixBillets!$M$66:$Q$700,5,FALSE),"")</f>
        <v>0</v>
      </c>
      <c r="F226" s="21">
        <f t="shared" si="5"/>
        <v>0</v>
      </c>
    </row>
    <row r="227" spans="1:6" x14ac:dyDescent="0.3">
      <c r="A227" s="185" t="str">
        <f>DataDemande!AA286</f>
        <v/>
      </c>
      <c r="B227" s="8">
        <f>IFERROR(VLOOKUP($A227,DataDemande!$AA$63:$AE$700,2,FALSE)*VLOOKUP($A227,DataPrixBillets!$M$66:$Q$700,2,FALSE),"")</f>
        <v>0</v>
      </c>
      <c r="C227" s="8">
        <f>IFERROR(VLOOKUP($A227,DataDemande!$AA$63:$AE$700,3,FALSE)*VLOOKUP($A227,DataPrixBillets!$M$66:$Q$700,3,FALSE),"")</f>
        <v>0</v>
      </c>
      <c r="D227" s="8">
        <f>IFERROR(VLOOKUP($A227,DataDemande!$AA$63:$AE$700,4,FALSE)*VLOOKUP($A227,DataPrixBillets!$M$66:$Q$700,4,FALSE),"")</f>
        <v>0</v>
      </c>
      <c r="E227" s="8">
        <f>IFERROR(VLOOKUP($A227,DataDemande!$AA$63:$AE$700,5,FALSE)*VLOOKUP($A227,DataPrixBillets!$M$66:$Q$700,5,FALSE),"")</f>
        <v>0</v>
      </c>
      <c r="F227" s="21">
        <f t="shared" si="5"/>
        <v>0</v>
      </c>
    </row>
    <row r="228" spans="1:6" x14ac:dyDescent="0.3">
      <c r="A228" s="185" t="str">
        <f>DataDemande!AA287</f>
        <v/>
      </c>
      <c r="B228" s="8">
        <f>IFERROR(VLOOKUP($A228,DataDemande!$AA$63:$AE$700,2,FALSE)*VLOOKUP($A228,DataPrixBillets!$M$66:$Q$700,2,FALSE),"")</f>
        <v>0</v>
      </c>
      <c r="C228" s="8">
        <f>IFERROR(VLOOKUP($A228,DataDemande!$AA$63:$AE$700,3,FALSE)*VLOOKUP($A228,DataPrixBillets!$M$66:$Q$700,3,FALSE),"")</f>
        <v>0</v>
      </c>
      <c r="D228" s="8">
        <f>IFERROR(VLOOKUP($A228,DataDemande!$AA$63:$AE$700,4,FALSE)*VLOOKUP($A228,DataPrixBillets!$M$66:$Q$700,4,FALSE),"")</f>
        <v>0</v>
      </c>
      <c r="E228" s="8">
        <f>IFERROR(VLOOKUP($A228,DataDemande!$AA$63:$AE$700,5,FALSE)*VLOOKUP($A228,DataPrixBillets!$M$66:$Q$700,5,FALSE),"")</f>
        <v>0</v>
      </c>
      <c r="F228" s="21">
        <f t="shared" si="5"/>
        <v>0</v>
      </c>
    </row>
    <row r="229" spans="1:6" x14ac:dyDescent="0.3">
      <c r="A229" s="185" t="str">
        <f>DataDemande!AA288</f>
        <v/>
      </c>
      <c r="B229" s="8">
        <f>IFERROR(VLOOKUP($A229,DataDemande!$AA$63:$AE$700,2,FALSE)*VLOOKUP($A229,DataPrixBillets!$M$66:$Q$700,2,FALSE),"")</f>
        <v>0</v>
      </c>
      <c r="C229" s="8">
        <f>IFERROR(VLOOKUP($A229,DataDemande!$AA$63:$AE$700,3,FALSE)*VLOOKUP($A229,DataPrixBillets!$M$66:$Q$700,3,FALSE),"")</f>
        <v>0</v>
      </c>
      <c r="D229" s="8">
        <f>IFERROR(VLOOKUP($A229,DataDemande!$AA$63:$AE$700,4,FALSE)*VLOOKUP($A229,DataPrixBillets!$M$66:$Q$700,4,FALSE),"")</f>
        <v>0</v>
      </c>
      <c r="E229" s="8">
        <f>IFERROR(VLOOKUP($A229,DataDemande!$AA$63:$AE$700,5,FALSE)*VLOOKUP($A229,DataPrixBillets!$M$66:$Q$700,5,FALSE),"")</f>
        <v>0</v>
      </c>
      <c r="F229" s="21">
        <f t="shared" si="5"/>
        <v>0</v>
      </c>
    </row>
    <row r="230" spans="1:6" x14ac:dyDescent="0.3">
      <c r="A230" s="185" t="str">
        <f>DataDemande!AA289</f>
        <v/>
      </c>
      <c r="B230" s="8">
        <f>IFERROR(VLOOKUP($A230,DataDemande!$AA$63:$AE$700,2,FALSE)*VLOOKUP($A230,DataPrixBillets!$M$66:$Q$700,2,FALSE),"")</f>
        <v>0</v>
      </c>
      <c r="C230" s="8">
        <f>IFERROR(VLOOKUP($A230,DataDemande!$AA$63:$AE$700,3,FALSE)*VLOOKUP($A230,DataPrixBillets!$M$66:$Q$700,3,FALSE),"")</f>
        <v>0</v>
      </c>
      <c r="D230" s="8">
        <f>IFERROR(VLOOKUP($A230,DataDemande!$AA$63:$AE$700,4,FALSE)*VLOOKUP($A230,DataPrixBillets!$M$66:$Q$700,4,FALSE),"")</f>
        <v>0</v>
      </c>
      <c r="E230" s="8">
        <f>IFERROR(VLOOKUP($A230,DataDemande!$AA$63:$AE$700,5,FALSE)*VLOOKUP($A230,DataPrixBillets!$M$66:$Q$700,5,FALSE),"")</f>
        <v>0</v>
      </c>
      <c r="F230" s="21">
        <f t="shared" si="5"/>
        <v>0</v>
      </c>
    </row>
    <row r="231" spans="1:6" x14ac:dyDescent="0.3">
      <c r="A231" s="185" t="str">
        <f>DataDemande!AA290</f>
        <v/>
      </c>
      <c r="B231" s="8">
        <f>IFERROR(VLOOKUP($A231,DataDemande!$AA$63:$AE$700,2,FALSE)*VLOOKUP($A231,DataPrixBillets!$M$66:$Q$700,2,FALSE),"")</f>
        <v>0</v>
      </c>
      <c r="C231" s="8">
        <f>IFERROR(VLOOKUP($A231,DataDemande!$AA$63:$AE$700,3,FALSE)*VLOOKUP($A231,DataPrixBillets!$M$66:$Q$700,3,FALSE),"")</f>
        <v>0</v>
      </c>
      <c r="D231" s="8">
        <f>IFERROR(VLOOKUP($A231,DataDemande!$AA$63:$AE$700,4,FALSE)*VLOOKUP($A231,DataPrixBillets!$M$66:$Q$700,4,FALSE),"")</f>
        <v>0</v>
      </c>
      <c r="E231" s="8">
        <f>IFERROR(VLOOKUP($A231,DataDemande!$AA$63:$AE$700,5,FALSE)*VLOOKUP($A231,DataPrixBillets!$M$66:$Q$700,5,FALSE),"")</f>
        <v>0</v>
      </c>
      <c r="F231" s="21">
        <f t="shared" si="5"/>
        <v>0</v>
      </c>
    </row>
    <row r="232" spans="1:6" x14ac:dyDescent="0.3">
      <c r="A232" s="185" t="str">
        <f>DataDemande!AA291</f>
        <v/>
      </c>
      <c r="B232" s="8">
        <f>IFERROR(VLOOKUP($A232,DataDemande!$AA$63:$AE$700,2,FALSE)*VLOOKUP($A232,DataPrixBillets!$M$66:$Q$700,2,FALSE),"")</f>
        <v>0</v>
      </c>
      <c r="C232" s="8">
        <f>IFERROR(VLOOKUP($A232,DataDemande!$AA$63:$AE$700,3,FALSE)*VLOOKUP($A232,DataPrixBillets!$M$66:$Q$700,3,FALSE),"")</f>
        <v>0</v>
      </c>
      <c r="D232" s="8">
        <f>IFERROR(VLOOKUP($A232,DataDemande!$AA$63:$AE$700,4,FALSE)*VLOOKUP($A232,DataPrixBillets!$M$66:$Q$700,4,FALSE),"")</f>
        <v>0</v>
      </c>
      <c r="E232" s="8">
        <f>IFERROR(VLOOKUP($A232,DataDemande!$AA$63:$AE$700,5,FALSE)*VLOOKUP($A232,DataPrixBillets!$M$66:$Q$700,5,FALSE),"")</f>
        <v>0</v>
      </c>
      <c r="F232" s="21">
        <f t="shared" si="5"/>
        <v>0</v>
      </c>
    </row>
    <row r="233" spans="1:6" x14ac:dyDescent="0.3">
      <c r="A233" s="185" t="str">
        <f>DataDemande!AA292</f>
        <v/>
      </c>
      <c r="B233" s="8">
        <f>IFERROR(VLOOKUP($A233,DataDemande!$AA$63:$AE$700,2,FALSE)*VLOOKUP($A233,DataPrixBillets!$M$66:$Q$700,2,FALSE),"")</f>
        <v>0</v>
      </c>
      <c r="C233" s="8">
        <f>IFERROR(VLOOKUP($A233,DataDemande!$AA$63:$AE$700,3,FALSE)*VLOOKUP($A233,DataPrixBillets!$M$66:$Q$700,3,FALSE),"")</f>
        <v>0</v>
      </c>
      <c r="D233" s="8">
        <f>IFERROR(VLOOKUP($A233,DataDemande!$AA$63:$AE$700,4,FALSE)*VLOOKUP($A233,DataPrixBillets!$M$66:$Q$700,4,FALSE),"")</f>
        <v>0</v>
      </c>
      <c r="E233" s="8">
        <f>IFERROR(VLOOKUP($A233,DataDemande!$AA$63:$AE$700,5,FALSE)*VLOOKUP($A233,DataPrixBillets!$M$66:$Q$700,5,FALSE),"")</f>
        <v>0</v>
      </c>
      <c r="F233" s="21">
        <f t="shared" si="5"/>
        <v>0</v>
      </c>
    </row>
    <row r="234" spans="1:6" x14ac:dyDescent="0.3">
      <c r="A234" s="185" t="str">
        <f>DataDemande!AA293</f>
        <v/>
      </c>
      <c r="B234" s="8">
        <f>IFERROR(VLOOKUP($A234,DataDemande!$AA$63:$AE$700,2,FALSE)*VLOOKUP($A234,DataPrixBillets!$M$66:$Q$700,2,FALSE),"")</f>
        <v>0</v>
      </c>
      <c r="C234" s="8">
        <f>IFERROR(VLOOKUP($A234,DataDemande!$AA$63:$AE$700,3,FALSE)*VLOOKUP($A234,DataPrixBillets!$M$66:$Q$700,3,FALSE),"")</f>
        <v>0</v>
      </c>
      <c r="D234" s="8">
        <f>IFERROR(VLOOKUP($A234,DataDemande!$AA$63:$AE$700,4,FALSE)*VLOOKUP($A234,DataPrixBillets!$M$66:$Q$700,4,FALSE),"")</f>
        <v>0</v>
      </c>
      <c r="E234" s="8">
        <f>IFERROR(VLOOKUP($A234,DataDemande!$AA$63:$AE$700,5,FALSE)*VLOOKUP($A234,DataPrixBillets!$M$66:$Q$700,5,FALSE),"")</f>
        <v>0</v>
      </c>
      <c r="F234" s="21">
        <f t="shared" si="5"/>
        <v>0</v>
      </c>
    </row>
    <row r="235" spans="1:6" x14ac:dyDescent="0.3">
      <c r="A235" s="185" t="str">
        <f>DataDemande!AA294</f>
        <v/>
      </c>
      <c r="B235" s="8">
        <f>IFERROR(VLOOKUP($A235,DataDemande!$AA$63:$AE$700,2,FALSE)*VLOOKUP($A235,DataPrixBillets!$M$66:$Q$700,2,FALSE),"")</f>
        <v>0</v>
      </c>
      <c r="C235" s="8">
        <f>IFERROR(VLOOKUP($A235,DataDemande!$AA$63:$AE$700,3,FALSE)*VLOOKUP($A235,DataPrixBillets!$M$66:$Q$700,3,FALSE),"")</f>
        <v>0</v>
      </c>
      <c r="D235" s="8">
        <f>IFERROR(VLOOKUP($A235,DataDemande!$AA$63:$AE$700,4,FALSE)*VLOOKUP($A235,DataPrixBillets!$M$66:$Q$700,4,FALSE),"")</f>
        <v>0</v>
      </c>
      <c r="E235" s="8">
        <f>IFERROR(VLOOKUP($A235,DataDemande!$AA$63:$AE$700,5,FALSE)*VLOOKUP($A235,DataPrixBillets!$M$66:$Q$700,5,FALSE),"")</f>
        <v>0</v>
      </c>
      <c r="F235" s="21">
        <f t="shared" si="5"/>
        <v>0</v>
      </c>
    </row>
    <row r="236" spans="1:6" x14ac:dyDescent="0.3">
      <c r="A236" s="185" t="str">
        <f>DataDemande!AA295</f>
        <v/>
      </c>
      <c r="B236" s="8">
        <f>IFERROR(VLOOKUP($A236,DataDemande!$AA$63:$AE$700,2,FALSE)*VLOOKUP($A236,DataPrixBillets!$M$66:$Q$700,2,FALSE),"")</f>
        <v>0</v>
      </c>
      <c r="C236" s="8">
        <f>IFERROR(VLOOKUP($A236,DataDemande!$AA$63:$AE$700,3,FALSE)*VLOOKUP($A236,DataPrixBillets!$M$66:$Q$700,3,FALSE),"")</f>
        <v>0</v>
      </c>
      <c r="D236" s="8">
        <f>IFERROR(VLOOKUP($A236,DataDemande!$AA$63:$AE$700,4,FALSE)*VLOOKUP($A236,DataPrixBillets!$M$66:$Q$700,4,FALSE),"")</f>
        <v>0</v>
      </c>
      <c r="E236" s="8">
        <f>IFERROR(VLOOKUP($A236,DataDemande!$AA$63:$AE$700,5,FALSE)*VLOOKUP($A236,DataPrixBillets!$M$66:$Q$700,5,FALSE),"")</f>
        <v>0</v>
      </c>
      <c r="F236" s="21">
        <f t="shared" si="5"/>
        <v>0</v>
      </c>
    </row>
    <row r="237" spans="1:6" x14ac:dyDescent="0.3">
      <c r="A237" s="185" t="str">
        <f>DataDemande!AA296</f>
        <v/>
      </c>
      <c r="B237" s="8">
        <f>IFERROR(VLOOKUP($A237,DataDemande!$AA$63:$AE$700,2,FALSE)*VLOOKUP($A237,DataPrixBillets!$M$66:$Q$700,2,FALSE),"")</f>
        <v>0</v>
      </c>
      <c r="C237" s="8">
        <f>IFERROR(VLOOKUP($A237,DataDemande!$AA$63:$AE$700,3,FALSE)*VLOOKUP($A237,DataPrixBillets!$M$66:$Q$700,3,FALSE),"")</f>
        <v>0</v>
      </c>
      <c r="D237" s="8">
        <f>IFERROR(VLOOKUP($A237,DataDemande!$AA$63:$AE$700,4,FALSE)*VLOOKUP($A237,DataPrixBillets!$M$66:$Q$700,4,FALSE),"")</f>
        <v>0</v>
      </c>
      <c r="E237" s="8">
        <f>IFERROR(VLOOKUP($A237,DataDemande!$AA$63:$AE$700,5,FALSE)*VLOOKUP($A237,DataPrixBillets!$M$66:$Q$700,5,FALSE),"")</f>
        <v>0</v>
      </c>
      <c r="F237" s="21">
        <f t="shared" si="5"/>
        <v>0</v>
      </c>
    </row>
    <row r="238" spans="1:6" x14ac:dyDescent="0.3">
      <c r="A238" s="185" t="str">
        <f>DataDemande!AA297</f>
        <v/>
      </c>
      <c r="B238" s="8">
        <f>IFERROR(VLOOKUP($A238,DataDemande!$AA$63:$AE$700,2,FALSE)*VLOOKUP($A238,DataPrixBillets!$M$66:$Q$700,2,FALSE),"")</f>
        <v>0</v>
      </c>
      <c r="C238" s="8">
        <f>IFERROR(VLOOKUP($A238,DataDemande!$AA$63:$AE$700,3,FALSE)*VLOOKUP($A238,DataPrixBillets!$M$66:$Q$700,3,FALSE),"")</f>
        <v>0</v>
      </c>
      <c r="D238" s="8">
        <f>IFERROR(VLOOKUP($A238,DataDemande!$AA$63:$AE$700,4,FALSE)*VLOOKUP($A238,DataPrixBillets!$M$66:$Q$700,4,FALSE),"")</f>
        <v>0</v>
      </c>
      <c r="E238" s="8">
        <f>IFERROR(VLOOKUP($A238,DataDemande!$AA$63:$AE$700,5,FALSE)*VLOOKUP($A238,DataPrixBillets!$M$66:$Q$700,5,FALSE),"")</f>
        <v>0</v>
      </c>
      <c r="F238" s="21">
        <f t="shared" si="5"/>
        <v>0</v>
      </c>
    </row>
    <row r="239" spans="1:6" x14ac:dyDescent="0.3">
      <c r="A239" s="185" t="str">
        <f>DataDemande!AA298</f>
        <v/>
      </c>
      <c r="B239" s="8">
        <f>IFERROR(VLOOKUP($A239,DataDemande!$AA$63:$AE$700,2,FALSE)*VLOOKUP($A239,DataPrixBillets!$M$66:$Q$700,2,FALSE),"")</f>
        <v>0</v>
      </c>
      <c r="C239" s="8">
        <f>IFERROR(VLOOKUP($A239,DataDemande!$AA$63:$AE$700,3,FALSE)*VLOOKUP($A239,DataPrixBillets!$M$66:$Q$700,3,FALSE),"")</f>
        <v>0</v>
      </c>
      <c r="D239" s="8">
        <f>IFERROR(VLOOKUP($A239,DataDemande!$AA$63:$AE$700,4,FALSE)*VLOOKUP($A239,DataPrixBillets!$M$66:$Q$700,4,FALSE),"")</f>
        <v>0</v>
      </c>
      <c r="E239" s="8">
        <f>IFERROR(VLOOKUP($A239,DataDemande!$AA$63:$AE$700,5,FALSE)*VLOOKUP($A239,DataPrixBillets!$M$66:$Q$700,5,FALSE),"")</f>
        <v>0</v>
      </c>
      <c r="F239" s="21">
        <f t="shared" si="5"/>
        <v>0</v>
      </c>
    </row>
    <row r="240" spans="1:6" x14ac:dyDescent="0.3">
      <c r="A240" s="185" t="str">
        <f>DataDemande!AA299</f>
        <v/>
      </c>
      <c r="B240" s="8">
        <f>IFERROR(VLOOKUP($A240,DataDemande!$AA$63:$AE$700,2,FALSE)*VLOOKUP($A240,DataPrixBillets!$M$66:$Q$700,2,FALSE),"")</f>
        <v>0</v>
      </c>
      <c r="C240" s="8">
        <f>IFERROR(VLOOKUP($A240,DataDemande!$AA$63:$AE$700,3,FALSE)*VLOOKUP($A240,DataPrixBillets!$M$66:$Q$700,3,FALSE),"")</f>
        <v>0</v>
      </c>
      <c r="D240" s="8">
        <f>IFERROR(VLOOKUP($A240,DataDemande!$AA$63:$AE$700,4,FALSE)*VLOOKUP($A240,DataPrixBillets!$M$66:$Q$700,4,FALSE),"")</f>
        <v>0</v>
      </c>
      <c r="E240" s="8">
        <f>IFERROR(VLOOKUP($A240,DataDemande!$AA$63:$AE$700,5,FALSE)*VLOOKUP($A240,DataPrixBillets!$M$66:$Q$700,5,FALSE),"")</f>
        <v>0</v>
      </c>
      <c r="F240" s="21">
        <f t="shared" si="5"/>
        <v>0</v>
      </c>
    </row>
    <row r="241" spans="1:6" x14ac:dyDescent="0.3">
      <c r="A241" s="185" t="str">
        <f>DataDemande!AA300</f>
        <v/>
      </c>
      <c r="B241" s="8">
        <f>IFERROR(VLOOKUP($A241,DataDemande!$AA$63:$AE$700,2,FALSE)*VLOOKUP($A241,DataPrixBillets!$M$66:$Q$700,2,FALSE),"")</f>
        <v>0</v>
      </c>
      <c r="C241" s="8">
        <f>IFERROR(VLOOKUP($A241,DataDemande!$AA$63:$AE$700,3,FALSE)*VLOOKUP($A241,DataPrixBillets!$M$66:$Q$700,3,FALSE),"")</f>
        <v>0</v>
      </c>
      <c r="D241" s="8">
        <f>IFERROR(VLOOKUP($A241,DataDemande!$AA$63:$AE$700,4,FALSE)*VLOOKUP($A241,DataPrixBillets!$M$66:$Q$700,4,FALSE),"")</f>
        <v>0</v>
      </c>
      <c r="E241" s="8">
        <f>IFERROR(VLOOKUP($A241,DataDemande!$AA$63:$AE$700,5,FALSE)*VLOOKUP($A241,DataPrixBillets!$M$66:$Q$700,5,FALSE),"")</f>
        <v>0</v>
      </c>
      <c r="F241" s="21">
        <f t="shared" si="5"/>
        <v>0</v>
      </c>
    </row>
    <row r="242" spans="1:6" x14ac:dyDescent="0.3">
      <c r="A242" s="185" t="str">
        <f>DataDemande!AA301</f>
        <v/>
      </c>
      <c r="B242" s="8">
        <f>IFERROR(VLOOKUP($A242,DataDemande!$AA$63:$AE$700,2,FALSE)*VLOOKUP($A242,DataPrixBillets!$M$66:$Q$700,2,FALSE),"")</f>
        <v>0</v>
      </c>
      <c r="C242" s="8">
        <f>IFERROR(VLOOKUP($A242,DataDemande!$AA$63:$AE$700,3,FALSE)*VLOOKUP($A242,DataPrixBillets!$M$66:$Q$700,3,FALSE),"")</f>
        <v>0</v>
      </c>
      <c r="D242" s="8">
        <f>IFERROR(VLOOKUP($A242,DataDemande!$AA$63:$AE$700,4,FALSE)*VLOOKUP($A242,DataPrixBillets!$M$66:$Q$700,4,FALSE),"")</f>
        <v>0</v>
      </c>
      <c r="E242" s="8">
        <f>IFERROR(VLOOKUP($A242,DataDemande!$AA$63:$AE$700,5,FALSE)*VLOOKUP($A242,DataPrixBillets!$M$66:$Q$700,5,FALSE),"")</f>
        <v>0</v>
      </c>
      <c r="F242" s="21">
        <f t="shared" si="5"/>
        <v>0</v>
      </c>
    </row>
    <row r="243" spans="1:6" x14ac:dyDescent="0.3">
      <c r="A243" s="185" t="str">
        <f>DataDemande!AA302</f>
        <v/>
      </c>
      <c r="B243" s="8">
        <f>IFERROR(VLOOKUP($A243,DataDemande!$AA$63:$AE$700,2,FALSE)*VLOOKUP($A243,DataPrixBillets!$M$66:$Q$700,2,FALSE),"")</f>
        <v>0</v>
      </c>
      <c r="C243" s="8">
        <f>IFERROR(VLOOKUP($A243,DataDemande!$AA$63:$AE$700,3,FALSE)*VLOOKUP($A243,DataPrixBillets!$M$66:$Q$700,3,FALSE),"")</f>
        <v>0</v>
      </c>
      <c r="D243" s="8">
        <f>IFERROR(VLOOKUP($A243,DataDemande!$AA$63:$AE$700,4,FALSE)*VLOOKUP($A243,DataPrixBillets!$M$66:$Q$700,4,FALSE),"")</f>
        <v>0</v>
      </c>
      <c r="E243" s="8">
        <f>IFERROR(VLOOKUP($A243,DataDemande!$AA$63:$AE$700,5,FALSE)*VLOOKUP($A243,DataPrixBillets!$M$66:$Q$700,5,FALSE),"")</f>
        <v>0</v>
      </c>
      <c r="F243" s="21">
        <f t="shared" si="5"/>
        <v>0</v>
      </c>
    </row>
    <row r="244" spans="1:6" x14ac:dyDescent="0.3">
      <c r="A244" s="185" t="str">
        <f>DataDemande!AA303</f>
        <v/>
      </c>
      <c r="B244" s="8">
        <f>IFERROR(VLOOKUP($A244,DataDemande!$AA$63:$AE$700,2,FALSE)*VLOOKUP($A244,DataPrixBillets!$M$66:$Q$700,2,FALSE),"")</f>
        <v>0</v>
      </c>
      <c r="C244" s="8">
        <f>IFERROR(VLOOKUP($A244,DataDemande!$AA$63:$AE$700,3,FALSE)*VLOOKUP($A244,DataPrixBillets!$M$66:$Q$700,3,FALSE),"")</f>
        <v>0</v>
      </c>
      <c r="D244" s="8">
        <f>IFERROR(VLOOKUP($A244,DataDemande!$AA$63:$AE$700,4,FALSE)*VLOOKUP($A244,DataPrixBillets!$M$66:$Q$700,4,FALSE),"")</f>
        <v>0</v>
      </c>
      <c r="E244" s="8">
        <f>IFERROR(VLOOKUP($A244,DataDemande!$AA$63:$AE$700,5,FALSE)*VLOOKUP($A244,DataPrixBillets!$M$66:$Q$700,5,FALSE),"")</f>
        <v>0</v>
      </c>
      <c r="F244" s="21">
        <f t="shared" si="5"/>
        <v>0</v>
      </c>
    </row>
    <row r="245" spans="1:6" x14ac:dyDescent="0.3">
      <c r="A245" s="185" t="str">
        <f>DataDemande!AA304</f>
        <v/>
      </c>
      <c r="B245" s="8">
        <f>IFERROR(VLOOKUP($A245,DataDemande!$AA$63:$AE$700,2,FALSE)*VLOOKUP($A245,DataPrixBillets!$M$66:$Q$700,2,FALSE),"")</f>
        <v>0</v>
      </c>
      <c r="C245" s="8">
        <f>IFERROR(VLOOKUP($A245,DataDemande!$AA$63:$AE$700,3,FALSE)*VLOOKUP($A245,DataPrixBillets!$M$66:$Q$700,3,FALSE),"")</f>
        <v>0</v>
      </c>
      <c r="D245" s="8">
        <f>IFERROR(VLOOKUP($A245,DataDemande!$AA$63:$AE$700,4,FALSE)*VLOOKUP($A245,DataPrixBillets!$M$66:$Q$700,4,FALSE),"")</f>
        <v>0</v>
      </c>
      <c r="E245" s="8">
        <f>IFERROR(VLOOKUP($A245,DataDemande!$AA$63:$AE$700,5,FALSE)*VLOOKUP($A245,DataPrixBillets!$M$66:$Q$700,5,FALSE),"")</f>
        <v>0</v>
      </c>
      <c r="F245" s="21">
        <f t="shared" si="5"/>
        <v>0</v>
      </c>
    </row>
    <row r="246" spans="1:6" x14ac:dyDescent="0.3">
      <c r="A246" s="185" t="str">
        <f>DataDemande!AA305</f>
        <v/>
      </c>
      <c r="B246" s="8">
        <f>IFERROR(VLOOKUP($A246,DataDemande!$AA$63:$AE$700,2,FALSE)*VLOOKUP($A246,DataPrixBillets!$M$66:$Q$700,2,FALSE),"")</f>
        <v>0</v>
      </c>
      <c r="C246" s="8">
        <f>IFERROR(VLOOKUP($A246,DataDemande!$AA$63:$AE$700,3,FALSE)*VLOOKUP($A246,DataPrixBillets!$M$66:$Q$700,3,FALSE),"")</f>
        <v>0</v>
      </c>
      <c r="D246" s="8">
        <f>IFERROR(VLOOKUP($A246,DataDemande!$AA$63:$AE$700,4,FALSE)*VLOOKUP($A246,DataPrixBillets!$M$66:$Q$700,4,FALSE),"")</f>
        <v>0</v>
      </c>
      <c r="E246" s="8">
        <f>IFERROR(VLOOKUP($A246,DataDemande!$AA$63:$AE$700,5,FALSE)*VLOOKUP($A246,DataPrixBillets!$M$66:$Q$700,5,FALSE),"")</f>
        <v>0</v>
      </c>
      <c r="F246" s="21">
        <f t="shared" si="5"/>
        <v>0</v>
      </c>
    </row>
    <row r="247" spans="1:6" x14ac:dyDescent="0.3">
      <c r="A247" s="185" t="str">
        <f>DataDemande!AA306</f>
        <v/>
      </c>
      <c r="B247" s="8">
        <f>IFERROR(VLOOKUP($A247,DataDemande!$AA$63:$AE$700,2,FALSE)*VLOOKUP($A247,DataPrixBillets!$M$66:$Q$700,2,FALSE),"")</f>
        <v>0</v>
      </c>
      <c r="C247" s="8">
        <f>IFERROR(VLOOKUP($A247,DataDemande!$AA$63:$AE$700,3,FALSE)*VLOOKUP($A247,DataPrixBillets!$M$66:$Q$700,3,FALSE),"")</f>
        <v>0</v>
      </c>
      <c r="D247" s="8">
        <f>IFERROR(VLOOKUP($A247,DataDemande!$AA$63:$AE$700,4,FALSE)*VLOOKUP($A247,DataPrixBillets!$M$66:$Q$700,4,FALSE),"")</f>
        <v>0</v>
      </c>
      <c r="E247" s="8">
        <f>IFERROR(VLOOKUP($A247,DataDemande!$AA$63:$AE$700,5,FALSE)*VLOOKUP($A247,DataPrixBillets!$M$66:$Q$700,5,FALSE),"")</f>
        <v>0</v>
      </c>
      <c r="F247" s="21">
        <f t="shared" si="5"/>
        <v>0</v>
      </c>
    </row>
    <row r="248" spans="1:6" x14ac:dyDescent="0.3">
      <c r="A248" s="185" t="str">
        <f>DataDemande!AA307</f>
        <v/>
      </c>
      <c r="B248" s="8">
        <f>IFERROR(VLOOKUP($A248,DataDemande!$AA$63:$AE$700,2,FALSE)*VLOOKUP($A248,DataPrixBillets!$M$66:$Q$700,2,FALSE),"")</f>
        <v>0</v>
      </c>
      <c r="C248" s="8">
        <f>IFERROR(VLOOKUP($A248,DataDemande!$AA$63:$AE$700,3,FALSE)*VLOOKUP($A248,DataPrixBillets!$M$66:$Q$700,3,FALSE),"")</f>
        <v>0</v>
      </c>
      <c r="D248" s="8">
        <f>IFERROR(VLOOKUP($A248,DataDemande!$AA$63:$AE$700,4,FALSE)*VLOOKUP($A248,DataPrixBillets!$M$66:$Q$700,4,FALSE),"")</f>
        <v>0</v>
      </c>
      <c r="E248" s="8">
        <f>IFERROR(VLOOKUP($A248,DataDemande!$AA$63:$AE$700,5,FALSE)*VLOOKUP($A248,DataPrixBillets!$M$66:$Q$700,5,FALSE),"")</f>
        <v>0</v>
      </c>
      <c r="F248" s="21">
        <f t="shared" si="5"/>
        <v>0</v>
      </c>
    </row>
    <row r="249" spans="1:6" x14ac:dyDescent="0.3">
      <c r="A249" s="185" t="str">
        <f>DataDemande!AA308</f>
        <v/>
      </c>
      <c r="B249" s="8">
        <f>IFERROR(VLOOKUP($A249,DataDemande!$AA$63:$AE$700,2,FALSE)*VLOOKUP($A249,DataPrixBillets!$M$66:$Q$700,2,FALSE),"")</f>
        <v>0</v>
      </c>
      <c r="C249" s="8">
        <f>IFERROR(VLOOKUP($A249,DataDemande!$AA$63:$AE$700,3,FALSE)*VLOOKUP($A249,DataPrixBillets!$M$66:$Q$700,3,FALSE),"")</f>
        <v>0</v>
      </c>
      <c r="D249" s="8">
        <f>IFERROR(VLOOKUP($A249,DataDemande!$AA$63:$AE$700,4,FALSE)*VLOOKUP($A249,DataPrixBillets!$M$66:$Q$700,4,FALSE),"")</f>
        <v>0</v>
      </c>
      <c r="E249" s="8">
        <f>IFERROR(VLOOKUP($A249,DataDemande!$AA$63:$AE$700,5,FALSE)*VLOOKUP($A249,DataPrixBillets!$M$66:$Q$700,5,FALSE),"")</f>
        <v>0</v>
      </c>
      <c r="F249" s="21">
        <f t="shared" si="5"/>
        <v>0</v>
      </c>
    </row>
    <row r="250" spans="1:6" x14ac:dyDescent="0.3">
      <c r="A250" s="185" t="str">
        <f>DataDemande!AA309</f>
        <v/>
      </c>
      <c r="B250" s="8">
        <f>IFERROR(VLOOKUP($A250,DataDemande!$AA$63:$AE$700,2,FALSE)*VLOOKUP($A250,DataPrixBillets!$M$66:$Q$700,2,FALSE),"")</f>
        <v>0</v>
      </c>
      <c r="C250" s="8">
        <f>IFERROR(VLOOKUP($A250,DataDemande!$AA$63:$AE$700,3,FALSE)*VLOOKUP($A250,DataPrixBillets!$M$66:$Q$700,3,FALSE),"")</f>
        <v>0</v>
      </c>
      <c r="D250" s="8">
        <f>IFERROR(VLOOKUP($A250,DataDemande!$AA$63:$AE$700,4,FALSE)*VLOOKUP($A250,DataPrixBillets!$M$66:$Q$700,4,FALSE),"")</f>
        <v>0</v>
      </c>
      <c r="E250" s="8">
        <f>IFERROR(VLOOKUP($A250,DataDemande!$AA$63:$AE$700,5,FALSE)*VLOOKUP($A250,DataPrixBillets!$M$66:$Q$700,5,FALSE),"")</f>
        <v>0</v>
      </c>
      <c r="F250" s="21">
        <f t="shared" si="5"/>
        <v>0</v>
      </c>
    </row>
    <row r="251" spans="1:6" x14ac:dyDescent="0.3">
      <c r="A251" s="185" t="str">
        <f>DataDemande!AA310</f>
        <v/>
      </c>
      <c r="B251" s="8">
        <f>IFERROR(VLOOKUP($A251,DataDemande!$AA$63:$AE$700,2,FALSE)*VLOOKUP($A251,DataPrixBillets!$M$66:$Q$700,2,FALSE),"")</f>
        <v>0</v>
      </c>
      <c r="C251" s="8">
        <f>IFERROR(VLOOKUP($A251,DataDemande!$AA$63:$AE$700,3,FALSE)*VLOOKUP($A251,DataPrixBillets!$M$66:$Q$700,3,FALSE),"")</f>
        <v>0</v>
      </c>
      <c r="D251" s="8">
        <f>IFERROR(VLOOKUP($A251,DataDemande!$AA$63:$AE$700,4,FALSE)*VLOOKUP($A251,DataPrixBillets!$M$66:$Q$700,4,FALSE),"")</f>
        <v>0</v>
      </c>
      <c r="E251" s="8">
        <f>IFERROR(VLOOKUP($A251,DataDemande!$AA$63:$AE$700,5,FALSE)*VLOOKUP($A251,DataPrixBillets!$M$66:$Q$700,5,FALSE),"")</f>
        <v>0</v>
      </c>
      <c r="F251" s="21">
        <f t="shared" si="5"/>
        <v>0</v>
      </c>
    </row>
    <row r="252" spans="1:6" x14ac:dyDescent="0.3">
      <c r="A252" s="185" t="str">
        <f>DataDemande!AA311</f>
        <v/>
      </c>
      <c r="B252" s="8">
        <f>IFERROR(VLOOKUP($A252,DataDemande!$AA$63:$AE$700,2,FALSE)*VLOOKUP($A252,DataPrixBillets!$M$66:$Q$700,2,FALSE),"")</f>
        <v>0</v>
      </c>
      <c r="C252" s="8">
        <f>IFERROR(VLOOKUP($A252,DataDemande!$AA$63:$AE$700,3,FALSE)*VLOOKUP($A252,DataPrixBillets!$M$66:$Q$700,3,FALSE),"")</f>
        <v>0</v>
      </c>
      <c r="D252" s="8">
        <f>IFERROR(VLOOKUP($A252,DataDemande!$AA$63:$AE$700,4,FALSE)*VLOOKUP($A252,DataPrixBillets!$M$66:$Q$700,4,FALSE),"")</f>
        <v>0</v>
      </c>
      <c r="E252" s="8">
        <f>IFERROR(VLOOKUP($A252,DataDemande!$AA$63:$AE$700,5,FALSE)*VLOOKUP($A252,DataPrixBillets!$M$66:$Q$700,5,FALSE),"")</f>
        <v>0</v>
      </c>
      <c r="F252" s="21">
        <f t="shared" si="5"/>
        <v>0</v>
      </c>
    </row>
    <row r="253" spans="1:6" x14ac:dyDescent="0.3">
      <c r="A253" s="185" t="str">
        <f>DataDemande!AA312</f>
        <v/>
      </c>
      <c r="B253" s="8">
        <f>IFERROR(VLOOKUP($A253,DataDemande!$AA$63:$AE$700,2,FALSE)*VLOOKUP($A253,DataPrixBillets!$M$66:$Q$700,2,FALSE),"")</f>
        <v>0</v>
      </c>
      <c r="C253" s="8">
        <f>IFERROR(VLOOKUP($A253,DataDemande!$AA$63:$AE$700,3,FALSE)*VLOOKUP($A253,DataPrixBillets!$M$66:$Q$700,3,FALSE),"")</f>
        <v>0</v>
      </c>
      <c r="D253" s="8">
        <f>IFERROR(VLOOKUP($A253,DataDemande!$AA$63:$AE$700,4,FALSE)*VLOOKUP($A253,DataPrixBillets!$M$66:$Q$700,4,FALSE),"")</f>
        <v>0</v>
      </c>
      <c r="E253" s="8">
        <f>IFERROR(VLOOKUP($A253,DataDemande!$AA$63:$AE$700,5,FALSE)*VLOOKUP($A253,DataPrixBillets!$M$66:$Q$700,5,FALSE),"")</f>
        <v>0</v>
      </c>
      <c r="F253" s="21">
        <f t="shared" si="5"/>
        <v>0</v>
      </c>
    </row>
    <row r="254" spans="1:6" x14ac:dyDescent="0.3">
      <c r="A254" s="185" t="str">
        <f>DataDemande!AA313</f>
        <v/>
      </c>
      <c r="B254" s="8">
        <f>IFERROR(VLOOKUP($A254,DataDemande!$AA$63:$AE$700,2,FALSE)*VLOOKUP($A254,DataPrixBillets!$M$66:$Q$700,2,FALSE),"")</f>
        <v>0</v>
      </c>
      <c r="C254" s="8">
        <f>IFERROR(VLOOKUP($A254,DataDemande!$AA$63:$AE$700,3,FALSE)*VLOOKUP($A254,DataPrixBillets!$M$66:$Q$700,3,FALSE),"")</f>
        <v>0</v>
      </c>
      <c r="D254" s="8">
        <f>IFERROR(VLOOKUP($A254,DataDemande!$AA$63:$AE$700,4,FALSE)*VLOOKUP($A254,DataPrixBillets!$M$66:$Q$700,4,FALSE),"")</f>
        <v>0</v>
      </c>
      <c r="E254" s="8">
        <f>IFERROR(VLOOKUP($A254,DataDemande!$AA$63:$AE$700,5,FALSE)*VLOOKUP($A254,DataPrixBillets!$M$66:$Q$700,5,FALSE),"")</f>
        <v>0</v>
      </c>
      <c r="F254" s="21">
        <f t="shared" si="5"/>
        <v>0</v>
      </c>
    </row>
    <row r="255" spans="1:6" x14ac:dyDescent="0.3">
      <c r="A255" s="185" t="str">
        <f>DataDemande!AA314</f>
        <v/>
      </c>
      <c r="B255" s="8">
        <f>IFERROR(VLOOKUP($A255,DataDemande!$AA$63:$AE$700,2,FALSE)*VLOOKUP($A255,DataPrixBillets!$M$66:$Q$700,2,FALSE),"")</f>
        <v>0</v>
      </c>
      <c r="C255" s="8">
        <f>IFERROR(VLOOKUP($A255,DataDemande!$AA$63:$AE$700,3,FALSE)*VLOOKUP($A255,DataPrixBillets!$M$66:$Q$700,3,FALSE),"")</f>
        <v>0</v>
      </c>
      <c r="D255" s="8">
        <f>IFERROR(VLOOKUP($A255,DataDemande!$AA$63:$AE$700,4,FALSE)*VLOOKUP($A255,DataPrixBillets!$M$66:$Q$700,4,FALSE),"")</f>
        <v>0</v>
      </c>
      <c r="E255" s="8">
        <f>IFERROR(VLOOKUP($A255,DataDemande!$AA$63:$AE$700,5,FALSE)*VLOOKUP($A255,DataPrixBillets!$M$66:$Q$700,5,FALSE),"")</f>
        <v>0</v>
      </c>
      <c r="F255" s="21">
        <f t="shared" si="5"/>
        <v>0</v>
      </c>
    </row>
    <row r="256" spans="1:6" x14ac:dyDescent="0.3">
      <c r="A256" s="185" t="str">
        <f>DataDemande!AA315</f>
        <v/>
      </c>
      <c r="B256" s="8">
        <f>IFERROR(VLOOKUP($A256,DataDemande!$AA$63:$AE$700,2,FALSE)*VLOOKUP($A256,DataPrixBillets!$M$66:$Q$700,2,FALSE),"")</f>
        <v>0</v>
      </c>
      <c r="C256" s="8">
        <f>IFERROR(VLOOKUP($A256,DataDemande!$AA$63:$AE$700,3,FALSE)*VLOOKUP($A256,DataPrixBillets!$M$66:$Q$700,3,FALSE),"")</f>
        <v>0</v>
      </c>
      <c r="D256" s="8">
        <f>IFERROR(VLOOKUP($A256,DataDemande!$AA$63:$AE$700,4,FALSE)*VLOOKUP($A256,DataPrixBillets!$M$66:$Q$700,4,FALSE),"")</f>
        <v>0</v>
      </c>
      <c r="E256" s="8">
        <f>IFERROR(VLOOKUP($A256,DataDemande!$AA$63:$AE$700,5,FALSE)*VLOOKUP($A256,DataPrixBillets!$M$66:$Q$700,5,FALSE),"")</f>
        <v>0</v>
      </c>
      <c r="F256" s="21">
        <f t="shared" si="5"/>
        <v>0</v>
      </c>
    </row>
    <row r="257" spans="1:6" x14ac:dyDescent="0.3">
      <c r="A257" s="185" t="str">
        <f>DataDemande!AA316</f>
        <v/>
      </c>
      <c r="B257" s="8">
        <f>IFERROR(VLOOKUP($A257,DataDemande!$AA$63:$AE$700,2,FALSE)*VLOOKUP($A257,DataPrixBillets!$M$66:$Q$700,2,FALSE),"")</f>
        <v>0</v>
      </c>
      <c r="C257" s="8">
        <f>IFERROR(VLOOKUP($A257,DataDemande!$AA$63:$AE$700,3,FALSE)*VLOOKUP($A257,DataPrixBillets!$M$66:$Q$700,3,FALSE),"")</f>
        <v>0</v>
      </c>
      <c r="D257" s="8">
        <f>IFERROR(VLOOKUP($A257,DataDemande!$AA$63:$AE$700,4,FALSE)*VLOOKUP($A257,DataPrixBillets!$M$66:$Q$700,4,FALSE),"")</f>
        <v>0</v>
      </c>
      <c r="E257" s="8">
        <f>IFERROR(VLOOKUP($A257,DataDemande!$AA$63:$AE$700,5,FALSE)*VLOOKUP($A257,DataPrixBillets!$M$66:$Q$700,5,FALSE),"")</f>
        <v>0</v>
      </c>
      <c r="F257" s="21">
        <f t="shared" si="5"/>
        <v>0</v>
      </c>
    </row>
    <row r="258" spans="1:6" x14ac:dyDescent="0.3">
      <c r="A258" s="185" t="str">
        <f>DataDemande!AA317</f>
        <v/>
      </c>
      <c r="B258" s="8">
        <f>IFERROR(VLOOKUP($A258,DataDemande!$AA$63:$AE$700,2,FALSE)*VLOOKUP($A258,DataPrixBillets!$M$66:$Q$700,2,FALSE),"")</f>
        <v>0</v>
      </c>
      <c r="C258" s="8">
        <f>IFERROR(VLOOKUP($A258,DataDemande!$AA$63:$AE$700,3,FALSE)*VLOOKUP($A258,DataPrixBillets!$M$66:$Q$700,3,FALSE),"")</f>
        <v>0</v>
      </c>
      <c r="D258" s="8">
        <f>IFERROR(VLOOKUP($A258,DataDemande!$AA$63:$AE$700,4,FALSE)*VLOOKUP($A258,DataPrixBillets!$M$66:$Q$700,4,FALSE),"")</f>
        <v>0</v>
      </c>
      <c r="E258" s="8">
        <f>IFERROR(VLOOKUP($A258,DataDemande!$AA$63:$AE$700,5,FALSE)*VLOOKUP($A258,DataPrixBillets!$M$66:$Q$700,5,FALSE),"")</f>
        <v>0</v>
      </c>
      <c r="F258" s="21">
        <f t="shared" si="5"/>
        <v>0</v>
      </c>
    </row>
    <row r="259" spans="1:6" x14ac:dyDescent="0.3">
      <c r="A259" s="185" t="str">
        <f>DataDemande!AA318</f>
        <v/>
      </c>
      <c r="B259" s="8">
        <f>IFERROR(VLOOKUP($A259,DataDemande!$AA$63:$AE$700,2,FALSE)*VLOOKUP($A259,DataPrixBillets!$M$66:$Q$700,2,FALSE),"")</f>
        <v>0</v>
      </c>
      <c r="C259" s="8">
        <f>IFERROR(VLOOKUP($A259,DataDemande!$AA$63:$AE$700,3,FALSE)*VLOOKUP($A259,DataPrixBillets!$M$66:$Q$700,3,FALSE),"")</f>
        <v>0</v>
      </c>
      <c r="D259" s="8">
        <f>IFERROR(VLOOKUP($A259,DataDemande!$AA$63:$AE$700,4,FALSE)*VLOOKUP($A259,DataPrixBillets!$M$66:$Q$700,4,FALSE),"")</f>
        <v>0</v>
      </c>
      <c r="E259" s="8">
        <f>IFERROR(VLOOKUP($A259,DataDemande!$AA$63:$AE$700,5,FALSE)*VLOOKUP($A259,DataPrixBillets!$M$66:$Q$700,5,FALSE),"")</f>
        <v>0</v>
      </c>
      <c r="F259" s="21">
        <f t="shared" si="5"/>
        <v>0</v>
      </c>
    </row>
    <row r="260" spans="1:6" x14ac:dyDescent="0.3">
      <c r="A260" s="185" t="str">
        <f>DataDemande!AA319</f>
        <v/>
      </c>
      <c r="B260" s="8">
        <f>IFERROR(VLOOKUP($A260,DataDemande!$AA$63:$AE$700,2,FALSE)*VLOOKUP($A260,DataPrixBillets!$M$66:$Q$700,2,FALSE),"")</f>
        <v>0</v>
      </c>
      <c r="C260" s="8">
        <f>IFERROR(VLOOKUP($A260,DataDemande!$AA$63:$AE$700,3,FALSE)*VLOOKUP($A260,DataPrixBillets!$M$66:$Q$700,3,FALSE),"")</f>
        <v>0</v>
      </c>
      <c r="D260" s="8">
        <f>IFERROR(VLOOKUP($A260,DataDemande!$AA$63:$AE$700,4,FALSE)*VLOOKUP($A260,DataPrixBillets!$M$66:$Q$700,4,FALSE),"")</f>
        <v>0</v>
      </c>
      <c r="E260" s="8">
        <f>IFERROR(VLOOKUP($A260,DataDemande!$AA$63:$AE$700,5,FALSE)*VLOOKUP($A260,DataPrixBillets!$M$66:$Q$700,5,FALSE),"")</f>
        <v>0</v>
      </c>
      <c r="F260" s="21">
        <f t="shared" si="5"/>
        <v>0</v>
      </c>
    </row>
    <row r="261" spans="1:6" x14ac:dyDescent="0.3">
      <c r="A261" s="185" t="str">
        <f>DataDemande!AA320</f>
        <v/>
      </c>
      <c r="B261" s="8">
        <f>IFERROR(VLOOKUP($A261,DataDemande!$AA$63:$AE$700,2,FALSE)*VLOOKUP($A261,DataPrixBillets!$M$66:$Q$700,2,FALSE),"")</f>
        <v>0</v>
      </c>
      <c r="C261" s="8">
        <f>IFERROR(VLOOKUP($A261,DataDemande!$AA$63:$AE$700,3,FALSE)*VLOOKUP($A261,DataPrixBillets!$M$66:$Q$700,3,FALSE),"")</f>
        <v>0</v>
      </c>
      <c r="D261" s="8">
        <f>IFERROR(VLOOKUP($A261,DataDemande!$AA$63:$AE$700,4,FALSE)*VLOOKUP($A261,DataPrixBillets!$M$66:$Q$700,4,FALSE),"")</f>
        <v>0</v>
      </c>
      <c r="E261" s="8">
        <f>IFERROR(VLOOKUP($A261,DataDemande!$AA$63:$AE$700,5,FALSE)*VLOOKUP($A261,DataPrixBillets!$M$66:$Q$700,5,FALSE),"")</f>
        <v>0</v>
      </c>
      <c r="F261" s="21">
        <f t="shared" ref="F261:F324" si="6">SUM(B261:E261)</f>
        <v>0</v>
      </c>
    </row>
    <row r="262" spans="1:6" x14ac:dyDescent="0.3">
      <c r="A262" s="185" t="str">
        <f>DataDemande!AA321</f>
        <v/>
      </c>
      <c r="B262" s="8">
        <f>IFERROR(VLOOKUP($A262,DataDemande!$AA$63:$AE$700,2,FALSE)*VLOOKUP($A262,DataPrixBillets!$M$66:$Q$700,2,FALSE),"")</f>
        <v>0</v>
      </c>
      <c r="C262" s="8">
        <f>IFERROR(VLOOKUP($A262,DataDemande!$AA$63:$AE$700,3,FALSE)*VLOOKUP($A262,DataPrixBillets!$M$66:$Q$700,3,FALSE),"")</f>
        <v>0</v>
      </c>
      <c r="D262" s="8">
        <f>IFERROR(VLOOKUP($A262,DataDemande!$AA$63:$AE$700,4,FALSE)*VLOOKUP($A262,DataPrixBillets!$M$66:$Q$700,4,FALSE),"")</f>
        <v>0</v>
      </c>
      <c r="E262" s="8">
        <f>IFERROR(VLOOKUP($A262,DataDemande!$AA$63:$AE$700,5,FALSE)*VLOOKUP($A262,DataPrixBillets!$M$66:$Q$700,5,FALSE),"")</f>
        <v>0</v>
      </c>
      <c r="F262" s="21">
        <f t="shared" si="6"/>
        <v>0</v>
      </c>
    </row>
    <row r="263" spans="1:6" x14ac:dyDescent="0.3">
      <c r="A263" s="185" t="str">
        <f>DataDemande!AA322</f>
        <v/>
      </c>
      <c r="B263" s="8">
        <f>IFERROR(VLOOKUP($A263,DataDemande!$AA$63:$AE$700,2,FALSE)*VLOOKUP($A263,DataPrixBillets!$M$66:$Q$700,2,FALSE),"")</f>
        <v>0</v>
      </c>
      <c r="C263" s="8">
        <f>IFERROR(VLOOKUP($A263,DataDemande!$AA$63:$AE$700,3,FALSE)*VLOOKUP($A263,DataPrixBillets!$M$66:$Q$700,3,FALSE),"")</f>
        <v>0</v>
      </c>
      <c r="D263" s="8">
        <f>IFERROR(VLOOKUP($A263,DataDemande!$AA$63:$AE$700,4,FALSE)*VLOOKUP($A263,DataPrixBillets!$M$66:$Q$700,4,FALSE),"")</f>
        <v>0</v>
      </c>
      <c r="E263" s="8">
        <f>IFERROR(VLOOKUP($A263,DataDemande!$AA$63:$AE$700,5,FALSE)*VLOOKUP($A263,DataPrixBillets!$M$66:$Q$700,5,FALSE),"")</f>
        <v>0</v>
      </c>
      <c r="F263" s="21">
        <f t="shared" si="6"/>
        <v>0</v>
      </c>
    </row>
    <row r="264" spans="1:6" x14ac:dyDescent="0.3">
      <c r="A264" s="185" t="str">
        <f>DataDemande!AA323</f>
        <v/>
      </c>
      <c r="B264" s="8">
        <f>IFERROR(VLOOKUP($A264,DataDemande!$AA$63:$AE$700,2,FALSE)*VLOOKUP($A264,DataPrixBillets!$M$66:$Q$700,2,FALSE),"")</f>
        <v>0</v>
      </c>
      <c r="C264" s="8">
        <f>IFERROR(VLOOKUP($A264,DataDemande!$AA$63:$AE$700,3,FALSE)*VLOOKUP($A264,DataPrixBillets!$M$66:$Q$700,3,FALSE),"")</f>
        <v>0</v>
      </c>
      <c r="D264" s="8">
        <f>IFERROR(VLOOKUP($A264,DataDemande!$AA$63:$AE$700,4,FALSE)*VLOOKUP($A264,DataPrixBillets!$M$66:$Q$700,4,FALSE),"")</f>
        <v>0</v>
      </c>
      <c r="E264" s="8">
        <f>IFERROR(VLOOKUP($A264,DataDemande!$AA$63:$AE$700,5,FALSE)*VLOOKUP($A264,DataPrixBillets!$M$66:$Q$700,5,FALSE),"")</f>
        <v>0</v>
      </c>
      <c r="F264" s="21">
        <f t="shared" si="6"/>
        <v>0</v>
      </c>
    </row>
    <row r="265" spans="1:6" x14ac:dyDescent="0.3">
      <c r="A265" s="185" t="str">
        <f>DataDemande!AA324</f>
        <v/>
      </c>
      <c r="B265" s="8">
        <f>IFERROR(VLOOKUP($A265,DataDemande!$AA$63:$AE$700,2,FALSE)*VLOOKUP($A265,DataPrixBillets!$M$66:$Q$700,2,FALSE),"")</f>
        <v>0</v>
      </c>
      <c r="C265" s="8">
        <f>IFERROR(VLOOKUP($A265,DataDemande!$AA$63:$AE$700,3,FALSE)*VLOOKUP($A265,DataPrixBillets!$M$66:$Q$700,3,FALSE),"")</f>
        <v>0</v>
      </c>
      <c r="D265" s="8">
        <f>IFERROR(VLOOKUP($A265,DataDemande!$AA$63:$AE$700,4,FALSE)*VLOOKUP($A265,DataPrixBillets!$M$66:$Q$700,4,FALSE),"")</f>
        <v>0</v>
      </c>
      <c r="E265" s="8">
        <f>IFERROR(VLOOKUP($A265,DataDemande!$AA$63:$AE$700,5,FALSE)*VLOOKUP($A265,DataPrixBillets!$M$66:$Q$700,5,FALSE),"")</f>
        <v>0</v>
      </c>
      <c r="F265" s="21">
        <f t="shared" si="6"/>
        <v>0</v>
      </c>
    </row>
    <row r="266" spans="1:6" x14ac:dyDescent="0.3">
      <c r="A266" s="185" t="str">
        <f>DataDemande!AA325</f>
        <v/>
      </c>
      <c r="B266" s="8">
        <f>IFERROR(VLOOKUP($A266,DataDemande!$AA$63:$AE$700,2,FALSE)*VLOOKUP($A266,DataPrixBillets!$M$66:$Q$700,2,FALSE),"")</f>
        <v>0</v>
      </c>
      <c r="C266" s="8">
        <f>IFERROR(VLOOKUP($A266,DataDemande!$AA$63:$AE$700,3,FALSE)*VLOOKUP($A266,DataPrixBillets!$M$66:$Q$700,3,FALSE),"")</f>
        <v>0</v>
      </c>
      <c r="D266" s="8">
        <f>IFERROR(VLOOKUP($A266,DataDemande!$AA$63:$AE$700,4,FALSE)*VLOOKUP($A266,DataPrixBillets!$M$66:$Q$700,4,FALSE),"")</f>
        <v>0</v>
      </c>
      <c r="E266" s="8">
        <f>IFERROR(VLOOKUP($A266,DataDemande!$AA$63:$AE$700,5,FALSE)*VLOOKUP($A266,DataPrixBillets!$M$66:$Q$700,5,FALSE),"")</f>
        <v>0</v>
      </c>
      <c r="F266" s="21">
        <f t="shared" si="6"/>
        <v>0</v>
      </c>
    </row>
    <row r="267" spans="1:6" x14ac:dyDescent="0.3">
      <c r="A267" s="185" t="str">
        <f>DataDemande!AA326</f>
        <v/>
      </c>
      <c r="B267" s="8">
        <f>IFERROR(VLOOKUP($A267,DataDemande!$AA$63:$AE$700,2,FALSE)*VLOOKUP($A267,DataPrixBillets!$M$66:$Q$700,2,FALSE),"")</f>
        <v>0</v>
      </c>
      <c r="C267" s="8">
        <f>IFERROR(VLOOKUP($A267,DataDemande!$AA$63:$AE$700,3,FALSE)*VLOOKUP($A267,DataPrixBillets!$M$66:$Q$700,3,FALSE),"")</f>
        <v>0</v>
      </c>
      <c r="D267" s="8">
        <f>IFERROR(VLOOKUP($A267,DataDemande!$AA$63:$AE$700,4,FALSE)*VLOOKUP($A267,DataPrixBillets!$M$66:$Q$700,4,FALSE),"")</f>
        <v>0</v>
      </c>
      <c r="E267" s="8">
        <f>IFERROR(VLOOKUP($A267,DataDemande!$AA$63:$AE$700,5,FALSE)*VLOOKUP($A267,DataPrixBillets!$M$66:$Q$700,5,FALSE),"")</f>
        <v>0</v>
      </c>
      <c r="F267" s="21">
        <f t="shared" si="6"/>
        <v>0</v>
      </c>
    </row>
    <row r="268" spans="1:6" x14ac:dyDescent="0.3">
      <c r="A268" s="185" t="str">
        <f>DataDemande!AA327</f>
        <v/>
      </c>
      <c r="B268" s="8">
        <f>IFERROR(VLOOKUP($A268,DataDemande!$AA$63:$AE$700,2,FALSE)*VLOOKUP($A268,DataPrixBillets!$M$66:$Q$700,2,FALSE),"")</f>
        <v>0</v>
      </c>
      <c r="C268" s="8">
        <f>IFERROR(VLOOKUP($A268,DataDemande!$AA$63:$AE$700,3,FALSE)*VLOOKUP($A268,DataPrixBillets!$M$66:$Q$700,3,FALSE),"")</f>
        <v>0</v>
      </c>
      <c r="D268" s="8">
        <f>IFERROR(VLOOKUP($A268,DataDemande!$AA$63:$AE$700,4,FALSE)*VLOOKUP($A268,DataPrixBillets!$M$66:$Q$700,4,FALSE),"")</f>
        <v>0</v>
      </c>
      <c r="E268" s="8">
        <f>IFERROR(VLOOKUP($A268,DataDemande!$AA$63:$AE$700,5,FALSE)*VLOOKUP($A268,DataPrixBillets!$M$66:$Q$700,5,FALSE),"")</f>
        <v>0</v>
      </c>
      <c r="F268" s="21">
        <f t="shared" si="6"/>
        <v>0</v>
      </c>
    </row>
    <row r="269" spans="1:6" x14ac:dyDescent="0.3">
      <c r="A269" s="185" t="str">
        <f>DataDemande!AA328</f>
        <v/>
      </c>
      <c r="B269" s="8">
        <f>IFERROR(VLOOKUP($A269,DataDemande!$AA$63:$AE$700,2,FALSE)*VLOOKUP($A269,DataPrixBillets!$M$66:$Q$700,2,FALSE),"")</f>
        <v>0</v>
      </c>
      <c r="C269" s="8">
        <f>IFERROR(VLOOKUP($A269,DataDemande!$AA$63:$AE$700,3,FALSE)*VLOOKUP($A269,DataPrixBillets!$M$66:$Q$700,3,FALSE),"")</f>
        <v>0</v>
      </c>
      <c r="D269" s="8">
        <f>IFERROR(VLOOKUP($A269,DataDemande!$AA$63:$AE$700,4,FALSE)*VLOOKUP($A269,DataPrixBillets!$M$66:$Q$700,4,FALSE),"")</f>
        <v>0</v>
      </c>
      <c r="E269" s="8">
        <f>IFERROR(VLOOKUP($A269,DataDemande!$AA$63:$AE$700,5,FALSE)*VLOOKUP($A269,DataPrixBillets!$M$66:$Q$700,5,FALSE),"")</f>
        <v>0</v>
      </c>
      <c r="F269" s="21">
        <f t="shared" si="6"/>
        <v>0</v>
      </c>
    </row>
    <row r="270" spans="1:6" x14ac:dyDescent="0.3">
      <c r="A270" s="185" t="str">
        <f>DataDemande!AA329</f>
        <v/>
      </c>
      <c r="B270" s="8">
        <f>IFERROR(VLOOKUP($A270,DataDemande!$AA$63:$AE$700,2,FALSE)*VLOOKUP($A270,DataPrixBillets!$M$66:$Q$700,2,FALSE),"")</f>
        <v>0</v>
      </c>
      <c r="C270" s="8">
        <f>IFERROR(VLOOKUP($A270,DataDemande!$AA$63:$AE$700,3,FALSE)*VLOOKUP($A270,DataPrixBillets!$M$66:$Q$700,3,FALSE),"")</f>
        <v>0</v>
      </c>
      <c r="D270" s="8">
        <f>IFERROR(VLOOKUP($A270,DataDemande!$AA$63:$AE$700,4,FALSE)*VLOOKUP($A270,DataPrixBillets!$M$66:$Q$700,4,FALSE),"")</f>
        <v>0</v>
      </c>
      <c r="E270" s="8">
        <f>IFERROR(VLOOKUP($A270,DataDemande!$AA$63:$AE$700,5,FALSE)*VLOOKUP($A270,DataPrixBillets!$M$66:$Q$700,5,FALSE),"")</f>
        <v>0</v>
      </c>
      <c r="F270" s="21">
        <f t="shared" si="6"/>
        <v>0</v>
      </c>
    </row>
    <row r="271" spans="1:6" x14ac:dyDescent="0.3">
      <c r="A271" s="185" t="str">
        <f>DataDemande!AA330</f>
        <v/>
      </c>
      <c r="B271" s="8">
        <f>IFERROR(VLOOKUP($A271,DataDemande!$AA$63:$AE$700,2,FALSE)*VLOOKUP($A271,DataPrixBillets!$M$66:$Q$700,2,FALSE),"")</f>
        <v>0</v>
      </c>
      <c r="C271" s="8">
        <f>IFERROR(VLOOKUP($A271,DataDemande!$AA$63:$AE$700,3,FALSE)*VLOOKUP($A271,DataPrixBillets!$M$66:$Q$700,3,FALSE),"")</f>
        <v>0</v>
      </c>
      <c r="D271" s="8">
        <f>IFERROR(VLOOKUP($A271,DataDemande!$AA$63:$AE$700,4,FALSE)*VLOOKUP($A271,DataPrixBillets!$M$66:$Q$700,4,FALSE),"")</f>
        <v>0</v>
      </c>
      <c r="E271" s="8">
        <f>IFERROR(VLOOKUP($A271,DataDemande!$AA$63:$AE$700,5,FALSE)*VLOOKUP($A271,DataPrixBillets!$M$66:$Q$700,5,FALSE),"")</f>
        <v>0</v>
      </c>
      <c r="F271" s="21">
        <f t="shared" si="6"/>
        <v>0</v>
      </c>
    </row>
    <row r="272" spans="1:6" x14ac:dyDescent="0.3">
      <c r="A272" s="185" t="str">
        <f>DataDemande!AA331</f>
        <v/>
      </c>
      <c r="B272" s="8">
        <f>IFERROR(VLOOKUP($A272,DataDemande!$AA$63:$AE$700,2,FALSE)*VLOOKUP($A272,DataPrixBillets!$M$66:$Q$700,2,FALSE),"")</f>
        <v>0</v>
      </c>
      <c r="C272" s="8">
        <f>IFERROR(VLOOKUP($A272,DataDemande!$AA$63:$AE$700,3,FALSE)*VLOOKUP($A272,DataPrixBillets!$M$66:$Q$700,3,FALSE),"")</f>
        <v>0</v>
      </c>
      <c r="D272" s="8">
        <f>IFERROR(VLOOKUP($A272,DataDemande!$AA$63:$AE$700,4,FALSE)*VLOOKUP($A272,DataPrixBillets!$M$66:$Q$700,4,FALSE),"")</f>
        <v>0</v>
      </c>
      <c r="E272" s="8">
        <f>IFERROR(VLOOKUP($A272,DataDemande!$AA$63:$AE$700,5,FALSE)*VLOOKUP($A272,DataPrixBillets!$M$66:$Q$700,5,FALSE),"")</f>
        <v>0</v>
      </c>
      <c r="F272" s="21">
        <f t="shared" si="6"/>
        <v>0</v>
      </c>
    </row>
    <row r="273" spans="1:6" x14ac:dyDescent="0.3">
      <c r="A273" s="185" t="str">
        <f>DataDemande!AA332</f>
        <v/>
      </c>
      <c r="B273" s="8">
        <f>IFERROR(VLOOKUP($A273,DataDemande!$AA$63:$AE$700,2,FALSE)*VLOOKUP($A273,DataPrixBillets!$M$66:$Q$700,2,FALSE),"")</f>
        <v>0</v>
      </c>
      <c r="C273" s="8">
        <f>IFERROR(VLOOKUP($A273,DataDemande!$AA$63:$AE$700,3,FALSE)*VLOOKUP($A273,DataPrixBillets!$M$66:$Q$700,3,FALSE),"")</f>
        <v>0</v>
      </c>
      <c r="D273" s="8">
        <f>IFERROR(VLOOKUP($A273,DataDemande!$AA$63:$AE$700,4,FALSE)*VLOOKUP($A273,DataPrixBillets!$M$66:$Q$700,4,FALSE),"")</f>
        <v>0</v>
      </c>
      <c r="E273" s="8">
        <f>IFERROR(VLOOKUP($A273,DataDemande!$AA$63:$AE$700,5,FALSE)*VLOOKUP($A273,DataPrixBillets!$M$66:$Q$700,5,FALSE),"")</f>
        <v>0</v>
      </c>
      <c r="F273" s="21">
        <f t="shared" si="6"/>
        <v>0</v>
      </c>
    </row>
    <row r="274" spans="1:6" x14ac:dyDescent="0.3">
      <c r="A274" s="185" t="str">
        <f>DataDemande!AA333</f>
        <v/>
      </c>
      <c r="B274" s="8">
        <f>IFERROR(VLOOKUP($A274,DataDemande!$AA$63:$AE$700,2,FALSE)*VLOOKUP($A274,DataPrixBillets!$M$66:$Q$700,2,FALSE),"")</f>
        <v>0</v>
      </c>
      <c r="C274" s="8">
        <f>IFERROR(VLOOKUP($A274,DataDemande!$AA$63:$AE$700,3,FALSE)*VLOOKUP($A274,DataPrixBillets!$M$66:$Q$700,3,FALSE),"")</f>
        <v>0</v>
      </c>
      <c r="D274" s="8">
        <f>IFERROR(VLOOKUP($A274,DataDemande!$AA$63:$AE$700,4,FALSE)*VLOOKUP($A274,DataPrixBillets!$M$66:$Q$700,4,FALSE),"")</f>
        <v>0</v>
      </c>
      <c r="E274" s="8">
        <f>IFERROR(VLOOKUP($A274,DataDemande!$AA$63:$AE$700,5,FALSE)*VLOOKUP($A274,DataPrixBillets!$M$66:$Q$700,5,FALSE),"")</f>
        <v>0</v>
      </c>
      <c r="F274" s="21">
        <f t="shared" si="6"/>
        <v>0</v>
      </c>
    </row>
    <row r="275" spans="1:6" x14ac:dyDescent="0.3">
      <c r="A275" s="185" t="str">
        <f>DataDemande!AA334</f>
        <v/>
      </c>
      <c r="B275" s="8">
        <f>IFERROR(VLOOKUP($A275,DataDemande!$AA$63:$AE$700,2,FALSE)*VLOOKUP($A275,DataPrixBillets!$M$66:$Q$700,2,FALSE),"")</f>
        <v>0</v>
      </c>
      <c r="C275" s="8">
        <f>IFERROR(VLOOKUP($A275,DataDemande!$AA$63:$AE$700,3,FALSE)*VLOOKUP($A275,DataPrixBillets!$M$66:$Q$700,3,FALSE),"")</f>
        <v>0</v>
      </c>
      <c r="D275" s="8">
        <f>IFERROR(VLOOKUP($A275,DataDemande!$AA$63:$AE$700,4,FALSE)*VLOOKUP($A275,DataPrixBillets!$M$66:$Q$700,4,FALSE),"")</f>
        <v>0</v>
      </c>
      <c r="E275" s="8">
        <f>IFERROR(VLOOKUP($A275,DataDemande!$AA$63:$AE$700,5,FALSE)*VLOOKUP($A275,DataPrixBillets!$M$66:$Q$700,5,FALSE),"")</f>
        <v>0</v>
      </c>
      <c r="F275" s="21">
        <f t="shared" si="6"/>
        <v>0</v>
      </c>
    </row>
    <row r="276" spans="1:6" x14ac:dyDescent="0.3">
      <c r="A276" s="185" t="str">
        <f>DataDemande!AA335</f>
        <v/>
      </c>
      <c r="B276" s="8">
        <f>IFERROR(VLOOKUP($A276,DataDemande!$AA$63:$AE$700,2,FALSE)*VLOOKUP($A276,DataPrixBillets!$M$66:$Q$700,2,FALSE),"")</f>
        <v>0</v>
      </c>
      <c r="C276" s="8">
        <f>IFERROR(VLOOKUP($A276,DataDemande!$AA$63:$AE$700,3,FALSE)*VLOOKUP($A276,DataPrixBillets!$M$66:$Q$700,3,FALSE),"")</f>
        <v>0</v>
      </c>
      <c r="D276" s="8">
        <f>IFERROR(VLOOKUP($A276,DataDemande!$AA$63:$AE$700,4,FALSE)*VLOOKUP($A276,DataPrixBillets!$M$66:$Q$700,4,FALSE),"")</f>
        <v>0</v>
      </c>
      <c r="E276" s="8">
        <f>IFERROR(VLOOKUP($A276,DataDemande!$AA$63:$AE$700,5,FALSE)*VLOOKUP($A276,DataPrixBillets!$M$66:$Q$700,5,FALSE),"")</f>
        <v>0</v>
      </c>
      <c r="F276" s="21">
        <f t="shared" si="6"/>
        <v>0</v>
      </c>
    </row>
    <row r="277" spans="1:6" x14ac:dyDescent="0.3">
      <c r="A277" s="185" t="str">
        <f>DataDemande!AA336</f>
        <v/>
      </c>
      <c r="B277" s="8">
        <f>IFERROR(VLOOKUP($A277,DataDemande!$AA$63:$AE$700,2,FALSE)*VLOOKUP($A277,DataPrixBillets!$M$66:$Q$700,2,FALSE),"")</f>
        <v>0</v>
      </c>
      <c r="C277" s="8">
        <f>IFERROR(VLOOKUP($A277,DataDemande!$AA$63:$AE$700,3,FALSE)*VLOOKUP($A277,DataPrixBillets!$M$66:$Q$700,3,FALSE),"")</f>
        <v>0</v>
      </c>
      <c r="D277" s="8">
        <f>IFERROR(VLOOKUP($A277,DataDemande!$AA$63:$AE$700,4,FALSE)*VLOOKUP($A277,DataPrixBillets!$M$66:$Q$700,4,FALSE),"")</f>
        <v>0</v>
      </c>
      <c r="E277" s="8">
        <f>IFERROR(VLOOKUP($A277,DataDemande!$AA$63:$AE$700,5,FALSE)*VLOOKUP($A277,DataPrixBillets!$M$66:$Q$700,5,FALSE),"")</f>
        <v>0</v>
      </c>
      <c r="F277" s="21">
        <f t="shared" si="6"/>
        <v>0</v>
      </c>
    </row>
    <row r="278" spans="1:6" x14ac:dyDescent="0.3">
      <c r="A278" s="185" t="str">
        <f>DataDemande!AA337</f>
        <v/>
      </c>
      <c r="B278" s="8">
        <f>IFERROR(VLOOKUP($A278,DataDemande!$AA$63:$AE$700,2,FALSE)*VLOOKUP($A278,DataPrixBillets!$M$66:$Q$700,2,FALSE),"")</f>
        <v>0</v>
      </c>
      <c r="C278" s="8">
        <f>IFERROR(VLOOKUP($A278,DataDemande!$AA$63:$AE$700,3,FALSE)*VLOOKUP($A278,DataPrixBillets!$M$66:$Q$700,3,FALSE),"")</f>
        <v>0</v>
      </c>
      <c r="D278" s="8">
        <f>IFERROR(VLOOKUP($A278,DataDemande!$AA$63:$AE$700,4,FALSE)*VLOOKUP($A278,DataPrixBillets!$M$66:$Q$700,4,FALSE),"")</f>
        <v>0</v>
      </c>
      <c r="E278" s="8">
        <f>IFERROR(VLOOKUP($A278,DataDemande!$AA$63:$AE$700,5,FALSE)*VLOOKUP($A278,DataPrixBillets!$M$66:$Q$700,5,FALSE),"")</f>
        <v>0</v>
      </c>
      <c r="F278" s="21">
        <f t="shared" si="6"/>
        <v>0</v>
      </c>
    </row>
    <row r="279" spans="1:6" x14ac:dyDescent="0.3">
      <c r="A279" s="185" t="str">
        <f>DataDemande!AA338</f>
        <v/>
      </c>
      <c r="B279" s="8">
        <f>IFERROR(VLOOKUP($A279,DataDemande!$AA$63:$AE$700,2,FALSE)*VLOOKUP($A279,DataPrixBillets!$M$66:$Q$700,2,FALSE),"")</f>
        <v>0</v>
      </c>
      <c r="C279" s="8">
        <f>IFERROR(VLOOKUP($A279,DataDemande!$AA$63:$AE$700,3,FALSE)*VLOOKUP($A279,DataPrixBillets!$M$66:$Q$700,3,FALSE),"")</f>
        <v>0</v>
      </c>
      <c r="D279" s="8">
        <f>IFERROR(VLOOKUP($A279,DataDemande!$AA$63:$AE$700,4,FALSE)*VLOOKUP($A279,DataPrixBillets!$M$66:$Q$700,4,FALSE),"")</f>
        <v>0</v>
      </c>
      <c r="E279" s="8">
        <f>IFERROR(VLOOKUP($A279,DataDemande!$AA$63:$AE$700,5,FALSE)*VLOOKUP($A279,DataPrixBillets!$M$66:$Q$700,5,FALSE),"")</f>
        <v>0</v>
      </c>
      <c r="F279" s="21">
        <f t="shared" si="6"/>
        <v>0</v>
      </c>
    </row>
    <row r="280" spans="1:6" x14ac:dyDescent="0.3">
      <c r="A280" s="185" t="str">
        <f>DataDemande!AA339</f>
        <v/>
      </c>
      <c r="B280" s="8">
        <f>IFERROR(VLOOKUP($A280,DataDemande!$AA$63:$AE$700,2,FALSE)*VLOOKUP($A280,DataPrixBillets!$M$66:$Q$700,2,FALSE),"")</f>
        <v>0</v>
      </c>
      <c r="C280" s="8">
        <f>IFERROR(VLOOKUP($A280,DataDemande!$AA$63:$AE$700,3,FALSE)*VLOOKUP($A280,DataPrixBillets!$M$66:$Q$700,3,FALSE),"")</f>
        <v>0</v>
      </c>
      <c r="D280" s="8">
        <f>IFERROR(VLOOKUP($A280,DataDemande!$AA$63:$AE$700,4,FALSE)*VLOOKUP($A280,DataPrixBillets!$M$66:$Q$700,4,FALSE),"")</f>
        <v>0</v>
      </c>
      <c r="E280" s="8">
        <f>IFERROR(VLOOKUP($A280,DataDemande!$AA$63:$AE$700,5,FALSE)*VLOOKUP($A280,DataPrixBillets!$M$66:$Q$700,5,FALSE),"")</f>
        <v>0</v>
      </c>
      <c r="F280" s="21">
        <f t="shared" si="6"/>
        <v>0</v>
      </c>
    </row>
    <row r="281" spans="1:6" x14ac:dyDescent="0.3">
      <c r="A281" s="185" t="str">
        <f>DataDemande!AA340</f>
        <v/>
      </c>
      <c r="B281" s="8">
        <f>IFERROR(VLOOKUP($A281,DataDemande!$AA$63:$AE$700,2,FALSE)*VLOOKUP($A281,DataPrixBillets!$M$66:$Q$700,2,FALSE),"")</f>
        <v>0</v>
      </c>
      <c r="C281" s="8">
        <f>IFERROR(VLOOKUP($A281,DataDemande!$AA$63:$AE$700,3,FALSE)*VLOOKUP($A281,DataPrixBillets!$M$66:$Q$700,3,FALSE),"")</f>
        <v>0</v>
      </c>
      <c r="D281" s="8">
        <f>IFERROR(VLOOKUP($A281,DataDemande!$AA$63:$AE$700,4,FALSE)*VLOOKUP($A281,DataPrixBillets!$M$66:$Q$700,4,FALSE),"")</f>
        <v>0</v>
      </c>
      <c r="E281" s="8">
        <f>IFERROR(VLOOKUP($A281,DataDemande!$AA$63:$AE$700,5,FALSE)*VLOOKUP($A281,DataPrixBillets!$M$66:$Q$700,5,FALSE),"")</f>
        <v>0</v>
      </c>
      <c r="F281" s="21">
        <f t="shared" si="6"/>
        <v>0</v>
      </c>
    </row>
    <row r="282" spans="1:6" x14ac:dyDescent="0.3">
      <c r="A282" s="185" t="str">
        <f>DataDemande!AA341</f>
        <v/>
      </c>
      <c r="B282" s="8">
        <f>IFERROR(VLOOKUP($A282,DataDemande!$AA$63:$AE$700,2,FALSE)*VLOOKUP($A282,DataPrixBillets!$M$66:$Q$700,2,FALSE),"")</f>
        <v>0</v>
      </c>
      <c r="C282" s="8">
        <f>IFERROR(VLOOKUP($A282,DataDemande!$AA$63:$AE$700,3,FALSE)*VLOOKUP($A282,DataPrixBillets!$M$66:$Q$700,3,FALSE),"")</f>
        <v>0</v>
      </c>
      <c r="D282" s="8">
        <f>IFERROR(VLOOKUP($A282,DataDemande!$AA$63:$AE$700,4,FALSE)*VLOOKUP($A282,DataPrixBillets!$M$66:$Q$700,4,FALSE),"")</f>
        <v>0</v>
      </c>
      <c r="E282" s="8">
        <f>IFERROR(VLOOKUP($A282,DataDemande!$AA$63:$AE$700,5,FALSE)*VLOOKUP($A282,DataPrixBillets!$M$66:$Q$700,5,FALSE),"")</f>
        <v>0</v>
      </c>
      <c r="F282" s="21">
        <f t="shared" si="6"/>
        <v>0</v>
      </c>
    </row>
    <row r="283" spans="1:6" x14ac:dyDescent="0.3">
      <c r="A283" s="185" t="str">
        <f>DataDemande!AA342</f>
        <v/>
      </c>
      <c r="B283" s="8">
        <f>IFERROR(VLOOKUP($A283,DataDemande!$AA$63:$AE$700,2,FALSE)*VLOOKUP($A283,DataPrixBillets!$M$66:$Q$700,2,FALSE),"")</f>
        <v>0</v>
      </c>
      <c r="C283" s="8">
        <f>IFERROR(VLOOKUP($A283,DataDemande!$AA$63:$AE$700,3,FALSE)*VLOOKUP($A283,DataPrixBillets!$M$66:$Q$700,3,FALSE),"")</f>
        <v>0</v>
      </c>
      <c r="D283" s="8">
        <f>IFERROR(VLOOKUP($A283,DataDemande!$AA$63:$AE$700,4,FALSE)*VLOOKUP($A283,DataPrixBillets!$M$66:$Q$700,4,FALSE),"")</f>
        <v>0</v>
      </c>
      <c r="E283" s="8">
        <f>IFERROR(VLOOKUP($A283,DataDemande!$AA$63:$AE$700,5,FALSE)*VLOOKUP($A283,DataPrixBillets!$M$66:$Q$700,5,FALSE),"")</f>
        <v>0</v>
      </c>
      <c r="F283" s="21">
        <f t="shared" si="6"/>
        <v>0</v>
      </c>
    </row>
    <row r="284" spans="1:6" x14ac:dyDescent="0.3">
      <c r="A284" s="185" t="str">
        <f>DataDemande!AA343</f>
        <v/>
      </c>
      <c r="B284" s="8">
        <f>IFERROR(VLOOKUP($A284,DataDemande!$AA$63:$AE$700,2,FALSE)*VLOOKUP($A284,DataPrixBillets!$M$66:$Q$700,2,FALSE),"")</f>
        <v>0</v>
      </c>
      <c r="C284" s="8">
        <f>IFERROR(VLOOKUP($A284,DataDemande!$AA$63:$AE$700,3,FALSE)*VLOOKUP($A284,DataPrixBillets!$M$66:$Q$700,3,FALSE),"")</f>
        <v>0</v>
      </c>
      <c r="D284" s="8">
        <f>IFERROR(VLOOKUP($A284,DataDemande!$AA$63:$AE$700,4,FALSE)*VLOOKUP($A284,DataPrixBillets!$M$66:$Q$700,4,FALSE),"")</f>
        <v>0</v>
      </c>
      <c r="E284" s="8">
        <f>IFERROR(VLOOKUP($A284,DataDemande!$AA$63:$AE$700,5,FALSE)*VLOOKUP($A284,DataPrixBillets!$M$66:$Q$700,5,FALSE),"")</f>
        <v>0</v>
      </c>
      <c r="F284" s="21">
        <f t="shared" si="6"/>
        <v>0</v>
      </c>
    </row>
    <row r="285" spans="1:6" x14ac:dyDescent="0.3">
      <c r="A285" s="185" t="str">
        <f>DataDemande!AA344</f>
        <v/>
      </c>
      <c r="B285" s="8">
        <f>IFERROR(VLOOKUP($A285,DataDemande!$AA$63:$AE$700,2,FALSE)*VLOOKUP($A285,DataPrixBillets!$M$66:$Q$700,2,FALSE),"")</f>
        <v>0</v>
      </c>
      <c r="C285" s="8">
        <f>IFERROR(VLOOKUP($A285,DataDemande!$AA$63:$AE$700,3,FALSE)*VLOOKUP($A285,DataPrixBillets!$M$66:$Q$700,3,FALSE),"")</f>
        <v>0</v>
      </c>
      <c r="D285" s="8">
        <f>IFERROR(VLOOKUP($A285,DataDemande!$AA$63:$AE$700,4,FALSE)*VLOOKUP($A285,DataPrixBillets!$M$66:$Q$700,4,FALSE),"")</f>
        <v>0</v>
      </c>
      <c r="E285" s="8">
        <f>IFERROR(VLOOKUP($A285,DataDemande!$AA$63:$AE$700,5,FALSE)*VLOOKUP($A285,DataPrixBillets!$M$66:$Q$700,5,FALSE),"")</f>
        <v>0</v>
      </c>
      <c r="F285" s="21">
        <f t="shared" si="6"/>
        <v>0</v>
      </c>
    </row>
    <row r="286" spans="1:6" x14ac:dyDescent="0.3">
      <c r="A286" s="185" t="str">
        <f>DataDemande!AA345</f>
        <v/>
      </c>
      <c r="B286" s="8">
        <f>IFERROR(VLOOKUP($A286,DataDemande!$AA$63:$AE$700,2,FALSE)*VLOOKUP($A286,DataPrixBillets!$M$66:$Q$700,2,FALSE),"")</f>
        <v>0</v>
      </c>
      <c r="C286" s="8">
        <f>IFERROR(VLOOKUP($A286,DataDemande!$AA$63:$AE$700,3,FALSE)*VLOOKUP($A286,DataPrixBillets!$M$66:$Q$700,3,FALSE),"")</f>
        <v>0</v>
      </c>
      <c r="D286" s="8">
        <f>IFERROR(VLOOKUP($A286,DataDemande!$AA$63:$AE$700,4,FALSE)*VLOOKUP($A286,DataPrixBillets!$M$66:$Q$700,4,FALSE),"")</f>
        <v>0</v>
      </c>
      <c r="E286" s="8">
        <f>IFERROR(VLOOKUP($A286,DataDemande!$AA$63:$AE$700,5,FALSE)*VLOOKUP($A286,DataPrixBillets!$M$66:$Q$700,5,FALSE),"")</f>
        <v>0</v>
      </c>
      <c r="F286" s="21">
        <f t="shared" si="6"/>
        <v>0</v>
      </c>
    </row>
    <row r="287" spans="1:6" x14ac:dyDescent="0.3">
      <c r="A287" s="185" t="str">
        <f>DataDemande!AA346</f>
        <v/>
      </c>
      <c r="B287" s="8">
        <f>IFERROR(VLOOKUP($A287,DataDemande!$AA$63:$AE$700,2,FALSE)*VLOOKUP($A287,DataPrixBillets!$M$66:$Q$700,2,FALSE),"")</f>
        <v>0</v>
      </c>
      <c r="C287" s="8">
        <f>IFERROR(VLOOKUP($A287,DataDemande!$AA$63:$AE$700,3,FALSE)*VLOOKUP($A287,DataPrixBillets!$M$66:$Q$700,3,FALSE),"")</f>
        <v>0</v>
      </c>
      <c r="D287" s="8">
        <f>IFERROR(VLOOKUP($A287,DataDemande!$AA$63:$AE$700,4,FALSE)*VLOOKUP($A287,DataPrixBillets!$M$66:$Q$700,4,FALSE),"")</f>
        <v>0</v>
      </c>
      <c r="E287" s="8">
        <f>IFERROR(VLOOKUP($A287,DataDemande!$AA$63:$AE$700,5,FALSE)*VLOOKUP($A287,DataPrixBillets!$M$66:$Q$700,5,FALSE),"")</f>
        <v>0</v>
      </c>
      <c r="F287" s="21">
        <f t="shared" si="6"/>
        <v>0</v>
      </c>
    </row>
    <row r="288" spans="1:6" x14ac:dyDescent="0.3">
      <c r="A288" s="185" t="str">
        <f>DataDemande!AA347</f>
        <v/>
      </c>
      <c r="B288" s="8">
        <f>IFERROR(VLOOKUP($A288,DataDemande!$AA$63:$AE$700,2,FALSE)*VLOOKUP($A288,DataPrixBillets!$M$66:$Q$700,2,FALSE),"")</f>
        <v>0</v>
      </c>
      <c r="C288" s="8">
        <f>IFERROR(VLOOKUP($A288,DataDemande!$AA$63:$AE$700,3,FALSE)*VLOOKUP($A288,DataPrixBillets!$M$66:$Q$700,3,FALSE),"")</f>
        <v>0</v>
      </c>
      <c r="D288" s="8">
        <f>IFERROR(VLOOKUP($A288,DataDemande!$AA$63:$AE$700,4,FALSE)*VLOOKUP($A288,DataPrixBillets!$M$66:$Q$700,4,FALSE),"")</f>
        <v>0</v>
      </c>
      <c r="E288" s="8">
        <f>IFERROR(VLOOKUP($A288,DataDemande!$AA$63:$AE$700,5,FALSE)*VLOOKUP($A288,DataPrixBillets!$M$66:$Q$700,5,FALSE),"")</f>
        <v>0</v>
      </c>
      <c r="F288" s="21">
        <f t="shared" si="6"/>
        <v>0</v>
      </c>
    </row>
    <row r="289" spans="1:6" x14ac:dyDescent="0.3">
      <c r="A289" s="185" t="str">
        <f>DataDemande!AA348</f>
        <v/>
      </c>
      <c r="B289" s="8">
        <f>IFERROR(VLOOKUP($A289,DataDemande!$AA$63:$AE$700,2,FALSE)*VLOOKUP($A289,DataPrixBillets!$M$66:$Q$700,2,FALSE),"")</f>
        <v>0</v>
      </c>
      <c r="C289" s="8">
        <f>IFERROR(VLOOKUP($A289,DataDemande!$AA$63:$AE$700,3,FALSE)*VLOOKUP($A289,DataPrixBillets!$M$66:$Q$700,3,FALSE),"")</f>
        <v>0</v>
      </c>
      <c r="D289" s="8">
        <f>IFERROR(VLOOKUP($A289,DataDemande!$AA$63:$AE$700,4,FALSE)*VLOOKUP($A289,DataPrixBillets!$M$66:$Q$700,4,FALSE),"")</f>
        <v>0</v>
      </c>
      <c r="E289" s="8">
        <f>IFERROR(VLOOKUP($A289,DataDemande!$AA$63:$AE$700,5,FALSE)*VLOOKUP($A289,DataPrixBillets!$M$66:$Q$700,5,FALSE),"")</f>
        <v>0</v>
      </c>
      <c r="F289" s="21">
        <f t="shared" si="6"/>
        <v>0</v>
      </c>
    </row>
    <row r="290" spans="1:6" x14ac:dyDescent="0.3">
      <c r="A290" s="185" t="str">
        <f>DataDemande!AA349</f>
        <v/>
      </c>
      <c r="B290" s="8">
        <f>IFERROR(VLOOKUP($A290,DataDemande!$AA$63:$AE$700,2,FALSE)*VLOOKUP($A290,DataPrixBillets!$M$66:$Q$700,2,FALSE),"")</f>
        <v>0</v>
      </c>
      <c r="C290" s="8">
        <f>IFERROR(VLOOKUP($A290,DataDemande!$AA$63:$AE$700,3,FALSE)*VLOOKUP($A290,DataPrixBillets!$M$66:$Q$700,3,FALSE),"")</f>
        <v>0</v>
      </c>
      <c r="D290" s="8">
        <f>IFERROR(VLOOKUP($A290,DataDemande!$AA$63:$AE$700,4,FALSE)*VLOOKUP($A290,DataPrixBillets!$M$66:$Q$700,4,FALSE),"")</f>
        <v>0</v>
      </c>
      <c r="E290" s="8">
        <f>IFERROR(VLOOKUP($A290,DataDemande!$AA$63:$AE$700,5,FALSE)*VLOOKUP($A290,DataPrixBillets!$M$66:$Q$700,5,FALSE),"")</f>
        <v>0</v>
      </c>
      <c r="F290" s="21">
        <f t="shared" si="6"/>
        <v>0</v>
      </c>
    </row>
    <row r="291" spans="1:6" x14ac:dyDescent="0.3">
      <c r="A291" s="185" t="str">
        <f>DataDemande!AA350</f>
        <v/>
      </c>
      <c r="B291" s="8">
        <f>IFERROR(VLOOKUP($A291,DataDemande!$AA$63:$AE$700,2,FALSE)*VLOOKUP($A291,DataPrixBillets!$M$66:$Q$700,2,FALSE),"")</f>
        <v>0</v>
      </c>
      <c r="C291" s="8">
        <f>IFERROR(VLOOKUP($A291,DataDemande!$AA$63:$AE$700,3,FALSE)*VLOOKUP($A291,DataPrixBillets!$M$66:$Q$700,3,FALSE),"")</f>
        <v>0</v>
      </c>
      <c r="D291" s="8">
        <f>IFERROR(VLOOKUP($A291,DataDemande!$AA$63:$AE$700,4,FALSE)*VLOOKUP($A291,DataPrixBillets!$M$66:$Q$700,4,FALSE),"")</f>
        <v>0</v>
      </c>
      <c r="E291" s="8">
        <f>IFERROR(VLOOKUP($A291,DataDemande!$AA$63:$AE$700,5,FALSE)*VLOOKUP($A291,DataPrixBillets!$M$66:$Q$700,5,FALSE),"")</f>
        <v>0</v>
      </c>
      <c r="F291" s="21">
        <f t="shared" si="6"/>
        <v>0</v>
      </c>
    </row>
    <row r="292" spans="1:6" x14ac:dyDescent="0.3">
      <c r="A292" s="185" t="str">
        <f>DataDemande!AA351</f>
        <v/>
      </c>
      <c r="B292" s="8">
        <f>IFERROR(VLOOKUP($A292,DataDemande!$AA$63:$AE$700,2,FALSE)*VLOOKUP($A292,DataPrixBillets!$M$66:$Q$700,2,FALSE),"")</f>
        <v>0</v>
      </c>
      <c r="C292" s="8">
        <f>IFERROR(VLOOKUP($A292,DataDemande!$AA$63:$AE$700,3,FALSE)*VLOOKUP($A292,DataPrixBillets!$M$66:$Q$700,3,FALSE),"")</f>
        <v>0</v>
      </c>
      <c r="D292" s="8">
        <f>IFERROR(VLOOKUP($A292,DataDemande!$AA$63:$AE$700,4,FALSE)*VLOOKUP($A292,DataPrixBillets!$M$66:$Q$700,4,FALSE),"")</f>
        <v>0</v>
      </c>
      <c r="E292" s="8">
        <f>IFERROR(VLOOKUP($A292,DataDemande!$AA$63:$AE$700,5,FALSE)*VLOOKUP($A292,DataPrixBillets!$M$66:$Q$700,5,FALSE),"")</f>
        <v>0</v>
      </c>
      <c r="F292" s="21">
        <f t="shared" si="6"/>
        <v>0</v>
      </c>
    </row>
    <row r="293" spans="1:6" x14ac:dyDescent="0.3">
      <c r="A293" s="185" t="str">
        <f>DataDemande!AA352</f>
        <v/>
      </c>
      <c r="B293" s="8">
        <f>IFERROR(VLOOKUP($A293,DataDemande!$AA$63:$AE$700,2,FALSE)*VLOOKUP($A293,DataPrixBillets!$M$66:$Q$700,2,FALSE),"")</f>
        <v>0</v>
      </c>
      <c r="C293" s="8">
        <f>IFERROR(VLOOKUP($A293,DataDemande!$AA$63:$AE$700,3,FALSE)*VLOOKUP($A293,DataPrixBillets!$M$66:$Q$700,3,FALSE),"")</f>
        <v>0</v>
      </c>
      <c r="D293" s="8">
        <f>IFERROR(VLOOKUP($A293,DataDemande!$AA$63:$AE$700,4,FALSE)*VLOOKUP($A293,DataPrixBillets!$M$66:$Q$700,4,FALSE),"")</f>
        <v>0</v>
      </c>
      <c r="E293" s="8">
        <f>IFERROR(VLOOKUP($A293,DataDemande!$AA$63:$AE$700,5,FALSE)*VLOOKUP($A293,DataPrixBillets!$M$66:$Q$700,5,FALSE),"")</f>
        <v>0</v>
      </c>
      <c r="F293" s="21">
        <f t="shared" si="6"/>
        <v>0</v>
      </c>
    </row>
    <row r="294" spans="1:6" x14ac:dyDescent="0.3">
      <c r="A294" s="185" t="str">
        <f>DataDemande!AA353</f>
        <v/>
      </c>
      <c r="B294" s="8">
        <f>IFERROR(VLOOKUP($A294,DataDemande!$AA$63:$AE$700,2,FALSE)*VLOOKUP($A294,DataPrixBillets!$M$66:$Q$700,2,FALSE),"")</f>
        <v>0</v>
      </c>
      <c r="C294" s="8">
        <f>IFERROR(VLOOKUP($A294,DataDemande!$AA$63:$AE$700,3,FALSE)*VLOOKUP($A294,DataPrixBillets!$M$66:$Q$700,3,FALSE),"")</f>
        <v>0</v>
      </c>
      <c r="D294" s="8">
        <f>IFERROR(VLOOKUP($A294,DataDemande!$AA$63:$AE$700,4,FALSE)*VLOOKUP($A294,DataPrixBillets!$M$66:$Q$700,4,FALSE),"")</f>
        <v>0</v>
      </c>
      <c r="E294" s="8">
        <f>IFERROR(VLOOKUP($A294,DataDemande!$AA$63:$AE$700,5,FALSE)*VLOOKUP($A294,DataPrixBillets!$M$66:$Q$700,5,FALSE),"")</f>
        <v>0</v>
      </c>
      <c r="F294" s="21">
        <f t="shared" si="6"/>
        <v>0</v>
      </c>
    </row>
    <row r="295" spans="1:6" x14ac:dyDescent="0.3">
      <c r="A295" s="185" t="str">
        <f>DataDemande!AA354</f>
        <v/>
      </c>
      <c r="B295" s="8">
        <f>IFERROR(VLOOKUP($A295,DataDemande!$AA$63:$AE$700,2,FALSE)*VLOOKUP($A295,DataPrixBillets!$M$66:$Q$700,2,FALSE),"")</f>
        <v>0</v>
      </c>
      <c r="C295" s="8">
        <f>IFERROR(VLOOKUP($A295,DataDemande!$AA$63:$AE$700,3,FALSE)*VLOOKUP($A295,DataPrixBillets!$M$66:$Q$700,3,FALSE),"")</f>
        <v>0</v>
      </c>
      <c r="D295" s="8">
        <f>IFERROR(VLOOKUP($A295,DataDemande!$AA$63:$AE$700,4,FALSE)*VLOOKUP($A295,DataPrixBillets!$M$66:$Q$700,4,FALSE),"")</f>
        <v>0</v>
      </c>
      <c r="E295" s="8">
        <f>IFERROR(VLOOKUP($A295,DataDemande!$AA$63:$AE$700,5,FALSE)*VLOOKUP($A295,DataPrixBillets!$M$66:$Q$700,5,FALSE),"")</f>
        <v>0</v>
      </c>
      <c r="F295" s="21">
        <f t="shared" si="6"/>
        <v>0</v>
      </c>
    </row>
    <row r="296" spans="1:6" x14ac:dyDescent="0.3">
      <c r="A296" s="185" t="str">
        <f>DataDemande!AA355</f>
        <v/>
      </c>
      <c r="B296" s="8">
        <f>IFERROR(VLOOKUP($A296,DataDemande!$AA$63:$AE$700,2,FALSE)*VLOOKUP($A296,DataPrixBillets!$M$66:$Q$700,2,FALSE),"")</f>
        <v>0</v>
      </c>
      <c r="C296" s="8">
        <f>IFERROR(VLOOKUP($A296,DataDemande!$AA$63:$AE$700,3,FALSE)*VLOOKUP($A296,DataPrixBillets!$M$66:$Q$700,3,FALSE),"")</f>
        <v>0</v>
      </c>
      <c r="D296" s="8">
        <f>IFERROR(VLOOKUP($A296,DataDemande!$AA$63:$AE$700,4,FALSE)*VLOOKUP($A296,DataPrixBillets!$M$66:$Q$700,4,FALSE),"")</f>
        <v>0</v>
      </c>
      <c r="E296" s="8">
        <f>IFERROR(VLOOKUP($A296,DataDemande!$AA$63:$AE$700,5,FALSE)*VLOOKUP($A296,DataPrixBillets!$M$66:$Q$700,5,FALSE),"")</f>
        <v>0</v>
      </c>
      <c r="F296" s="21">
        <f t="shared" si="6"/>
        <v>0</v>
      </c>
    </row>
    <row r="297" spans="1:6" x14ac:dyDescent="0.3">
      <c r="A297" s="185" t="str">
        <f>DataDemande!AA356</f>
        <v/>
      </c>
      <c r="B297" s="8">
        <f>IFERROR(VLOOKUP($A297,DataDemande!$AA$63:$AE$700,2,FALSE)*VLOOKUP($A297,DataPrixBillets!$M$66:$Q$700,2,FALSE),"")</f>
        <v>0</v>
      </c>
      <c r="C297" s="8">
        <f>IFERROR(VLOOKUP($A297,DataDemande!$AA$63:$AE$700,3,FALSE)*VLOOKUP($A297,DataPrixBillets!$M$66:$Q$700,3,FALSE),"")</f>
        <v>0</v>
      </c>
      <c r="D297" s="8">
        <f>IFERROR(VLOOKUP($A297,DataDemande!$AA$63:$AE$700,4,FALSE)*VLOOKUP($A297,DataPrixBillets!$M$66:$Q$700,4,FALSE),"")</f>
        <v>0</v>
      </c>
      <c r="E297" s="8">
        <f>IFERROR(VLOOKUP($A297,DataDemande!$AA$63:$AE$700,5,FALSE)*VLOOKUP($A297,DataPrixBillets!$M$66:$Q$700,5,FALSE),"")</f>
        <v>0</v>
      </c>
      <c r="F297" s="21">
        <f t="shared" si="6"/>
        <v>0</v>
      </c>
    </row>
    <row r="298" spans="1:6" x14ac:dyDescent="0.3">
      <c r="A298" s="185" t="str">
        <f>DataDemande!AA357</f>
        <v/>
      </c>
      <c r="B298" s="8">
        <f>IFERROR(VLOOKUP($A298,DataDemande!$AA$63:$AE$700,2,FALSE)*VLOOKUP($A298,DataPrixBillets!$M$66:$Q$700,2,FALSE),"")</f>
        <v>0</v>
      </c>
      <c r="C298" s="8">
        <f>IFERROR(VLOOKUP($A298,DataDemande!$AA$63:$AE$700,3,FALSE)*VLOOKUP($A298,DataPrixBillets!$M$66:$Q$700,3,FALSE),"")</f>
        <v>0</v>
      </c>
      <c r="D298" s="8">
        <f>IFERROR(VLOOKUP($A298,DataDemande!$AA$63:$AE$700,4,FALSE)*VLOOKUP($A298,DataPrixBillets!$M$66:$Q$700,4,FALSE),"")</f>
        <v>0</v>
      </c>
      <c r="E298" s="8">
        <f>IFERROR(VLOOKUP($A298,DataDemande!$AA$63:$AE$700,5,FALSE)*VLOOKUP($A298,DataPrixBillets!$M$66:$Q$700,5,FALSE),"")</f>
        <v>0</v>
      </c>
      <c r="F298" s="21">
        <f t="shared" si="6"/>
        <v>0</v>
      </c>
    </row>
    <row r="299" spans="1:6" x14ac:dyDescent="0.3">
      <c r="A299" s="185" t="str">
        <f>DataDemande!AA358</f>
        <v/>
      </c>
      <c r="B299" s="8">
        <f>IFERROR(VLOOKUP($A299,DataDemande!$AA$63:$AE$700,2,FALSE)*VLOOKUP($A299,DataPrixBillets!$M$66:$Q$700,2,FALSE),"")</f>
        <v>0</v>
      </c>
      <c r="C299" s="8">
        <f>IFERROR(VLOOKUP($A299,DataDemande!$AA$63:$AE$700,3,FALSE)*VLOOKUP($A299,DataPrixBillets!$M$66:$Q$700,3,FALSE),"")</f>
        <v>0</v>
      </c>
      <c r="D299" s="8">
        <f>IFERROR(VLOOKUP($A299,DataDemande!$AA$63:$AE$700,4,FALSE)*VLOOKUP($A299,DataPrixBillets!$M$66:$Q$700,4,FALSE),"")</f>
        <v>0</v>
      </c>
      <c r="E299" s="8">
        <f>IFERROR(VLOOKUP($A299,DataDemande!$AA$63:$AE$700,5,FALSE)*VLOOKUP($A299,DataPrixBillets!$M$66:$Q$700,5,FALSE),"")</f>
        <v>0</v>
      </c>
      <c r="F299" s="21">
        <f t="shared" si="6"/>
        <v>0</v>
      </c>
    </row>
    <row r="300" spans="1:6" x14ac:dyDescent="0.3">
      <c r="A300" s="185" t="str">
        <f>DataDemande!AA359</f>
        <v/>
      </c>
      <c r="B300" s="8">
        <f>IFERROR(VLOOKUP($A300,DataDemande!$AA$63:$AE$700,2,FALSE)*VLOOKUP($A300,DataPrixBillets!$M$66:$Q$700,2,FALSE),"")</f>
        <v>0</v>
      </c>
      <c r="C300" s="8">
        <f>IFERROR(VLOOKUP($A300,DataDemande!$AA$63:$AE$700,3,FALSE)*VLOOKUP($A300,DataPrixBillets!$M$66:$Q$700,3,FALSE),"")</f>
        <v>0</v>
      </c>
      <c r="D300" s="8">
        <f>IFERROR(VLOOKUP($A300,DataDemande!$AA$63:$AE$700,4,FALSE)*VLOOKUP($A300,DataPrixBillets!$M$66:$Q$700,4,FALSE),"")</f>
        <v>0</v>
      </c>
      <c r="E300" s="8">
        <f>IFERROR(VLOOKUP($A300,DataDemande!$AA$63:$AE$700,5,FALSE)*VLOOKUP($A300,DataPrixBillets!$M$66:$Q$700,5,FALSE),"")</f>
        <v>0</v>
      </c>
      <c r="F300" s="21">
        <f t="shared" si="6"/>
        <v>0</v>
      </c>
    </row>
    <row r="301" spans="1:6" x14ac:dyDescent="0.3">
      <c r="A301" s="185" t="str">
        <f>DataDemande!AA360</f>
        <v/>
      </c>
      <c r="B301" s="8">
        <f>IFERROR(VLOOKUP($A301,DataDemande!$AA$63:$AE$700,2,FALSE)*VLOOKUP($A301,DataPrixBillets!$M$66:$Q$700,2,FALSE),"")</f>
        <v>0</v>
      </c>
      <c r="C301" s="8">
        <f>IFERROR(VLOOKUP($A301,DataDemande!$AA$63:$AE$700,3,FALSE)*VLOOKUP($A301,DataPrixBillets!$M$66:$Q$700,3,FALSE),"")</f>
        <v>0</v>
      </c>
      <c r="D301" s="8">
        <f>IFERROR(VLOOKUP($A301,DataDemande!$AA$63:$AE$700,4,FALSE)*VLOOKUP($A301,DataPrixBillets!$M$66:$Q$700,4,FALSE),"")</f>
        <v>0</v>
      </c>
      <c r="E301" s="8">
        <f>IFERROR(VLOOKUP($A301,DataDemande!$AA$63:$AE$700,5,FALSE)*VLOOKUP($A301,DataPrixBillets!$M$66:$Q$700,5,FALSE),"")</f>
        <v>0</v>
      </c>
      <c r="F301" s="21">
        <f t="shared" si="6"/>
        <v>0</v>
      </c>
    </row>
    <row r="302" spans="1:6" x14ac:dyDescent="0.3">
      <c r="A302" s="185" t="str">
        <f>DataDemande!AA361</f>
        <v/>
      </c>
      <c r="B302" s="8">
        <f>IFERROR(VLOOKUP($A302,DataDemande!$AA$63:$AE$700,2,FALSE)*VLOOKUP($A302,DataPrixBillets!$M$66:$Q$700,2,FALSE),"")</f>
        <v>0</v>
      </c>
      <c r="C302" s="8">
        <f>IFERROR(VLOOKUP($A302,DataDemande!$AA$63:$AE$700,3,FALSE)*VLOOKUP($A302,DataPrixBillets!$M$66:$Q$700,3,FALSE),"")</f>
        <v>0</v>
      </c>
      <c r="D302" s="8">
        <f>IFERROR(VLOOKUP($A302,DataDemande!$AA$63:$AE$700,4,FALSE)*VLOOKUP($A302,DataPrixBillets!$M$66:$Q$700,4,FALSE),"")</f>
        <v>0</v>
      </c>
      <c r="E302" s="8">
        <f>IFERROR(VLOOKUP($A302,DataDemande!$AA$63:$AE$700,5,FALSE)*VLOOKUP($A302,DataPrixBillets!$M$66:$Q$700,5,FALSE),"")</f>
        <v>0</v>
      </c>
      <c r="F302" s="21">
        <f t="shared" si="6"/>
        <v>0</v>
      </c>
    </row>
    <row r="303" spans="1:6" x14ac:dyDescent="0.3">
      <c r="A303" s="185" t="str">
        <f>DataDemande!AA362</f>
        <v/>
      </c>
      <c r="B303" s="8">
        <f>IFERROR(VLOOKUP($A303,DataDemande!$AA$63:$AE$700,2,FALSE)*VLOOKUP($A303,DataPrixBillets!$M$66:$Q$700,2,FALSE),"")</f>
        <v>0</v>
      </c>
      <c r="C303" s="8">
        <f>IFERROR(VLOOKUP($A303,DataDemande!$AA$63:$AE$700,3,FALSE)*VLOOKUP($A303,DataPrixBillets!$M$66:$Q$700,3,FALSE),"")</f>
        <v>0</v>
      </c>
      <c r="D303" s="8">
        <f>IFERROR(VLOOKUP($A303,DataDemande!$AA$63:$AE$700,4,FALSE)*VLOOKUP($A303,DataPrixBillets!$M$66:$Q$700,4,FALSE),"")</f>
        <v>0</v>
      </c>
      <c r="E303" s="8">
        <f>IFERROR(VLOOKUP($A303,DataDemande!$AA$63:$AE$700,5,FALSE)*VLOOKUP($A303,DataPrixBillets!$M$66:$Q$700,5,FALSE),"")</f>
        <v>0</v>
      </c>
      <c r="F303" s="21">
        <f t="shared" si="6"/>
        <v>0</v>
      </c>
    </row>
    <row r="304" spans="1:6" x14ac:dyDescent="0.3">
      <c r="A304" s="185" t="str">
        <f>DataDemande!AA363</f>
        <v/>
      </c>
      <c r="B304" s="8">
        <f>IFERROR(VLOOKUP($A304,DataDemande!$AA$63:$AE$700,2,FALSE)*VLOOKUP($A304,DataPrixBillets!$M$66:$Q$700,2,FALSE),"")</f>
        <v>0</v>
      </c>
      <c r="C304" s="8">
        <f>IFERROR(VLOOKUP($A304,DataDemande!$AA$63:$AE$700,3,FALSE)*VLOOKUP($A304,DataPrixBillets!$M$66:$Q$700,3,FALSE),"")</f>
        <v>0</v>
      </c>
      <c r="D304" s="8">
        <f>IFERROR(VLOOKUP($A304,DataDemande!$AA$63:$AE$700,4,FALSE)*VLOOKUP($A304,DataPrixBillets!$M$66:$Q$700,4,FALSE),"")</f>
        <v>0</v>
      </c>
      <c r="E304" s="8">
        <f>IFERROR(VLOOKUP($A304,DataDemande!$AA$63:$AE$700,5,FALSE)*VLOOKUP($A304,DataPrixBillets!$M$66:$Q$700,5,FALSE),"")</f>
        <v>0</v>
      </c>
      <c r="F304" s="21">
        <f t="shared" si="6"/>
        <v>0</v>
      </c>
    </row>
    <row r="305" spans="1:6" x14ac:dyDescent="0.3">
      <c r="A305" s="185" t="str">
        <f>DataDemande!AA364</f>
        <v/>
      </c>
      <c r="B305" s="8">
        <f>IFERROR(VLOOKUP($A305,DataDemande!$AA$63:$AE$700,2,FALSE)*VLOOKUP($A305,DataPrixBillets!$M$66:$Q$700,2,FALSE),"")</f>
        <v>0</v>
      </c>
      <c r="C305" s="8">
        <f>IFERROR(VLOOKUP($A305,DataDemande!$AA$63:$AE$700,3,FALSE)*VLOOKUP($A305,DataPrixBillets!$M$66:$Q$700,3,FALSE),"")</f>
        <v>0</v>
      </c>
      <c r="D305" s="8">
        <f>IFERROR(VLOOKUP($A305,DataDemande!$AA$63:$AE$700,4,FALSE)*VLOOKUP($A305,DataPrixBillets!$M$66:$Q$700,4,FALSE),"")</f>
        <v>0</v>
      </c>
      <c r="E305" s="8">
        <f>IFERROR(VLOOKUP($A305,DataDemande!$AA$63:$AE$700,5,FALSE)*VLOOKUP($A305,DataPrixBillets!$M$66:$Q$700,5,FALSE),"")</f>
        <v>0</v>
      </c>
      <c r="F305" s="21">
        <f t="shared" si="6"/>
        <v>0</v>
      </c>
    </row>
    <row r="306" spans="1:6" x14ac:dyDescent="0.3">
      <c r="A306" s="185" t="str">
        <f>DataDemande!AA365</f>
        <v/>
      </c>
      <c r="B306" s="8">
        <f>IFERROR(VLOOKUP($A306,DataDemande!$AA$63:$AE$700,2,FALSE)*VLOOKUP($A306,DataPrixBillets!$M$66:$Q$700,2,FALSE),"")</f>
        <v>0</v>
      </c>
      <c r="C306" s="8">
        <f>IFERROR(VLOOKUP($A306,DataDemande!$AA$63:$AE$700,3,FALSE)*VLOOKUP($A306,DataPrixBillets!$M$66:$Q$700,3,FALSE),"")</f>
        <v>0</v>
      </c>
      <c r="D306" s="8">
        <f>IFERROR(VLOOKUP($A306,DataDemande!$AA$63:$AE$700,4,FALSE)*VLOOKUP($A306,DataPrixBillets!$M$66:$Q$700,4,FALSE),"")</f>
        <v>0</v>
      </c>
      <c r="E306" s="8">
        <f>IFERROR(VLOOKUP($A306,DataDemande!$AA$63:$AE$700,5,FALSE)*VLOOKUP($A306,DataPrixBillets!$M$66:$Q$700,5,FALSE),"")</f>
        <v>0</v>
      </c>
      <c r="F306" s="21">
        <f t="shared" si="6"/>
        <v>0</v>
      </c>
    </row>
    <row r="307" spans="1:6" x14ac:dyDescent="0.3">
      <c r="A307" s="185" t="str">
        <f>DataDemande!AA366</f>
        <v/>
      </c>
      <c r="B307" s="8">
        <f>IFERROR(VLOOKUP($A307,DataDemande!$AA$63:$AE$700,2,FALSE)*VLOOKUP($A307,DataPrixBillets!$M$66:$Q$700,2,FALSE),"")</f>
        <v>0</v>
      </c>
      <c r="C307" s="8">
        <f>IFERROR(VLOOKUP($A307,DataDemande!$AA$63:$AE$700,3,FALSE)*VLOOKUP($A307,DataPrixBillets!$M$66:$Q$700,3,FALSE),"")</f>
        <v>0</v>
      </c>
      <c r="D307" s="8">
        <f>IFERROR(VLOOKUP($A307,DataDemande!$AA$63:$AE$700,4,FALSE)*VLOOKUP($A307,DataPrixBillets!$M$66:$Q$700,4,FALSE),"")</f>
        <v>0</v>
      </c>
      <c r="E307" s="8">
        <f>IFERROR(VLOOKUP($A307,DataDemande!$AA$63:$AE$700,5,FALSE)*VLOOKUP($A307,DataPrixBillets!$M$66:$Q$700,5,FALSE),"")</f>
        <v>0</v>
      </c>
      <c r="F307" s="21">
        <f t="shared" si="6"/>
        <v>0</v>
      </c>
    </row>
    <row r="308" spans="1:6" x14ac:dyDescent="0.3">
      <c r="A308" s="185" t="str">
        <f>DataDemande!AA367</f>
        <v/>
      </c>
      <c r="B308" s="8">
        <f>IFERROR(VLOOKUP($A308,DataDemande!$AA$63:$AE$700,2,FALSE)*VLOOKUP($A308,DataPrixBillets!$M$66:$Q$700,2,FALSE),"")</f>
        <v>0</v>
      </c>
      <c r="C308" s="8">
        <f>IFERROR(VLOOKUP($A308,DataDemande!$AA$63:$AE$700,3,FALSE)*VLOOKUP($A308,DataPrixBillets!$M$66:$Q$700,3,FALSE),"")</f>
        <v>0</v>
      </c>
      <c r="D308" s="8">
        <f>IFERROR(VLOOKUP($A308,DataDemande!$AA$63:$AE$700,4,FALSE)*VLOOKUP($A308,DataPrixBillets!$M$66:$Q$700,4,FALSE),"")</f>
        <v>0</v>
      </c>
      <c r="E308" s="8">
        <f>IFERROR(VLOOKUP($A308,DataDemande!$AA$63:$AE$700,5,FALSE)*VLOOKUP($A308,DataPrixBillets!$M$66:$Q$700,5,FALSE),"")</f>
        <v>0</v>
      </c>
      <c r="F308" s="21">
        <f t="shared" si="6"/>
        <v>0</v>
      </c>
    </row>
    <row r="309" spans="1:6" x14ac:dyDescent="0.3">
      <c r="A309" s="185" t="str">
        <f>DataDemande!AA368</f>
        <v/>
      </c>
      <c r="B309" s="8">
        <f>IFERROR(VLOOKUP($A309,DataDemande!$AA$63:$AE$700,2,FALSE)*VLOOKUP($A309,DataPrixBillets!$M$66:$Q$700,2,FALSE),"")</f>
        <v>0</v>
      </c>
      <c r="C309" s="8">
        <f>IFERROR(VLOOKUP($A309,DataDemande!$AA$63:$AE$700,3,FALSE)*VLOOKUP($A309,DataPrixBillets!$M$66:$Q$700,3,FALSE),"")</f>
        <v>0</v>
      </c>
      <c r="D309" s="8">
        <f>IFERROR(VLOOKUP($A309,DataDemande!$AA$63:$AE$700,4,FALSE)*VLOOKUP($A309,DataPrixBillets!$M$66:$Q$700,4,FALSE),"")</f>
        <v>0</v>
      </c>
      <c r="E309" s="8">
        <f>IFERROR(VLOOKUP($A309,DataDemande!$AA$63:$AE$700,5,FALSE)*VLOOKUP($A309,DataPrixBillets!$M$66:$Q$700,5,FALSE),"")</f>
        <v>0</v>
      </c>
      <c r="F309" s="21">
        <f t="shared" si="6"/>
        <v>0</v>
      </c>
    </row>
    <row r="310" spans="1:6" x14ac:dyDescent="0.3">
      <c r="A310" s="185" t="str">
        <f>DataDemande!AA369</f>
        <v/>
      </c>
      <c r="B310" s="8">
        <f>IFERROR(VLOOKUP($A310,DataDemande!$AA$63:$AE$700,2,FALSE)*VLOOKUP($A310,DataPrixBillets!$M$66:$Q$700,2,FALSE),"")</f>
        <v>0</v>
      </c>
      <c r="C310" s="8">
        <f>IFERROR(VLOOKUP($A310,DataDemande!$AA$63:$AE$700,3,FALSE)*VLOOKUP($A310,DataPrixBillets!$M$66:$Q$700,3,FALSE),"")</f>
        <v>0</v>
      </c>
      <c r="D310" s="8">
        <f>IFERROR(VLOOKUP($A310,DataDemande!$AA$63:$AE$700,4,FALSE)*VLOOKUP($A310,DataPrixBillets!$M$66:$Q$700,4,FALSE),"")</f>
        <v>0</v>
      </c>
      <c r="E310" s="8">
        <f>IFERROR(VLOOKUP($A310,DataDemande!$AA$63:$AE$700,5,FALSE)*VLOOKUP($A310,DataPrixBillets!$M$66:$Q$700,5,FALSE),"")</f>
        <v>0</v>
      </c>
      <c r="F310" s="21">
        <f t="shared" si="6"/>
        <v>0</v>
      </c>
    </row>
    <row r="311" spans="1:6" x14ac:dyDescent="0.3">
      <c r="A311" s="185" t="str">
        <f>DataDemande!AA370</f>
        <v/>
      </c>
      <c r="B311" s="8">
        <f>IFERROR(VLOOKUP($A311,DataDemande!$AA$63:$AE$700,2,FALSE)*VLOOKUP($A311,DataPrixBillets!$M$66:$Q$700,2,FALSE),"")</f>
        <v>0</v>
      </c>
      <c r="C311" s="8">
        <f>IFERROR(VLOOKUP($A311,DataDemande!$AA$63:$AE$700,3,FALSE)*VLOOKUP($A311,DataPrixBillets!$M$66:$Q$700,3,FALSE),"")</f>
        <v>0</v>
      </c>
      <c r="D311" s="8">
        <f>IFERROR(VLOOKUP($A311,DataDemande!$AA$63:$AE$700,4,FALSE)*VLOOKUP($A311,DataPrixBillets!$M$66:$Q$700,4,FALSE),"")</f>
        <v>0</v>
      </c>
      <c r="E311" s="8">
        <f>IFERROR(VLOOKUP($A311,DataDemande!$AA$63:$AE$700,5,FALSE)*VLOOKUP($A311,DataPrixBillets!$M$66:$Q$700,5,FALSE),"")</f>
        <v>0</v>
      </c>
      <c r="F311" s="21">
        <f t="shared" si="6"/>
        <v>0</v>
      </c>
    </row>
    <row r="312" spans="1:6" x14ac:dyDescent="0.3">
      <c r="A312" s="185" t="str">
        <f>DataDemande!AA371</f>
        <v/>
      </c>
      <c r="B312" s="8">
        <f>IFERROR(VLOOKUP($A312,DataDemande!$AA$63:$AE$700,2,FALSE)*VLOOKUP($A312,DataPrixBillets!$M$66:$Q$700,2,FALSE),"")</f>
        <v>0</v>
      </c>
      <c r="C312" s="8">
        <f>IFERROR(VLOOKUP($A312,DataDemande!$AA$63:$AE$700,3,FALSE)*VLOOKUP($A312,DataPrixBillets!$M$66:$Q$700,3,FALSE),"")</f>
        <v>0</v>
      </c>
      <c r="D312" s="8">
        <f>IFERROR(VLOOKUP($A312,DataDemande!$AA$63:$AE$700,4,FALSE)*VLOOKUP($A312,DataPrixBillets!$M$66:$Q$700,4,FALSE),"")</f>
        <v>0</v>
      </c>
      <c r="E312" s="8">
        <f>IFERROR(VLOOKUP($A312,DataDemande!$AA$63:$AE$700,5,FALSE)*VLOOKUP($A312,DataPrixBillets!$M$66:$Q$700,5,FALSE),"")</f>
        <v>0</v>
      </c>
      <c r="F312" s="21">
        <f t="shared" si="6"/>
        <v>0</v>
      </c>
    </row>
    <row r="313" spans="1:6" x14ac:dyDescent="0.3">
      <c r="A313" s="185" t="str">
        <f>DataDemande!AA372</f>
        <v/>
      </c>
      <c r="B313" s="8">
        <f>IFERROR(VLOOKUP($A313,DataDemande!$AA$63:$AE$700,2,FALSE)*VLOOKUP($A313,DataPrixBillets!$M$66:$Q$700,2,FALSE),"")</f>
        <v>0</v>
      </c>
      <c r="C313" s="8">
        <f>IFERROR(VLOOKUP($A313,DataDemande!$AA$63:$AE$700,3,FALSE)*VLOOKUP($A313,DataPrixBillets!$M$66:$Q$700,3,FALSE),"")</f>
        <v>0</v>
      </c>
      <c r="D313" s="8">
        <f>IFERROR(VLOOKUP($A313,DataDemande!$AA$63:$AE$700,4,FALSE)*VLOOKUP($A313,DataPrixBillets!$M$66:$Q$700,4,FALSE),"")</f>
        <v>0</v>
      </c>
      <c r="E313" s="8">
        <f>IFERROR(VLOOKUP($A313,DataDemande!$AA$63:$AE$700,5,FALSE)*VLOOKUP($A313,DataPrixBillets!$M$66:$Q$700,5,FALSE),"")</f>
        <v>0</v>
      </c>
      <c r="F313" s="21">
        <f t="shared" si="6"/>
        <v>0</v>
      </c>
    </row>
    <row r="314" spans="1:6" x14ac:dyDescent="0.3">
      <c r="A314" s="185" t="str">
        <f>DataDemande!AA373</f>
        <v/>
      </c>
      <c r="B314" s="8">
        <f>IFERROR(VLOOKUP($A314,DataDemande!$AA$63:$AE$700,2,FALSE)*VLOOKUP($A314,DataPrixBillets!$M$66:$Q$700,2,FALSE),"")</f>
        <v>0</v>
      </c>
      <c r="C314" s="8">
        <f>IFERROR(VLOOKUP($A314,DataDemande!$AA$63:$AE$700,3,FALSE)*VLOOKUP($A314,DataPrixBillets!$M$66:$Q$700,3,FALSE),"")</f>
        <v>0</v>
      </c>
      <c r="D314" s="8">
        <f>IFERROR(VLOOKUP($A314,DataDemande!$AA$63:$AE$700,4,FALSE)*VLOOKUP($A314,DataPrixBillets!$M$66:$Q$700,4,FALSE),"")</f>
        <v>0</v>
      </c>
      <c r="E314" s="8">
        <f>IFERROR(VLOOKUP($A314,DataDemande!$AA$63:$AE$700,5,FALSE)*VLOOKUP($A314,DataPrixBillets!$M$66:$Q$700,5,FALSE),"")</f>
        <v>0</v>
      </c>
      <c r="F314" s="21">
        <f t="shared" si="6"/>
        <v>0</v>
      </c>
    </row>
    <row r="315" spans="1:6" x14ac:dyDescent="0.3">
      <c r="A315" s="185" t="str">
        <f>DataDemande!AA374</f>
        <v/>
      </c>
      <c r="B315" s="8">
        <f>IFERROR(VLOOKUP($A315,DataDemande!$AA$63:$AE$700,2,FALSE)*VLOOKUP($A315,DataPrixBillets!$M$66:$Q$700,2,FALSE),"")</f>
        <v>0</v>
      </c>
      <c r="C315" s="8">
        <f>IFERROR(VLOOKUP($A315,DataDemande!$AA$63:$AE$700,3,FALSE)*VLOOKUP($A315,DataPrixBillets!$M$66:$Q$700,3,FALSE),"")</f>
        <v>0</v>
      </c>
      <c r="D315" s="8">
        <f>IFERROR(VLOOKUP($A315,DataDemande!$AA$63:$AE$700,4,FALSE)*VLOOKUP($A315,DataPrixBillets!$M$66:$Q$700,4,FALSE),"")</f>
        <v>0</v>
      </c>
      <c r="E315" s="8">
        <f>IFERROR(VLOOKUP($A315,DataDemande!$AA$63:$AE$700,5,FALSE)*VLOOKUP($A315,DataPrixBillets!$M$66:$Q$700,5,FALSE),"")</f>
        <v>0</v>
      </c>
      <c r="F315" s="21">
        <f t="shared" si="6"/>
        <v>0</v>
      </c>
    </row>
    <row r="316" spans="1:6" x14ac:dyDescent="0.3">
      <c r="A316" s="185" t="str">
        <f>DataDemande!AA375</f>
        <v/>
      </c>
      <c r="B316" s="8">
        <f>IFERROR(VLOOKUP($A316,DataDemande!$AA$63:$AE$700,2,FALSE)*VLOOKUP($A316,DataPrixBillets!$M$66:$Q$700,2,FALSE),"")</f>
        <v>0</v>
      </c>
      <c r="C316" s="8">
        <f>IFERROR(VLOOKUP($A316,DataDemande!$AA$63:$AE$700,3,FALSE)*VLOOKUP($A316,DataPrixBillets!$M$66:$Q$700,3,FALSE),"")</f>
        <v>0</v>
      </c>
      <c r="D316" s="8">
        <f>IFERROR(VLOOKUP($A316,DataDemande!$AA$63:$AE$700,4,FALSE)*VLOOKUP($A316,DataPrixBillets!$M$66:$Q$700,4,FALSE),"")</f>
        <v>0</v>
      </c>
      <c r="E316" s="8">
        <f>IFERROR(VLOOKUP($A316,DataDemande!$AA$63:$AE$700,5,FALSE)*VLOOKUP($A316,DataPrixBillets!$M$66:$Q$700,5,FALSE),"")</f>
        <v>0</v>
      </c>
      <c r="F316" s="21">
        <f t="shared" si="6"/>
        <v>0</v>
      </c>
    </row>
    <row r="317" spans="1:6" x14ac:dyDescent="0.3">
      <c r="A317" s="185" t="str">
        <f>DataDemande!AA376</f>
        <v/>
      </c>
      <c r="B317" s="8">
        <f>IFERROR(VLOOKUP($A317,DataDemande!$AA$63:$AE$700,2,FALSE)*VLOOKUP($A317,DataPrixBillets!$M$66:$Q$700,2,FALSE),"")</f>
        <v>0</v>
      </c>
      <c r="C317" s="8">
        <f>IFERROR(VLOOKUP($A317,DataDemande!$AA$63:$AE$700,3,FALSE)*VLOOKUP($A317,DataPrixBillets!$M$66:$Q$700,3,FALSE),"")</f>
        <v>0</v>
      </c>
      <c r="D317" s="8">
        <f>IFERROR(VLOOKUP($A317,DataDemande!$AA$63:$AE$700,4,FALSE)*VLOOKUP($A317,DataPrixBillets!$M$66:$Q$700,4,FALSE),"")</f>
        <v>0</v>
      </c>
      <c r="E317" s="8">
        <f>IFERROR(VLOOKUP($A317,DataDemande!$AA$63:$AE$700,5,FALSE)*VLOOKUP($A317,DataPrixBillets!$M$66:$Q$700,5,FALSE),"")</f>
        <v>0</v>
      </c>
      <c r="F317" s="21">
        <f t="shared" si="6"/>
        <v>0</v>
      </c>
    </row>
    <row r="318" spans="1:6" x14ac:dyDescent="0.3">
      <c r="A318" s="185" t="str">
        <f>DataDemande!AA377</f>
        <v/>
      </c>
      <c r="B318" s="8">
        <f>IFERROR(VLOOKUP($A318,DataDemande!$AA$63:$AE$700,2,FALSE)*VLOOKUP($A318,DataPrixBillets!$M$66:$Q$700,2,FALSE),"")</f>
        <v>0</v>
      </c>
      <c r="C318" s="8">
        <f>IFERROR(VLOOKUP($A318,DataDemande!$AA$63:$AE$700,3,FALSE)*VLOOKUP($A318,DataPrixBillets!$M$66:$Q$700,3,FALSE),"")</f>
        <v>0</v>
      </c>
      <c r="D318" s="8">
        <f>IFERROR(VLOOKUP($A318,DataDemande!$AA$63:$AE$700,4,FALSE)*VLOOKUP($A318,DataPrixBillets!$M$66:$Q$700,4,FALSE),"")</f>
        <v>0</v>
      </c>
      <c r="E318" s="8">
        <f>IFERROR(VLOOKUP($A318,DataDemande!$AA$63:$AE$700,5,FALSE)*VLOOKUP($A318,DataPrixBillets!$M$66:$Q$700,5,FALSE),"")</f>
        <v>0</v>
      </c>
      <c r="F318" s="21">
        <f t="shared" si="6"/>
        <v>0</v>
      </c>
    </row>
    <row r="319" spans="1:6" x14ac:dyDescent="0.3">
      <c r="A319" s="185" t="str">
        <f>DataDemande!AA378</f>
        <v/>
      </c>
      <c r="B319" s="8">
        <f>IFERROR(VLOOKUP($A319,DataDemande!$AA$63:$AE$700,2,FALSE)*VLOOKUP($A319,DataPrixBillets!$M$66:$Q$700,2,FALSE),"")</f>
        <v>0</v>
      </c>
      <c r="C319" s="8">
        <f>IFERROR(VLOOKUP($A319,DataDemande!$AA$63:$AE$700,3,FALSE)*VLOOKUP($A319,DataPrixBillets!$M$66:$Q$700,3,FALSE),"")</f>
        <v>0</v>
      </c>
      <c r="D319" s="8">
        <f>IFERROR(VLOOKUP($A319,DataDemande!$AA$63:$AE$700,4,FALSE)*VLOOKUP($A319,DataPrixBillets!$M$66:$Q$700,4,FALSE),"")</f>
        <v>0</v>
      </c>
      <c r="E319" s="8">
        <f>IFERROR(VLOOKUP($A319,DataDemande!$AA$63:$AE$700,5,FALSE)*VLOOKUP($A319,DataPrixBillets!$M$66:$Q$700,5,FALSE),"")</f>
        <v>0</v>
      </c>
      <c r="F319" s="21">
        <f t="shared" si="6"/>
        <v>0</v>
      </c>
    </row>
    <row r="320" spans="1:6" x14ac:dyDescent="0.3">
      <c r="A320" s="185" t="str">
        <f>DataDemande!AA379</f>
        <v/>
      </c>
      <c r="B320" s="8">
        <f>IFERROR(VLOOKUP($A320,DataDemande!$AA$63:$AE$700,2,FALSE)*VLOOKUP($A320,DataPrixBillets!$M$66:$Q$700,2,FALSE),"")</f>
        <v>0</v>
      </c>
      <c r="C320" s="8">
        <f>IFERROR(VLOOKUP($A320,DataDemande!$AA$63:$AE$700,3,FALSE)*VLOOKUP($A320,DataPrixBillets!$M$66:$Q$700,3,FALSE),"")</f>
        <v>0</v>
      </c>
      <c r="D320" s="8">
        <f>IFERROR(VLOOKUP($A320,DataDemande!$AA$63:$AE$700,4,FALSE)*VLOOKUP($A320,DataPrixBillets!$M$66:$Q$700,4,FALSE),"")</f>
        <v>0</v>
      </c>
      <c r="E320" s="8">
        <f>IFERROR(VLOOKUP($A320,DataDemande!$AA$63:$AE$700,5,FALSE)*VLOOKUP($A320,DataPrixBillets!$M$66:$Q$700,5,FALSE),"")</f>
        <v>0</v>
      </c>
      <c r="F320" s="21">
        <f t="shared" si="6"/>
        <v>0</v>
      </c>
    </row>
    <row r="321" spans="1:6" x14ac:dyDescent="0.3">
      <c r="A321" s="185" t="str">
        <f>DataDemande!AA380</f>
        <v/>
      </c>
      <c r="B321" s="8">
        <f>IFERROR(VLOOKUP($A321,DataDemande!$AA$63:$AE$700,2,FALSE)*VLOOKUP($A321,DataPrixBillets!$M$66:$Q$700,2,FALSE),"")</f>
        <v>0</v>
      </c>
      <c r="C321" s="8">
        <f>IFERROR(VLOOKUP($A321,DataDemande!$AA$63:$AE$700,3,FALSE)*VLOOKUP($A321,DataPrixBillets!$M$66:$Q$700,3,FALSE),"")</f>
        <v>0</v>
      </c>
      <c r="D321" s="8">
        <f>IFERROR(VLOOKUP($A321,DataDemande!$AA$63:$AE$700,4,FALSE)*VLOOKUP($A321,DataPrixBillets!$M$66:$Q$700,4,FALSE),"")</f>
        <v>0</v>
      </c>
      <c r="E321" s="8">
        <f>IFERROR(VLOOKUP($A321,DataDemande!$AA$63:$AE$700,5,FALSE)*VLOOKUP($A321,DataPrixBillets!$M$66:$Q$700,5,FALSE),"")</f>
        <v>0</v>
      </c>
      <c r="F321" s="21">
        <f t="shared" si="6"/>
        <v>0</v>
      </c>
    </row>
    <row r="322" spans="1:6" x14ac:dyDescent="0.3">
      <c r="A322" s="185" t="str">
        <f>DataDemande!AA381</f>
        <v/>
      </c>
      <c r="B322" s="8">
        <f>IFERROR(VLOOKUP($A322,DataDemande!$AA$63:$AE$700,2,FALSE)*VLOOKUP($A322,DataPrixBillets!$M$66:$Q$700,2,FALSE),"")</f>
        <v>0</v>
      </c>
      <c r="C322" s="8">
        <f>IFERROR(VLOOKUP($A322,DataDemande!$AA$63:$AE$700,3,FALSE)*VLOOKUP($A322,DataPrixBillets!$M$66:$Q$700,3,FALSE),"")</f>
        <v>0</v>
      </c>
      <c r="D322" s="8">
        <f>IFERROR(VLOOKUP($A322,DataDemande!$AA$63:$AE$700,4,FALSE)*VLOOKUP($A322,DataPrixBillets!$M$66:$Q$700,4,FALSE),"")</f>
        <v>0</v>
      </c>
      <c r="E322" s="8">
        <f>IFERROR(VLOOKUP($A322,DataDemande!$AA$63:$AE$700,5,FALSE)*VLOOKUP($A322,DataPrixBillets!$M$66:$Q$700,5,FALSE),"")</f>
        <v>0</v>
      </c>
      <c r="F322" s="21">
        <f t="shared" si="6"/>
        <v>0</v>
      </c>
    </row>
    <row r="323" spans="1:6" x14ac:dyDescent="0.3">
      <c r="A323" s="185" t="str">
        <f>DataDemande!AA382</f>
        <v/>
      </c>
      <c r="B323" s="8">
        <f>IFERROR(VLOOKUP($A323,DataDemande!$AA$63:$AE$700,2,FALSE)*VLOOKUP($A323,DataPrixBillets!$M$66:$Q$700,2,FALSE),"")</f>
        <v>0</v>
      </c>
      <c r="C323" s="8">
        <f>IFERROR(VLOOKUP($A323,DataDemande!$AA$63:$AE$700,3,FALSE)*VLOOKUP($A323,DataPrixBillets!$M$66:$Q$700,3,FALSE),"")</f>
        <v>0</v>
      </c>
      <c r="D323" s="8">
        <f>IFERROR(VLOOKUP($A323,DataDemande!$AA$63:$AE$700,4,FALSE)*VLOOKUP($A323,DataPrixBillets!$M$66:$Q$700,4,FALSE),"")</f>
        <v>0</v>
      </c>
      <c r="E323" s="8">
        <f>IFERROR(VLOOKUP($A323,DataDemande!$AA$63:$AE$700,5,FALSE)*VLOOKUP($A323,DataPrixBillets!$M$66:$Q$700,5,FALSE),"")</f>
        <v>0</v>
      </c>
      <c r="F323" s="21">
        <f t="shared" si="6"/>
        <v>0</v>
      </c>
    </row>
    <row r="324" spans="1:6" x14ac:dyDescent="0.3">
      <c r="A324" s="185" t="str">
        <f>DataDemande!AA383</f>
        <v/>
      </c>
      <c r="B324" s="8">
        <f>IFERROR(VLOOKUP($A324,DataDemande!$AA$63:$AE$700,2,FALSE)*VLOOKUP($A324,DataPrixBillets!$M$66:$Q$700,2,FALSE),"")</f>
        <v>0</v>
      </c>
      <c r="C324" s="8">
        <f>IFERROR(VLOOKUP($A324,DataDemande!$AA$63:$AE$700,3,FALSE)*VLOOKUP($A324,DataPrixBillets!$M$66:$Q$700,3,FALSE),"")</f>
        <v>0</v>
      </c>
      <c r="D324" s="8">
        <f>IFERROR(VLOOKUP($A324,DataDemande!$AA$63:$AE$700,4,FALSE)*VLOOKUP($A324,DataPrixBillets!$M$66:$Q$700,4,FALSE),"")</f>
        <v>0</v>
      </c>
      <c r="E324" s="8">
        <f>IFERROR(VLOOKUP($A324,DataDemande!$AA$63:$AE$700,5,FALSE)*VLOOKUP($A324,DataPrixBillets!$M$66:$Q$700,5,FALSE),"")</f>
        <v>0</v>
      </c>
      <c r="F324" s="21">
        <f t="shared" si="6"/>
        <v>0</v>
      </c>
    </row>
    <row r="325" spans="1:6" x14ac:dyDescent="0.3">
      <c r="A325" s="185" t="str">
        <f>DataDemande!AA384</f>
        <v/>
      </c>
      <c r="B325" s="8">
        <f>IFERROR(VLOOKUP($A325,DataDemande!$AA$63:$AE$700,2,FALSE)*VLOOKUP($A325,DataPrixBillets!$M$66:$Q$700,2,FALSE),"")</f>
        <v>0</v>
      </c>
      <c r="C325" s="8">
        <f>IFERROR(VLOOKUP($A325,DataDemande!$AA$63:$AE$700,3,FALSE)*VLOOKUP($A325,DataPrixBillets!$M$66:$Q$700,3,FALSE),"")</f>
        <v>0</v>
      </c>
      <c r="D325" s="8">
        <f>IFERROR(VLOOKUP($A325,DataDemande!$AA$63:$AE$700,4,FALSE)*VLOOKUP($A325,DataPrixBillets!$M$66:$Q$700,4,FALSE),"")</f>
        <v>0</v>
      </c>
      <c r="E325" s="8">
        <f>IFERROR(VLOOKUP($A325,DataDemande!$AA$63:$AE$700,5,FALSE)*VLOOKUP($A325,DataPrixBillets!$M$66:$Q$700,5,FALSE),"")</f>
        <v>0</v>
      </c>
      <c r="F325" s="21">
        <f t="shared" ref="F325:F388" si="7">SUM(B325:E325)</f>
        <v>0</v>
      </c>
    </row>
    <row r="326" spans="1:6" x14ac:dyDescent="0.3">
      <c r="A326" s="185" t="str">
        <f>DataDemande!AA385</f>
        <v/>
      </c>
      <c r="B326" s="8">
        <f>IFERROR(VLOOKUP($A326,DataDemande!$AA$63:$AE$700,2,FALSE)*VLOOKUP($A326,DataPrixBillets!$M$66:$Q$700,2,FALSE),"")</f>
        <v>0</v>
      </c>
      <c r="C326" s="8">
        <f>IFERROR(VLOOKUP($A326,DataDemande!$AA$63:$AE$700,3,FALSE)*VLOOKUP($A326,DataPrixBillets!$M$66:$Q$700,3,FALSE),"")</f>
        <v>0</v>
      </c>
      <c r="D326" s="8">
        <f>IFERROR(VLOOKUP($A326,DataDemande!$AA$63:$AE$700,4,FALSE)*VLOOKUP($A326,DataPrixBillets!$M$66:$Q$700,4,FALSE),"")</f>
        <v>0</v>
      </c>
      <c r="E326" s="8">
        <f>IFERROR(VLOOKUP($A326,DataDemande!$AA$63:$AE$700,5,FALSE)*VLOOKUP($A326,DataPrixBillets!$M$66:$Q$700,5,FALSE),"")</f>
        <v>0</v>
      </c>
      <c r="F326" s="21">
        <f t="shared" si="7"/>
        <v>0</v>
      </c>
    </row>
    <row r="327" spans="1:6" x14ac:dyDescent="0.3">
      <c r="A327" s="185" t="str">
        <f>DataDemande!AA386</f>
        <v/>
      </c>
      <c r="B327" s="8">
        <f>IFERROR(VLOOKUP($A327,DataDemande!$AA$63:$AE$700,2,FALSE)*VLOOKUP($A327,DataPrixBillets!$M$66:$Q$700,2,FALSE),"")</f>
        <v>0</v>
      </c>
      <c r="C327" s="8">
        <f>IFERROR(VLOOKUP($A327,DataDemande!$AA$63:$AE$700,3,FALSE)*VLOOKUP($A327,DataPrixBillets!$M$66:$Q$700,3,FALSE),"")</f>
        <v>0</v>
      </c>
      <c r="D327" s="8">
        <f>IFERROR(VLOOKUP($A327,DataDemande!$AA$63:$AE$700,4,FALSE)*VLOOKUP($A327,DataPrixBillets!$M$66:$Q$700,4,FALSE),"")</f>
        <v>0</v>
      </c>
      <c r="E327" s="8">
        <f>IFERROR(VLOOKUP($A327,DataDemande!$AA$63:$AE$700,5,FALSE)*VLOOKUP($A327,DataPrixBillets!$M$66:$Q$700,5,FALSE),"")</f>
        <v>0</v>
      </c>
      <c r="F327" s="21">
        <f t="shared" si="7"/>
        <v>0</v>
      </c>
    </row>
    <row r="328" spans="1:6" x14ac:dyDescent="0.3">
      <c r="A328" s="185" t="str">
        <f>DataDemande!AA387</f>
        <v/>
      </c>
      <c r="B328" s="8">
        <f>IFERROR(VLOOKUP($A328,DataDemande!$AA$63:$AE$700,2,FALSE)*VLOOKUP($A328,DataPrixBillets!$M$66:$Q$700,2,FALSE),"")</f>
        <v>0</v>
      </c>
      <c r="C328" s="8">
        <f>IFERROR(VLOOKUP($A328,DataDemande!$AA$63:$AE$700,3,FALSE)*VLOOKUP($A328,DataPrixBillets!$M$66:$Q$700,3,FALSE),"")</f>
        <v>0</v>
      </c>
      <c r="D328" s="8">
        <f>IFERROR(VLOOKUP($A328,DataDemande!$AA$63:$AE$700,4,FALSE)*VLOOKUP($A328,DataPrixBillets!$M$66:$Q$700,4,FALSE),"")</f>
        <v>0</v>
      </c>
      <c r="E328" s="8">
        <f>IFERROR(VLOOKUP($A328,DataDemande!$AA$63:$AE$700,5,FALSE)*VLOOKUP($A328,DataPrixBillets!$M$66:$Q$700,5,FALSE),"")</f>
        <v>0</v>
      </c>
      <c r="F328" s="21">
        <f t="shared" si="7"/>
        <v>0</v>
      </c>
    </row>
    <row r="329" spans="1:6" x14ac:dyDescent="0.3">
      <c r="A329" s="185" t="str">
        <f>DataDemande!AA388</f>
        <v/>
      </c>
      <c r="B329" s="8">
        <f>IFERROR(VLOOKUP($A329,DataDemande!$AA$63:$AE$700,2,FALSE)*VLOOKUP($A329,DataPrixBillets!$M$66:$Q$700,2,FALSE),"")</f>
        <v>0</v>
      </c>
      <c r="C329" s="8">
        <f>IFERROR(VLOOKUP($A329,DataDemande!$AA$63:$AE$700,3,FALSE)*VLOOKUP($A329,DataPrixBillets!$M$66:$Q$700,3,FALSE),"")</f>
        <v>0</v>
      </c>
      <c r="D329" s="8">
        <f>IFERROR(VLOOKUP($A329,DataDemande!$AA$63:$AE$700,4,FALSE)*VLOOKUP($A329,DataPrixBillets!$M$66:$Q$700,4,FALSE),"")</f>
        <v>0</v>
      </c>
      <c r="E329" s="8">
        <f>IFERROR(VLOOKUP($A329,DataDemande!$AA$63:$AE$700,5,FALSE)*VLOOKUP($A329,DataPrixBillets!$M$66:$Q$700,5,FALSE),"")</f>
        <v>0</v>
      </c>
      <c r="F329" s="21">
        <f t="shared" si="7"/>
        <v>0</v>
      </c>
    </row>
    <row r="330" spans="1:6" x14ac:dyDescent="0.3">
      <c r="A330" s="185" t="str">
        <f>DataDemande!AA389</f>
        <v/>
      </c>
      <c r="B330" s="8">
        <f>IFERROR(VLOOKUP($A330,DataDemande!$AA$63:$AE$700,2,FALSE)*VLOOKUP($A330,DataPrixBillets!$M$66:$Q$700,2,FALSE),"")</f>
        <v>0</v>
      </c>
      <c r="C330" s="8">
        <f>IFERROR(VLOOKUP($A330,DataDemande!$AA$63:$AE$700,3,FALSE)*VLOOKUP($A330,DataPrixBillets!$M$66:$Q$700,3,FALSE),"")</f>
        <v>0</v>
      </c>
      <c r="D330" s="8">
        <f>IFERROR(VLOOKUP($A330,DataDemande!$AA$63:$AE$700,4,FALSE)*VLOOKUP($A330,DataPrixBillets!$M$66:$Q$700,4,FALSE),"")</f>
        <v>0</v>
      </c>
      <c r="E330" s="8">
        <f>IFERROR(VLOOKUP($A330,DataDemande!$AA$63:$AE$700,5,FALSE)*VLOOKUP($A330,DataPrixBillets!$M$66:$Q$700,5,FALSE),"")</f>
        <v>0</v>
      </c>
      <c r="F330" s="21">
        <f t="shared" si="7"/>
        <v>0</v>
      </c>
    </row>
    <row r="331" spans="1:6" x14ac:dyDescent="0.3">
      <c r="A331" s="185" t="str">
        <f>DataDemande!AA390</f>
        <v/>
      </c>
      <c r="B331" s="8">
        <f>IFERROR(VLOOKUP($A331,DataDemande!$AA$63:$AE$700,2,FALSE)*VLOOKUP($A331,DataPrixBillets!$M$66:$Q$700,2,FALSE),"")</f>
        <v>0</v>
      </c>
      <c r="C331" s="8">
        <f>IFERROR(VLOOKUP($A331,DataDemande!$AA$63:$AE$700,3,FALSE)*VLOOKUP($A331,DataPrixBillets!$M$66:$Q$700,3,FALSE),"")</f>
        <v>0</v>
      </c>
      <c r="D331" s="8">
        <f>IFERROR(VLOOKUP($A331,DataDemande!$AA$63:$AE$700,4,FALSE)*VLOOKUP($A331,DataPrixBillets!$M$66:$Q$700,4,FALSE),"")</f>
        <v>0</v>
      </c>
      <c r="E331" s="8">
        <f>IFERROR(VLOOKUP($A331,DataDemande!$AA$63:$AE$700,5,FALSE)*VLOOKUP($A331,DataPrixBillets!$M$66:$Q$700,5,FALSE),"")</f>
        <v>0</v>
      </c>
      <c r="F331" s="21">
        <f t="shared" si="7"/>
        <v>0</v>
      </c>
    </row>
    <row r="332" spans="1:6" x14ac:dyDescent="0.3">
      <c r="A332" s="185" t="str">
        <f>DataDemande!AA391</f>
        <v/>
      </c>
      <c r="B332" s="8">
        <f>IFERROR(VLOOKUP($A332,DataDemande!$AA$63:$AE$700,2,FALSE)*VLOOKUP($A332,DataPrixBillets!$M$66:$Q$700,2,FALSE),"")</f>
        <v>0</v>
      </c>
      <c r="C332" s="8">
        <f>IFERROR(VLOOKUP($A332,DataDemande!$AA$63:$AE$700,3,FALSE)*VLOOKUP($A332,DataPrixBillets!$M$66:$Q$700,3,FALSE),"")</f>
        <v>0</v>
      </c>
      <c r="D332" s="8">
        <f>IFERROR(VLOOKUP($A332,DataDemande!$AA$63:$AE$700,4,FALSE)*VLOOKUP($A332,DataPrixBillets!$M$66:$Q$700,4,FALSE),"")</f>
        <v>0</v>
      </c>
      <c r="E332" s="8">
        <f>IFERROR(VLOOKUP($A332,DataDemande!$AA$63:$AE$700,5,FALSE)*VLOOKUP($A332,DataPrixBillets!$M$66:$Q$700,5,FALSE),"")</f>
        <v>0</v>
      </c>
      <c r="F332" s="21">
        <f t="shared" si="7"/>
        <v>0</v>
      </c>
    </row>
    <row r="333" spans="1:6" x14ac:dyDescent="0.3">
      <c r="A333" s="185" t="str">
        <f>DataDemande!AA392</f>
        <v/>
      </c>
      <c r="B333" s="8">
        <f>IFERROR(VLOOKUP($A333,DataDemande!$AA$63:$AE$700,2,FALSE)*VLOOKUP($A333,DataPrixBillets!$M$66:$Q$700,2,FALSE),"")</f>
        <v>0</v>
      </c>
      <c r="C333" s="8">
        <f>IFERROR(VLOOKUP($A333,DataDemande!$AA$63:$AE$700,3,FALSE)*VLOOKUP($A333,DataPrixBillets!$M$66:$Q$700,3,FALSE),"")</f>
        <v>0</v>
      </c>
      <c r="D333" s="8">
        <f>IFERROR(VLOOKUP($A333,DataDemande!$AA$63:$AE$700,4,FALSE)*VLOOKUP($A333,DataPrixBillets!$M$66:$Q$700,4,FALSE),"")</f>
        <v>0</v>
      </c>
      <c r="E333" s="8">
        <f>IFERROR(VLOOKUP($A333,DataDemande!$AA$63:$AE$700,5,FALSE)*VLOOKUP($A333,DataPrixBillets!$M$66:$Q$700,5,FALSE),"")</f>
        <v>0</v>
      </c>
      <c r="F333" s="21">
        <f t="shared" si="7"/>
        <v>0</v>
      </c>
    </row>
    <row r="334" spans="1:6" x14ac:dyDescent="0.3">
      <c r="A334" s="185" t="str">
        <f>DataDemande!AA393</f>
        <v/>
      </c>
      <c r="B334" s="8">
        <f>IFERROR(VLOOKUP($A334,DataDemande!$AA$63:$AE$700,2,FALSE)*VLOOKUP($A334,DataPrixBillets!$M$66:$Q$700,2,FALSE),"")</f>
        <v>0</v>
      </c>
      <c r="C334" s="8">
        <f>IFERROR(VLOOKUP($A334,DataDemande!$AA$63:$AE$700,3,FALSE)*VLOOKUP($A334,DataPrixBillets!$M$66:$Q$700,3,FALSE),"")</f>
        <v>0</v>
      </c>
      <c r="D334" s="8">
        <f>IFERROR(VLOOKUP($A334,DataDemande!$AA$63:$AE$700,4,FALSE)*VLOOKUP($A334,DataPrixBillets!$M$66:$Q$700,4,FALSE),"")</f>
        <v>0</v>
      </c>
      <c r="E334" s="8">
        <f>IFERROR(VLOOKUP($A334,DataDemande!$AA$63:$AE$700,5,FALSE)*VLOOKUP($A334,DataPrixBillets!$M$66:$Q$700,5,FALSE),"")</f>
        <v>0</v>
      </c>
      <c r="F334" s="21">
        <f t="shared" si="7"/>
        <v>0</v>
      </c>
    </row>
    <row r="335" spans="1:6" x14ac:dyDescent="0.3">
      <c r="A335" s="185" t="str">
        <f>DataDemande!AA394</f>
        <v/>
      </c>
      <c r="B335" s="8">
        <f>IFERROR(VLOOKUP($A335,DataDemande!$AA$63:$AE$700,2,FALSE)*VLOOKUP($A335,DataPrixBillets!$M$66:$Q$700,2,FALSE),"")</f>
        <v>0</v>
      </c>
      <c r="C335" s="8">
        <f>IFERROR(VLOOKUP($A335,DataDemande!$AA$63:$AE$700,3,FALSE)*VLOOKUP($A335,DataPrixBillets!$M$66:$Q$700,3,FALSE),"")</f>
        <v>0</v>
      </c>
      <c r="D335" s="8">
        <f>IFERROR(VLOOKUP($A335,DataDemande!$AA$63:$AE$700,4,FALSE)*VLOOKUP($A335,DataPrixBillets!$M$66:$Q$700,4,FALSE),"")</f>
        <v>0</v>
      </c>
      <c r="E335" s="8">
        <f>IFERROR(VLOOKUP($A335,DataDemande!$AA$63:$AE$700,5,FALSE)*VLOOKUP($A335,DataPrixBillets!$M$66:$Q$700,5,FALSE),"")</f>
        <v>0</v>
      </c>
      <c r="F335" s="21">
        <f t="shared" si="7"/>
        <v>0</v>
      </c>
    </row>
    <row r="336" spans="1:6" x14ac:dyDescent="0.3">
      <c r="A336" s="185" t="str">
        <f>DataDemande!AA395</f>
        <v/>
      </c>
      <c r="B336" s="8">
        <f>IFERROR(VLOOKUP($A336,DataDemande!$AA$63:$AE$700,2,FALSE)*VLOOKUP($A336,DataPrixBillets!$M$66:$Q$700,2,FALSE),"")</f>
        <v>0</v>
      </c>
      <c r="C336" s="8">
        <f>IFERROR(VLOOKUP($A336,DataDemande!$AA$63:$AE$700,3,FALSE)*VLOOKUP($A336,DataPrixBillets!$M$66:$Q$700,3,FALSE),"")</f>
        <v>0</v>
      </c>
      <c r="D336" s="8">
        <f>IFERROR(VLOOKUP($A336,DataDemande!$AA$63:$AE$700,4,FALSE)*VLOOKUP($A336,DataPrixBillets!$M$66:$Q$700,4,FALSE),"")</f>
        <v>0</v>
      </c>
      <c r="E336" s="8">
        <f>IFERROR(VLOOKUP($A336,DataDemande!$AA$63:$AE$700,5,FALSE)*VLOOKUP($A336,DataPrixBillets!$M$66:$Q$700,5,FALSE),"")</f>
        <v>0</v>
      </c>
      <c r="F336" s="21">
        <f t="shared" si="7"/>
        <v>0</v>
      </c>
    </row>
    <row r="337" spans="1:6" x14ac:dyDescent="0.3">
      <c r="A337" s="185" t="str">
        <f>DataDemande!AA396</f>
        <v/>
      </c>
      <c r="B337" s="8">
        <f>IFERROR(VLOOKUP($A337,DataDemande!$AA$63:$AE$700,2,FALSE)*VLOOKUP($A337,DataPrixBillets!$M$66:$Q$700,2,FALSE),"")</f>
        <v>0</v>
      </c>
      <c r="C337" s="8">
        <f>IFERROR(VLOOKUP($A337,DataDemande!$AA$63:$AE$700,3,FALSE)*VLOOKUP($A337,DataPrixBillets!$M$66:$Q$700,3,FALSE),"")</f>
        <v>0</v>
      </c>
      <c r="D337" s="8">
        <f>IFERROR(VLOOKUP($A337,DataDemande!$AA$63:$AE$700,4,FALSE)*VLOOKUP($A337,DataPrixBillets!$M$66:$Q$700,4,FALSE),"")</f>
        <v>0</v>
      </c>
      <c r="E337" s="8">
        <f>IFERROR(VLOOKUP($A337,DataDemande!$AA$63:$AE$700,5,FALSE)*VLOOKUP($A337,DataPrixBillets!$M$66:$Q$700,5,FALSE),"")</f>
        <v>0</v>
      </c>
      <c r="F337" s="21">
        <f t="shared" si="7"/>
        <v>0</v>
      </c>
    </row>
    <row r="338" spans="1:6" x14ac:dyDescent="0.3">
      <c r="A338" s="185" t="str">
        <f>DataDemande!AA397</f>
        <v/>
      </c>
      <c r="B338" s="8">
        <f>IFERROR(VLOOKUP($A338,DataDemande!$AA$63:$AE$700,2,FALSE)*VLOOKUP($A338,DataPrixBillets!$M$66:$Q$700,2,FALSE),"")</f>
        <v>0</v>
      </c>
      <c r="C338" s="8">
        <f>IFERROR(VLOOKUP($A338,DataDemande!$AA$63:$AE$700,3,FALSE)*VLOOKUP($A338,DataPrixBillets!$M$66:$Q$700,3,FALSE),"")</f>
        <v>0</v>
      </c>
      <c r="D338" s="8">
        <f>IFERROR(VLOOKUP($A338,DataDemande!$AA$63:$AE$700,4,FALSE)*VLOOKUP($A338,DataPrixBillets!$M$66:$Q$700,4,FALSE),"")</f>
        <v>0</v>
      </c>
      <c r="E338" s="8">
        <f>IFERROR(VLOOKUP($A338,DataDemande!$AA$63:$AE$700,5,FALSE)*VLOOKUP($A338,DataPrixBillets!$M$66:$Q$700,5,FALSE),"")</f>
        <v>0</v>
      </c>
      <c r="F338" s="21">
        <f t="shared" si="7"/>
        <v>0</v>
      </c>
    </row>
    <row r="339" spans="1:6" x14ac:dyDescent="0.3">
      <c r="A339" s="185" t="str">
        <f>DataDemande!AA398</f>
        <v/>
      </c>
      <c r="B339" s="8">
        <f>IFERROR(VLOOKUP($A339,DataDemande!$AA$63:$AE$700,2,FALSE)*VLOOKUP($A339,DataPrixBillets!$M$66:$Q$700,2,FALSE),"")</f>
        <v>0</v>
      </c>
      <c r="C339" s="8">
        <f>IFERROR(VLOOKUP($A339,DataDemande!$AA$63:$AE$700,3,FALSE)*VLOOKUP($A339,DataPrixBillets!$M$66:$Q$700,3,FALSE),"")</f>
        <v>0</v>
      </c>
      <c r="D339" s="8">
        <f>IFERROR(VLOOKUP($A339,DataDemande!$AA$63:$AE$700,4,FALSE)*VLOOKUP($A339,DataPrixBillets!$M$66:$Q$700,4,FALSE),"")</f>
        <v>0</v>
      </c>
      <c r="E339" s="8">
        <f>IFERROR(VLOOKUP($A339,DataDemande!$AA$63:$AE$700,5,FALSE)*VLOOKUP($A339,DataPrixBillets!$M$66:$Q$700,5,FALSE),"")</f>
        <v>0</v>
      </c>
      <c r="F339" s="21">
        <f t="shared" si="7"/>
        <v>0</v>
      </c>
    </row>
    <row r="340" spans="1:6" x14ac:dyDescent="0.3">
      <c r="A340" s="185" t="str">
        <f>DataDemande!AA399</f>
        <v/>
      </c>
      <c r="B340" s="8">
        <f>IFERROR(VLOOKUP($A340,DataDemande!$AA$63:$AE$700,2,FALSE)*VLOOKUP($A340,DataPrixBillets!$M$66:$Q$700,2,FALSE),"")</f>
        <v>0</v>
      </c>
      <c r="C340" s="8">
        <f>IFERROR(VLOOKUP($A340,DataDemande!$AA$63:$AE$700,3,FALSE)*VLOOKUP($A340,DataPrixBillets!$M$66:$Q$700,3,FALSE),"")</f>
        <v>0</v>
      </c>
      <c r="D340" s="8">
        <f>IFERROR(VLOOKUP($A340,DataDemande!$AA$63:$AE$700,4,FALSE)*VLOOKUP($A340,DataPrixBillets!$M$66:$Q$700,4,FALSE),"")</f>
        <v>0</v>
      </c>
      <c r="E340" s="8">
        <f>IFERROR(VLOOKUP($A340,DataDemande!$AA$63:$AE$700,5,FALSE)*VLOOKUP($A340,DataPrixBillets!$M$66:$Q$700,5,FALSE),"")</f>
        <v>0</v>
      </c>
      <c r="F340" s="21">
        <f t="shared" si="7"/>
        <v>0</v>
      </c>
    </row>
    <row r="341" spans="1:6" x14ac:dyDescent="0.3">
      <c r="A341" s="185" t="str">
        <f>DataDemande!AA400</f>
        <v/>
      </c>
      <c r="B341" s="8">
        <f>IFERROR(VLOOKUP($A341,DataDemande!$AA$63:$AE$700,2,FALSE)*VLOOKUP($A341,DataPrixBillets!$M$66:$Q$700,2,FALSE),"")</f>
        <v>0</v>
      </c>
      <c r="C341" s="8">
        <f>IFERROR(VLOOKUP($A341,DataDemande!$AA$63:$AE$700,3,FALSE)*VLOOKUP($A341,DataPrixBillets!$M$66:$Q$700,3,FALSE),"")</f>
        <v>0</v>
      </c>
      <c r="D341" s="8">
        <f>IFERROR(VLOOKUP($A341,DataDemande!$AA$63:$AE$700,4,FALSE)*VLOOKUP($A341,DataPrixBillets!$M$66:$Q$700,4,FALSE),"")</f>
        <v>0</v>
      </c>
      <c r="E341" s="8">
        <f>IFERROR(VLOOKUP($A341,DataDemande!$AA$63:$AE$700,5,FALSE)*VLOOKUP($A341,DataPrixBillets!$M$66:$Q$700,5,FALSE),"")</f>
        <v>0</v>
      </c>
      <c r="F341" s="21">
        <f t="shared" si="7"/>
        <v>0</v>
      </c>
    </row>
    <row r="342" spans="1:6" x14ac:dyDescent="0.3">
      <c r="A342" s="185" t="str">
        <f>DataDemande!AA401</f>
        <v/>
      </c>
      <c r="B342" s="8">
        <f>IFERROR(VLOOKUP($A342,DataDemande!$AA$63:$AE$700,2,FALSE)*VLOOKUP($A342,DataPrixBillets!$M$66:$Q$700,2,FALSE),"")</f>
        <v>0</v>
      </c>
      <c r="C342" s="8">
        <f>IFERROR(VLOOKUP($A342,DataDemande!$AA$63:$AE$700,3,FALSE)*VLOOKUP($A342,DataPrixBillets!$M$66:$Q$700,3,FALSE),"")</f>
        <v>0</v>
      </c>
      <c r="D342" s="8">
        <f>IFERROR(VLOOKUP($A342,DataDemande!$AA$63:$AE$700,4,FALSE)*VLOOKUP($A342,DataPrixBillets!$M$66:$Q$700,4,FALSE),"")</f>
        <v>0</v>
      </c>
      <c r="E342" s="8">
        <f>IFERROR(VLOOKUP($A342,DataDemande!$AA$63:$AE$700,5,FALSE)*VLOOKUP($A342,DataPrixBillets!$M$66:$Q$700,5,FALSE),"")</f>
        <v>0</v>
      </c>
      <c r="F342" s="21">
        <f t="shared" si="7"/>
        <v>0</v>
      </c>
    </row>
    <row r="343" spans="1:6" x14ac:dyDescent="0.3">
      <c r="A343" s="185" t="str">
        <f>DataDemande!AA402</f>
        <v/>
      </c>
      <c r="B343" s="8">
        <f>IFERROR(VLOOKUP($A343,DataDemande!$AA$63:$AE$700,2,FALSE)*VLOOKUP($A343,DataPrixBillets!$M$66:$Q$700,2,FALSE),"")</f>
        <v>0</v>
      </c>
      <c r="C343" s="8">
        <f>IFERROR(VLOOKUP($A343,DataDemande!$AA$63:$AE$700,3,FALSE)*VLOOKUP($A343,DataPrixBillets!$M$66:$Q$700,3,FALSE),"")</f>
        <v>0</v>
      </c>
      <c r="D343" s="8">
        <f>IFERROR(VLOOKUP($A343,DataDemande!$AA$63:$AE$700,4,FALSE)*VLOOKUP($A343,DataPrixBillets!$M$66:$Q$700,4,FALSE),"")</f>
        <v>0</v>
      </c>
      <c r="E343" s="8">
        <f>IFERROR(VLOOKUP($A343,DataDemande!$AA$63:$AE$700,5,FALSE)*VLOOKUP($A343,DataPrixBillets!$M$66:$Q$700,5,FALSE),"")</f>
        <v>0</v>
      </c>
      <c r="F343" s="21">
        <f t="shared" si="7"/>
        <v>0</v>
      </c>
    </row>
    <row r="344" spans="1:6" x14ac:dyDescent="0.3">
      <c r="A344" s="185" t="str">
        <f>DataDemande!AA403</f>
        <v/>
      </c>
      <c r="B344" s="8">
        <f>IFERROR(VLOOKUP($A344,DataDemande!$AA$63:$AE$700,2,FALSE)*VLOOKUP($A344,DataPrixBillets!$M$66:$Q$700,2,FALSE),"")</f>
        <v>0</v>
      </c>
      <c r="C344" s="8">
        <f>IFERROR(VLOOKUP($A344,DataDemande!$AA$63:$AE$700,3,FALSE)*VLOOKUP($A344,DataPrixBillets!$M$66:$Q$700,3,FALSE),"")</f>
        <v>0</v>
      </c>
      <c r="D344" s="8">
        <f>IFERROR(VLOOKUP($A344,DataDemande!$AA$63:$AE$700,4,FALSE)*VLOOKUP($A344,DataPrixBillets!$M$66:$Q$700,4,FALSE),"")</f>
        <v>0</v>
      </c>
      <c r="E344" s="8">
        <f>IFERROR(VLOOKUP($A344,DataDemande!$AA$63:$AE$700,5,FALSE)*VLOOKUP($A344,DataPrixBillets!$M$66:$Q$700,5,FALSE),"")</f>
        <v>0</v>
      </c>
      <c r="F344" s="21">
        <f t="shared" si="7"/>
        <v>0</v>
      </c>
    </row>
    <row r="345" spans="1:6" x14ac:dyDescent="0.3">
      <c r="A345" s="185" t="str">
        <f>DataDemande!AA404</f>
        <v/>
      </c>
      <c r="B345" s="8">
        <f>IFERROR(VLOOKUP($A345,DataDemande!$AA$63:$AE$700,2,FALSE)*VLOOKUP($A345,DataPrixBillets!$M$66:$Q$700,2,FALSE),"")</f>
        <v>0</v>
      </c>
      <c r="C345" s="8">
        <f>IFERROR(VLOOKUP($A345,DataDemande!$AA$63:$AE$700,3,FALSE)*VLOOKUP($A345,DataPrixBillets!$M$66:$Q$700,3,FALSE),"")</f>
        <v>0</v>
      </c>
      <c r="D345" s="8">
        <f>IFERROR(VLOOKUP($A345,DataDemande!$AA$63:$AE$700,4,FALSE)*VLOOKUP($A345,DataPrixBillets!$M$66:$Q$700,4,FALSE),"")</f>
        <v>0</v>
      </c>
      <c r="E345" s="8">
        <f>IFERROR(VLOOKUP($A345,DataDemande!$AA$63:$AE$700,5,FALSE)*VLOOKUP($A345,DataPrixBillets!$M$66:$Q$700,5,FALSE),"")</f>
        <v>0</v>
      </c>
      <c r="F345" s="21">
        <f t="shared" si="7"/>
        <v>0</v>
      </c>
    </row>
    <row r="346" spans="1:6" x14ac:dyDescent="0.3">
      <c r="A346" s="185" t="str">
        <f>DataDemande!AA405</f>
        <v/>
      </c>
      <c r="B346" s="8">
        <f>IFERROR(VLOOKUP($A346,DataDemande!$AA$63:$AE$700,2,FALSE)*VLOOKUP($A346,DataPrixBillets!$M$66:$Q$700,2,FALSE),"")</f>
        <v>0</v>
      </c>
      <c r="C346" s="8">
        <f>IFERROR(VLOOKUP($A346,DataDemande!$AA$63:$AE$700,3,FALSE)*VLOOKUP($A346,DataPrixBillets!$M$66:$Q$700,3,FALSE),"")</f>
        <v>0</v>
      </c>
      <c r="D346" s="8">
        <f>IFERROR(VLOOKUP($A346,DataDemande!$AA$63:$AE$700,4,FALSE)*VLOOKUP($A346,DataPrixBillets!$M$66:$Q$700,4,FALSE),"")</f>
        <v>0</v>
      </c>
      <c r="E346" s="8">
        <f>IFERROR(VLOOKUP($A346,DataDemande!$AA$63:$AE$700,5,FALSE)*VLOOKUP($A346,DataPrixBillets!$M$66:$Q$700,5,FALSE),"")</f>
        <v>0</v>
      </c>
      <c r="F346" s="21">
        <f t="shared" si="7"/>
        <v>0</v>
      </c>
    </row>
    <row r="347" spans="1:6" x14ac:dyDescent="0.3">
      <c r="A347" s="185" t="str">
        <f>DataDemande!AA406</f>
        <v/>
      </c>
      <c r="B347" s="8">
        <f>IFERROR(VLOOKUP($A347,DataDemande!$AA$63:$AE$700,2,FALSE)*VLOOKUP($A347,DataPrixBillets!$M$66:$Q$700,2,FALSE),"")</f>
        <v>0</v>
      </c>
      <c r="C347" s="8">
        <f>IFERROR(VLOOKUP($A347,DataDemande!$AA$63:$AE$700,3,FALSE)*VLOOKUP($A347,DataPrixBillets!$M$66:$Q$700,3,FALSE),"")</f>
        <v>0</v>
      </c>
      <c r="D347" s="8">
        <f>IFERROR(VLOOKUP($A347,DataDemande!$AA$63:$AE$700,4,FALSE)*VLOOKUP($A347,DataPrixBillets!$M$66:$Q$700,4,FALSE),"")</f>
        <v>0</v>
      </c>
      <c r="E347" s="8">
        <f>IFERROR(VLOOKUP($A347,DataDemande!$AA$63:$AE$700,5,FALSE)*VLOOKUP($A347,DataPrixBillets!$M$66:$Q$700,5,FALSE),"")</f>
        <v>0</v>
      </c>
      <c r="F347" s="21">
        <f t="shared" si="7"/>
        <v>0</v>
      </c>
    </row>
    <row r="348" spans="1:6" x14ac:dyDescent="0.3">
      <c r="A348" s="185" t="str">
        <f>DataDemande!AA407</f>
        <v/>
      </c>
      <c r="B348" s="8">
        <f>IFERROR(VLOOKUP($A348,DataDemande!$AA$63:$AE$700,2,FALSE)*VLOOKUP($A348,DataPrixBillets!$M$66:$Q$700,2,FALSE),"")</f>
        <v>0</v>
      </c>
      <c r="C348" s="8">
        <f>IFERROR(VLOOKUP($A348,DataDemande!$AA$63:$AE$700,3,FALSE)*VLOOKUP($A348,DataPrixBillets!$M$66:$Q$700,3,FALSE),"")</f>
        <v>0</v>
      </c>
      <c r="D348" s="8">
        <f>IFERROR(VLOOKUP($A348,DataDemande!$AA$63:$AE$700,4,FALSE)*VLOOKUP($A348,DataPrixBillets!$M$66:$Q$700,4,FALSE),"")</f>
        <v>0</v>
      </c>
      <c r="E348" s="8">
        <f>IFERROR(VLOOKUP($A348,DataDemande!$AA$63:$AE$700,5,FALSE)*VLOOKUP($A348,DataPrixBillets!$M$66:$Q$700,5,FALSE),"")</f>
        <v>0</v>
      </c>
      <c r="F348" s="21">
        <f t="shared" si="7"/>
        <v>0</v>
      </c>
    </row>
    <row r="349" spans="1:6" x14ac:dyDescent="0.3">
      <c r="A349" s="185" t="str">
        <f>DataDemande!AA408</f>
        <v/>
      </c>
      <c r="B349" s="8">
        <f>IFERROR(VLOOKUP($A349,DataDemande!$AA$63:$AE$700,2,FALSE)*VLOOKUP($A349,DataPrixBillets!$M$66:$Q$700,2,FALSE),"")</f>
        <v>0</v>
      </c>
      <c r="C349" s="8">
        <f>IFERROR(VLOOKUP($A349,DataDemande!$AA$63:$AE$700,3,FALSE)*VLOOKUP($A349,DataPrixBillets!$M$66:$Q$700,3,FALSE),"")</f>
        <v>0</v>
      </c>
      <c r="D349" s="8">
        <f>IFERROR(VLOOKUP($A349,DataDemande!$AA$63:$AE$700,4,FALSE)*VLOOKUP($A349,DataPrixBillets!$M$66:$Q$700,4,FALSE),"")</f>
        <v>0</v>
      </c>
      <c r="E349" s="8">
        <f>IFERROR(VLOOKUP($A349,DataDemande!$AA$63:$AE$700,5,FALSE)*VLOOKUP($A349,DataPrixBillets!$M$66:$Q$700,5,FALSE),"")</f>
        <v>0</v>
      </c>
      <c r="F349" s="21">
        <f t="shared" si="7"/>
        <v>0</v>
      </c>
    </row>
    <row r="350" spans="1:6" x14ac:dyDescent="0.3">
      <c r="A350" s="185" t="str">
        <f>DataDemande!AA409</f>
        <v/>
      </c>
      <c r="B350" s="8">
        <f>IFERROR(VLOOKUP($A350,DataDemande!$AA$63:$AE$700,2,FALSE)*VLOOKUP($A350,DataPrixBillets!$M$66:$Q$700,2,FALSE),"")</f>
        <v>0</v>
      </c>
      <c r="C350" s="8">
        <f>IFERROR(VLOOKUP($A350,DataDemande!$AA$63:$AE$700,3,FALSE)*VLOOKUP($A350,DataPrixBillets!$M$66:$Q$700,3,FALSE),"")</f>
        <v>0</v>
      </c>
      <c r="D350" s="8">
        <f>IFERROR(VLOOKUP($A350,DataDemande!$AA$63:$AE$700,4,FALSE)*VLOOKUP($A350,DataPrixBillets!$M$66:$Q$700,4,FALSE),"")</f>
        <v>0</v>
      </c>
      <c r="E350" s="8">
        <f>IFERROR(VLOOKUP($A350,DataDemande!$AA$63:$AE$700,5,FALSE)*VLOOKUP($A350,DataPrixBillets!$M$66:$Q$700,5,FALSE),"")</f>
        <v>0</v>
      </c>
      <c r="F350" s="21">
        <f t="shared" si="7"/>
        <v>0</v>
      </c>
    </row>
    <row r="351" spans="1:6" x14ac:dyDescent="0.3">
      <c r="A351" s="185" t="str">
        <f>DataDemande!AA410</f>
        <v/>
      </c>
      <c r="B351" s="8">
        <f>IFERROR(VLOOKUP($A351,DataDemande!$AA$63:$AE$700,2,FALSE)*VLOOKUP($A351,DataPrixBillets!$M$66:$Q$700,2,FALSE),"")</f>
        <v>0</v>
      </c>
      <c r="C351" s="8">
        <f>IFERROR(VLOOKUP($A351,DataDemande!$AA$63:$AE$700,3,FALSE)*VLOOKUP($A351,DataPrixBillets!$M$66:$Q$700,3,FALSE),"")</f>
        <v>0</v>
      </c>
      <c r="D351" s="8">
        <f>IFERROR(VLOOKUP($A351,DataDemande!$AA$63:$AE$700,4,FALSE)*VLOOKUP($A351,DataPrixBillets!$M$66:$Q$700,4,FALSE),"")</f>
        <v>0</v>
      </c>
      <c r="E351" s="8">
        <f>IFERROR(VLOOKUP($A351,DataDemande!$AA$63:$AE$700,5,FALSE)*VLOOKUP($A351,DataPrixBillets!$M$66:$Q$700,5,FALSE),"")</f>
        <v>0</v>
      </c>
      <c r="F351" s="21">
        <f t="shared" si="7"/>
        <v>0</v>
      </c>
    </row>
    <row r="352" spans="1:6" x14ac:dyDescent="0.3">
      <c r="A352" s="185" t="str">
        <f>DataDemande!AA411</f>
        <v/>
      </c>
      <c r="B352" s="8">
        <f>IFERROR(VLOOKUP($A352,DataDemande!$AA$63:$AE$700,2,FALSE)*VLOOKUP($A352,DataPrixBillets!$M$66:$Q$700,2,FALSE),"")</f>
        <v>0</v>
      </c>
      <c r="C352" s="8">
        <f>IFERROR(VLOOKUP($A352,DataDemande!$AA$63:$AE$700,3,FALSE)*VLOOKUP($A352,DataPrixBillets!$M$66:$Q$700,3,FALSE),"")</f>
        <v>0</v>
      </c>
      <c r="D352" s="8">
        <f>IFERROR(VLOOKUP($A352,DataDemande!$AA$63:$AE$700,4,FALSE)*VLOOKUP($A352,DataPrixBillets!$M$66:$Q$700,4,FALSE),"")</f>
        <v>0</v>
      </c>
      <c r="E352" s="8">
        <f>IFERROR(VLOOKUP($A352,DataDemande!$AA$63:$AE$700,5,FALSE)*VLOOKUP($A352,DataPrixBillets!$M$66:$Q$700,5,FALSE),"")</f>
        <v>0</v>
      </c>
      <c r="F352" s="21">
        <f t="shared" si="7"/>
        <v>0</v>
      </c>
    </row>
    <row r="353" spans="1:6" x14ac:dyDescent="0.3">
      <c r="A353" s="185" t="str">
        <f>DataDemande!AA412</f>
        <v/>
      </c>
      <c r="B353" s="8">
        <f>IFERROR(VLOOKUP($A353,DataDemande!$AA$63:$AE$700,2,FALSE)*VLOOKUP($A353,DataPrixBillets!$M$66:$Q$700,2,FALSE),"")</f>
        <v>0</v>
      </c>
      <c r="C353" s="8">
        <f>IFERROR(VLOOKUP($A353,DataDemande!$AA$63:$AE$700,3,FALSE)*VLOOKUP($A353,DataPrixBillets!$M$66:$Q$700,3,FALSE),"")</f>
        <v>0</v>
      </c>
      <c r="D353" s="8">
        <f>IFERROR(VLOOKUP($A353,DataDemande!$AA$63:$AE$700,4,FALSE)*VLOOKUP($A353,DataPrixBillets!$M$66:$Q$700,4,FALSE),"")</f>
        <v>0</v>
      </c>
      <c r="E353" s="8">
        <f>IFERROR(VLOOKUP($A353,DataDemande!$AA$63:$AE$700,5,FALSE)*VLOOKUP($A353,DataPrixBillets!$M$66:$Q$700,5,FALSE),"")</f>
        <v>0</v>
      </c>
      <c r="F353" s="21">
        <f t="shared" si="7"/>
        <v>0</v>
      </c>
    </row>
    <row r="354" spans="1:6" x14ac:dyDescent="0.3">
      <c r="A354" s="185" t="str">
        <f>DataDemande!AA413</f>
        <v/>
      </c>
      <c r="B354" s="8">
        <f>IFERROR(VLOOKUP($A354,DataDemande!$AA$63:$AE$700,2,FALSE)*VLOOKUP($A354,DataPrixBillets!$M$66:$Q$700,2,FALSE),"")</f>
        <v>0</v>
      </c>
      <c r="C354" s="8">
        <f>IFERROR(VLOOKUP($A354,DataDemande!$AA$63:$AE$700,3,FALSE)*VLOOKUP($A354,DataPrixBillets!$M$66:$Q$700,3,FALSE),"")</f>
        <v>0</v>
      </c>
      <c r="D354" s="8">
        <f>IFERROR(VLOOKUP($A354,DataDemande!$AA$63:$AE$700,4,FALSE)*VLOOKUP($A354,DataPrixBillets!$M$66:$Q$700,4,FALSE),"")</f>
        <v>0</v>
      </c>
      <c r="E354" s="8">
        <f>IFERROR(VLOOKUP($A354,DataDemande!$AA$63:$AE$700,5,FALSE)*VLOOKUP($A354,DataPrixBillets!$M$66:$Q$700,5,FALSE),"")</f>
        <v>0</v>
      </c>
      <c r="F354" s="21">
        <f t="shared" si="7"/>
        <v>0</v>
      </c>
    </row>
    <row r="355" spans="1:6" x14ac:dyDescent="0.3">
      <c r="A355" s="185" t="str">
        <f>DataDemande!AA414</f>
        <v/>
      </c>
      <c r="B355" s="8">
        <f>IFERROR(VLOOKUP($A355,DataDemande!$AA$63:$AE$700,2,FALSE)*VLOOKUP($A355,DataPrixBillets!$M$66:$Q$700,2,FALSE),"")</f>
        <v>0</v>
      </c>
      <c r="C355" s="8">
        <f>IFERROR(VLOOKUP($A355,DataDemande!$AA$63:$AE$700,3,FALSE)*VLOOKUP($A355,DataPrixBillets!$M$66:$Q$700,3,FALSE),"")</f>
        <v>0</v>
      </c>
      <c r="D355" s="8">
        <f>IFERROR(VLOOKUP($A355,DataDemande!$AA$63:$AE$700,4,FALSE)*VLOOKUP($A355,DataPrixBillets!$M$66:$Q$700,4,FALSE),"")</f>
        <v>0</v>
      </c>
      <c r="E355" s="8">
        <f>IFERROR(VLOOKUP($A355,DataDemande!$AA$63:$AE$700,5,FALSE)*VLOOKUP($A355,DataPrixBillets!$M$66:$Q$700,5,FALSE),"")</f>
        <v>0</v>
      </c>
      <c r="F355" s="21">
        <f t="shared" si="7"/>
        <v>0</v>
      </c>
    </row>
    <row r="356" spans="1:6" x14ac:dyDescent="0.3">
      <c r="A356" s="185" t="str">
        <f>DataDemande!AA415</f>
        <v/>
      </c>
      <c r="B356" s="8">
        <f>IFERROR(VLOOKUP($A356,DataDemande!$AA$63:$AE$700,2,FALSE)*VLOOKUP($A356,DataPrixBillets!$M$66:$Q$700,2,FALSE),"")</f>
        <v>0</v>
      </c>
      <c r="C356" s="8">
        <f>IFERROR(VLOOKUP($A356,DataDemande!$AA$63:$AE$700,3,FALSE)*VLOOKUP($A356,DataPrixBillets!$M$66:$Q$700,3,FALSE),"")</f>
        <v>0</v>
      </c>
      <c r="D356" s="8">
        <f>IFERROR(VLOOKUP($A356,DataDemande!$AA$63:$AE$700,4,FALSE)*VLOOKUP($A356,DataPrixBillets!$M$66:$Q$700,4,FALSE),"")</f>
        <v>0</v>
      </c>
      <c r="E356" s="8">
        <f>IFERROR(VLOOKUP($A356,DataDemande!$AA$63:$AE$700,5,FALSE)*VLOOKUP($A356,DataPrixBillets!$M$66:$Q$700,5,FALSE),"")</f>
        <v>0</v>
      </c>
      <c r="F356" s="21">
        <f t="shared" si="7"/>
        <v>0</v>
      </c>
    </row>
    <row r="357" spans="1:6" x14ac:dyDescent="0.3">
      <c r="A357" s="185" t="str">
        <f>DataDemande!AA416</f>
        <v/>
      </c>
      <c r="B357" s="8">
        <f>IFERROR(VLOOKUP($A357,DataDemande!$AA$63:$AE$700,2,FALSE)*VLOOKUP($A357,DataPrixBillets!$M$66:$Q$700,2,FALSE),"")</f>
        <v>0</v>
      </c>
      <c r="C357" s="8">
        <f>IFERROR(VLOOKUP($A357,DataDemande!$AA$63:$AE$700,3,FALSE)*VLOOKUP($A357,DataPrixBillets!$M$66:$Q$700,3,FALSE),"")</f>
        <v>0</v>
      </c>
      <c r="D357" s="8">
        <f>IFERROR(VLOOKUP($A357,DataDemande!$AA$63:$AE$700,4,FALSE)*VLOOKUP($A357,DataPrixBillets!$M$66:$Q$700,4,FALSE),"")</f>
        <v>0</v>
      </c>
      <c r="E357" s="8">
        <f>IFERROR(VLOOKUP($A357,DataDemande!$AA$63:$AE$700,5,FALSE)*VLOOKUP($A357,DataPrixBillets!$M$66:$Q$700,5,FALSE),"")</f>
        <v>0</v>
      </c>
      <c r="F357" s="21">
        <f t="shared" si="7"/>
        <v>0</v>
      </c>
    </row>
    <row r="358" spans="1:6" x14ac:dyDescent="0.3">
      <c r="A358" s="185" t="str">
        <f>DataDemande!AA417</f>
        <v/>
      </c>
      <c r="B358" s="8">
        <f>IFERROR(VLOOKUP($A358,DataDemande!$AA$63:$AE$700,2,FALSE)*VLOOKUP($A358,DataPrixBillets!$M$66:$Q$700,2,FALSE),"")</f>
        <v>0</v>
      </c>
      <c r="C358" s="8">
        <f>IFERROR(VLOOKUP($A358,DataDemande!$AA$63:$AE$700,3,FALSE)*VLOOKUP($A358,DataPrixBillets!$M$66:$Q$700,3,FALSE),"")</f>
        <v>0</v>
      </c>
      <c r="D358" s="8">
        <f>IFERROR(VLOOKUP($A358,DataDemande!$AA$63:$AE$700,4,FALSE)*VLOOKUP($A358,DataPrixBillets!$M$66:$Q$700,4,FALSE),"")</f>
        <v>0</v>
      </c>
      <c r="E358" s="8">
        <f>IFERROR(VLOOKUP($A358,DataDemande!$AA$63:$AE$700,5,FALSE)*VLOOKUP($A358,DataPrixBillets!$M$66:$Q$700,5,FALSE),"")</f>
        <v>0</v>
      </c>
      <c r="F358" s="21">
        <f t="shared" si="7"/>
        <v>0</v>
      </c>
    </row>
    <row r="359" spans="1:6" x14ac:dyDescent="0.3">
      <c r="A359" s="185" t="str">
        <f>DataDemande!AA418</f>
        <v/>
      </c>
      <c r="B359" s="8">
        <f>IFERROR(VLOOKUP($A359,DataDemande!$AA$63:$AE$700,2,FALSE)*VLOOKUP($A359,DataPrixBillets!$M$66:$Q$700,2,FALSE),"")</f>
        <v>0</v>
      </c>
      <c r="C359" s="8">
        <f>IFERROR(VLOOKUP($A359,DataDemande!$AA$63:$AE$700,3,FALSE)*VLOOKUP($A359,DataPrixBillets!$M$66:$Q$700,3,FALSE),"")</f>
        <v>0</v>
      </c>
      <c r="D359" s="8">
        <f>IFERROR(VLOOKUP($A359,DataDemande!$AA$63:$AE$700,4,FALSE)*VLOOKUP($A359,DataPrixBillets!$M$66:$Q$700,4,FALSE),"")</f>
        <v>0</v>
      </c>
      <c r="E359" s="8">
        <f>IFERROR(VLOOKUP($A359,DataDemande!$AA$63:$AE$700,5,FALSE)*VLOOKUP($A359,DataPrixBillets!$M$66:$Q$700,5,FALSE),"")</f>
        <v>0</v>
      </c>
      <c r="F359" s="21">
        <f t="shared" si="7"/>
        <v>0</v>
      </c>
    </row>
    <row r="360" spans="1:6" x14ac:dyDescent="0.3">
      <c r="A360" s="185" t="str">
        <f>DataDemande!AA419</f>
        <v/>
      </c>
      <c r="B360" s="8">
        <f>IFERROR(VLOOKUP($A360,DataDemande!$AA$63:$AE$700,2,FALSE)*VLOOKUP($A360,DataPrixBillets!$M$66:$Q$700,2,FALSE),"")</f>
        <v>0</v>
      </c>
      <c r="C360" s="8">
        <f>IFERROR(VLOOKUP($A360,DataDemande!$AA$63:$AE$700,3,FALSE)*VLOOKUP($A360,DataPrixBillets!$M$66:$Q$700,3,FALSE),"")</f>
        <v>0</v>
      </c>
      <c r="D360" s="8">
        <f>IFERROR(VLOOKUP($A360,DataDemande!$AA$63:$AE$700,4,FALSE)*VLOOKUP($A360,DataPrixBillets!$M$66:$Q$700,4,FALSE),"")</f>
        <v>0</v>
      </c>
      <c r="E360" s="8">
        <f>IFERROR(VLOOKUP($A360,DataDemande!$AA$63:$AE$700,5,FALSE)*VLOOKUP($A360,DataPrixBillets!$M$66:$Q$700,5,FALSE),"")</f>
        <v>0</v>
      </c>
      <c r="F360" s="21">
        <f t="shared" si="7"/>
        <v>0</v>
      </c>
    </row>
    <row r="361" spans="1:6" x14ac:dyDescent="0.3">
      <c r="A361" s="185" t="str">
        <f>DataDemande!AA420</f>
        <v/>
      </c>
      <c r="B361" s="8">
        <f>IFERROR(VLOOKUP($A361,DataDemande!$AA$63:$AE$700,2,FALSE)*VLOOKUP($A361,DataPrixBillets!$M$66:$Q$700,2,FALSE),"")</f>
        <v>0</v>
      </c>
      <c r="C361" s="8">
        <f>IFERROR(VLOOKUP($A361,DataDemande!$AA$63:$AE$700,3,FALSE)*VLOOKUP($A361,DataPrixBillets!$M$66:$Q$700,3,FALSE),"")</f>
        <v>0</v>
      </c>
      <c r="D361" s="8">
        <f>IFERROR(VLOOKUP($A361,DataDemande!$AA$63:$AE$700,4,FALSE)*VLOOKUP($A361,DataPrixBillets!$M$66:$Q$700,4,FALSE),"")</f>
        <v>0</v>
      </c>
      <c r="E361" s="8">
        <f>IFERROR(VLOOKUP($A361,DataDemande!$AA$63:$AE$700,5,FALSE)*VLOOKUP($A361,DataPrixBillets!$M$66:$Q$700,5,FALSE),"")</f>
        <v>0</v>
      </c>
      <c r="F361" s="21">
        <f t="shared" si="7"/>
        <v>0</v>
      </c>
    </row>
    <row r="362" spans="1:6" x14ac:dyDescent="0.3">
      <c r="A362" s="185" t="str">
        <f>DataDemande!AA421</f>
        <v/>
      </c>
      <c r="B362" s="8">
        <f>IFERROR(VLOOKUP($A362,DataDemande!$AA$63:$AE$700,2,FALSE)*VLOOKUP($A362,DataPrixBillets!$M$66:$Q$700,2,FALSE),"")</f>
        <v>0</v>
      </c>
      <c r="C362" s="8">
        <f>IFERROR(VLOOKUP($A362,DataDemande!$AA$63:$AE$700,3,FALSE)*VLOOKUP($A362,DataPrixBillets!$M$66:$Q$700,3,FALSE),"")</f>
        <v>0</v>
      </c>
      <c r="D362" s="8">
        <f>IFERROR(VLOOKUP($A362,DataDemande!$AA$63:$AE$700,4,FALSE)*VLOOKUP($A362,DataPrixBillets!$M$66:$Q$700,4,FALSE),"")</f>
        <v>0</v>
      </c>
      <c r="E362" s="8">
        <f>IFERROR(VLOOKUP($A362,DataDemande!$AA$63:$AE$700,5,FALSE)*VLOOKUP($A362,DataPrixBillets!$M$66:$Q$700,5,FALSE),"")</f>
        <v>0</v>
      </c>
      <c r="F362" s="21">
        <f t="shared" si="7"/>
        <v>0</v>
      </c>
    </row>
    <row r="363" spans="1:6" x14ac:dyDescent="0.3">
      <c r="A363" s="185" t="str">
        <f>DataDemande!AA422</f>
        <v/>
      </c>
      <c r="B363" s="8">
        <f>IFERROR(VLOOKUP($A363,DataDemande!$AA$63:$AE$700,2,FALSE)*VLOOKUP($A363,DataPrixBillets!$M$66:$Q$700,2,FALSE),"")</f>
        <v>0</v>
      </c>
      <c r="C363" s="8">
        <f>IFERROR(VLOOKUP($A363,DataDemande!$AA$63:$AE$700,3,FALSE)*VLOOKUP($A363,DataPrixBillets!$M$66:$Q$700,3,FALSE),"")</f>
        <v>0</v>
      </c>
      <c r="D363" s="8">
        <f>IFERROR(VLOOKUP($A363,DataDemande!$AA$63:$AE$700,4,FALSE)*VLOOKUP($A363,DataPrixBillets!$M$66:$Q$700,4,FALSE),"")</f>
        <v>0</v>
      </c>
      <c r="E363" s="8">
        <f>IFERROR(VLOOKUP($A363,DataDemande!$AA$63:$AE$700,5,FALSE)*VLOOKUP($A363,DataPrixBillets!$M$66:$Q$700,5,FALSE),"")</f>
        <v>0</v>
      </c>
      <c r="F363" s="21">
        <f t="shared" si="7"/>
        <v>0</v>
      </c>
    </row>
    <row r="364" spans="1:6" x14ac:dyDescent="0.3">
      <c r="A364" s="185" t="str">
        <f>DataDemande!AA423</f>
        <v/>
      </c>
      <c r="B364" s="8">
        <f>IFERROR(VLOOKUP($A364,DataDemande!$AA$63:$AE$700,2,FALSE)*VLOOKUP($A364,DataPrixBillets!$M$66:$Q$700,2,FALSE),"")</f>
        <v>0</v>
      </c>
      <c r="C364" s="8">
        <f>IFERROR(VLOOKUP($A364,DataDemande!$AA$63:$AE$700,3,FALSE)*VLOOKUP($A364,DataPrixBillets!$M$66:$Q$700,3,FALSE),"")</f>
        <v>0</v>
      </c>
      <c r="D364" s="8">
        <f>IFERROR(VLOOKUP($A364,DataDemande!$AA$63:$AE$700,4,FALSE)*VLOOKUP($A364,DataPrixBillets!$M$66:$Q$700,4,FALSE),"")</f>
        <v>0</v>
      </c>
      <c r="E364" s="8">
        <f>IFERROR(VLOOKUP($A364,DataDemande!$AA$63:$AE$700,5,FALSE)*VLOOKUP($A364,DataPrixBillets!$M$66:$Q$700,5,FALSE),"")</f>
        <v>0</v>
      </c>
      <c r="F364" s="21">
        <f t="shared" si="7"/>
        <v>0</v>
      </c>
    </row>
    <row r="365" spans="1:6" x14ac:dyDescent="0.3">
      <c r="A365" s="185" t="str">
        <f>DataDemande!AA424</f>
        <v/>
      </c>
      <c r="B365" s="8">
        <f>IFERROR(VLOOKUP($A365,DataDemande!$AA$63:$AE$700,2,FALSE)*VLOOKUP($A365,DataPrixBillets!$M$66:$Q$700,2,FALSE),"")</f>
        <v>0</v>
      </c>
      <c r="C365" s="8">
        <f>IFERROR(VLOOKUP($A365,DataDemande!$AA$63:$AE$700,3,FALSE)*VLOOKUP($A365,DataPrixBillets!$M$66:$Q$700,3,FALSE),"")</f>
        <v>0</v>
      </c>
      <c r="D365" s="8">
        <f>IFERROR(VLOOKUP($A365,DataDemande!$AA$63:$AE$700,4,FALSE)*VLOOKUP($A365,DataPrixBillets!$M$66:$Q$700,4,FALSE),"")</f>
        <v>0</v>
      </c>
      <c r="E365" s="8">
        <f>IFERROR(VLOOKUP($A365,DataDemande!$AA$63:$AE$700,5,FALSE)*VLOOKUP($A365,DataPrixBillets!$M$66:$Q$700,5,FALSE),"")</f>
        <v>0</v>
      </c>
      <c r="F365" s="21">
        <f t="shared" si="7"/>
        <v>0</v>
      </c>
    </row>
    <row r="366" spans="1:6" x14ac:dyDescent="0.3">
      <c r="A366" s="185" t="str">
        <f>DataDemande!AA425</f>
        <v/>
      </c>
      <c r="B366" s="8">
        <f>IFERROR(VLOOKUP($A366,DataDemande!$AA$63:$AE$700,2,FALSE)*VLOOKUP($A366,DataPrixBillets!$M$66:$Q$700,2,FALSE),"")</f>
        <v>0</v>
      </c>
      <c r="C366" s="8">
        <f>IFERROR(VLOOKUP($A366,DataDemande!$AA$63:$AE$700,3,FALSE)*VLOOKUP($A366,DataPrixBillets!$M$66:$Q$700,3,FALSE),"")</f>
        <v>0</v>
      </c>
      <c r="D366" s="8">
        <f>IFERROR(VLOOKUP($A366,DataDemande!$AA$63:$AE$700,4,FALSE)*VLOOKUP($A366,DataPrixBillets!$M$66:$Q$700,4,FALSE),"")</f>
        <v>0</v>
      </c>
      <c r="E366" s="8">
        <f>IFERROR(VLOOKUP($A366,DataDemande!$AA$63:$AE$700,5,FALSE)*VLOOKUP($A366,DataPrixBillets!$M$66:$Q$700,5,FALSE),"")</f>
        <v>0</v>
      </c>
      <c r="F366" s="21">
        <f t="shared" si="7"/>
        <v>0</v>
      </c>
    </row>
    <row r="367" spans="1:6" x14ac:dyDescent="0.3">
      <c r="A367" s="185" t="str">
        <f>DataDemande!AA426</f>
        <v/>
      </c>
      <c r="B367" s="8">
        <f>IFERROR(VLOOKUP($A367,DataDemande!$AA$63:$AE$700,2,FALSE)*VLOOKUP($A367,DataPrixBillets!$M$66:$Q$700,2,FALSE),"")</f>
        <v>0</v>
      </c>
      <c r="C367" s="8">
        <f>IFERROR(VLOOKUP($A367,DataDemande!$AA$63:$AE$700,3,FALSE)*VLOOKUP($A367,DataPrixBillets!$M$66:$Q$700,3,FALSE),"")</f>
        <v>0</v>
      </c>
      <c r="D367" s="8">
        <f>IFERROR(VLOOKUP($A367,DataDemande!$AA$63:$AE$700,4,FALSE)*VLOOKUP($A367,DataPrixBillets!$M$66:$Q$700,4,FALSE),"")</f>
        <v>0</v>
      </c>
      <c r="E367" s="8">
        <f>IFERROR(VLOOKUP($A367,DataDemande!$AA$63:$AE$700,5,FALSE)*VLOOKUP($A367,DataPrixBillets!$M$66:$Q$700,5,FALSE),"")</f>
        <v>0</v>
      </c>
      <c r="F367" s="21">
        <f t="shared" si="7"/>
        <v>0</v>
      </c>
    </row>
    <row r="368" spans="1:6" x14ac:dyDescent="0.3">
      <c r="A368" s="185" t="str">
        <f>DataDemande!AA427</f>
        <v/>
      </c>
      <c r="B368" s="8">
        <f>IFERROR(VLOOKUP($A368,DataDemande!$AA$63:$AE$700,2,FALSE)*VLOOKUP($A368,DataPrixBillets!$M$66:$Q$700,2,FALSE),"")</f>
        <v>0</v>
      </c>
      <c r="C368" s="8">
        <f>IFERROR(VLOOKUP($A368,DataDemande!$AA$63:$AE$700,3,FALSE)*VLOOKUP($A368,DataPrixBillets!$M$66:$Q$700,3,FALSE),"")</f>
        <v>0</v>
      </c>
      <c r="D368" s="8">
        <f>IFERROR(VLOOKUP($A368,DataDemande!$AA$63:$AE$700,4,FALSE)*VLOOKUP($A368,DataPrixBillets!$M$66:$Q$700,4,FALSE),"")</f>
        <v>0</v>
      </c>
      <c r="E368" s="8">
        <f>IFERROR(VLOOKUP($A368,DataDemande!$AA$63:$AE$700,5,FALSE)*VLOOKUP($A368,DataPrixBillets!$M$66:$Q$700,5,FALSE),"")</f>
        <v>0</v>
      </c>
      <c r="F368" s="21">
        <f t="shared" si="7"/>
        <v>0</v>
      </c>
    </row>
    <row r="369" spans="1:6" x14ac:dyDescent="0.3">
      <c r="A369" s="185" t="str">
        <f>DataDemande!AA428</f>
        <v/>
      </c>
      <c r="B369" s="8">
        <f>IFERROR(VLOOKUP($A369,DataDemande!$AA$63:$AE$700,2,FALSE)*VLOOKUP($A369,DataPrixBillets!$M$66:$Q$700,2,FALSE),"")</f>
        <v>0</v>
      </c>
      <c r="C369" s="8">
        <f>IFERROR(VLOOKUP($A369,DataDemande!$AA$63:$AE$700,3,FALSE)*VLOOKUP($A369,DataPrixBillets!$M$66:$Q$700,3,FALSE),"")</f>
        <v>0</v>
      </c>
      <c r="D369" s="8">
        <f>IFERROR(VLOOKUP($A369,DataDemande!$AA$63:$AE$700,4,FALSE)*VLOOKUP($A369,DataPrixBillets!$M$66:$Q$700,4,FALSE),"")</f>
        <v>0</v>
      </c>
      <c r="E369" s="8">
        <f>IFERROR(VLOOKUP($A369,DataDemande!$AA$63:$AE$700,5,FALSE)*VLOOKUP($A369,DataPrixBillets!$M$66:$Q$700,5,FALSE),"")</f>
        <v>0</v>
      </c>
      <c r="F369" s="21">
        <f t="shared" si="7"/>
        <v>0</v>
      </c>
    </row>
    <row r="370" spans="1:6" x14ac:dyDescent="0.3">
      <c r="A370" s="185" t="str">
        <f>DataDemande!AA429</f>
        <v/>
      </c>
      <c r="B370" s="8">
        <f>IFERROR(VLOOKUP($A370,DataDemande!$AA$63:$AE$700,2,FALSE)*VLOOKUP($A370,DataPrixBillets!$M$66:$Q$700,2,FALSE),"")</f>
        <v>0</v>
      </c>
      <c r="C370" s="8">
        <f>IFERROR(VLOOKUP($A370,DataDemande!$AA$63:$AE$700,3,FALSE)*VLOOKUP($A370,DataPrixBillets!$M$66:$Q$700,3,FALSE),"")</f>
        <v>0</v>
      </c>
      <c r="D370" s="8">
        <f>IFERROR(VLOOKUP($A370,DataDemande!$AA$63:$AE$700,4,FALSE)*VLOOKUP($A370,DataPrixBillets!$M$66:$Q$700,4,FALSE),"")</f>
        <v>0</v>
      </c>
      <c r="E370" s="8">
        <f>IFERROR(VLOOKUP($A370,DataDemande!$AA$63:$AE$700,5,FALSE)*VLOOKUP($A370,DataPrixBillets!$M$66:$Q$700,5,FALSE),"")</f>
        <v>0</v>
      </c>
      <c r="F370" s="21">
        <f t="shared" si="7"/>
        <v>0</v>
      </c>
    </row>
    <row r="371" spans="1:6" x14ac:dyDescent="0.3">
      <c r="A371" s="185" t="str">
        <f>DataDemande!AA430</f>
        <v/>
      </c>
      <c r="B371" s="8">
        <f>IFERROR(VLOOKUP($A371,DataDemande!$AA$63:$AE$700,2,FALSE)*VLOOKUP($A371,DataPrixBillets!$M$66:$Q$700,2,FALSE),"")</f>
        <v>0</v>
      </c>
      <c r="C371" s="8">
        <f>IFERROR(VLOOKUP($A371,DataDemande!$AA$63:$AE$700,3,FALSE)*VLOOKUP($A371,DataPrixBillets!$M$66:$Q$700,3,FALSE),"")</f>
        <v>0</v>
      </c>
      <c r="D371" s="8">
        <f>IFERROR(VLOOKUP($A371,DataDemande!$AA$63:$AE$700,4,FALSE)*VLOOKUP($A371,DataPrixBillets!$M$66:$Q$700,4,FALSE),"")</f>
        <v>0</v>
      </c>
      <c r="E371" s="8">
        <f>IFERROR(VLOOKUP($A371,DataDemande!$AA$63:$AE$700,5,FALSE)*VLOOKUP($A371,DataPrixBillets!$M$66:$Q$700,5,FALSE),"")</f>
        <v>0</v>
      </c>
      <c r="F371" s="21">
        <f t="shared" si="7"/>
        <v>0</v>
      </c>
    </row>
    <row r="372" spans="1:6" x14ac:dyDescent="0.3">
      <c r="A372" s="185" t="str">
        <f>DataDemande!AA431</f>
        <v/>
      </c>
      <c r="B372" s="8">
        <f>IFERROR(VLOOKUP($A372,DataDemande!$AA$63:$AE$700,2,FALSE)*VLOOKUP($A372,DataPrixBillets!$M$66:$Q$700,2,FALSE),"")</f>
        <v>0</v>
      </c>
      <c r="C372" s="8">
        <f>IFERROR(VLOOKUP($A372,DataDemande!$AA$63:$AE$700,3,FALSE)*VLOOKUP($A372,DataPrixBillets!$M$66:$Q$700,3,FALSE),"")</f>
        <v>0</v>
      </c>
      <c r="D372" s="8">
        <f>IFERROR(VLOOKUP($A372,DataDemande!$AA$63:$AE$700,4,FALSE)*VLOOKUP($A372,DataPrixBillets!$M$66:$Q$700,4,FALSE),"")</f>
        <v>0</v>
      </c>
      <c r="E372" s="8">
        <f>IFERROR(VLOOKUP($A372,DataDemande!$AA$63:$AE$700,5,FALSE)*VLOOKUP($A372,DataPrixBillets!$M$66:$Q$700,5,FALSE),"")</f>
        <v>0</v>
      </c>
      <c r="F372" s="21">
        <f t="shared" si="7"/>
        <v>0</v>
      </c>
    </row>
    <row r="373" spans="1:6" x14ac:dyDescent="0.3">
      <c r="A373" s="185" t="str">
        <f>DataDemande!AA432</f>
        <v/>
      </c>
      <c r="B373" s="8">
        <f>IFERROR(VLOOKUP($A373,DataDemande!$AA$63:$AE$700,2,FALSE)*VLOOKUP($A373,DataPrixBillets!$M$66:$Q$700,2,FALSE),"")</f>
        <v>0</v>
      </c>
      <c r="C373" s="8">
        <f>IFERROR(VLOOKUP($A373,DataDemande!$AA$63:$AE$700,3,FALSE)*VLOOKUP($A373,DataPrixBillets!$M$66:$Q$700,3,FALSE),"")</f>
        <v>0</v>
      </c>
      <c r="D373" s="8">
        <f>IFERROR(VLOOKUP($A373,DataDemande!$AA$63:$AE$700,4,FALSE)*VLOOKUP($A373,DataPrixBillets!$M$66:$Q$700,4,FALSE),"")</f>
        <v>0</v>
      </c>
      <c r="E373" s="8">
        <f>IFERROR(VLOOKUP($A373,DataDemande!$AA$63:$AE$700,5,FALSE)*VLOOKUP($A373,DataPrixBillets!$M$66:$Q$700,5,FALSE),"")</f>
        <v>0</v>
      </c>
      <c r="F373" s="21">
        <f t="shared" si="7"/>
        <v>0</v>
      </c>
    </row>
    <row r="374" spans="1:6" x14ac:dyDescent="0.3">
      <c r="A374" s="185" t="str">
        <f>DataDemande!AA433</f>
        <v/>
      </c>
      <c r="B374" s="8">
        <f>IFERROR(VLOOKUP($A374,DataDemande!$AA$63:$AE$700,2,FALSE)*VLOOKUP($A374,DataPrixBillets!$M$66:$Q$700,2,FALSE),"")</f>
        <v>0</v>
      </c>
      <c r="C374" s="8">
        <f>IFERROR(VLOOKUP($A374,DataDemande!$AA$63:$AE$700,3,FALSE)*VLOOKUP($A374,DataPrixBillets!$M$66:$Q$700,3,FALSE),"")</f>
        <v>0</v>
      </c>
      <c r="D374" s="8">
        <f>IFERROR(VLOOKUP($A374,DataDemande!$AA$63:$AE$700,4,FALSE)*VLOOKUP($A374,DataPrixBillets!$M$66:$Q$700,4,FALSE),"")</f>
        <v>0</v>
      </c>
      <c r="E374" s="8">
        <f>IFERROR(VLOOKUP($A374,DataDemande!$AA$63:$AE$700,5,FALSE)*VLOOKUP($A374,DataPrixBillets!$M$66:$Q$700,5,FALSE),"")</f>
        <v>0</v>
      </c>
      <c r="F374" s="21">
        <f t="shared" si="7"/>
        <v>0</v>
      </c>
    </row>
    <row r="375" spans="1:6" x14ac:dyDescent="0.3">
      <c r="A375" s="185" t="str">
        <f>DataDemande!AA434</f>
        <v/>
      </c>
      <c r="B375" s="8">
        <f>IFERROR(VLOOKUP($A375,DataDemande!$AA$63:$AE$700,2,FALSE)*VLOOKUP($A375,DataPrixBillets!$M$66:$Q$700,2,FALSE),"")</f>
        <v>0</v>
      </c>
      <c r="C375" s="8">
        <f>IFERROR(VLOOKUP($A375,DataDemande!$AA$63:$AE$700,3,FALSE)*VLOOKUP($A375,DataPrixBillets!$M$66:$Q$700,3,FALSE),"")</f>
        <v>0</v>
      </c>
      <c r="D375" s="8">
        <f>IFERROR(VLOOKUP($A375,DataDemande!$AA$63:$AE$700,4,FALSE)*VLOOKUP($A375,DataPrixBillets!$M$66:$Q$700,4,FALSE),"")</f>
        <v>0</v>
      </c>
      <c r="E375" s="8">
        <f>IFERROR(VLOOKUP($A375,DataDemande!$AA$63:$AE$700,5,FALSE)*VLOOKUP($A375,DataPrixBillets!$M$66:$Q$700,5,FALSE),"")</f>
        <v>0</v>
      </c>
      <c r="F375" s="21">
        <f t="shared" si="7"/>
        <v>0</v>
      </c>
    </row>
    <row r="376" spans="1:6" x14ac:dyDescent="0.3">
      <c r="A376" s="185" t="str">
        <f>DataDemande!AA435</f>
        <v/>
      </c>
      <c r="B376" s="8">
        <f>IFERROR(VLOOKUP($A376,DataDemande!$AA$63:$AE$700,2,FALSE)*VLOOKUP($A376,DataPrixBillets!$M$66:$Q$700,2,FALSE),"")</f>
        <v>0</v>
      </c>
      <c r="C376" s="8">
        <f>IFERROR(VLOOKUP($A376,DataDemande!$AA$63:$AE$700,3,FALSE)*VLOOKUP($A376,DataPrixBillets!$M$66:$Q$700,3,FALSE),"")</f>
        <v>0</v>
      </c>
      <c r="D376" s="8">
        <f>IFERROR(VLOOKUP($A376,DataDemande!$AA$63:$AE$700,4,FALSE)*VLOOKUP($A376,DataPrixBillets!$M$66:$Q$700,4,FALSE),"")</f>
        <v>0</v>
      </c>
      <c r="E376" s="8">
        <f>IFERROR(VLOOKUP($A376,DataDemande!$AA$63:$AE$700,5,FALSE)*VLOOKUP($A376,DataPrixBillets!$M$66:$Q$700,5,FALSE),"")</f>
        <v>0</v>
      </c>
      <c r="F376" s="21">
        <f t="shared" si="7"/>
        <v>0</v>
      </c>
    </row>
    <row r="377" spans="1:6" x14ac:dyDescent="0.3">
      <c r="A377" s="185" t="str">
        <f>DataDemande!AA436</f>
        <v/>
      </c>
      <c r="B377" s="8">
        <f>IFERROR(VLOOKUP($A377,DataDemande!$AA$63:$AE$700,2,FALSE)*VLOOKUP($A377,DataPrixBillets!$M$66:$Q$700,2,FALSE),"")</f>
        <v>0</v>
      </c>
      <c r="C377" s="8">
        <f>IFERROR(VLOOKUP($A377,DataDemande!$AA$63:$AE$700,3,FALSE)*VLOOKUP($A377,DataPrixBillets!$M$66:$Q$700,3,FALSE),"")</f>
        <v>0</v>
      </c>
      <c r="D377" s="8">
        <f>IFERROR(VLOOKUP($A377,DataDemande!$AA$63:$AE$700,4,FALSE)*VLOOKUP($A377,DataPrixBillets!$M$66:$Q$700,4,FALSE),"")</f>
        <v>0</v>
      </c>
      <c r="E377" s="8">
        <f>IFERROR(VLOOKUP($A377,DataDemande!$AA$63:$AE$700,5,FALSE)*VLOOKUP($A377,DataPrixBillets!$M$66:$Q$700,5,FALSE),"")</f>
        <v>0</v>
      </c>
      <c r="F377" s="21">
        <f t="shared" si="7"/>
        <v>0</v>
      </c>
    </row>
    <row r="378" spans="1:6" x14ac:dyDescent="0.3">
      <c r="A378" s="185" t="str">
        <f>DataDemande!AA437</f>
        <v/>
      </c>
      <c r="B378" s="8">
        <f>IFERROR(VLOOKUP($A378,DataDemande!$AA$63:$AE$700,2,FALSE)*VLOOKUP($A378,DataPrixBillets!$M$66:$Q$700,2,FALSE),"")</f>
        <v>0</v>
      </c>
      <c r="C378" s="8">
        <f>IFERROR(VLOOKUP($A378,DataDemande!$AA$63:$AE$700,3,FALSE)*VLOOKUP($A378,DataPrixBillets!$M$66:$Q$700,3,FALSE),"")</f>
        <v>0</v>
      </c>
      <c r="D378" s="8">
        <f>IFERROR(VLOOKUP($A378,DataDemande!$AA$63:$AE$700,4,FALSE)*VLOOKUP($A378,DataPrixBillets!$M$66:$Q$700,4,FALSE),"")</f>
        <v>0</v>
      </c>
      <c r="E378" s="8">
        <f>IFERROR(VLOOKUP($A378,DataDemande!$AA$63:$AE$700,5,FALSE)*VLOOKUP($A378,DataPrixBillets!$M$66:$Q$700,5,FALSE),"")</f>
        <v>0</v>
      </c>
      <c r="F378" s="21">
        <f t="shared" si="7"/>
        <v>0</v>
      </c>
    </row>
    <row r="379" spans="1:6" x14ac:dyDescent="0.3">
      <c r="A379" s="185" t="str">
        <f>DataDemande!AA438</f>
        <v/>
      </c>
      <c r="B379" s="8">
        <f>IFERROR(VLOOKUP($A379,DataDemande!$AA$63:$AE$700,2,FALSE)*VLOOKUP($A379,DataPrixBillets!$M$66:$Q$700,2,FALSE),"")</f>
        <v>0</v>
      </c>
      <c r="C379" s="8">
        <f>IFERROR(VLOOKUP($A379,DataDemande!$AA$63:$AE$700,3,FALSE)*VLOOKUP($A379,DataPrixBillets!$M$66:$Q$700,3,FALSE),"")</f>
        <v>0</v>
      </c>
      <c r="D379" s="8">
        <f>IFERROR(VLOOKUP($A379,DataDemande!$AA$63:$AE$700,4,FALSE)*VLOOKUP($A379,DataPrixBillets!$M$66:$Q$700,4,FALSE),"")</f>
        <v>0</v>
      </c>
      <c r="E379" s="8">
        <f>IFERROR(VLOOKUP($A379,DataDemande!$AA$63:$AE$700,5,FALSE)*VLOOKUP($A379,DataPrixBillets!$M$66:$Q$700,5,FALSE),"")</f>
        <v>0</v>
      </c>
      <c r="F379" s="21">
        <f t="shared" si="7"/>
        <v>0</v>
      </c>
    </row>
    <row r="380" spans="1:6" x14ac:dyDescent="0.3">
      <c r="A380" s="185" t="str">
        <f>DataDemande!AA439</f>
        <v/>
      </c>
      <c r="B380" s="8">
        <f>IFERROR(VLOOKUP($A380,DataDemande!$AA$63:$AE$700,2,FALSE)*VLOOKUP($A380,DataPrixBillets!$M$66:$Q$700,2,FALSE),"")</f>
        <v>0</v>
      </c>
      <c r="C380" s="8">
        <f>IFERROR(VLOOKUP($A380,DataDemande!$AA$63:$AE$700,3,FALSE)*VLOOKUP($A380,DataPrixBillets!$M$66:$Q$700,3,FALSE),"")</f>
        <v>0</v>
      </c>
      <c r="D380" s="8">
        <f>IFERROR(VLOOKUP($A380,DataDemande!$AA$63:$AE$700,4,FALSE)*VLOOKUP($A380,DataPrixBillets!$M$66:$Q$700,4,FALSE),"")</f>
        <v>0</v>
      </c>
      <c r="E380" s="8">
        <f>IFERROR(VLOOKUP($A380,DataDemande!$AA$63:$AE$700,5,FALSE)*VLOOKUP($A380,DataPrixBillets!$M$66:$Q$700,5,FALSE),"")</f>
        <v>0</v>
      </c>
      <c r="F380" s="21">
        <f t="shared" si="7"/>
        <v>0</v>
      </c>
    </row>
    <row r="381" spans="1:6" x14ac:dyDescent="0.3">
      <c r="A381" s="185" t="str">
        <f>DataDemande!AA440</f>
        <v/>
      </c>
      <c r="B381" s="8">
        <f>IFERROR(VLOOKUP($A381,DataDemande!$AA$63:$AE$700,2,FALSE)*VLOOKUP($A381,DataPrixBillets!$M$66:$Q$700,2,FALSE),"")</f>
        <v>0</v>
      </c>
      <c r="C381" s="8">
        <f>IFERROR(VLOOKUP($A381,DataDemande!$AA$63:$AE$700,3,FALSE)*VLOOKUP($A381,DataPrixBillets!$M$66:$Q$700,3,FALSE),"")</f>
        <v>0</v>
      </c>
      <c r="D381" s="8">
        <f>IFERROR(VLOOKUP($A381,DataDemande!$AA$63:$AE$700,4,FALSE)*VLOOKUP($A381,DataPrixBillets!$M$66:$Q$700,4,FALSE),"")</f>
        <v>0</v>
      </c>
      <c r="E381" s="8">
        <f>IFERROR(VLOOKUP($A381,DataDemande!$AA$63:$AE$700,5,FALSE)*VLOOKUP($A381,DataPrixBillets!$M$66:$Q$700,5,FALSE),"")</f>
        <v>0</v>
      </c>
      <c r="F381" s="21">
        <f t="shared" si="7"/>
        <v>0</v>
      </c>
    </row>
    <row r="382" spans="1:6" x14ac:dyDescent="0.3">
      <c r="A382" s="185" t="str">
        <f>DataDemande!AA441</f>
        <v/>
      </c>
      <c r="B382" s="8">
        <f>IFERROR(VLOOKUP($A382,DataDemande!$AA$63:$AE$700,2,FALSE)*VLOOKUP($A382,DataPrixBillets!$M$66:$Q$700,2,FALSE),"")</f>
        <v>0</v>
      </c>
      <c r="C382" s="8">
        <f>IFERROR(VLOOKUP($A382,DataDemande!$AA$63:$AE$700,3,FALSE)*VLOOKUP($A382,DataPrixBillets!$M$66:$Q$700,3,FALSE),"")</f>
        <v>0</v>
      </c>
      <c r="D382" s="8">
        <f>IFERROR(VLOOKUP($A382,DataDemande!$AA$63:$AE$700,4,FALSE)*VLOOKUP($A382,DataPrixBillets!$M$66:$Q$700,4,FALSE),"")</f>
        <v>0</v>
      </c>
      <c r="E382" s="8">
        <f>IFERROR(VLOOKUP($A382,DataDemande!$AA$63:$AE$700,5,FALSE)*VLOOKUP($A382,DataPrixBillets!$M$66:$Q$700,5,FALSE),"")</f>
        <v>0</v>
      </c>
      <c r="F382" s="21">
        <f t="shared" si="7"/>
        <v>0</v>
      </c>
    </row>
    <row r="383" spans="1:6" x14ac:dyDescent="0.3">
      <c r="A383" s="185" t="str">
        <f>DataDemande!AA442</f>
        <v/>
      </c>
      <c r="B383" s="8">
        <f>IFERROR(VLOOKUP($A383,DataDemande!$AA$63:$AE$700,2,FALSE)*VLOOKUP($A383,DataPrixBillets!$M$66:$Q$700,2,FALSE),"")</f>
        <v>0</v>
      </c>
      <c r="C383" s="8">
        <f>IFERROR(VLOOKUP($A383,DataDemande!$AA$63:$AE$700,3,FALSE)*VLOOKUP($A383,DataPrixBillets!$M$66:$Q$700,3,FALSE),"")</f>
        <v>0</v>
      </c>
      <c r="D383" s="8">
        <f>IFERROR(VLOOKUP($A383,DataDemande!$AA$63:$AE$700,4,FALSE)*VLOOKUP($A383,DataPrixBillets!$M$66:$Q$700,4,FALSE),"")</f>
        <v>0</v>
      </c>
      <c r="E383" s="8">
        <f>IFERROR(VLOOKUP($A383,DataDemande!$AA$63:$AE$700,5,FALSE)*VLOOKUP($A383,DataPrixBillets!$M$66:$Q$700,5,FALSE),"")</f>
        <v>0</v>
      </c>
      <c r="F383" s="21">
        <f t="shared" si="7"/>
        <v>0</v>
      </c>
    </row>
    <row r="384" spans="1:6" x14ac:dyDescent="0.3">
      <c r="A384" s="185" t="str">
        <f>DataDemande!AA443</f>
        <v/>
      </c>
      <c r="B384" s="8">
        <f>IFERROR(VLOOKUP($A384,DataDemande!$AA$63:$AE$700,2,FALSE)*VLOOKUP($A384,DataPrixBillets!$M$66:$Q$700,2,FALSE),"")</f>
        <v>0</v>
      </c>
      <c r="C384" s="8">
        <f>IFERROR(VLOOKUP($A384,DataDemande!$AA$63:$AE$700,3,FALSE)*VLOOKUP($A384,DataPrixBillets!$M$66:$Q$700,3,FALSE),"")</f>
        <v>0</v>
      </c>
      <c r="D384" s="8">
        <f>IFERROR(VLOOKUP($A384,DataDemande!$AA$63:$AE$700,4,FALSE)*VLOOKUP($A384,DataPrixBillets!$M$66:$Q$700,4,FALSE),"")</f>
        <v>0</v>
      </c>
      <c r="E384" s="8">
        <f>IFERROR(VLOOKUP($A384,DataDemande!$AA$63:$AE$700,5,FALSE)*VLOOKUP($A384,DataPrixBillets!$M$66:$Q$700,5,FALSE),"")</f>
        <v>0</v>
      </c>
      <c r="F384" s="21">
        <f t="shared" si="7"/>
        <v>0</v>
      </c>
    </row>
    <row r="385" spans="1:6" x14ac:dyDescent="0.3">
      <c r="A385" s="185" t="str">
        <f>DataDemande!AA444</f>
        <v/>
      </c>
      <c r="B385" s="8">
        <f>IFERROR(VLOOKUP($A385,DataDemande!$AA$63:$AE$700,2,FALSE)*VLOOKUP($A385,DataPrixBillets!$M$66:$Q$700,2,FALSE),"")</f>
        <v>0</v>
      </c>
      <c r="C385" s="8">
        <f>IFERROR(VLOOKUP($A385,DataDemande!$AA$63:$AE$700,3,FALSE)*VLOOKUP($A385,DataPrixBillets!$M$66:$Q$700,3,FALSE),"")</f>
        <v>0</v>
      </c>
      <c r="D385" s="8">
        <f>IFERROR(VLOOKUP($A385,DataDemande!$AA$63:$AE$700,4,FALSE)*VLOOKUP($A385,DataPrixBillets!$M$66:$Q$700,4,FALSE),"")</f>
        <v>0</v>
      </c>
      <c r="E385" s="8">
        <f>IFERROR(VLOOKUP($A385,DataDemande!$AA$63:$AE$700,5,FALSE)*VLOOKUP($A385,DataPrixBillets!$M$66:$Q$700,5,FALSE),"")</f>
        <v>0</v>
      </c>
      <c r="F385" s="21">
        <f t="shared" si="7"/>
        <v>0</v>
      </c>
    </row>
    <row r="386" spans="1:6" x14ac:dyDescent="0.3">
      <c r="A386" s="185" t="str">
        <f>DataDemande!AA445</f>
        <v/>
      </c>
      <c r="B386" s="8">
        <f>IFERROR(VLOOKUP($A386,DataDemande!$AA$63:$AE$700,2,FALSE)*VLOOKUP($A386,DataPrixBillets!$M$66:$Q$700,2,FALSE),"")</f>
        <v>0</v>
      </c>
      <c r="C386" s="8">
        <f>IFERROR(VLOOKUP($A386,DataDemande!$AA$63:$AE$700,3,FALSE)*VLOOKUP($A386,DataPrixBillets!$M$66:$Q$700,3,FALSE),"")</f>
        <v>0</v>
      </c>
      <c r="D386" s="8">
        <f>IFERROR(VLOOKUP($A386,DataDemande!$AA$63:$AE$700,4,FALSE)*VLOOKUP($A386,DataPrixBillets!$M$66:$Q$700,4,FALSE),"")</f>
        <v>0</v>
      </c>
      <c r="E386" s="8">
        <f>IFERROR(VLOOKUP($A386,DataDemande!$AA$63:$AE$700,5,FALSE)*VLOOKUP($A386,DataPrixBillets!$M$66:$Q$700,5,FALSE),"")</f>
        <v>0</v>
      </c>
      <c r="F386" s="21">
        <f t="shared" si="7"/>
        <v>0</v>
      </c>
    </row>
    <row r="387" spans="1:6" x14ac:dyDescent="0.3">
      <c r="A387" s="185" t="str">
        <f>DataDemande!AA446</f>
        <v/>
      </c>
      <c r="B387" s="8">
        <f>IFERROR(VLOOKUP($A387,DataDemande!$AA$63:$AE$700,2,FALSE)*VLOOKUP($A387,DataPrixBillets!$M$66:$Q$700,2,FALSE),"")</f>
        <v>0</v>
      </c>
      <c r="C387" s="8">
        <f>IFERROR(VLOOKUP($A387,DataDemande!$AA$63:$AE$700,3,FALSE)*VLOOKUP($A387,DataPrixBillets!$M$66:$Q$700,3,FALSE),"")</f>
        <v>0</v>
      </c>
      <c r="D387" s="8">
        <f>IFERROR(VLOOKUP($A387,DataDemande!$AA$63:$AE$700,4,FALSE)*VLOOKUP($A387,DataPrixBillets!$M$66:$Q$700,4,FALSE),"")</f>
        <v>0</v>
      </c>
      <c r="E387" s="8">
        <f>IFERROR(VLOOKUP($A387,DataDemande!$AA$63:$AE$700,5,FALSE)*VLOOKUP($A387,DataPrixBillets!$M$66:$Q$700,5,FALSE),"")</f>
        <v>0</v>
      </c>
      <c r="F387" s="21">
        <f t="shared" si="7"/>
        <v>0</v>
      </c>
    </row>
    <row r="388" spans="1:6" x14ac:dyDescent="0.3">
      <c r="A388" s="185" t="str">
        <f>DataDemande!AA447</f>
        <v/>
      </c>
      <c r="B388" s="8">
        <f>IFERROR(VLOOKUP($A388,DataDemande!$AA$63:$AE$700,2,FALSE)*VLOOKUP($A388,DataPrixBillets!$M$66:$Q$700,2,FALSE),"")</f>
        <v>0</v>
      </c>
      <c r="C388" s="8">
        <f>IFERROR(VLOOKUP($A388,DataDemande!$AA$63:$AE$700,3,FALSE)*VLOOKUP($A388,DataPrixBillets!$M$66:$Q$700,3,FALSE),"")</f>
        <v>0</v>
      </c>
      <c r="D388" s="8">
        <f>IFERROR(VLOOKUP($A388,DataDemande!$AA$63:$AE$700,4,FALSE)*VLOOKUP($A388,DataPrixBillets!$M$66:$Q$700,4,FALSE),"")</f>
        <v>0</v>
      </c>
      <c r="E388" s="8">
        <f>IFERROR(VLOOKUP($A388,DataDemande!$AA$63:$AE$700,5,FALSE)*VLOOKUP($A388,DataPrixBillets!$M$66:$Q$700,5,FALSE),"")</f>
        <v>0</v>
      </c>
      <c r="F388" s="21">
        <f t="shared" si="7"/>
        <v>0</v>
      </c>
    </row>
    <row r="389" spans="1:6" x14ac:dyDescent="0.3">
      <c r="A389" s="185" t="str">
        <f>DataDemande!AA448</f>
        <v/>
      </c>
      <c r="B389" s="8">
        <f>IFERROR(VLOOKUP($A389,DataDemande!$AA$63:$AE$700,2,FALSE)*VLOOKUP($A389,DataPrixBillets!$M$66:$Q$700,2,FALSE),"")</f>
        <v>0</v>
      </c>
      <c r="C389" s="8">
        <f>IFERROR(VLOOKUP($A389,DataDemande!$AA$63:$AE$700,3,FALSE)*VLOOKUP($A389,DataPrixBillets!$M$66:$Q$700,3,FALSE),"")</f>
        <v>0</v>
      </c>
      <c r="D389" s="8">
        <f>IFERROR(VLOOKUP($A389,DataDemande!$AA$63:$AE$700,4,FALSE)*VLOOKUP($A389,DataPrixBillets!$M$66:$Q$700,4,FALSE),"")</f>
        <v>0</v>
      </c>
      <c r="E389" s="8">
        <f>IFERROR(VLOOKUP($A389,DataDemande!$AA$63:$AE$700,5,FALSE)*VLOOKUP($A389,DataPrixBillets!$M$66:$Q$700,5,FALSE),"")</f>
        <v>0</v>
      </c>
      <c r="F389" s="21">
        <f t="shared" ref="F389:F452" si="8">SUM(B389:E389)</f>
        <v>0</v>
      </c>
    </row>
    <row r="390" spans="1:6" x14ac:dyDescent="0.3">
      <c r="A390" s="185" t="str">
        <f>DataDemande!AA449</f>
        <v/>
      </c>
      <c r="B390" s="8">
        <f>IFERROR(VLOOKUP($A390,DataDemande!$AA$63:$AE$700,2,FALSE)*VLOOKUP($A390,DataPrixBillets!$M$66:$Q$700,2,FALSE),"")</f>
        <v>0</v>
      </c>
      <c r="C390" s="8">
        <f>IFERROR(VLOOKUP($A390,DataDemande!$AA$63:$AE$700,3,FALSE)*VLOOKUP($A390,DataPrixBillets!$M$66:$Q$700,3,FALSE),"")</f>
        <v>0</v>
      </c>
      <c r="D390" s="8">
        <f>IFERROR(VLOOKUP($A390,DataDemande!$AA$63:$AE$700,4,FALSE)*VLOOKUP($A390,DataPrixBillets!$M$66:$Q$700,4,FALSE),"")</f>
        <v>0</v>
      </c>
      <c r="E390" s="8">
        <f>IFERROR(VLOOKUP($A390,DataDemande!$AA$63:$AE$700,5,FALSE)*VLOOKUP($A390,DataPrixBillets!$M$66:$Q$700,5,FALSE),"")</f>
        <v>0</v>
      </c>
      <c r="F390" s="21">
        <f t="shared" si="8"/>
        <v>0</v>
      </c>
    </row>
    <row r="391" spans="1:6" x14ac:dyDescent="0.3">
      <c r="A391" s="185" t="str">
        <f>DataDemande!AA450</f>
        <v/>
      </c>
      <c r="B391" s="8">
        <f>IFERROR(VLOOKUP($A391,DataDemande!$AA$63:$AE$700,2,FALSE)*VLOOKUP($A391,DataPrixBillets!$M$66:$Q$700,2,FALSE),"")</f>
        <v>0</v>
      </c>
      <c r="C391" s="8">
        <f>IFERROR(VLOOKUP($A391,DataDemande!$AA$63:$AE$700,3,FALSE)*VLOOKUP($A391,DataPrixBillets!$M$66:$Q$700,3,FALSE),"")</f>
        <v>0</v>
      </c>
      <c r="D391" s="8">
        <f>IFERROR(VLOOKUP($A391,DataDemande!$AA$63:$AE$700,4,FALSE)*VLOOKUP($A391,DataPrixBillets!$M$66:$Q$700,4,FALSE),"")</f>
        <v>0</v>
      </c>
      <c r="E391" s="8">
        <f>IFERROR(VLOOKUP($A391,DataDemande!$AA$63:$AE$700,5,FALSE)*VLOOKUP($A391,DataPrixBillets!$M$66:$Q$700,5,FALSE),"")</f>
        <v>0</v>
      </c>
      <c r="F391" s="21">
        <f t="shared" si="8"/>
        <v>0</v>
      </c>
    </row>
    <row r="392" spans="1:6" x14ac:dyDescent="0.3">
      <c r="A392" s="185" t="str">
        <f>DataDemande!AA451</f>
        <v/>
      </c>
      <c r="B392" s="8">
        <f>IFERROR(VLOOKUP($A392,DataDemande!$AA$63:$AE$700,2,FALSE)*VLOOKUP($A392,DataPrixBillets!$M$66:$Q$700,2,FALSE),"")</f>
        <v>0</v>
      </c>
      <c r="C392" s="8">
        <f>IFERROR(VLOOKUP($A392,DataDemande!$AA$63:$AE$700,3,FALSE)*VLOOKUP($A392,DataPrixBillets!$M$66:$Q$700,3,FALSE),"")</f>
        <v>0</v>
      </c>
      <c r="D392" s="8">
        <f>IFERROR(VLOOKUP($A392,DataDemande!$AA$63:$AE$700,4,FALSE)*VLOOKUP($A392,DataPrixBillets!$M$66:$Q$700,4,FALSE),"")</f>
        <v>0</v>
      </c>
      <c r="E392" s="8">
        <f>IFERROR(VLOOKUP($A392,DataDemande!$AA$63:$AE$700,5,FALSE)*VLOOKUP($A392,DataPrixBillets!$M$66:$Q$700,5,FALSE),"")</f>
        <v>0</v>
      </c>
      <c r="F392" s="21">
        <f t="shared" si="8"/>
        <v>0</v>
      </c>
    </row>
    <row r="393" spans="1:6" x14ac:dyDescent="0.3">
      <c r="A393" s="185" t="str">
        <f>DataDemande!AA452</f>
        <v/>
      </c>
      <c r="B393" s="8">
        <f>IFERROR(VLOOKUP($A393,DataDemande!$AA$63:$AE$700,2,FALSE)*VLOOKUP($A393,DataPrixBillets!$M$66:$Q$700,2,FALSE),"")</f>
        <v>0</v>
      </c>
      <c r="C393" s="8">
        <f>IFERROR(VLOOKUP($A393,DataDemande!$AA$63:$AE$700,3,FALSE)*VLOOKUP($A393,DataPrixBillets!$M$66:$Q$700,3,FALSE),"")</f>
        <v>0</v>
      </c>
      <c r="D393" s="8">
        <f>IFERROR(VLOOKUP($A393,DataDemande!$AA$63:$AE$700,4,FALSE)*VLOOKUP($A393,DataPrixBillets!$M$66:$Q$700,4,FALSE),"")</f>
        <v>0</v>
      </c>
      <c r="E393" s="8">
        <f>IFERROR(VLOOKUP($A393,DataDemande!$AA$63:$AE$700,5,FALSE)*VLOOKUP($A393,DataPrixBillets!$M$66:$Q$700,5,FALSE),"")</f>
        <v>0</v>
      </c>
      <c r="F393" s="21">
        <f t="shared" si="8"/>
        <v>0</v>
      </c>
    </row>
    <row r="394" spans="1:6" x14ac:dyDescent="0.3">
      <c r="A394" s="185" t="str">
        <f>DataDemande!AA453</f>
        <v/>
      </c>
      <c r="B394" s="8">
        <f>IFERROR(VLOOKUP($A394,DataDemande!$AA$63:$AE$700,2,FALSE)*VLOOKUP($A394,DataPrixBillets!$M$66:$Q$700,2,FALSE),"")</f>
        <v>0</v>
      </c>
      <c r="C394" s="8">
        <f>IFERROR(VLOOKUP($A394,DataDemande!$AA$63:$AE$700,3,FALSE)*VLOOKUP($A394,DataPrixBillets!$M$66:$Q$700,3,FALSE),"")</f>
        <v>0</v>
      </c>
      <c r="D394" s="8">
        <f>IFERROR(VLOOKUP($A394,DataDemande!$AA$63:$AE$700,4,FALSE)*VLOOKUP($A394,DataPrixBillets!$M$66:$Q$700,4,FALSE),"")</f>
        <v>0</v>
      </c>
      <c r="E394" s="8">
        <f>IFERROR(VLOOKUP($A394,DataDemande!$AA$63:$AE$700,5,FALSE)*VLOOKUP($A394,DataPrixBillets!$M$66:$Q$700,5,FALSE),"")</f>
        <v>0</v>
      </c>
      <c r="F394" s="21">
        <f t="shared" si="8"/>
        <v>0</v>
      </c>
    </row>
    <row r="395" spans="1:6" x14ac:dyDescent="0.3">
      <c r="A395" s="185" t="str">
        <f>DataDemande!AA454</f>
        <v/>
      </c>
      <c r="B395" s="8">
        <f>IFERROR(VLOOKUP($A395,DataDemande!$AA$63:$AE$700,2,FALSE)*VLOOKUP($A395,DataPrixBillets!$M$66:$Q$700,2,FALSE),"")</f>
        <v>0</v>
      </c>
      <c r="C395" s="8">
        <f>IFERROR(VLOOKUP($A395,DataDemande!$AA$63:$AE$700,3,FALSE)*VLOOKUP($A395,DataPrixBillets!$M$66:$Q$700,3,FALSE),"")</f>
        <v>0</v>
      </c>
      <c r="D395" s="8">
        <f>IFERROR(VLOOKUP($A395,DataDemande!$AA$63:$AE$700,4,FALSE)*VLOOKUP($A395,DataPrixBillets!$M$66:$Q$700,4,FALSE),"")</f>
        <v>0</v>
      </c>
      <c r="E395" s="8">
        <f>IFERROR(VLOOKUP($A395,DataDemande!$AA$63:$AE$700,5,FALSE)*VLOOKUP($A395,DataPrixBillets!$M$66:$Q$700,5,FALSE),"")</f>
        <v>0</v>
      </c>
      <c r="F395" s="21">
        <f t="shared" si="8"/>
        <v>0</v>
      </c>
    </row>
    <row r="396" spans="1:6" x14ac:dyDescent="0.3">
      <c r="A396" s="185" t="str">
        <f>DataDemande!AA455</f>
        <v/>
      </c>
      <c r="B396" s="8">
        <f>IFERROR(VLOOKUP($A396,DataDemande!$AA$63:$AE$700,2,FALSE)*VLOOKUP($A396,DataPrixBillets!$M$66:$Q$700,2,FALSE),"")</f>
        <v>0</v>
      </c>
      <c r="C396" s="8">
        <f>IFERROR(VLOOKUP($A396,DataDemande!$AA$63:$AE$700,3,FALSE)*VLOOKUP($A396,DataPrixBillets!$M$66:$Q$700,3,FALSE),"")</f>
        <v>0</v>
      </c>
      <c r="D396" s="8">
        <f>IFERROR(VLOOKUP($A396,DataDemande!$AA$63:$AE$700,4,FALSE)*VLOOKUP($A396,DataPrixBillets!$M$66:$Q$700,4,FALSE),"")</f>
        <v>0</v>
      </c>
      <c r="E396" s="8">
        <f>IFERROR(VLOOKUP($A396,DataDemande!$AA$63:$AE$700,5,FALSE)*VLOOKUP($A396,DataPrixBillets!$M$66:$Q$700,5,FALSE),"")</f>
        <v>0</v>
      </c>
      <c r="F396" s="21">
        <f t="shared" si="8"/>
        <v>0</v>
      </c>
    </row>
    <row r="397" spans="1:6" x14ac:dyDescent="0.3">
      <c r="A397" s="185" t="str">
        <f>DataDemande!AA456</f>
        <v/>
      </c>
      <c r="B397" s="8">
        <f>IFERROR(VLOOKUP($A397,DataDemande!$AA$63:$AE$700,2,FALSE)*VLOOKUP($A397,DataPrixBillets!$M$66:$Q$700,2,FALSE),"")</f>
        <v>0</v>
      </c>
      <c r="C397" s="8">
        <f>IFERROR(VLOOKUP($A397,DataDemande!$AA$63:$AE$700,3,FALSE)*VLOOKUP($A397,DataPrixBillets!$M$66:$Q$700,3,FALSE),"")</f>
        <v>0</v>
      </c>
      <c r="D397" s="8">
        <f>IFERROR(VLOOKUP($A397,DataDemande!$AA$63:$AE$700,4,FALSE)*VLOOKUP($A397,DataPrixBillets!$M$66:$Q$700,4,FALSE),"")</f>
        <v>0</v>
      </c>
      <c r="E397" s="8">
        <f>IFERROR(VLOOKUP($A397,DataDemande!$AA$63:$AE$700,5,FALSE)*VLOOKUP($A397,DataPrixBillets!$M$66:$Q$700,5,FALSE),"")</f>
        <v>0</v>
      </c>
      <c r="F397" s="21">
        <f t="shared" si="8"/>
        <v>0</v>
      </c>
    </row>
    <row r="398" spans="1:6" x14ac:dyDescent="0.3">
      <c r="A398" s="185" t="str">
        <f>DataDemande!AA457</f>
        <v/>
      </c>
      <c r="B398" s="8">
        <f>IFERROR(VLOOKUP($A398,DataDemande!$AA$63:$AE$700,2,FALSE)*VLOOKUP($A398,DataPrixBillets!$M$66:$Q$700,2,FALSE),"")</f>
        <v>0</v>
      </c>
      <c r="C398" s="8">
        <f>IFERROR(VLOOKUP($A398,DataDemande!$AA$63:$AE$700,3,FALSE)*VLOOKUP($A398,DataPrixBillets!$M$66:$Q$700,3,FALSE),"")</f>
        <v>0</v>
      </c>
      <c r="D398" s="8">
        <f>IFERROR(VLOOKUP($A398,DataDemande!$AA$63:$AE$700,4,FALSE)*VLOOKUP($A398,DataPrixBillets!$M$66:$Q$700,4,FALSE),"")</f>
        <v>0</v>
      </c>
      <c r="E398" s="8">
        <f>IFERROR(VLOOKUP($A398,DataDemande!$AA$63:$AE$700,5,FALSE)*VLOOKUP($A398,DataPrixBillets!$M$66:$Q$700,5,FALSE),"")</f>
        <v>0</v>
      </c>
      <c r="F398" s="21">
        <f t="shared" si="8"/>
        <v>0</v>
      </c>
    </row>
    <row r="399" spans="1:6" x14ac:dyDescent="0.3">
      <c r="A399" s="185" t="str">
        <f>DataDemande!AA458</f>
        <v/>
      </c>
      <c r="B399" s="8">
        <f>IFERROR(VLOOKUP($A399,DataDemande!$AA$63:$AE$700,2,FALSE)*VLOOKUP($A399,DataPrixBillets!$M$66:$Q$700,2,FALSE),"")</f>
        <v>0</v>
      </c>
      <c r="C399" s="8">
        <f>IFERROR(VLOOKUP($A399,DataDemande!$AA$63:$AE$700,3,FALSE)*VLOOKUP($A399,DataPrixBillets!$M$66:$Q$700,3,FALSE),"")</f>
        <v>0</v>
      </c>
      <c r="D399" s="8">
        <f>IFERROR(VLOOKUP($A399,DataDemande!$AA$63:$AE$700,4,FALSE)*VLOOKUP($A399,DataPrixBillets!$M$66:$Q$700,4,FALSE),"")</f>
        <v>0</v>
      </c>
      <c r="E399" s="8">
        <f>IFERROR(VLOOKUP($A399,DataDemande!$AA$63:$AE$700,5,FALSE)*VLOOKUP($A399,DataPrixBillets!$M$66:$Q$700,5,FALSE),"")</f>
        <v>0</v>
      </c>
      <c r="F399" s="21">
        <f t="shared" si="8"/>
        <v>0</v>
      </c>
    </row>
    <row r="400" spans="1:6" x14ac:dyDescent="0.3">
      <c r="A400" s="185" t="str">
        <f>DataDemande!AA459</f>
        <v/>
      </c>
      <c r="B400" s="8">
        <f>IFERROR(VLOOKUP($A400,DataDemande!$AA$63:$AE$700,2,FALSE)*VLOOKUP($A400,DataPrixBillets!$M$66:$Q$700,2,FALSE),"")</f>
        <v>0</v>
      </c>
      <c r="C400" s="8">
        <f>IFERROR(VLOOKUP($A400,DataDemande!$AA$63:$AE$700,3,FALSE)*VLOOKUP($A400,DataPrixBillets!$M$66:$Q$700,3,FALSE),"")</f>
        <v>0</v>
      </c>
      <c r="D400" s="8">
        <f>IFERROR(VLOOKUP($A400,DataDemande!$AA$63:$AE$700,4,FALSE)*VLOOKUP($A400,DataPrixBillets!$M$66:$Q$700,4,FALSE),"")</f>
        <v>0</v>
      </c>
      <c r="E400" s="8">
        <f>IFERROR(VLOOKUP($A400,DataDemande!$AA$63:$AE$700,5,FALSE)*VLOOKUP($A400,DataPrixBillets!$M$66:$Q$700,5,FALSE),"")</f>
        <v>0</v>
      </c>
      <c r="F400" s="21">
        <f t="shared" si="8"/>
        <v>0</v>
      </c>
    </row>
    <row r="401" spans="1:6" x14ac:dyDescent="0.3">
      <c r="A401" s="185" t="str">
        <f>DataDemande!AA460</f>
        <v/>
      </c>
      <c r="B401" s="8">
        <f>IFERROR(VLOOKUP($A401,DataDemande!$AA$63:$AE$700,2,FALSE)*VLOOKUP($A401,DataPrixBillets!$M$66:$Q$700,2,FALSE),"")</f>
        <v>0</v>
      </c>
      <c r="C401" s="8">
        <f>IFERROR(VLOOKUP($A401,DataDemande!$AA$63:$AE$700,3,FALSE)*VLOOKUP($A401,DataPrixBillets!$M$66:$Q$700,3,FALSE),"")</f>
        <v>0</v>
      </c>
      <c r="D401" s="8">
        <f>IFERROR(VLOOKUP($A401,DataDemande!$AA$63:$AE$700,4,FALSE)*VLOOKUP($A401,DataPrixBillets!$M$66:$Q$700,4,FALSE),"")</f>
        <v>0</v>
      </c>
      <c r="E401" s="8">
        <f>IFERROR(VLOOKUP($A401,DataDemande!$AA$63:$AE$700,5,FALSE)*VLOOKUP($A401,DataPrixBillets!$M$66:$Q$700,5,FALSE),"")</f>
        <v>0</v>
      </c>
      <c r="F401" s="21">
        <f t="shared" si="8"/>
        <v>0</v>
      </c>
    </row>
    <row r="402" spans="1:6" x14ac:dyDescent="0.3">
      <c r="A402" s="185" t="str">
        <f>DataDemande!AA461</f>
        <v/>
      </c>
      <c r="B402" s="8">
        <f>IFERROR(VLOOKUP($A402,DataDemande!$AA$63:$AE$700,2,FALSE)*VLOOKUP($A402,DataPrixBillets!$M$66:$Q$700,2,FALSE),"")</f>
        <v>0</v>
      </c>
      <c r="C402" s="8">
        <f>IFERROR(VLOOKUP($A402,DataDemande!$AA$63:$AE$700,3,FALSE)*VLOOKUP($A402,DataPrixBillets!$M$66:$Q$700,3,FALSE),"")</f>
        <v>0</v>
      </c>
      <c r="D402" s="8">
        <f>IFERROR(VLOOKUP($A402,DataDemande!$AA$63:$AE$700,4,FALSE)*VLOOKUP($A402,DataPrixBillets!$M$66:$Q$700,4,FALSE),"")</f>
        <v>0</v>
      </c>
      <c r="E402" s="8">
        <f>IFERROR(VLOOKUP($A402,DataDemande!$AA$63:$AE$700,5,FALSE)*VLOOKUP($A402,DataPrixBillets!$M$66:$Q$700,5,FALSE),"")</f>
        <v>0</v>
      </c>
      <c r="F402" s="21">
        <f t="shared" si="8"/>
        <v>0</v>
      </c>
    </row>
    <row r="403" spans="1:6" x14ac:dyDescent="0.3">
      <c r="A403" s="185" t="str">
        <f>DataDemande!AA462</f>
        <v/>
      </c>
      <c r="B403" s="8">
        <f>IFERROR(VLOOKUP($A403,DataDemande!$AA$63:$AE$700,2,FALSE)*VLOOKUP($A403,DataPrixBillets!$M$66:$Q$700,2,FALSE),"")</f>
        <v>0</v>
      </c>
      <c r="C403" s="8">
        <f>IFERROR(VLOOKUP($A403,DataDemande!$AA$63:$AE$700,3,FALSE)*VLOOKUP($A403,DataPrixBillets!$M$66:$Q$700,3,FALSE),"")</f>
        <v>0</v>
      </c>
      <c r="D403" s="8">
        <f>IFERROR(VLOOKUP($A403,DataDemande!$AA$63:$AE$700,4,FALSE)*VLOOKUP($A403,DataPrixBillets!$M$66:$Q$700,4,FALSE),"")</f>
        <v>0</v>
      </c>
      <c r="E403" s="8">
        <f>IFERROR(VLOOKUP($A403,DataDemande!$AA$63:$AE$700,5,FALSE)*VLOOKUP($A403,DataPrixBillets!$M$66:$Q$700,5,FALSE),"")</f>
        <v>0</v>
      </c>
      <c r="F403" s="21">
        <f t="shared" si="8"/>
        <v>0</v>
      </c>
    </row>
    <row r="404" spans="1:6" x14ac:dyDescent="0.3">
      <c r="A404" s="185" t="str">
        <f>DataDemande!AA463</f>
        <v/>
      </c>
      <c r="B404" s="8">
        <f>IFERROR(VLOOKUP($A404,DataDemande!$AA$63:$AE$700,2,FALSE)*VLOOKUP($A404,DataPrixBillets!$M$66:$Q$700,2,FALSE),"")</f>
        <v>0</v>
      </c>
      <c r="C404" s="8">
        <f>IFERROR(VLOOKUP($A404,DataDemande!$AA$63:$AE$700,3,FALSE)*VLOOKUP($A404,DataPrixBillets!$M$66:$Q$700,3,FALSE),"")</f>
        <v>0</v>
      </c>
      <c r="D404" s="8">
        <f>IFERROR(VLOOKUP($A404,DataDemande!$AA$63:$AE$700,4,FALSE)*VLOOKUP($A404,DataPrixBillets!$M$66:$Q$700,4,FALSE),"")</f>
        <v>0</v>
      </c>
      <c r="E404" s="8">
        <f>IFERROR(VLOOKUP($A404,DataDemande!$AA$63:$AE$700,5,FALSE)*VLOOKUP($A404,DataPrixBillets!$M$66:$Q$700,5,FALSE),"")</f>
        <v>0</v>
      </c>
      <c r="F404" s="21">
        <f t="shared" si="8"/>
        <v>0</v>
      </c>
    </row>
    <row r="405" spans="1:6" x14ac:dyDescent="0.3">
      <c r="A405" s="185" t="str">
        <f>DataDemande!AA464</f>
        <v/>
      </c>
      <c r="B405" s="8">
        <f>IFERROR(VLOOKUP($A405,DataDemande!$AA$63:$AE$700,2,FALSE)*VLOOKUP($A405,DataPrixBillets!$M$66:$Q$700,2,FALSE),"")</f>
        <v>0</v>
      </c>
      <c r="C405" s="8">
        <f>IFERROR(VLOOKUP($A405,DataDemande!$AA$63:$AE$700,3,FALSE)*VLOOKUP($A405,DataPrixBillets!$M$66:$Q$700,3,FALSE),"")</f>
        <v>0</v>
      </c>
      <c r="D405" s="8">
        <f>IFERROR(VLOOKUP($A405,DataDemande!$AA$63:$AE$700,4,FALSE)*VLOOKUP($A405,DataPrixBillets!$M$66:$Q$700,4,FALSE),"")</f>
        <v>0</v>
      </c>
      <c r="E405" s="8">
        <f>IFERROR(VLOOKUP($A405,DataDemande!$AA$63:$AE$700,5,FALSE)*VLOOKUP($A405,DataPrixBillets!$M$66:$Q$700,5,FALSE),"")</f>
        <v>0</v>
      </c>
      <c r="F405" s="21">
        <f t="shared" si="8"/>
        <v>0</v>
      </c>
    </row>
    <row r="406" spans="1:6" x14ac:dyDescent="0.3">
      <c r="A406" s="185" t="str">
        <f>DataDemande!AA465</f>
        <v/>
      </c>
      <c r="B406" s="8">
        <f>IFERROR(VLOOKUP($A406,DataDemande!$AA$63:$AE$700,2,FALSE)*VLOOKUP($A406,DataPrixBillets!$M$66:$Q$700,2,FALSE),"")</f>
        <v>0</v>
      </c>
      <c r="C406" s="8">
        <f>IFERROR(VLOOKUP($A406,DataDemande!$AA$63:$AE$700,3,FALSE)*VLOOKUP($A406,DataPrixBillets!$M$66:$Q$700,3,FALSE),"")</f>
        <v>0</v>
      </c>
      <c r="D406" s="8">
        <f>IFERROR(VLOOKUP($A406,DataDemande!$AA$63:$AE$700,4,FALSE)*VLOOKUP($A406,DataPrixBillets!$M$66:$Q$700,4,FALSE),"")</f>
        <v>0</v>
      </c>
      <c r="E406" s="8">
        <f>IFERROR(VLOOKUP($A406,DataDemande!$AA$63:$AE$700,5,FALSE)*VLOOKUP($A406,DataPrixBillets!$M$66:$Q$700,5,FALSE),"")</f>
        <v>0</v>
      </c>
      <c r="F406" s="21">
        <f t="shared" si="8"/>
        <v>0</v>
      </c>
    </row>
    <row r="407" spans="1:6" x14ac:dyDescent="0.3">
      <c r="A407" s="185" t="str">
        <f>DataDemande!AA466</f>
        <v/>
      </c>
      <c r="B407" s="8">
        <f>IFERROR(VLOOKUP($A407,DataDemande!$AA$63:$AE$700,2,FALSE)*VLOOKUP($A407,DataPrixBillets!$M$66:$Q$700,2,FALSE),"")</f>
        <v>0</v>
      </c>
      <c r="C407" s="8">
        <f>IFERROR(VLOOKUP($A407,DataDemande!$AA$63:$AE$700,3,FALSE)*VLOOKUP($A407,DataPrixBillets!$M$66:$Q$700,3,FALSE),"")</f>
        <v>0</v>
      </c>
      <c r="D407" s="8">
        <f>IFERROR(VLOOKUP($A407,DataDemande!$AA$63:$AE$700,4,FALSE)*VLOOKUP($A407,DataPrixBillets!$M$66:$Q$700,4,FALSE),"")</f>
        <v>0</v>
      </c>
      <c r="E407" s="8">
        <f>IFERROR(VLOOKUP($A407,DataDemande!$AA$63:$AE$700,5,FALSE)*VLOOKUP($A407,DataPrixBillets!$M$66:$Q$700,5,FALSE),"")</f>
        <v>0</v>
      </c>
      <c r="F407" s="21">
        <f t="shared" si="8"/>
        <v>0</v>
      </c>
    </row>
    <row r="408" spans="1:6" x14ac:dyDescent="0.3">
      <c r="A408" s="185" t="str">
        <f>DataDemande!AA467</f>
        <v/>
      </c>
      <c r="B408" s="8">
        <f>IFERROR(VLOOKUP($A408,DataDemande!$AA$63:$AE$700,2,FALSE)*VLOOKUP($A408,DataPrixBillets!$M$66:$Q$700,2,FALSE),"")</f>
        <v>0</v>
      </c>
      <c r="C408" s="8">
        <f>IFERROR(VLOOKUP($A408,DataDemande!$AA$63:$AE$700,3,FALSE)*VLOOKUP($A408,DataPrixBillets!$M$66:$Q$700,3,FALSE),"")</f>
        <v>0</v>
      </c>
      <c r="D408" s="8">
        <f>IFERROR(VLOOKUP($A408,DataDemande!$AA$63:$AE$700,4,FALSE)*VLOOKUP($A408,DataPrixBillets!$M$66:$Q$700,4,FALSE),"")</f>
        <v>0</v>
      </c>
      <c r="E408" s="8">
        <f>IFERROR(VLOOKUP($A408,DataDemande!$AA$63:$AE$700,5,FALSE)*VLOOKUP($A408,DataPrixBillets!$M$66:$Q$700,5,FALSE),"")</f>
        <v>0</v>
      </c>
      <c r="F408" s="21">
        <f t="shared" si="8"/>
        <v>0</v>
      </c>
    </row>
    <row r="409" spans="1:6" x14ac:dyDescent="0.3">
      <c r="A409" s="185" t="str">
        <f>DataDemande!AA468</f>
        <v/>
      </c>
      <c r="B409" s="8">
        <f>IFERROR(VLOOKUP($A409,DataDemande!$AA$63:$AE$700,2,FALSE)*VLOOKUP($A409,DataPrixBillets!$M$66:$Q$700,2,FALSE),"")</f>
        <v>0</v>
      </c>
      <c r="C409" s="8">
        <f>IFERROR(VLOOKUP($A409,DataDemande!$AA$63:$AE$700,3,FALSE)*VLOOKUP($A409,DataPrixBillets!$M$66:$Q$700,3,FALSE),"")</f>
        <v>0</v>
      </c>
      <c r="D409" s="8">
        <f>IFERROR(VLOOKUP($A409,DataDemande!$AA$63:$AE$700,4,FALSE)*VLOOKUP($A409,DataPrixBillets!$M$66:$Q$700,4,FALSE),"")</f>
        <v>0</v>
      </c>
      <c r="E409" s="8">
        <f>IFERROR(VLOOKUP($A409,DataDemande!$AA$63:$AE$700,5,FALSE)*VLOOKUP($A409,DataPrixBillets!$M$66:$Q$700,5,FALSE),"")</f>
        <v>0</v>
      </c>
      <c r="F409" s="21">
        <f t="shared" si="8"/>
        <v>0</v>
      </c>
    </row>
    <row r="410" spans="1:6" x14ac:dyDescent="0.3">
      <c r="A410" s="185" t="str">
        <f>DataDemande!AA469</f>
        <v/>
      </c>
      <c r="B410" s="8">
        <f>IFERROR(VLOOKUP($A410,DataDemande!$AA$63:$AE$700,2,FALSE)*VLOOKUP($A410,DataPrixBillets!$M$66:$Q$700,2,FALSE),"")</f>
        <v>0</v>
      </c>
      <c r="C410" s="8">
        <f>IFERROR(VLOOKUP($A410,DataDemande!$AA$63:$AE$700,3,FALSE)*VLOOKUP($A410,DataPrixBillets!$M$66:$Q$700,3,FALSE),"")</f>
        <v>0</v>
      </c>
      <c r="D410" s="8">
        <f>IFERROR(VLOOKUP($A410,DataDemande!$AA$63:$AE$700,4,FALSE)*VLOOKUP($A410,DataPrixBillets!$M$66:$Q$700,4,FALSE),"")</f>
        <v>0</v>
      </c>
      <c r="E410" s="8">
        <f>IFERROR(VLOOKUP($A410,DataDemande!$AA$63:$AE$700,5,FALSE)*VLOOKUP($A410,DataPrixBillets!$M$66:$Q$700,5,FALSE),"")</f>
        <v>0</v>
      </c>
      <c r="F410" s="21">
        <f t="shared" si="8"/>
        <v>0</v>
      </c>
    </row>
    <row r="411" spans="1:6" x14ac:dyDescent="0.3">
      <c r="A411" s="185" t="str">
        <f>DataDemande!AA470</f>
        <v/>
      </c>
      <c r="B411" s="8">
        <f>IFERROR(VLOOKUP($A411,DataDemande!$AA$63:$AE$700,2,FALSE)*VLOOKUP($A411,DataPrixBillets!$M$66:$Q$700,2,FALSE),"")</f>
        <v>0</v>
      </c>
      <c r="C411" s="8">
        <f>IFERROR(VLOOKUP($A411,DataDemande!$AA$63:$AE$700,3,FALSE)*VLOOKUP($A411,DataPrixBillets!$M$66:$Q$700,3,FALSE),"")</f>
        <v>0</v>
      </c>
      <c r="D411" s="8">
        <f>IFERROR(VLOOKUP($A411,DataDemande!$AA$63:$AE$700,4,FALSE)*VLOOKUP($A411,DataPrixBillets!$M$66:$Q$700,4,FALSE),"")</f>
        <v>0</v>
      </c>
      <c r="E411" s="8">
        <f>IFERROR(VLOOKUP($A411,DataDemande!$AA$63:$AE$700,5,FALSE)*VLOOKUP($A411,DataPrixBillets!$M$66:$Q$700,5,FALSE),"")</f>
        <v>0</v>
      </c>
      <c r="F411" s="21">
        <f t="shared" si="8"/>
        <v>0</v>
      </c>
    </row>
    <row r="412" spans="1:6" x14ac:dyDescent="0.3">
      <c r="A412" s="185" t="str">
        <f>DataDemande!AA471</f>
        <v/>
      </c>
      <c r="B412" s="8">
        <f>IFERROR(VLOOKUP($A412,DataDemande!$AA$63:$AE$700,2,FALSE)*VLOOKUP($A412,DataPrixBillets!$M$66:$Q$700,2,FALSE),"")</f>
        <v>0</v>
      </c>
      <c r="C412" s="8">
        <f>IFERROR(VLOOKUP($A412,DataDemande!$AA$63:$AE$700,3,FALSE)*VLOOKUP($A412,DataPrixBillets!$M$66:$Q$700,3,FALSE),"")</f>
        <v>0</v>
      </c>
      <c r="D412" s="8">
        <f>IFERROR(VLOOKUP($A412,DataDemande!$AA$63:$AE$700,4,FALSE)*VLOOKUP($A412,DataPrixBillets!$M$66:$Q$700,4,FALSE),"")</f>
        <v>0</v>
      </c>
      <c r="E412" s="8">
        <f>IFERROR(VLOOKUP($A412,DataDemande!$AA$63:$AE$700,5,FALSE)*VLOOKUP($A412,DataPrixBillets!$M$66:$Q$700,5,FALSE),"")</f>
        <v>0</v>
      </c>
      <c r="F412" s="21">
        <f t="shared" si="8"/>
        <v>0</v>
      </c>
    </row>
    <row r="413" spans="1:6" x14ac:dyDescent="0.3">
      <c r="A413" s="185" t="str">
        <f>DataDemande!AA472</f>
        <v/>
      </c>
      <c r="B413" s="8">
        <f>IFERROR(VLOOKUP($A413,DataDemande!$AA$63:$AE$700,2,FALSE)*VLOOKUP($A413,DataPrixBillets!$M$66:$Q$700,2,FALSE),"")</f>
        <v>0</v>
      </c>
      <c r="C413" s="8">
        <f>IFERROR(VLOOKUP($A413,DataDemande!$AA$63:$AE$700,3,FALSE)*VLOOKUP($A413,DataPrixBillets!$M$66:$Q$700,3,FALSE),"")</f>
        <v>0</v>
      </c>
      <c r="D413" s="8">
        <f>IFERROR(VLOOKUP($A413,DataDemande!$AA$63:$AE$700,4,FALSE)*VLOOKUP($A413,DataPrixBillets!$M$66:$Q$700,4,FALSE),"")</f>
        <v>0</v>
      </c>
      <c r="E413" s="8">
        <f>IFERROR(VLOOKUP($A413,DataDemande!$AA$63:$AE$700,5,FALSE)*VLOOKUP($A413,DataPrixBillets!$M$66:$Q$700,5,FALSE),"")</f>
        <v>0</v>
      </c>
      <c r="F413" s="21">
        <f t="shared" si="8"/>
        <v>0</v>
      </c>
    </row>
    <row r="414" spans="1:6" x14ac:dyDescent="0.3">
      <c r="A414" s="185" t="str">
        <f>DataDemande!AA473</f>
        <v/>
      </c>
      <c r="B414" s="8">
        <f>IFERROR(VLOOKUP($A414,DataDemande!$AA$63:$AE$700,2,FALSE)*VLOOKUP($A414,DataPrixBillets!$M$66:$Q$700,2,FALSE),"")</f>
        <v>0</v>
      </c>
      <c r="C414" s="8">
        <f>IFERROR(VLOOKUP($A414,DataDemande!$AA$63:$AE$700,3,FALSE)*VLOOKUP($A414,DataPrixBillets!$M$66:$Q$700,3,FALSE),"")</f>
        <v>0</v>
      </c>
      <c r="D414" s="8">
        <f>IFERROR(VLOOKUP($A414,DataDemande!$AA$63:$AE$700,4,FALSE)*VLOOKUP($A414,DataPrixBillets!$M$66:$Q$700,4,FALSE),"")</f>
        <v>0</v>
      </c>
      <c r="E414" s="8">
        <f>IFERROR(VLOOKUP($A414,DataDemande!$AA$63:$AE$700,5,FALSE)*VLOOKUP($A414,DataPrixBillets!$M$66:$Q$700,5,FALSE),"")</f>
        <v>0</v>
      </c>
      <c r="F414" s="21">
        <f t="shared" si="8"/>
        <v>0</v>
      </c>
    </row>
    <row r="415" spans="1:6" x14ac:dyDescent="0.3">
      <c r="A415" s="185" t="str">
        <f>DataDemande!AA474</f>
        <v/>
      </c>
      <c r="B415" s="8">
        <f>IFERROR(VLOOKUP($A415,DataDemande!$AA$63:$AE$700,2,FALSE)*VLOOKUP($A415,DataPrixBillets!$M$66:$Q$700,2,FALSE),"")</f>
        <v>0</v>
      </c>
      <c r="C415" s="8">
        <f>IFERROR(VLOOKUP($A415,DataDemande!$AA$63:$AE$700,3,FALSE)*VLOOKUP($A415,DataPrixBillets!$M$66:$Q$700,3,FALSE),"")</f>
        <v>0</v>
      </c>
      <c r="D415" s="8">
        <f>IFERROR(VLOOKUP($A415,DataDemande!$AA$63:$AE$700,4,FALSE)*VLOOKUP($A415,DataPrixBillets!$M$66:$Q$700,4,FALSE),"")</f>
        <v>0</v>
      </c>
      <c r="E415" s="8">
        <f>IFERROR(VLOOKUP($A415,DataDemande!$AA$63:$AE$700,5,FALSE)*VLOOKUP($A415,DataPrixBillets!$M$66:$Q$700,5,FALSE),"")</f>
        <v>0</v>
      </c>
      <c r="F415" s="21">
        <f t="shared" si="8"/>
        <v>0</v>
      </c>
    </row>
    <row r="416" spans="1:6" x14ac:dyDescent="0.3">
      <c r="A416" s="185" t="str">
        <f>DataDemande!AA475</f>
        <v/>
      </c>
      <c r="B416" s="8">
        <f>IFERROR(VLOOKUP($A416,DataDemande!$AA$63:$AE$700,2,FALSE)*VLOOKUP($A416,DataPrixBillets!$M$66:$Q$700,2,FALSE),"")</f>
        <v>0</v>
      </c>
      <c r="C416" s="8">
        <f>IFERROR(VLOOKUP($A416,DataDemande!$AA$63:$AE$700,3,FALSE)*VLOOKUP($A416,DataPrixBillets!$M$66:$Q$700,3,FALSE),"")</f>
        <v>0</v>
      </c>
      <c r="D416" s="8">
        <f>IFERROR(VLOOKUP($A416,DataDemande!$AA$63:$AE$700,4,FALSE)*VLOOKUP($A416,DataPrixBillets!$M$66:$Q$700,4,FALSE),"")</f>
        <v>0</v>
      </c>
      <c r="E416" s="8">
        <f>IFERROR(VLOOKUP($A416,DataDemande!$AA$63:$AE$700,5,FALSE)*VLOOKUP($A416,DataPrixBillets!$M$66:$Q$700,5,FALSE),"")</f>
        <v>0</v>
      </c>
      <c r="F416" s="21">
        <f t="shared" si="8"/>
        <v>0</v>
      </c>
    </row>
    <row r="417" spans="1:6" x14ac:dyDescent="0.3">
      <c r="A417" s="185" t="str">
        <f>DataDemande!AA476</f>
        <v/>
      </c>
      <c r="B417" s="8">
        <f>IFERROR(VLOOKUP($A417,DataDemande!$AA$63:$AE$700,2,FALSE)*VLOOKUP($A417,DataPrixBillets!$M$66:$Q$700,2,FALSE),"")</f>
        <v>0</v>
      </c>
      <c r="C417" s="8">
        <f>IFERROR(VLOOKUP($A417,DataDemande!$AA$63:$AE$700,3,FALSE)*VLOOKUP($A417,DataPrixBillets!$M$66:$Q$700,3,FALSE),"")</f>
        <v>0</v>
      </c>
      <c r="D417" s="8">
        <f>IFERROR(VLOOKUP($A417,DataDemande!$AA$63:$AE$700,4,FALSE)*VLOOKUP($A417,DataPrixBillets!$M$66:$Q$700,4,FALSE),"")</f>
        <v>0</v>
      </c>
      <c r="E417" s="8">
        <f>IFERROR(VLOOKUP($A417,DataDemande!$AA$63:$AE$700,5,FALSE)*VLOOKUP($A417,DataPrixBillets!$M$66:$Q$700,5,FALSE),"")</f>
        <v>0</v>
      </c>
      <c r="F417" s="21">
        <f t="shared" si="8"/>
        <v>0</v>
      </c>
    </row>
    <row r="418" spans="1:6" x14ac:dyDescent="0.3">
      <c r="A418" s="185" t="str">
        <f>DataDemande!AA477</f>
        <v/>
      </c>
      <c r="B418" s="8">
        <f>IFERROR(VLOOKUP($A418,DataDemande!$AA$63:$AE$700,2,FALSE)*VLOOKUP($A418,DataPrixBillets!$M$66:$Q$700,2,FALSE),"")</f>
        <v>0</v>
      </c>
      <c r="C418" s="8">
        <f>IFERROR(VLOOKUP($A418,DataDemande!$AA$63:$AE$700,3,FALSE)*VLOOKUP($A418,DataPrixBillets!$M$66:$Q$700,3,FALSE),"")</f>
        <v>0</v>
      </c>
      <c r="D418" s="8">
        <f>IFERROR(VLOOKUP($A418,DataDemande!$AA$63:$AE$700,4,FALSE)*VLOOKUP($A418,DataPrixBillets!$M$66:$Q$700,4,FALSE),"")</f>
        <v>0</v>
      </c>
      <c r="E418" s="8">
        <f>IFERROR(VLOOKUP($A418,DataDemande!$AA$63:$AE$700,5,FALSE)*VLOOKUP($A418,DataPrixBillets!$M$66:$Q$700,5,FALSE),"")</f>
        <v>0</v>
      </c>
      <c r="F418" s="21">
        <f t="shared" si="8"/>
        <v>0</v>
      </c>
    </row>
    <row r="419" spans="1:6" x14ac:dyDescent="0.3">
      <c r="A419" s="185" t="str">
        <f>DataDemande!AA478</f>
        <v/>
      </c>
      <c r="B419" s="8">
        <f>IFERROR(VLOOKUP($A419,DataDemande!$AA$63:$AE$700,2,FALSE)*VLOOKUP($A419,DataPrixBillets!$M$66:$Q$700,2,FALSE),"")</f>
        <v>0</v>
      </c>
      <c r="C419" s="8">
        <f>IFERROR(VLOOKUP($A419,DataDemande!$AA$63:$AE$700,3,FALSE)*VLOOKUP($A419,DataPrixBillets!$M$66:$Q$700,3,FALSE),"")</f>
        <v>0</v>
      </c>
      <c r="D419" s="8">
        <f>IFERROR(VLOOKUP($A419,DataDemande!$AA$63:$AE$700,4,FALSE)*VLOOKUP($A419,DataPrixBillets!$M$66:$Q$700,4,FALSE),"")</f>
        <v>0</v>
      </c>
      <c r="E419" s="8">
        <f>IFERROR(VLOOKUP($A419,DataDemande!$AA$63:$AE$700,5,FALSE)*VLOOKUP($A419,DataPrixBillets!$M$66:$Q$700,5,FALSE),"")</f>
        <v>0</v>
      </c>
      <c r="F419" s="21">
        <f t="shared" si="8"/>
        <v>0</v>
      </c>
    </row>
    <row r="420" spans="1:6" x14ac:dyDescent="0.3">
      <c r="A420" s="185" t="str">
        <f>DataDemande!AA479</f>
        <v/>
      </c>
      <c r="B420" s="8">
        <f>IFERROR(VLOOKUP($A420,DataDemande!$AA$63:$AE$700,2,FALSE)*VLOOKUP($A420,DataPrixBillets!$M$66:$Q$700,2,FALSE),"")</f>
        <v>0</v>
      </c>
      <c r="C420" s="8">
        <f>IFERROR(VLOOKUP($A420,DataDemande!$AA$63:$AE$700,3,FALSE)*VLOOKUP($A420,DataPrixBillets!$M$66:$Q$700,3,FALSE),"")</f>
        <v>0</v>
      </c>
      <c r="D420" s="8">
        <f>IFERROR(VLOOKUP($A420,DataDemande!$AA$63:$AE$700,4,FALSE)*VLOOKUP($A420,DataPrixBillets!$M$66:$Q$700,4,FALSE),"")</f>
        <v>0</v>
      </c>
      <c r="E420" s="8">
        <f>IFERROR(VLOOKUP($A420,DataDemande!$AA$63:$AE$700,5,FALSE)*VLOOKUP($A420,DataPrixBillets!$M$66:$Q$700,5,FALSE),"")</f>
        <v>0</v>
      </c>
      <c r="F420" s="21">
        <f t="shared" si="8"/>
        <v>0</v>
      </c>
    </row>
    <row r="421" spans="1:6" x14ac:dyDescent="0.3">
      <c r="A421" s="185" t="str">
        <f>DataDemande!AA480</f>
        <v/>
      </c>
      <c r="B421" s="8">
        <f>IFERROR(VLOOKUP($A421,DataDemande!$AA$63:$AE$700,2,FALSE)*VLOOKUP($A421,DataPrixBillets!$M$66:$Q$700,2,FALSE),"")</f>
        <v>0</v>
      </c>
      <c r="C421" s="8">
        <f>IFERROR(VLOOKUP($A421,DataDemande!$AA$63:$AE$700,3,FALSE)*VLOOKUP($A421,DataPrixBillets!$M$66:$Q$700,3,FALSE),"")</f>
        <v>0</v>
      </c>
      <c r="D421" s="8">
        <f>IFERROR(VLOOKUP($A421,DataDemande!$AA$63:$AE$700,4,FALSE)*VLOOKUP($A421,DataPrixBillets!$M$66:$Q$700,4,FALSE),"")</f>
        <v>0</v>
      </c>
      <c r="E421" s="8">
        <f>IFERROR(VLOOKUP($A421,DataDemande!$AA$63:$AE$700,5,FALSE)*VLOOKUP($A421,DataPrixBillets!$M$66:$Q$700,5,FALSE),"")</f>
        <v>0</v>
      </c>
      <c r="F421" s="21">
        <f t="shared" si="8"/>
        <v>0</v>
      </c>
    </row>
    <row r="422" spans="1:6" x14ac:dyDescent="0.3">
      <c r="A422" s="185" t="str">
        <f>DataDemande!AA481</f>
        <v/>
      </c>
      <c r="B422" s="8">
        <f>IFERROR(VLOOKUP($A422,DataDemande!$AA$63:$AE$700,2,FALSE)*VLOOKUP($A422,DataPrixBillets!$M$66:$Q$700,2,FALSE),"")</f>
        <v>0</v>
      </c>
      <c r="C422" s="8">
        <f>IFERROR(VLOOKUP($A422,DataDemande!$AA$63:$AE$700,3,FALSE)*VLOOKUP($A422,DataPrixBillets!$M$66:$Q$700,3,FALSE),"")</f>
        <v>0</v>
      </c>
      <c r="D422" s="8">
        <f>IFERROR(VLOOKUP($A422,DataDemande!$AA$63:$AE$700,4,FALSE)*VLOOKUP($A422,DataPrixBillets!$M$66:$Q$700,4,FALSE),"")</f>
        <v>0</v>
      </c>
      <c r="E422" s="8">
        <f>IFERROR(VLOOKUP($A422,DataDemande!$AA$63:$AE$700,5,FALSE)*VLOOKUP($A422,DataPrixBillets!$M$66:$Q$700,5,FALSE),"")</f>
        <v>0</v>
      </c>
      <c r="F422" s="21">
        <f t="shared" si="8"/>
        <v>0</v>
      </c>
    </row>
    <row r="423" spans="1:6" x14ac:dyDescent="0.3">
      <c r="A423" s="185" t="str">
        <f>DataDemande!AA482</f>
        <v/>
      </c>
      <c r="B423" s="8">
        <f>IFERROR(VLOOKUP($A423,DataDemande!$AA$63:$AE$700,2,FALSE)*VLOOKUP($A423,DataPrixBillets!$M$66:$Q$700,2,FALSE),"")</f>
        <v>0</v>
      </c>
      <c r="C423" s="8">
        <f>IFERROR(VLOOKUP($A423,DataDemande!$AA$63:$AE$700,3,FALSE)*VLOOKUP($A423,DataPrixBillets!$M$66:$Q$700,3,FALSE),"")</f>
        <v>0</v>
      </c>
      <c r="D423" s="8">
        <f>IFERROR(VLOOKUP($A423,DataDemande!$AA$63:$AE$700,4,FALSE)*VLOOKUP($A423,DataPrixBillets!$M$66:$Q$700,4,FALSE),"")</f>
        <v>0</v>
      </c>
      <c r="E423" s="8">
        <f>IFERROR(VLOOKUP($A423,DataDemande!$AA$63:$AE$700,5,FALSE)*VLOOKUP($A423,DataPrixBillets!$M$66:$Q$700,5,FALSE),"")</f>
        <v>0</v>
      </c>
      <c r="F423" s="21">
        <f t="shared" si="8"/>
        <v>0</v>
      </c>
    </row>
    <row r="424" spans="1:6" x14ac:dyDescent="0.3">
      <c r="A424" s="185" t="str">
        <f>DataDemande!AA483</f>
        <v/>
      </c>
      <c r="B424" s="8">
        <f>IFERROR(VLOOKUP($A424,DataDemande!$AA$63:$AE$700,2,FALSE)*VLOOKUP($A424,DataPrixBillets!$M$66:$Q$700,2,FALSE),"")</f>
        <v>0</v>
      </c>
      <c r="C424" s="8">
        <f>IFERROR(VLOOKUP($A424,DataDemande!$AA$63:$AE$700,3,FALSE)*VLOOKUP($A424,DataPrixBillets!$M$66:$Q$700,3,FALSE),"")</f>
        <v>0</v>
      </c>
      <c r="D424" s="8">
        <f>IFERROR(VLOOKUP($A424,DataDemande!$AA$63:$AE$700,4,FALSE)*VLOOKUP($A424,DataPrixBillets!$M$66:$Q$700,4,FALSE),"")</f>
        <v>0</v>
      </c>
      <c r="E424" s="8">
        <f>IFERROR(VLOOKUP($A424,DataDemande!$AA$63:$AE$700,5,FALSE)*VLOOKUP($A424,DataPrixBillets!$M$66:$Q$700,5,FALSE),"")</f>
        <v>0</v>
      </c>
      <c r="F424" s="21">
        <f t="shared" si="8"/>
        <v>0</v>
      </c>
    </row>
    <row r="425" spans="1:6" x14ac:dyDescent="0.3">
      <c r="A425" s="185" t="str">
        <f>DataDemande!AA484</f>
        <v/>
      </c>
      <c r="B425" s="8">
        <f>IFERROR(VLOOKUP($A425,DataDemande!$AA$63:$AE$700,2,FALSE)*VLOOKUP($A425,DataPrixBillets!$M$66:$Q$700,2,FALSE),"")</f>
        <v>0</v>
      </c>
      <c r="C425" s="8">
        <f>IFERROR(VLOOKUP($A425,DataDemande!$AA$63:$AE$700,3,FALSE)*VLOOKUP($A425,DataPrixBillets!$M$66:$Q$700,3,FALSE),"")</f>
        <v>0</v>
      </c>
      <c r="D425" s="8">
        <f>IFERROR(VLOOKUP($A425,DataDemande!$AA$63:$AE$700,4,FALSE)*VLOOKUP($A425,DataPrixBillets!$M$66:$Q$700,4,FALSE),"")</f>
        <v>0</v>
      </c>
      <c r="E425" s="8">
        <f>IFERROR(VLOOKUP($A425,DataDemande!$AA$63:$AE$700,5,FALSE)*VLOOKUP($A425,DataPrixBillets!$M$66:$Q$700,5,FALSE),"")</f>
        <v>0</v>
      </c>
      <c r="F425" s="21">
        <f t="shared" si="8"/>
        <v>0</v>
      </c>
    </row>
    <row r="426" spans="1:6" x14ac:dyDescent="0.3">
      <c r="A426" s="185" t="str">
        <f>DataDemande!AA485</f>
        <v/>
      </c>
      <c r="B426" s="8">
        <f>IFERROR(VLOOKUP($A426,DataDemande!$AA$63:$AE$700,2,FALSE)*VLOOKUP($A426,DataPrixBillets!$M$66:$Q$700,2,FALSE),"")</f>
        <v>0</v>
      </c>
      <c r="C426" s="8">
        <f>IFERROR(VLOOKUP($A426,DataDemande!$AA$63:$AE$700,3,FALSE)*VLOOKUP($A426,DataPrixBillets!$M$66:$Q$700,3,FALSE),"")</f>
        <v>0</v>
      </c>
      <c r="D426" s="8">
        <f>IFERROR(VLOOKUP($A426,DataDemande!$AA$63:$AE$700,4,FALSE)*VLOOKUP($A426,DataPrixBillets!$M$66:$Q$700,4,FALSE),"")</f>
        <v>0</v>
      </c>
      <c r="E426" s="8">
        <f>IFERROR(VLOOKUP($A426,DataDemande!$AA$63:$AE$700,5,FALSE)*VLOOKUP($A426,DataPrixBillets!$M$66:$Q$700,5,FALSE),"")</f>
        <v>0</v>
      </c>
      <c r="F426" s="21">
        <f t="shared" si="8"/>
        <v>0</v>
      </c>
    </row>
    <row r="427" spans="1:6" x14ac:dyDescent="0.3">
      <c r="A427" s="185" t="str">
        <f>DataDemande!AA486</f>
        <v/>
      </c>
      <c r="B427" s="8">
        <f>IFERROR(VLOOKUP($A427,DataDemande!$AA$63:$AE$700,2,FALSE)*VLOOKUP($A427,DataPrixBillets!$M$66:$Q$700,2,FALSE),"")</f>
        <v>0</v>
      </c>
      <c r="C427" s="8">
        <f>IFERROR(VLOOKUP($A427,DataDemande!$AA$63:$AE$700,3,FALSE)*VLOOKUP($A427,DataPrixBillets!$M$66:$Q$700,3,FALSE),"")</f>
        <v>0</v>
      </c>
      <c r="D427" s="8">
        <f>IFERROR(VLOOKUP($A427,DataDemande!$AA$63:$AE$700,4,FALSE)*VLOOKUP($A427,DataPrixBillets!$M$66:$Q$700,4,FALSE),"")</f>
        <v>0</v>
      </c>
      <c r="E427" s="8">
        <f>IFERROR(VLOOKUP($A427,DataDemande!$AA$63:$AE$700,5,FALSE)*VLOOKUP($A427,DataPrixBillets!$M$66:$Q$700,5,FALSE),"")</f>
        <v>0</v>
      </c>
      <c r="F427" s="21">
        <f t="shared" si="8"/>
        <v>0</v>
      </c>
    </row>
    <row r="428" spans="1:6" x14ac:dyDescent="0.3">
      <c r="A428" s="185" t="str">
        <f>DataDemande!AA487</f>
        <v/>
      </c>
      <c r="B428" s="8">
        <f>IFERROR(VLOOKUP($A428,DataDemande!$AA$63:$AE$700,2,FALSE)*VLOOKUP($A428,DataPrixBillets!$M$66:$Q$700,2,FALSE),"")</f>
        <v>0</v>
      </c>
      <c r="C428" s="8">
        <f>IFERROR(VLOOKUP($A428,DataDemande!$AA$63:$AE$700,3,FALSE)*VLOOKUP($A428,DataPrixBillets!$M$66:$Q$700,3,FALSE),"")</f>
        <v>0</v>
      </c>
      <c r="D428" s="8">
        <f>IFERROR(VLOOKUP($A428,DataDemande!$AA$63:$AE$700,4,FALSE)*VLOOKUP($A428,DataPrixBillets!$M$66:$Q$700,4,FALSE),"")</f>
        <v>0</v>
      </c>
      <c r="E428" s="8">
        <f>IFERROR(VLOOKUP($A428,DataDemande!$AA$63:$AE$700,5,FALSE)*VLOOKUP($A428,DataPrixBillets!$M$66:$Q$700,5,FALSE),"")</f>
        <v>0</v>
      </c>
      <c r="F428" s="21">
        <f t="shared" si="8"/>
        <v>0</v>
      </c>
    </row>
    <row r="429" spans="1:6" x14ac:dyDescent="0.3">
      <c r="A429" s="185" t="str">
        <f>DataDemande!AA488</f>
        <v/>
      </c>
      <c r="B429" s="8">
        <f>IFERROR(VLOOKUP($A429,DataDemande!$AA$63:$AE$700,2,FALSE)*VLOOKUP($A429,DataPrixBillets!$M$66:$Q$700,2,FALSE),"")</f>
        <v>0</v>
      </c>
      <c r="C429" s="8">
        <f>IFERROR(VLOOKUP($A429,DataDemande!$AA$63:$AE$700,3,FALSE)*VLOOKUP($A429,DataPrixBillets!$M$66:$Q$700,3,FALSE),"")</f>
        <v>0</v>
      </c>
      <c r="D429" s="8">
        <f>IFERROR(VLOOKUP($A429,DataDemande!$AA$63:$AE$700,4,FALSE)*VLOOKUP($A429,DataPrixBillets!$M$66:$Q$700,4,FALSE),"")</f>
        <v>0</v>
      </c>
      <c r="E429" s="8">
        <f>IFERROR(VLOOKUP($A429,DataDemande!$AA$63:$AE$700,5,FALSE)*VLOOKUP($A429,DataPrixBillets!$M$66:$Q$700,5,FALSE),"")</f>
        <v>0</v>
      </c>
      <c r="F429" s="21">
        <f t="shared" si="8"/>
        <v>0</v>
      </c>
    </row>
    <row r="430" spans="1:6" x14ac:dyDescent="0.3">
      <c r="A430" s="185" t="str">
        <f>DataDemande!AA489</f>
        <v/>
      </c>
      <c r="B430" s="8">
        <f>IFERROR(VLOOKUP($A430,DataDemande!$AA$63:$AE$700,2,FALSE)*VLOOKUP($A430,DataPrixBillets!$M$66:$Q$700,2,FALSE),"")</f>
        <v>0</v>
      </c>
      <c r="C430" s="8">
        <f>IFERROR(VLOOKUP($A430,DataDemande!$AA$63:$AE$700,3,FALSE)*VLOOKUP($A430,DataPrixBillets!$M$66:$Q$700,3,FALSE),"")</f>
        <v>0</v>
      </c>
      <c r="D430" s="8">
        <f>IFERROR(VLOOKUP($A430,DataDemande!$AA$63:$AE$700,4,FALSE)*VLOOKUP($A430,DataPrixBillets!$M$66:$Q$700,4,FALSE),"")</f>
        <v>0</v>
      </c>
      <c r="E430" s="8">
        <f>IFERROR(VLOOKUP($A430,DataDemande!$AA$63:$AE$700,5,FALSE)*VLOOKUP($A430,DataPrixBillets!$M$66:$Q$700,5,FALSE),"")</f>
        <v>0</v>
      </c>
      <c r="F430" s="21">
        <f t="shared" si="8"/>
        <v>0</v>
      </c>
    </row>
    <row r="431" spans="1:6" x14ac:dyDescent="0.3">
      <c r="A431" s="185" t="str">
        <f>DataDemande!AA490</f>
        <v/>
      </c>
      <c r="B431" s="8">
        <f>IFERROR(VLOOKUP($A431,DataDemande!$AA$63:$AE$700,2,FALSE)*VLOOKUP($A431,DataPrixBillets!$M$66:$Q$700,2,FALSE),"")</f>
        <v>0</v>
      </c>
      <c r="C431" s="8">
        <f>IFERROR(VLOOKUP($A431,DataDemande!$AA$63:$AE$700,3,FALSE)*VLOOKUP($A431,DataPrixBillets!$M$66:$Q$700,3,FALSE),"")</f>
        <v>0</v>
      </c>
      <c r="D431" s="8">
        <f>IFERROR(VLOOKUP($A431,DataDemande!$AA$63:$AE$700,4,FALSE)*VLOOKUP($A431,DataPrixBillets!$M$66:$Q$700,4,FALSE),"")</f>
        <v>0</v>
      </c>
      <c r="E431" s="8">
        <f>IFERROR(VLOOKUP($A431,DataDemande!$AA$63:$AE$700,5,FALSE)*VLOOKUP($A431,DataPrixBillets!$M$66:$Q$700,5,FALSE),"")</f>
        <v>0</v>
      </c>
      <c r="F431" s="21">
        <f t="shared" si="8"/>
        <v>0</v>
      </c>
    </row>
    <row r="432" spans="1:6" x14ac:dyDescent="0.3">
      <c r="A432" s="185" t="str">
        <f>DataDemande!AA491</f>
        <v/>
      </c>
      <c r="B432" s="8">
        <f>IFERROR(VLOOKUP($A432,DataDemande!$AA$63:$AE$700,2,FALSE)*VLOOKUP($A432,DataPrixBillets!$M$66:$Q$700,2,FALSE),"")</f>
        <v>0</v>
      </c>
      <c r="C432" s="8">
        <f>IFERROR(VLOOKUP($A432,DataDemande!$AA$63:$AE$700,3,FALSE)*VLOOKUP($A432,DataPrixBillets!$M$66:$Q$700,3,FALSE),"")</f>
        <v>0</v>
      </c>
      <c r="D432" s="8">
        <f>IFERROR(VLOOKUP($A432,DataDemande!$AA$63:$AE$700,4,FALSE)*VLOOKUP($A432,DataPrixBillets!$M$66:$Q$700,4,FALSE),"")</f>
        <v>0</v>
      </c>
      <c r="E432" s="8">
        <f>IFERROR(VLOOKUP($A432,DataDemande!$AA$63:$AE$700,5,FALSE)*VLOOKUP($A432,DataPrixBillets!$M$66:$Q$700,5,FALSE),"")</f>
        <v>0</v>
      </c>
      <c r="F432" s="21">
        <f t="shared" si="8"/>
        <v>0</v>
      </c>
    </row>
    <row r="433" spans="1:6" x14ac:dyDescent="0.3">
      <c r="A433" s="185" t="str">
        <f>DataDemande!AA492</f>
        <v/>
      </c>
      <c r="B433" s="8">
        <f>IFERROR(VLOOKUP($A433,DataDemande!$AA$63:$AE$700,2,FALSE)*VLOOKUP($A433,DataPrixBillets!$M$66:$Q$700,2,FALSE),"")</f>
        <v>0</v>
      </c>
      <c r="C433" s="8">
        <f>IFERROR(VLOOKUP($A433,DataDemande!$AA$63:$AE$700,3,FALSE)*VLOOKUP($A433,DataPrixBillets!$M$66:$Q$700,3,FALSE),"")</f>
        <v>0</v>
      </c>
      <c r="D433" s="8">
        <f>IFERROR(VLOOKUP($A433,DataDemande!$AA$63:$AE$700,4,FALSE)*VLOOKUP($A433,DataPrixBillets!$M$66:$Q$700,4,FALSE),"")</f>
        <v>0</v>
      </c>
      <c r="E433" s="8">
        <f>IFERROR(VLOOKUP($A433,DataDemande!$AA$63:$AE$700,5,FALSE)*VLOOKUP($A433,DataPrixBillets!$M$66:$Q$700,5,FALSE),"")</f>
        <v>0</v>
      </c>
      <c r="F433" s="21">
        <f t="shared" si="8"/>
        <v>0</v>
      </c>
    </row>
    <row r="434" spans="1:6" x14ac:dyDescent="0.3">
      <c r="A434" s="185" t="str">
        <f>DataDemande!AA493</f>
        <v/>
      </c>
      <c r="B434" s="8">
        <f>IFERROR(VLOOKUP($A434,DataDemande!$AA$63:$AE$700,2,FALSE)*VLOOKUP($A434,DataPrixBillets!$M$66:$Q$700,2,FALSE),"")</f>
        <v>0</v>
      </c>
      <c r="C434" s="8">
        <f>IFERROR(VLOOKUP($A434,DataDemande!$AA$63:$AE$700,3,FALSE)*VLOOKUP($A434,DataPrixBillets!$M$66:$Q$700,3,FALSE),"")</f>
        <v>0</v>
      </c>
      <c r="D434" s="8">
        <f>IFERROR(VLOOKUP($A434,DataDemande!$AA$63:$AE$700,4,FALSE)*VLOOKUP($A434,DataPrixBillets!$M$66:$Q$700,4,FALSE),"")</f>
        <v>0</v>
      </c>
      <c r="E434" s="8">
        <f>IFERROR(VLOOKUP($A434,DataDemande!$AA$63:$AE$700,5,FALSE)*VLOOKUP($A434,DataPrixBillets!$M$66:$Q$700,5,FALSE),"")</f>
        <v>0</v>
      </c>
      <c r="F434" s="21">
        <f t="shared" si="8"/>
        <v>0</v>
      </c>
    </row>
    <row r="435" spans="1:6" x14ac:dyDescent="0.3">
      <c r="A435" s="185" t="str">
        <f>DataDemande!AA494</f>
        <v/>
      </c>
      <c r="B435" s="8">
        <f>IFERROR(VLOOKUP($A435,DataDemande!$AA$63:$AE$700,2,FALSE)*VLOOKUP($A435,DataPrixBillets!$M$66:$Q$700,2,FALSE),"")</f>
        <v>0</v>
      </c>
      <c r="C435" s="8">
        <f>IFERROR(VLOOKUP($A435,DataDemande!$AA$63:$AE$700,3,FALSE)*VLOOKUP($A435,DataPrixBillets!$M$66:$Q$700,3,FALSE),"")</f>
        <v>0</v>
      </c>
      <c r="D435" s="8">
        <f>IFERROR(VLOOKUP($A435,DataDemande!$AA$63:$AE$700,4,FALSE)*VLOOKUP($A435,DataPrixBillets!$M$66:$Q$700,4,FALSE),"")</f>
        <v>0</v>
      </c>
      <c r="E435" s="8">
        <f>IFERROR(VLOOKUP($A435,DataDemande!$AA$63:$AE$700,5,FALSE)*VLOOKUP($A435,DataPrixBillets!$M$66:$Q$700,5,FALSE),"")</f>
        <v>0</v>
      </c>
      <c r="F435" s="21">
        <f t="shared" si="8"/>
        <v>0</v>
      </c>
    </row>
    <row r="436" spans="1:6" x14ac:dyDescent="0.3">
      <c r="A436" s="185" t="str">
        <f>DataDemande!AA495</f>
        <v/>
      </c>
      <c r="B436" s="8">
        <f>IFERROR(VLOOKUP($A436,DataDemande!$AA$63:$AE$700,2,FALSE)*VLOOKUP($A436,DataPrixBillets!$M$66:$Q$700,2,FALSE),"")</f>
        <v>0</v>
      </c>
      <c r="C436" s="8">
        <f>IFERROR(VLOOKUP($A436,DataDemande!$AA$63:$AE$700,3,FALSE)*VLOOKUP($A436,DataPrixBillets!$M$66:$Q$700,3,FALSE),"")</f>
        <v>0</v>
      </c>
      <c r="D436" s="8">
        <f>IFERROR(VLOOKUP($A436,DataDemande!$AA$63:$AE$700,4,FALSE)*VLOOKUP($A436,DataPrixBillets!$M$66:$Q$700,4,FALSE),"")</f>
        <v>0</v>
      </c>
      <c r="E436" s="8">
        <f>IFERROR(VLOOKUP($A436,DataDemande!$AA$63:$AE$700,5,FALSE)*VLOOKUP($A436,DataPrixBillets!$M$66:$Q$700,5,FALSE),"")</f>
        <v>0</v>
      </c>
      <c r="F436" s="21">
        <f t="shared" si="8"/>
        <v>0</v>
      </c>
    </row>
    <row r="437" spans="1:6" x14ac:dyDescent="0.3">
      <c r="A437" s="185" t="str">
        <f>DataDemande!AA496</f>
        <v/>
      </c>
      <c r="B437" s="8">
        <f>IFERROR(VLOOKUP($A437,DataDemande!$AA$63:$AE$700,2,FALSE)*VLOOKUP($A437,DataPrixBillets!$M$66:$Q$700,2,FALSE),"")</f>
        <v>0</v>
      </c>
      <c r="C437" s="8">
        <f>IFERROR(VLOOKUP($A437,DataDemande!$AA$63:$AE$700,3,FALSE)*VLOOKUP($A437,DataPrixBillets!$M$66:$Q$700,3,FALSE),"")</f>
        <v>0</v>
      </c>
      <c r="D437" s="8">
        <f>IFERROR(VLOOKUP($A437,DataDemande!$AA$63:$AE$700,4,FALSE)*VLOOKUP($A437,DataPrixBillets!$M$66:$Q$700,4,FALSE),"")</f>
        <v>0</v>
      </c>
      <c r="E437" s="8">
        <f>IFERROR(VLOOKUP($A437,DataDemande!$AA$63:$AE$700,5,FALSE)*VLOOKUP($A437,DataPrixBillets!$M$66:$Q$700,5,FALSE),"")</f>
        <v>0</v>
      </c>
      <c r="F437" s="21">
        <f t="shared" si="8"/>
        <v>0</v>
      </c>
    </row>
    <row r="438" spans="1:6" x14ac:dyDescent="0.3">
      <c r="A438" s="185" t="str">
        <f>DataDemande!AA497</f>
        <v/>
      </c>
      <c r="B438" s="8">
        <f>IFERROR(VLOOKUP($A438,DataDemande!$AA$63:$AE$700,2,FALSE)*VLOOKUP($A438,DataPrixBillets!$M$66:$Q$700,2,FALSE),"")</f>
        <v>0</v>
      </c>
      <c r="C438" s="8">
        <f>IFERROR(VLOOKUP($A438,DataDemande!$AA$63:$AE$700,3,FALSE)*VLOOKUP($A438,DataPrixBillets!$M$66:$Q$700,3,FALSE),"")</f>
        <v>0</v>
      </c>
      <c r="D438" s="8">
        <f>IFERROR(VLOOKUP($A438,DataDemande!$AA$63:$AE$700,4,FALSE)*VLOOKUP($A438,DataPrixBillets!$M$66:$Q$700,4,FALSE),"")</f>
        <v>0</v>
      </c>
      <c r="E438" s="8">
        <f>IFERROR(VLOOKUP($A438,DataDemande!$AA$63:$AE$700,5,FALSE)*VLOOKUP($A438,DataPrixBillets!$M$66:$Q$700,5,FALSE),"")</f>
        <v>0</v>
      </c>
      <c r="F438" s="21">
        <f t="shared" si="8"/>
        <v>0</v>
      </c>
    </row>
    <row r="439" spans="1:6" x14ac:dyDescent="0.3">
      <c r="A439" s="185" t="str">
        <f>DataDemande!AA498</f>
        <v/>
      </c>
      <c r="B439" s="8">
        <f>IFERROR(VLOOKUP($A439,DataDemande!$AA$63:$AE$700,2,FALSE)*VLOOKUP($A439,DataPrixBillets!$M$66:$Q$700,2,FALSE),"")</f>
        <v>0</v>
      </c>
      <c r="C439" s="8">
        <f>IFERROR(VLOOKUP($A439,DataDemande!$AA$63:$AE$700,3,FALSE)*VLOOKUP($A439,DataPrixBillets!$M$66:$Q$700,3,FALSE),"")</f>
        <v>0</v>
      </c>
      <c r="D439" s="8">
        <f>IFERROR(VLOOKUP($A439,DataDemande!$AA$63:$AE$700,4,FALSE)*VLOOKUP($A439,DataPrixBillets!$M$66:$Q$700,4,FALSE),"")</f>
        <v>0</v>
      </c>
      <c r="E439" s="8">
        <f>IFERROR(VLOOKUP($A439,DataDemande!$AA$63:$AE$700,5,FALSE)*VLOOKUP($A439,DataPrixBillets!$M$66:$Q$700,5,FALSE),"")</f>
        <v>0</v>
      </c>
      <c r="F439" s="21">
        <f t="shared" si="8"/>
        <v>0</v>
      </c>
    </row>
    <row r="440" spans="1:6" x14ac:dyDescent="0.3">
      <c r="A440" s="185" t="str">
        <f>DataDemande!AA499</f>
        <v/>
      </c>
      <c r="B440" s="8">
        <f>IFERROR(VLOOKUP($A440,DataDemande!$AA$63:$AE$700,2,FALSE)*VLOOKUP($A440,DataPrixBillets!$M$66:$Q$700,2,FALSE),"")</f>
        <v>0</v>
      </c>
      <c r="C440" s="8">
        <f>IFERROR(VLOOKUP($A440,DataDemande!$AA$63:$AE$700,3,FALSE)*VLOOKUP($A440,DataPrixBillets!$M$66:$Q$700,3,FALSE),"")</f>
        <v>0</v>
      </c>
      <c r="D440" s="8">
        <f>IFERROR(VLOOKUP($A440,DataDemande!$AA$63:$AE$700,4,FALSE)*VLOOKUP($A440,DataPrixBillets!$M$66:$Q$700,4,FALSE),"")</f>
        <v>0</v>
      </c>
      <c r="E440" s="8">
        <f>IFERROR(VLOOKUP($A440,DataDemande!$AA$63:$AE$700,5,FALSE)*VLOOKUP($A440,DataPrixBillets!$M$66:$Q$700,5,FALSE),"")</f>
        <v>0</v>
      </c>
      <c r="F440" s="21">
        <f t="shared" si="8"/>
        <v>0</v>
      </c>
    </row>
    <row r="441" spans="1:6" x14ac:dyDescent="0.3">
      <c r="A441" s="185" t="str">
        <f>DataDemande!AA500</f>
        <v/>
      </c>
      <c r="B441" s="8">
        <f>IFERROR(VLOOKUP($A441,DataDemande!$AA$63:$AE$700,2,FALSE)*VLOOKUP($A441,DataPrixBillets!$M$66:$Q$700,2,FALSE),"")</f>
        <v>0</v>
      </c>
      <c r="C441" s="8">
        <f>IFERROR(VLOOKUP($A441,DataDemande!$AA$63:$AE$700,3,FALSE)*VLOOKUP($A441,DataPrixBillets!$M$66:$Q$700,3,FALSE),"")</f>
        <v>0</v>
      </c>
      <c r="D441" s="8">
        <f>IFERROR(VLOOKUP($A441,DataDemande!$AA$63:$AE$700,4,FALSE)*VLOOKUP($A441,DataPrixBillets!$M$66:$Q$700,4,FALSE),"")</f>
        <v>0</v>
      </c>
      <c r="E441" s="8">
        <f>IFERROR(VLOOKUP($A441,DataDemande!$AA$63:$AE$700,5,FALSE)*VLOOKUP($A441,DataPrixBillets!$M$66:$Q$700,5,FALSE),"")</f>
        <v>0</v>
      </c>
      <c r="F441" s="21">
        <f t="shared" si="8"/>
        <v>0</v>
      </c>
    </row>
    <row r="442" spans="1:6" x14ac:dyDescent="0.3">
      <c r="A442" s="185" t="str">
        <f>DataDemande!AA501</f>
        <v/>
      </c>
      <c r="B442" s="8">
        <f>IFERROR(VLOOKUP($A442,DataDemande!$AA$63:$AE$700,2,FALSE)*VLOOKUP($A442,DataPrixBillets!$M$66:$Q$700,2,FALSE),"")</f>
        <v>0</v>
      </c>
      <c r="C442" s="8">
        <f>IFERROR(VLOOKUP($A442,DataDemande!$AA$63:$AE$700,3,FALSE)*VLOOKUP($A442,DataPrixBillets!$M$66:$Q$700,3,FALSE),"")</f>
        <v>0</v>
      </c>
      <c r="D442" s="8">
        <f>IFERROR(VLOOKUP($A442,DataDemande!$AA$63:$AE$700,4,FALSE)*VLOOKUP($A442,DataPrixBillets!$M$66:$Q$700,4,FALSE),"")</f>
        <v>0</v>
      </c>
      <c r="E442" s="8">
        <f>IFERROR(VLOOKUP($A442,DataDemande!$AA$63:$AE$700,5,FALSE)*VLOOKUP($A442,DataPrixBillets!$M$66:$Q$700,5,FALSE),"")</f>
        <v>0</v>
      </c>
      <c r="F442" s="21">
        <f t="shared" si="8"/>
        <v>0</v>
      </c>
    </row>
    <row r="443" spans="1:6" x14ac:dyDescent="0.3">
      <c r="A443" s="185" t="str">
        <f>DataDemande!AA502</f>
        <v/>
      </c>
      <c r="B443" s="8">
        <f>IFERROR(VLOOKUP($A443,DataDemande!$AA$63:$AE$700,2,FALSE)*VLOOKUP($A443,DataPrixBillets!$M$66:$Q$700,2,FALSE),"")</f>
        <v>0</v>
      </c>
      <c r="C443" s="8">
        <f>IFERROR(VLOOKUP($A443,DataDemande!$AA$63:$AE$700,3,FALSE)*VLOOKUP($A443,DataPrixBillets!$M$66:$Q$700,3,FALSE),"")</f>
        <v>0</v>
      </c>
      <c r="D443" s="8">
        <f>IFERROR(VLOOKUP($A443,DataDemande!$AA$63:$AE$700,4,FALSE)*VLOOKUP($A443,DataPrixBillets!$M$66:$Q$700,4,FALSE),"")</f>
        <v>0</v>
      </c>
      <c r="E443" s="8">
        <f>IFERROR(VLOOKUP($A443,DataDemande!$AA$63:$AE$700,5,FALSE)*VLOOKUP($A443,DataPrixBillets!$M$66:$Q$700,5,FALSE),"")</f>
        <v>0</v>
      </c>
      <c r="F443" s="21">
        <f t="shared" si="8"/>
        <v>0</v>
      </c>
    </row>
    <row r="444" spans="1:6" x14ac:dyDescent="0.3">
      <c r="A444" s="185" t="str">
        <f>DataDemande!AA503</f>
        <v/>
      </c>
      <c r="B444" s="8">
        <f>IFERROR(VLOOKUP($A444,DataDemande!$AA$63:$AE$700,2,FALSE)*VLOOKUP($A444,DataPrixBillets!$M$66:$Q$700,2,FALSE),"")</f>
        <v>0</v>
      </c>
      <c r="C444" s="8">
        <f>IFERROR(VLOOKUP($A444,DataDemande!$AA$63:$AE$700,3,FALSE)*VLOOKUP($A444,DataPrixBillets!$M$66:$Q$700,3,FALSE),"")</f>
        <v>0</v>
      </c>
      <c r="D444" s="8">
        <f>IFERROR(VLOOKUP($A444,DataDemande!$AA$63:$AE$700,4,FALSE)*VLOOKUP($A444,DataPrixBillets!$M$66:$Q$700,4,FALSE),"")</f>
        <v>0</v>
      </c>
      <c r="E444" s="8">
        <f>IFERROR(VLOOKUP($A444,DataDemande!$AA$63:$AE$700,5,FALSE)*VLOOKUP($A444,DataPrixBillets!$M$66:$Q$700,5,FALSE),"")</f>
        <v>0</v>
      </c>
      <c r="F444" s="21">
        <f t="shared" si="8"/>
        <v>0</v>
      </c>
    </row>
    <row r="445" spans="1:6" x14ac:dyDescent="0.3">
      <c r="A445" s="185" t="str">
        <f>DataDemande!AA504</f>
        <v/>
      </c>
      <c r="B445" s="8">
        <f>IFERROR(VLOOKUP($A445,DataDemande!$AA$63:$AE$700,2,FALSE)*VLOOKUP($A445,DataPrixBillets!$M$66:$Q$700,2,FALSE),"")</f>
        <v>0</v>
      </c>
      <c r="C445" s="8">
        <f>IFERROR(VLOOKUP($A445,DataDemande!$AA$63:$AE$700,3,FALSE)*VLOOKUP($A445,DataPrixBillets!$M$66:$Q$700,3,FALSE),"")</f>
        <v>0</v>
      </c>
      <c r="D445" s="8">
        <f>IFERROR(VLOOKUP($A445,DataDemande!$AA$63:$AE$700,4,FALSE)*VLOOKUP($A445,DataPrixBillets!$M$66:$Q$700,4,FALSE),"")</f>
        <v>0</v>
      </c>
      <c r="E445" s="8">
        <f>IFERROR(VLOOKUP($A445,DataDemande!$AA$63:$AE$700,5,FALSE)*VLOOKUP($A445,DataPrixBillets!$M$66:$Q$700,5,FALSE),"")</f>
        <v>0</v>
      </c>
      <c r="F445" s="21">
        <f t="shared" si="8"/>
        <v>0</v>
      </c>
    </row>
    <row r="446" spans="1:6" x14ac:dyDescent="0.3">
      <c r="A446" s="185" t="str">
        <f>DataDemande!AA505</f>
        <v/>
      </c>
      <c r="B446" s="8">
        <f>IFERROR(VLOOKUP($A446,DataDemande!$AA$63:$AE$700,2,FALSE)*VLOOKUP($A446,DataPrixBillets!$M$66:$Q$700,2,FALSE),"")</f>
        <v>0</v>
      </c>
      <c r="C446" s="8">
        <f>IFERROR(VLOOKUP($A446,DataDemande!$AA$63:$AE$700,3,FALSE)*VLOOKUP($A446,DataPrixBillets!$M$66:$Q$700,3,FALSE),"")</f>
        <v>0</v>
      </c>
      <c r="D446" s="8">
        <f>IFERROR(VLOOKUP($A446,DataDemande!$AA$63:$AE$700,4,FALSE)*VLOOKUP($A446,DataPrixBillets!$M$66:$Q$700,4,FALSE),"")</f>
        <v>0</v>
      </c>
      <c r="E446" s="8">
        <f>IFERROR(VLOOKUP($A446,DataDemande!$AA$63:$AE$700,5,FALSE)*VLOOKUP($A446,DataPrixBillets!$M$66:$Q$700,5,FALSE),"")</f>
        <v>0</v>
      </c>
      <c r="F446" s="21">
        <f t="shared" si="8"/>
        <v>0</v>
      </c>
    </row>
    <row r="447" spans="1:6" x14ac:dyDescent="0.3">
      <c r="A447" s="185" t="str">
        <f>DataDemande!AA506</f>
        <v/>
      </c>
      <c r="B447" s="8">
        <f>IFERROR(VLOOKUP($A447,DataDemande!$AA$63:$AE$700,2,FALSE)*VLOOKUP($A447,DataPrixBillets!$M$66:$Q$700,2,FALSE),"")</f>
        <v>0</v>
      </c>
      <c r="C447" s="8">
        <f>IFERROR(VLOOKUP($A447,DataDemande!$AA$63:$AE$700,3,FALSE)*VLOOKUP($A447,DataPrixBillets!$M$66:$Q$700,3,FALSE),"")</f>
        <v>0</v>
      </c>
      <c r="D447" s="8">
        <f>IFERROR(VLOOKUP($A447,DataDemande!$AA$63:$AE$700,4,FALSE)*VLOOKUP($A447,DataPrixBillets!$M$66:$Q$700,4,FALSE),"")</f>
        <v>0</v>
      </c>
      <c r="E447" s="8">
        <f>IFERROR(VLOOKUP($A447,DataDemande!$AA$63:$AE$700,5,FALSE)*VLOOKUP($A447,DataPrixBillets!$M$66:$Q$700,5,FALSE),"")</f>
        <v>0</v>
      </c>
      <c r="F447" s="21">
        <f t="shared" si="8"/>
        <v>0</v>
      </c>
    </row>
    <row r="448" spans="1:6" x14ac:dyDescent="0.3">
      <c r="A448" s="185" t="str">
        <f>DataDemande!AA507</f>
        <v/>
      </c>
      <c r="B448" s="8">
        <f>IFERROR(VLOOKUP($A448,DataDemande!$AA$63:$AE$700,2,FALSE)*VLOOKUP($A448,DataPrixBillets!$M$66:$Q$700,2,FALSE),"")</f>
        <v>0</v>
      </c>
      <c r="C448" s="8">
        <f>IFERROR(VLOOKUP($A448,DataDemande!$AA$63:$AE$700,3,FALSE)*VLOOKUP($A448,DataPrixBillets!$M$66:$Q$700,3,FALSE),"")</f>
        <v>0</v>
      </c>
      <c r="D448" s="8">
        <f>IFERROR(VLOOKUP($A448,DataDemande!$AA$63:$AE$700,4,FALSE)*VLOOKUP($A448,DataPrixBillets!$M$66:$Q$700,4,FALSE),"")</f>
        <v>0</v>
      </c>
      <c r="E448" s="8">
        <f>IFERROR(VLOOKUP($A448,DataDemande!$AA$63:$AE$700,5,FALSE)*VLOOKUP($A448,DataPrixBillets!$M$66:$Q$700,5,FALSE),"")</f>
        <v>0</v>
      </c>
      <c r="F448" s="21">
        <f t="shared" si="8"/>
        <v>0</v>
      </c>
    </row>
    <row r="449" spans="1:6" x14ac:dyDescent="0.3">
      <c r="A449" s="185" t="str">
        <f>DataDemande!AA508</f>
        <v/>
      </c>
      <c r="B449" s="8">
        <f>IFERROR(VLOOKUP($A449,DataDemande!$AA$63:$AE$700,2,FALSE)*VLOOKUP($A449,DataPrixBillets!$M$66:$Q$700,2,FALSE),"")</f>
        <v>0</v>
      </c>
      <c r="C449" s="8">
        <f>IFERROR(VLOOKUP($A449,DataDemande!$AA$63:$AE$700,3,FALSE)*VLOOKUP($A449,DataPrixBillets!$M$66:$Q$700,3,FALSE),"")</f>
        <v>0</v>
      </c>
      <c r="D449" s="8">
        <f>IFERROR(VLOOKUP($A449,DataDemande!$AA$63:$AE$700,4,FALSE)*VLOOKUP($A449,DataPrixBillets!$M$66:$Q$700,4,FALSE),"")</f>
        <v>0</v>
      </c>
      <c r="E449" s="8">
        <f>IFERROR(VLOOKUP($A449,DataDemande!$AA$63:$AE$700,5,FALSE)*VLOOKUP($A449,DataPrixBillets!$M$66:$Q$700,5,FALSE),"")</f>
        <v>0</v>
      </c>
      <c r="F449" s="21">
        <f t="shared" si="8"/>
        <v>0</v>
      </c>
    </row>
    <row r="450" spans="1:6" x14ac:dyDescent="0.3">
      <c r="A450" s="185" t="str">
        <f>DataDemande!AA509</f>
        <v/>
      </c>
      <c r="B450" s="8">
        <f>IFERROR(VLOOKUP($A450,DataDemande!$AA$63:$AE$700,2,FALSE)*VLOOKUP($A450,DataPrixBillets!$M$66:$Q$700,2,FALSE),"")</f>
        <v>0</v>
      </c>
      <c r="C450" s="8">
        <f>IFERROR(VLOOKUP($A450,DataDemande!$AA$63:$AE$700,3,FALSE)*VLOOKUP($A450,DataPrixBillets!$M$66:$Q$700,3,FALSE),"")</f>
        <v>0</v>
      </c>
      <c r="D450" s="8">
        <f>IFERROR(VLOOKUP($A450,DataDemande!$AA$63:$AE$700,4,FALSE)*VLOOKUP($A450,DataPrixBillets!$M$66:$Q$700,4,FALSE),"")</f>
        <v>0</v>
      </c>
      <c r="E450" s="8">
        <f>IFERROR(VLOOKUP($A450,DataDemande!$AA$63:$AE$700,5,FALSE)*VLOOKUP($A450,DataPrixBillets!$M$66:$Q$700,5,FALSE),"")</f>
        <v>0</v>
      </c>
      <c r="F450" s="21">
        <f t="shared" si="8"/>
        <v>0</v>
      </c>
    </row>
    <row r="451" spans="1:6" x14ac:dyDescent="0.3">
      <c r="A451" s="185" t="str">
        <f>DataDemande!AA510</f>
        <v/>
      </c>
      <c r="B451" s="8">
        <f>IFERROR(VLOOKUP($A451,DataDemande!$AA$63:$AE$700,2,FALSE)*VLOOKUP($A451,DataPrixBillets!$M$66:$Q$700,2,FALSE),"")</f>
        <v>0</v>
      </c>
      <c r="C451" s="8">
        <f>IFERROR(VLOOKUP($A451,DataDemande!$AA$63:$AE$700,3,FALSE)*VLOOKUP($A451,DataPrixBillets!$M$66:$Q$700,3,FALSE),"")</f>
        <v>0</v>
      </c>
      <c r="D451" s="8">
        <f>IFERROR(VLOOKUP($A451,DataDemande!$AA$63:$AE$700,4,FALSE)*VLOOKUP($A451,DataPrixBillets!$M$66:$Q$700,4,FALSE),"")</f>
        <v>0</v>
      </c>
      <c r="E451" s="8">
        <f>IFERROR(VLOOKUP($A451,DataDemande!$AA$63:$AE$700,5,FALSE)*VLOOKUP($A451,DataPrixBillets!$M$66:$Q$700,5,FALSE),"")</f>
        <v>0</v>
      </c>
      <c r="F451" s="21">
        <f t="shared" si="8"/>
        <v>0</v>
      </c>
    </row>
    <row r="452" spans="1:6" x14ac:dyDescent="0.3">
      <c r="A452" s="185" t="str">
        <f>DataDemande!AA511</f>
        <v/>
      </c>
      <c r="B452" s="8">
        <f>IFERROR(VLOOKUP($A452,DataDemande!$AA$63:$AE$700,2,FALSE)*VLOOKUP($A452,DataPrixBillets!$M$66:$Q$700,2,FALSE),"")</f>
        <v>0</v>
      </c>
      <c r="C452" s="8">
        <f>IFERROR(VLOOKUP($A452,DataDemande!$AA$63:$AE$700,3,FALSE)*VLOOKUP($A452,DataPrixBillets!$M$66:$Q$700,3,FALSE),"")</f>
        <v>0</v>
      </c>
      <c r="D452" s="8">
        <f>IFERROR(VLOOKUP($A452,DataDemande!$AA$63:$AE$700,4,FALSE)*VLOOKUP($A452,DataPrixBillets!$M$66:$Q$700,4,FALSE),"")</f>
        <v>0</v>
      </c>
      <c r="E452" s="8">
        <f>IFERROR(VLOOKUP($A452,DataDemande!$AA$63:$AE$700,5,FALSE)*VLOOKUP($A452,DataPrixBillets!$M$66:$Q$700,5,FALSE),"")</f>
        <v>0</v>
      </c>
      <c r="F452" s="21">
        <f t="shared" si="8"/>
        <v>0</v>
      </c>
    </row>
    <row r="453" spans="1:6" x14ac:dyDescent="0.3">
      <c r="A453" s="185" t="str">
        <f>DataDemande!AA512</f>
        <v/>
      </c>
      <c r="B453" s="8">
        <f>IFERROR(VLOOKUP($A453,DataDemande!$AA$63:$AE$700,2,FALSE)*VLOOKUP($A453,DataPrixBillets!$M$66:$Q$700,2,FALSE),"")</f>
        <v>0</v>
      </c>
      <c r="C453" s="8">
        <f>IFERROR(VLOOKUP($A453,DataDemande!$AA$63:$AE$700,3,FALSE)*VLOOKUP($A453,DataPrixBillets!$M$66:$Q$700,3,FALSE),"")</f>
        <v>0</v>
      </c>
      <c r="D453" s="8">
        <f>IFERROR(VLOOKUP($A453,DataDemande!$AA$63:$AE$700,4,FALSE)*VLOOKUP($A453,DataPrixBillets!$M$66:$Q$700,4,FALSE),"")</f>
        <v>0</v>
      </c>
      <c r="E453" s="8">
        <f>IFERROR(VLOOKUP($A453,DataDemande!$AA$63:$AE$700,5,FALSE)*VLOOKUP($A453,DataPrixBillets!$M$66:$Q$700,5,FALSE),"")</f>
        <v>0</v>
      </c>
      <c r="F453" s="21">
        <f t="shared" ref="F453:F516" si="9">SUM(B453:E453)</f>
        <v>0</v>
      </c>
    </row>
    <row r="454" spans="1:6" x14ac:dyDescent="0.3">
      <c r="A454" s="185" t="str">
        <f>DataDemande!AA513</f>
        <v/>
      </c>
      <c r="B454" s="8">
        <f>IFERROR(VLOOKUP($A454,DataDemande!$AA$63:$AE$700,2,FALSE)*VLOOKUP($A454,DataPrixBillets!$M$66:$Q$700,2,FALSE),"")</f>
        <v>0</v>
      </c>
      <c r="C454" s="8">
        <f>IFERROR(VLOOKUP($A454,DataDemande!$AA$63:$AE$700,3,FALSE)*VLOOKUP($A454,DataPrixBillets!$M$66:$Q$700,3,FALSE),"")</f>
        <v>0</v>
      </c>
      <c r="D454" s="8">
        <f>IFERROR(VLOOKUP($A454,DataDemande!$AA$63:$AE$700,4,FALSE)*VLOOKUP($A454,DataPrixBillets!$M$66:$Q$700,4,FALSE),"")</f>
        <v>0</v>
      </c>
      <c r="E454" s="8">
        <f>IFERROR(VLOOKUP($A454,DataDemande!$AA$63:$AE$700,5,FALSE)*VLOOKUP($A454,DataPrixBillets!$M$66:$Q$700,5,FALSE),"")</f>
        <v>0</v>
      </c>
      <c r="F454" s="21">
        <f t="shared" si="9"/>
        <v>0</v>
      </c>
    </row>
    <row r="455" spans="1:6" x14ac:dyDescent="0.3">
      <c r="A455" s="185" t="str">
        <f>DataDemande!AA514</f>
        <v/>
      </c>
      <c r="B455" s="8">
        <f>IFERROR(VLOOKUP($A455,DataDemande!$AA$63:$AE$700,2,FALSE)*VLOOKUP($A455,DataPrixBillets!$M$66:$Q$700,2,FALSE),"")</f>
        <v>0</v>
      </c>
      <c r="C455" s="8">
        <f>IFERROR(VLOOKUP($A455,DataDemande!$AA$63:$AE$700,3,FALSE)*VLOOKUP($A455,DataPrixBillets!$M$66:$Q$700,3,FALSE),"")</f>
        <v>0</v>
      </c>
      <c r="D455" s="8">
        <f>IFERROR(VLOOKUP($A455,DataDemande!$AA$63:$AE$700,4,FALSE)*VLOOKUP($A455,DataPrixBillets!$M$66:$Q$700,4,FALSE),"")</f>
        <v>0</v>
      </c>
      <c r="E455" s="8">
        <f>IFERROR(VLOOKUP($A455,DataDemande!$AA$63:$AE$700,5,FALSE)*VLOOKUP($A455,DataPrixBillets!$M$66:$Q$700,5,FALSE),"")</f>
        <v>0</v>
      </c>
      <c r="F455" s="21">
        <f t="shared" si="9"/>
        <v>0</v>
      </c>
    </row>
    <row r="456" spans="1:6" x14ac:dyDescent="0.3">
      <c r="A456" s="185" t="str">
        <f>DataDemande!AA515</f>
        <v/>
      </c>
      <c r="B456" s="8">
        <f>IFERROR(VLOOKUP($A456,DataDemande!$AA$63:$AE$700,2,FALSE)*VLOOKUP($A456,DataPrixBillets!$M$66:$Q$700,2,FALSE),"")</f>
        <v>0</v>
      </c>
      <c r="C456" s="8">
        <f>IFERROR(VLOOKUP($A456,DataDemande!$AA$63:$AE$700,3,FALSE)*VLOOKUP($A456,DataPrixBillets!$M$66:$Q$700,3,FALSE),"")</f>
        <v>0</v>
      </c>
      <c r="D456" s="8">
        <f>IFERROR(VLOOKUP($A456,DataDemande!$AA$63:$AE$700,4,FALSE)*VLOOKUP($A456,DataPrixBillets!$M$66:$Q$700,4,FALSE),"")</f>
        <v>0</v>
      </c>
      <c r="E456" s="8">
        <f>IFERROR(VLOOKUP($A456,DataDemande!$AA$63:$AE$700,5,FALSE)*VLOOKUP($A456,DataPrixBillets!$M$66:$Q$700,5,FALSE),"")</f>
        <v>0</v>
      </c>
      <c r="F456" s="21">
        <f t="shared" si="9"/>
        <v>0</v>
      </c>
    </row>
    <row r="457" spans="1:6" x14ac:dyDescent="0.3">
      <c r="A457" s="185" t="str">
        <f>DataDemande!AA516</f>
        <v/>
      </c>
      <c r="B457" s="8">
        <f>IFERROR(VLOOKUP($A457,DataDemande!$AA$63:$AE$700,2,FALSE)*VLOOKUP($A457,DataPrixBillets!$M$66:$Q$700,2,FALSE),"")</f>
        <v>0</v>
      </c>
      <c r="C457" s="8">
        <f>IFERROR(VLOOKUP($A457,DataDemande!$AA$63:$AE$700,3,FALSE)*VLOOKUP($A457,DataPrixBillets!$M$66:$Q$700,3,FALSE),"")</f>
        <v>0</v>
      </c>
      <c r="D457" s="8">
        <f>IFERROR(VLOOKUP($A457,DataDemande!$AA$63:$AE$700,4,FALSE)*VLOOKUP($A457,DataPrixBillets!$M$66:$Q$700,4,FALSE),"")</f>
        <v>0</v>
      </c>
      <c r="E457" s="8">
        <f>IFERROR(VLOOKUP($A457,DataDemande!$AA$63:$AE$700,5,FALSE)*VLOOKUP($A457,DataPrixBillets!$M$66:$Q$700,5,FALSE),"")</f>
        <v>0</v>
      </c>
      <c r="F457" s="21">
        <f t="shared" si="9"/>
        <v>0</v>
      </c>
    </row>
    <row r="458" spans="1:6" x14ac:dyDescent="0.3">
      <c r="A458" s="185" t="str">
        <f>DataDemande!AA517</f>
        <v/>
      </c>
      <c r="B458" s="8">
        <f>IFERROR(VLOOKUP($A458,DataDemande!$AA$63:$AE$700,2,FALSE)*VLOOKUP($A458,DataPrixBillets!$M$66:$Q$700,2,FALSE),"")</f>
        <v>0</v>
      </c>
      <c r="C458" s="8">
        <f>IFERROR(VLOOKUP($A458,DataDemande!$AA$63:$AE$700,3,FALSE)*VLOOKUP($A458,DataPrixBillets!$M$66:$Q$700,3,FALSE),"")</f>
        <v>0</v>
      </c>
      <c r="D458" s="8">
        <f>IFERROR(VLOOKUP($A458,DataDemande!$AA$63:$AE$700,4,FALSE)*VLOOKUP($A458,DataPrixBillets!$M$66:$Q$700,4,FALSE),"")</f>
        <v>0</v>
      </c>
      <c r="E458" s="8">
        <f>IFERROR(VLOOKUP($A458,DataDemande!$AA$63:$AE$700,5,FALSE)*VLOOKUP($A458,DataPrixBillets!$M$66:$Q$700,5,FALSE),"")</f>
        <v>0</v>
      </c>
      <c r="F458" s="21">
        <f t="shared" si="9"/>
        <v>0</v>
      </c>
    </row>
    <row r="459" spans="1:6" x14ac:dyDescent="0.3">
      <c r="A459" s="185" t="str">
        <f>DataDemande!AA518</f>
        <v/>
      </c>
      <c r="B459" s="8">
        <f>IFERROR(VLOOKUP($A459,DataDemande!$AA$63:$AE$700,2,FALSE)*VLOOKUP($A459,DataPrixBillets!$M$66:$Q$700,2,FALSE),"")</f>
        <v>0</v>
      </c>
      <c r="C459" s="8">
        <f>IFERROR(VLOOKUP($A459,DataDemande!$AA$63:$AE$700,3,FALSE)*VLOOKUP($A459,DataPrixBillets!$M$66:$Q$700,3,FALSE),"")</f>
        <v>0</v>
      </c>
      <c r="D459" s="8">
        <f>IFERROR(VLOOKUP($A459,DataDemande!$AA$63:$AE$700,4,FALSE)*VLOOKUP($A459,DataPrixBillets!$M$66:$Q$700,4,FALSE),"")</f>
        <v>0</v>
      </c>
      <c r="E459" s="8">
        <f>IFERROR(VLOOKUP($A459,DataDemande!$AA$63:$AE$700,5,FALSE)*VLOOKUP($A459,DataPrixBillets!$M$66:$Q$700,5,FALSE),"")</f>
        <v>0</v>
      </c>
      <c r="F459" s="21">
        <f t="shared" si="9"/>
        <v>0</v>
      </c>
    </row>
    <row r="460" spans="1:6" x14ac:dyDescent="0.3">
      <c r="A460" s="185" t="str">
        <f>DataDemande!AA519</f>
        <v/>
      </c>
      <c r="B460" s="8">
        <f>IFERROR(VLOOKUP($A460,DataDemande!$AA$63:$AE$700,2,FALSE)*VLOOKUP($A460,DataPrixBillets!$M$66:$Q$700,2,FALSE),"")</f>
        <v>0</v>
      </c>
      <c r="C460" s="8">
        <f>IFERROR(VLOOKUP($A460,DataDemande!$AA$63:$AE$700,3,FALSE)*VLOOKUP($A460,DataPrixBillets!$M$66:$Q$700,3,FALSE),"")</f>
        <v>0</v>
      </c>
      <c r="D460" s="8">
        <f>IFERROR(VLOOKUP($A460,DataDemande!$AA$63:$AE$700,4,FALSE)*VLOOKUP($A460,DataPrixBillets!$M$66:$Q$700,4,FALSE),"")</f>
        <v>0</v>
      </c>
      <c r="E460" s="8">
        <f>IFERROR(VLOOKUP($A460,DataDemande!$AA$63:$AE$700,5,FALSE)*VLOOKUP($A460,DataPrixBillets!$M$66:$Q$700,5,FALSE),"")</f>
        <v>0</v>
      </c>
      <c r="F460" s="21">
        <f t="shared" si="9"/>
        <v>0</v>
      </c>
    </row>
    <row r="461" spans="1:6" x14ac:dyDescent="0.3">
      <c r="A461" s="185" t="str">
        <f>DataDemande!AA520</f>
        <v/>
      </c>
      <c r="B461" s="8">
        <f>IFERROR(VLOOKUP($A461,DataDemande!$AA$63:$AE$700,2,FALSE)*VLOOKUP($A461,DataPrixBillets!$M$66:$Q$700,2,FALSE),"")</f>
        <v>0</v>
      </c>
      <c r="C461" s="8">
        <f>IFERROR(VLOOKUP($A461,DataDemande!$AA$63:$AE$700,3,FALSE)*VLOOKUP($A461,DataPrixBillets!$M$66:$Q$700,3,FALSE),"")</f>
        <v>0</v>
      </c>
      <c r="D461" s="8">
        <f>IFERROR(VLOOKUP($A461,DataDemande!$AA$63:$AE$700,4,FALSE)*VLOOKUP($A461,DataPrixBillets!$M$66:$Q$700,4,FALSE),"")</f>
        <v>0</v>
      </c>
      <c r="E461" s="8">
        <f>IFERROR(VLOOKUP($A461,DataDemande!$AA$63:$AE$700,5,FALSE)*VLOOKUP($A461,DataPrixBillets!$M$66:$Q$700,5,FALSE),"")</f>
        <v>0</v>
      </c>
      <c r="F461" s="21">
        <f t="shared" si="9"/>
        <v>0</v>
      </c>
    </row>
    <row r="462" spans="1:6" x14ac:dyDescent="0.3">
      <c r="A462" s="185" t="str">
        <f>DataDemande!AA521</f>
        <v/>
      </c>
      <c r="B462" s="8">
        <f>IFERROR(VLOOKUP($A462,DataDemande!$AA$63:$AE$700,2,FALSE)*VLOOKUP($A462,DataPrixBillets!$M$66:$Q$700,2,FALSE),"")</f>
        <v>0</v>
      </c>
      <c r="C462" s="8">
        <f>IFERROR(VLOOKUP($A462,DataDemande!$AA$63:$AE$700,3,FALSE)*VLOOKUP($A462,DataPrixBillets!$M$66:$Q$700,3,FALSE),"")</f>
        <v>0</v>
      </c>
      <c r="D462" s="8">
        <f>IFERROR(VLOOKUP($A462,DataDemande!$AA$63:$AE$700,4,FALSE)*VLOOKUP($A462,DataPrixBillets!$M$66:$Q$700,4,FALSE),"")</f>
        <v>0</v>
      </c>
      <c r="E462" s="8">
        <f>IFERROR(VLOOKUP($A462,DataDemande!$AA$63:$AE$700,5,FALSE)*VLOOKUP($A462,DataPrixBillets!$M$66:$Q$700,5,FALSE),"")</f>
        <v>0</v>
      </c>
      <c r="F462" s="21">
        <f t="shared" si="9"/>
        <v>0</v>
      </c>
    </row>
    <row r="463" spans="1:6" x14ac:dyDescent="0.3">
      <c r="A463" s="185" t="str">
        <f>DataDemande!AA522</f>
        <v/>
      </c>
      <c r="B463" s="8">
        <f>IFERROR(VLOOKUP($A463,DataDemande!$AA$63:$AE$700,2,FALSE)*VLOOKUP($A463,DataPrixBillets!$M$66:$Q$700,2,FALSE),"")</f>
        <v>0</v>
      </c>
      <c r="C463" s="8">
        <f>IFERROR(VLOOKUP($A463,DataDemande!$AA$63:$AE$700,3,FALSE)*VLOOKUP($A463,DataPrixBillets!$M$66:$Q$700,3,FALSE),"")</f>
        <v>0</v>
      </c>
      <c r="D463" s="8">
        <f>IFERROR(VLOOKUP($A463,DataDemande!$AA$63:$AE$700,4,FALSE)*VLOOKUP($A463,DataPrixBillets!$M$66:$Q$700,4,FALSE),"")</f>
        <v>0</v>
      </c>
      <c r="E463" s="8">
        <f>IFERROR(VLOOKUP($A463,DataDemande!$AA$63:$AE$700,5,FALSE)*VLOOKUP($A463,DataPrixBillets!$M$66:$Q$700,5,FALSE),"")</f>
        <v>0</v>
      </c>
      <c r="F463" s="21">
        <f t="shared" si="9"/>
        <v>0</v>
      </c>
    </row>
    <row r="464" spans="1:6" x14ac:dyDescent="0.3">
      <c r="A464" s="185" t="str">
        <f>DataDemande!AA523</f>
        <v/>
      </c>
      <c r="B464" s="8">
        <f>IFERROR(VLOOKUP($A464,DataDemande!$AA$63:$AE$700,2,FALSE)*VLOOKUP($A464,DataPrixBillets!$M$66:$Q$700,2,FALSE),"")</f>
        <v>0</v>
      </c>
      <c r="C464" s="8">
        <f>IFERROR(VLOOKUP($A464,DataDemande!$AA$63:$AE$700,3,FALSE)*VLOOKUP($A464,DataPrixBillets!$M$66:$Q$700,3,FALSE),"")</f>
        <v>0</v>
      </c>
      <c r="D464" s="8">
        <f>IFERROR(VLOOKUP($A464,DataDemande!$AA$63:$AE$700,4,FALSE)*VLOOKUP($A464,DataPrixBillets!$M$66:$Q$700,4,FALSE),"")</f>
        <v>0</v>
      </c>
      <c r="E464" s="8">
        <f>IFERROR(VLOOKUP($A464,DataDemande!$AA$63:$AE$700,5,FALSE)*VLOOKUP($A464,DataPrixBillets!$M$66:$Q$700,5,FALSE),"")</f>
        <v>0</v>
      </c>
      <c r="F464" s="21">
        <f t="shared" si="9"/>
        <v>0</v>
      </c>
    </row>
    <row r="465" spans="1:6" x14ac:dyDescent="0.3">
      <c r="A465" s="185" t="str">
        <f>DataDemande!AA524</f>
        <v/>
      </c>
      <c r="B465" s="8">
        <f>IFERROR(VLOOKUP($A465,DataDemande!$AA$63:$AE$700,2,FALSE)*VLOOKUP($A465,DataPrixBillets!$M$66:$Q$700,2,FALSE),"")</f>
        <v>0</v>
      </c>
      <c r="C465" s="8">
        <f>IFERROR(VLOOKUP($A465,DataDemande!$AA$63:$AE$700,3,FALSE)*VLOOKUP($A465,DataPrixBillets!$M$66:$Q$700,3,FALSE),"")</f>
        <v>0</v>
      </c>
      <c r="D465" s="8">
        <f>IFERROR(VLOOKUP($A465,DataDemande!$AA$63:$AE$700,4,FALSE)*VLOOKUP($A465,DataPrixBillets!$M$66:$Q$700,4,FALSE),"")</f>
        <v>0</v>
      </c>
      <c r="E465" s="8">
        <f>IFERROR(VLOOKUP($A465,DataDemande!$AA$63:$AE$700,5,FALSE)*VLOOKUP($A465,DataPrixBillets!$M$66:$Q$700,5,FALSE),"")</f>
        <v>0</v>
      </c>
      <c r="F465" s="21">
        <f t="shared" si="9"/>
        <v>0</v>
      </c>
    </row>
    <row r="466" spans="1:6" x14ac:dyDescent="0.3">
      <c r="A466" s="185" t="str">
        <f>DataDemande!AA525</f>
        <v/>
      </c>
      <c r="B466" s="8">
        <f>IFERROR(VLOOKUP($A466,DataDemande!$AA$63:$AE$700,2,FALSE)*VLOOKUP($A466,DataPrixBillets!$M$66:$Q$700,2,FALSE),"")</f>
        <v>0</v>
      </c>
      <c r="C466" s="8">
        <f>IFERROR(VLOOKUP($A466,DataDemande!$AA$63:$AE$700,3,FALSE)*VLOOKUP($A466,DataPrixBillets!$M$66:$Q$700,3,FALSE),"")</f>
        <v>0</v>
      </c>
      <c r="D466" s="8">
        <f>IFERROR(VLOOKUP($A466,DataDemande!$AA$63:$AE$700,4,FALSE)*VLOOKUP($A466,DataPrixBillets!$M$66:$Q$700,4,FALSE),"")</f>
        <v>0</v>
      </c>
      <c r="E466" s="8">
        <f>IFERROR(VLOOKUP($A466,DataDemande!$AA$63:$AE$700,5,FALSE)*VLOOKUP($A466,DataPrixBillets!$M$66:$Q$700,5,FALSE),"")</f>
        <v>0</v>
      </c>
      <c r="F466" s="21">
        <f t="shared" si="9"/>
        <v>0</v>
      </c>
    </row>
    <row r="467" spans="1:6" x14ac:dyDescent="0.3">
      <c r="A467" s="185" t="str">
        <f>DataDemande!AA526</f>
        <v/>
      </c>
      <c r="B467" s="8">
        <f>IFERROR(VLOOKUP($A467,DataDemande!$AA$63:$AE$700,2,FALSE)*VLOOKUP($A467,DataPrixBillets!$M$66:$Q$700,2,FALSE),"")</f>
        <v>0</v>
      </c>
      <c r="C467" s="8">
        <f>IFERROR(VLOOKUP($A467,DataDemande!$AA$63:$AE$700,3,FALSE)*VLOOKUP($A467,DataPrixBillets!$M$66:$Q$700,3,FALSE),"")</f>
        <v>0</v>
      </c>
      <c r="D467" s="8">
        <f>IFERROR(VLOOKUP($A467,DataDemande!$AA$63:$AE$700,4,FALSE)*VLOOKUP($A467,DataPrixBillets!$M$66:$Q$700,4,FALSE),"")</f>
        <v>0</v>
      </c>
      <c r="E467" s="8">
        <f>IFERROR(VLOOKUP($A467,DataDemande!$AA$63:$AE$700,5,FALSE)*VLOOKUP($A467,DataPrixBillets!$M$66:$Q$700,5,FALSE),"")</f>
        <v>0</v>
      </c>
      <c r="F467" s="21">
        <f t="shared" si="9"/>
        <v>0</v>
      </c>
    </row>
    <row r="468" spans="1:6" x14ac:dyDescent="0.3">
      <c r="A468" s="185" t="str">
        <f>DataDemande!AA527</f>
        <v/>
      </c>
      <c r="B468" s="8">
        <f>IFERROR(VLOOKUP($A468,DataDemande!$AA$63:$AE$700,2,FALSE)*VLOOKUP($A468,DataPrixBillets!$M$66:$Q$700,2,FALSE),"")</f>
        <v>0</v>
      </c>
      <c r="C468" s="8">
        <f>IFERROR(VLOOKUP($A468,DataDemande!$AA$63:$AE$700,3,FALSE)*VLOOKUP($A468,DataPrixBillets!$M$66:$Q$700,3,FALSE),"")</f>
        <v>0</v>
      </c>
      <c r="D468" s="8">
        <f>IFERROR(VLOOKUP($A468,DataDemande!$AA$63:$AE$700,4,FALSE)*VLOOKUP($A468,DataPrixBillets!$M$66:$Q$700,4,FALSE),"")</f>
        <v>0</v>
      </c>
      <c r="E468" s="8">
        <f>IFERROR(VLOOKUP($A468,DataDemande!$AA$63:$AE$700,5,FALSE)*VLOOKUP($A468,DataPrixBillets!$M$66:$Q$700,5,FALSE),"")</f>
        <v>0</v>
      </c>
      <c r="F468" s="21">
        <f t="shared" si="9"/>
        <v>0</v>
      </c>
    </row>
    <row r="469" spans="1:6" x14ac:dyDescent="0.3">
      <c r="A469" s="185" t="str">
        <f>DataDemande!AA528</f>
        <v/>
      </c>
      <c r="B469" s="8">
        <f>IFERROR(VLOOKUP($A469,DataDemande!$AA$63:$AE$700,2,FALSE)*VLOOKUP($A469,DataPrixBillets!$M$66:$Q$700,2,FALSE),"")</f>
        <v>0</v>
      </c>
      <c r="C469" s="8">
        <f>IFERROR(VLOOKUP($A469,DataDemande!$AA$63:$AE$700,3,FALSE)*VLOOKUP($A469,DataPrixBillets!$M$66:$Q$700,3,FALSE),"")</f>
        <v>0</v>
      </c>
      <c r="D469" s="8">
        <f>IFERROR(VLOOKUP($A469,DataDemande!$AA$63:$AE$700,4,FALSE)*VLOOKUP($A469,DataPrixBillets!$M$66:$Q$700,4,FALSE),"")</f>
        <v>0</v>
      </c>
      <c r="E469" s="8">
        <f>IFERROR(VLOOKUP($A469,DataDemande!$AA$63:$AE$700,5,FALSE)*VLOOKUP($A469,DataPrixBillets!$M$66:$Q$700,5,FALSE),"")</f>
        <v>0</v>
      </c>
      <c r="F469" s="21">
        <f t="shared" si="9"/>
        <v>0</v>
      </c>
    </row>
    <row r="470" spans="1:6" x14ac:dyDescent="0.3">
      <c r="A470" s="185" t="str">
        <f>DataDemande!AA529</f>
        <v/>
      </c>
      <c r="B470" s="8">
        <f>IFERROR(VLOOKUP($A470,DataDemande!$AA$63:$AE$700,2,FALSE)*VLOOKUP($A470,DataPrixBillets!$M$66:$Q$700,2,FALSE),"")</f>
        <v>0</v>
      </c>
      <c r="C470" s="8">
        <f>IFERROR(VLOOKUP($A470,DataDemande!$AA$63:$AE$700,3,FALSE)*VLOOKUP($A470,DataPrixBillets!$M$66:$Q$700,3,FALSE),"")</f>
        <v>0</v>
      </c>
      <c r="D470" s="8">
        <f>IFERROR(VLOOKUP($A470,DataDemande!$AA$63:$AE$700,4,FALSE)*VLOOKUP($A470,DataPrixBillets!$M$66:$Q$700,4,FALSE),"")</f>
        <v>0</v>
      </c>
      <c r="E470" s="8">
        <f>IFERROR(VLOOKUP($A470,DataDemande!$AA$63:$AE$700,5,FALSE)*VLOOKUP($A470,DataPrixBillets!$M$66:$Q$700,5,FALSE),"")</f>
        <v>0</v>
      </c>
      <c r="F470" s="21">
        <f t="shared" si="9"/>
        <v>0</v>
      </c>
    </row>
    <row r="471" spans="1:6" x14ac:dyDescent="0.3">
      <c r="A471" s="185" t="str">
        <f>DataDemande!AA530</f>
        <v/>
      </c>
      <c r="B471" s="8">
        <f>IFERROR(VLOOKUP($A471,DataDemande!$AA$63:$AE$700,2,FALSE)*VLOOKUP($A471,DataPrixBillets!$M$66:$Q$700,2,FALSE),"")</f>
        <v>0</v>
      </c>
      <c r="C471" s="8">
        <f>IFERROR(VLOOKUP($A471,DataDemande!$AA$63:$AE$700,3,FALSE)*VLOOKUP($A471,DataPrixBillets!$M$66:$Q$700,3,FALSE),"")</f>
        <v>0</v>
      </c>
      <c r="D471" s="8">
        <f>IFERROR(VLOOKUP($A471,DataDemande!$AA$63:$AE$700,4,FALSE)*VLOOKUP($A471,DataPrixBillets!$M$66:$Q$700,4,FALSE),"")</f>
        <v>0</v>
      </c>
      <c r="E471" s="8">
        <f>IFERROR(VLOOKUP($A471,DataDemande!$AA$63:$AE$700,5,FALSE)*VLOOKUP($A471,DataPrixBillets!$M$66:$Q$700,5,FALSE),"")</f>
        <v>0</v>
      </c>
      <c r="F471" s="21">
        <f t="shared" si="9"/>
        <v>0</v>
      </c>
    </row>
    <row r="472" spans="1:6" x14ac:dyDescent="0.3">
      <c r="A472" s="185" t="str">
        <f>DataDemande!AA531</f>
        <v/>
      </c>
      <c r="B472" s="8">
        <f>IFERROR(VLOOKUP($A472,DataDemande!$AA$63:$AE$700,2,FALSE)*VLOOKUP($A472,DataPrixBillets!$M$66:$Q$700,2,FALSE),"")</f>
        <v>0</v>
      </c>
      <c r="C472" s="8">
        <f>IFERROR(VLOOKUP($A472,DataDemande!$AA$63:$AE$700,3,FALSE)*VLOOKUP($A472,DataPrixBillets!$M$66:$Q$700,3,FALSE),"")</f>
        <v>0</v>
      </c>
      <c r="D472" s="8">
        <f>IFERROR(VLOOKUP($A472,DataDemande!$AA$63:$AE$700,4,FALSE)*VLOOKUP($A472,DataPrixBillets!$M$66:$Q$700,4,FALSE),"")</f>
        <v>0</v>
      </c>
      <c r="E472" s="8">
        <f>IFERROR(VLOOKUP($A472,DataDemande!$AA$63:$AE$700,5,FALSE)*VLOOKUP($A472,DataPrixBillets!$M$66:$Q$700,5,FALSE),"")</f>
        <v>0</v>
      </c>
      <c r="F472" s="21">
        <f t="shared" si="9"/>
        <v>0</v>
      </c>
    </row>
    <row r="473" spans="1:6" x14ac:dyDescent="0.3">
      <c r="A473" s="185" t="str">
        <f>DataDemande!AA532</f>
        <v/>
      </c>
      <c r="B473" s="8">
        <f>IFERROR(VLOOKUP($A473,DataDemande!$AA$63:$AE$700,2,FALSE)*VLOOKUP($A473,DataPrixBillets!$M$66:$Q$700,2,FALSE),"")</f>
        <v>0</v>
      </c>
      <c r="C473" s="8">
        <f>IFERROR(VLOOKUP($A473,DataDemande!$AA$63:$AE$700,3,FALSE)*VLOOKUP($A473,DataPrixBillets!$M$66:$Q$700,3,FALSE),"")</f>
        <v>0</v>
      </c>
      <c r="D473" s="8">
        <f>IFERROR(VLOOKUP($A473,DataDemande!$AA$63:$AE$700,4,FALSE)*VLOOKUP($A473,DataPrixBillets!$M$66:$Q$700,4,FALSE),"")</f>
        <v>0</v>
      </c>
      <c r="E473" s="8">
        <f>IFERROR(VLOOKUP($A473,DataDemande!$AA$63:$AE$700,5,FALSE)*VLOOKUP($A473,DataPrixBillets!$M$66:$Q$700,5,FALSE),"")</f>
        <v>0</v>
      </c>
      <c r="F473" s="21">
        <f t="shared" si="9"/>
        <v>0</v>
      </c>
    </row>
    <row r="474" spans="1:6" x14ac:dyDescent="0.3">
      <c r="A474" s="185" t="str">
        <f>DataDemande!AA533</f>
        <v/>
      </c>
      <c r="B474" s="8">
        <f>IFERROR(VLOOKUP($A474,DataDemande!$AA$63:$AE$700,2,FALSE)*VLOOKUP($A474,DataPrixBillets!$M$66:$Q$700,2,FALSE),"")</f>
        <v>0</v>
      </c>
      <c r="C474" s="8">
        <f>IFERROR(VLOOKUP($A474,DataDemande!$AA$63:$AE$700,3,FALSE)*VLOOKUP($A474,DataPrixBillets!$M$66:$Q$700,3,FALSE),"")</f>
        <v>0</v>
      </c>
      <c r="D474" s="8">
        <f>IFERROR(VLOOKUP($A474,DataDemande!$AA$63:$AE$700,4,FALSE)*VLOOKUP($A474,DataPrixBillets!$M$66:$Q$700,4,FALSE),"")</f>
        <v>0</v>
      </c>
      <c r="E474" s="8">
        <f>IFERROR(VLOOKUP($A474,DataDemande!$AA$63:$AE$700,5,FALSE)*VLOOKUP($A474,DataPrixBillets!$M$66:$Q$700,5,FALSE),"")</f>
        <v>0</v>
      </c>
      <c r="F474" s="21">
        <f t="shared" si="9"/>
        <v>0</v>
      </c>
    </row>
    <row r="475" spans="1:6" x14ac:dyDescent="0.3">
      <c r="A475" s="185" t="str">
        <f>DataDemande!AA534</f>
        <v/>
      </c>
      <c r="B475" s="8">
        <f>IFERROR(VLOOKUP($A475,DataDemande!$AA$63:$AE$700,2,FALSE)*VLOOKUP($A475,DataPrixBillets!$M$66:$Q$700,2,FALSE),"")</f>
        <v>0</v>
      </c>
      <c r="C475" s="8">
        <f>IFERROR(VLOOKUP($A475,DataDemande!$AA$63:$AE$700,3,FALSE)*VLOOKUP($A475,DataPrixBillets!$M$66:$Q$700,3,FALSE),"")</f>
        <v>0</v>
      </c>
      <c r="D475" s="8">
        <f>IFERROR(VLOOKUP($A475,DataDemande!$AA$63:$AE$700,4,FALSE)*VLOOKUP($A475,DataPrixBillets!$M$66:$Q$700,4,FALSE),"")</f>
        <v>0</v>
      </c>
      <c r="E475" s="8">
        <f>IFERROR(VLOOKUP($A475,DataDemande!$AA$63:$AE$700,5,FALSE)*VLOOKUP($A475,DataPrixBillets!$M$66:$Q$700,5,FALSE),"")</f>
        <v>0</v>
      </c>
      <c r="F475" s="21">
        <f t="shared" si="9"/>
        <v>0</v>
      </c>
    </row>
    <row r="476" spans="1:6" x14ac:dyDescent="0.3">
      <c r="A476" s="185" t="str">
        <f>DataDemande!AA535</f>
        <v/>
      </c>
      <c r="B476" s="8">
        <f>IFERROR(VLOOKUP($A476,DataDemande!$AA$63:$AE$700,2,FALSE)*VLOOKUP($A476,DataPrixBillets!$M$66:$Q$700,2,FALSE),"")</f>
        <v>0</v>
      </c>
      <c r="C476" s="8">
        <f>IFERROR(VLOOKUP($A476,DataDemande!$AA$63:$AE$700,3,FALSE)*VLOOKUP($A476,DataPrixBillets!$M$66:$Q$700,3,FALSE),"")</f>
        <v>0</v>
      </c>
      <c r="D476" s="8">
        <f>IFERROR(VLOOKUP($A476,DataDemande!$AA$63:$AE$700,4,FALSE)*VLOOKUP($A476,DataPrixBillets!$M$66:$Q$700,4,FALSE),"")</f>
        <v>0</v>
      </c>
      <c r="E476" s="8">
        <f>IFERROR(VLOOKUP($A476,DataDemande!$AA$63:$AE$700,5,FALSE)*VLOOKUP($A476,DataPrixBillets!$M$66:$Q$700,5,FALSE),"")</f>
        <v>0</v>
      </c>
      <c r="F476" s="21">
        <f t="shared" si="9"/>
        <v>0</v>
      </c>
    </row>
    <row r="477" spans="1:6" x14ac:dyDescent="0.3">
      <c r="A477" s="185" t="str">
        <f>DataDemande!AA536</f>
        <v/>
      </c>
      <c r="B477" s="8">
        <f>IFERROR(VLOOKUP($A477,DataDemande!$AA$63:$AE$700,2,FALSE)*VLOOKUP($A477,DataPrixBillets!$M$66:$Q$700,2,FALSE),"")</f>
        <v>0</v>
      </c>
      <c r="C477" s="8">
        <f>IFERROR(VLOOKUP($A477,DataDemande!$AA$63:$AE$700,3,FALSE)*VLOOKUP($A477,DataPrixBillets!$M$66:$Q$700,3,FALSE),"")</f>
        <v>0</v>
      </c>
      <c r="D477" s="8">
        <f>IFERROR(VLOOKUP($A477,DataDemande!$AA$63:$AE$700,4,FALSE)*VLOOKUP($A477,DataPrixBillets!$M$66:$Q$700,4,FALSE),"")</f>
        <v>0</v>
      </c>
      <c r="E477" s="8">
        <f>IFERROR(VLOOKUP($A477,DataDemande!$AA$63:$AE$700,5,FALSE)*VLOOKUP($A477,DataPrixBillets!$M$66:$Q$700,5,FALSE),"")</f>
        <v>0</v>
      </c>
      <c r="F477" s="21">
        <f t="shared" si="9"/>
        <v>0</v>
      </c>
    </row>
    <row r="478" spans="1:6" x14ac:dyDescent="0.3">
      <c r="A478" s="185" t="str">
        <f>DataDemande!AA537</f>
        <v/>
      </c>
      <c r="B478" s="8">
        <f>IFERROR(VLOOKUP($A478,DataDemande!$AA$63:$AE$700,2,FALSE)*VLOOKUP($A478,DataPrixBillets!$M$66:$Q$700,2,FALSE),"")</f>
        <v>0</v>
      </c>
      <c r="C478" s="8">
        <f>IFERROR(VLOOKUP($A478,DataDemande!$AA$63:$AE$700,3,FALSE)*VLOOKUP($A478,DataPrixBillets!$M$66:$Q$700,3,FALSE),"")</f>
        <v>0</v>
      </c>
      <c r="D478" s="8">
        <f>IFERROR(VLOOKUP($A478,DataDemande!$AA$63:$AE$700,4,FALSE)*VLOOKUP($A478,DataPrixBillets!$M$66:$Q$700,4,FALSE),"")</f>
        <v>0</v>
      </c>
      <c r="E478" s="8">
        <f>IFERROR(VLOOKUP($A478,DataDemande!$AA$63:$AE$700,5,FALSE)*VLOOKUP($A478,DataPrixBillets!$M$66:$Q$700,5,FALSE),"")</f>
        <v>0</v>
      </c>
      <c r="F478" s="21">
        <f t="shared" si="9"/>
        <v>0</v>
      </c>
    </row>
    <row r="479" spans="1:6" x14ac:dyDescent="0.3">
      <c r="A479" s="185" t="str">
        <f>DataDemande!AA538</f>
        <v/>
      </c>
      <c r="B479" s="8">
        <f>IFERROR(VLOOKUP($A479,DataDemande!$AA$63:$AE$700,2,FALSE)*VLOOKUP($A479,DataPrixBillets!$M$66:$Q$700,2,FALSE),"")</f>
        <v>0</v>
      </c>
      <c r="C479" s="8">
        <f>IFERROR(VLOOKUP($A479,DataDemande!$AA$63:$AE$700,3,FALSE)*VLOOKUP($A479,DataPrixBillets!$M$66:$Q$700,3,FALSE),"")</f>
        <v>0</v>
      </c>
      <c r="D479" s="8">
        <f>IFERROR(VLOOKUP($A479,DataDemande!$AA$63:$AE$700,4,FALSE)*VLOOKUP($A479,DataPrixBillets!$M$66:$Q$700,4,FALSE),"")</f>
        <v>0</v>
      </c>
      <c r="E479" s="8">
        <f>IFERROR(VLOOKUP($A479,DataDemande!$AA$63:$AE$700,5,FALSE)*VLOOKUP($A479,DataPrixBillets!$M$66:$Q$700,5,FALSE),"")</f>
        <v>0</v>
      </c>
      <c r="F479" s="21">
        <f t="shared" si="9"/>
        <v>0</v>
      </c>
    </row>
    <row r="480" spans="1:6" x14ac:dyDescent="0.3">
      <c r="A480" s="185" t="str">
        <f>DataDemande!AA539</f>
        <v/>
      </c>
      <c r="B480" s="8">
        <f>IFERROR(VLOOKUP($A480,DataDemande!$AA$63:$AE$700,2,FALSE)*VLOOKUP($A480,DataPrixBillets!$M$66:$Q$700,2,FALSE),"")</f>
        <v>0</v>
      </c>
      <c r="C480" s="8">
        <f>IFERROR(VLOOKUP($A480,DataDemande!$AA$63:$AE$700,3,FALSE)*VLOOKUP($A480,DataPrixBillets!$M$66:$Q$700,3,FALSE),"")</f>
        <v>0</v>
      </c>
      <c r="D480" s="8">
        <f>IFERROR(VLOOKUP($A480,DataDemande!$AA$63:$AE$700,4,FALSE)*VLOOKUP($A480,DataPrixBillets!$M$66:$Q$700,4,FALSE),"")</f>
        <v>0</v>
      </c>
      <c r="E480" s="8">
        <f>IFERROR(VLOOKUP($A480,DataDemande!$AA$63:$AE$700,5,FALSE)*VLOOKUP($A480,DataPrixBillets!$M$66:$Q$700,5,FALSE),"")</f>
        <v>0</v>
      </c>
      <c r="F480" s="21">
        <f t="shared" si="9"/>
        <v>0</v>
      </c>
    </row>
    <row r="481" spans="1:6" x14ac:dyDescent="0.3">
      <c r="A481" s="185" t="str">
        <f>DataDemande!AA540</f>
        <v/>
      </c>
      <c r="B481" s="8">
        <f>IFERROR(VLOOKUP($A481,DataDemande!$AA$63:$AE$700,2,FALSE)*VLOOKUP($A481,DataPrixBillets!$M$66:$Q$700,2,FALSE),"")</f>
        <v>0</v>
      </c>
      <c r="C481" s="8">
        <f>IFERROR(VLOOKUP($A481,DataDemande!$AA$63:$AE$700,3,FALSE)*VLOOKUP($A481,DataPrixBillets!$M$66:$Q$700,3,FALSE),"")</f>
        <v>0</v>
      </c>
      <c r="D481" s="8">
        <f>IFERROR(VLOOKUP($A481,DataDemande!$AA$63:$AE$700,4,FALSE)*VLOOKUP($A481,DataPrixBillets!$M$66:$Q$700,4,FALSE),"")</f>
        <v>0</v>
      </c>
      <c r="E481" s="8">
        <f>IFERROR(VLOOKUP($A481,DataDemande!$AA$63:$AE$700,5,FALSE)*VLOOKUP($A481,DataPrixBillets!$M$66:$Q$700,5,FALSE),"")</f>
        <v>0</v>
      </c>
      <c r="F481" s="21">
        <f t="shared" si="9"/>
        <v>0</v>
      </c>
    </row>
    <row r="482" spans="1:6" x14ac:dyDescent="0.3">
      <c r="A482" s="185" t="str">
        <f>DataDemande!AA541</f>
        <v/>
      </c>
      <c r="B482" s="8">
        <f>IFERROR(VLOOKUP($A482,DataDemande!$AA$63:$AE$700,2,FALSE)*VLOOKUP($A482,DataPrixBillets!$M$66:$Q$700,2,FALSE),"")</f>
        <v>0</v>
      </c>
      <c r="C482" s="8">
        <f>IFERROR(VLOOKUP($A482,DataDemande!$AA$63:$AE$700,3,FALSE)*VLOOKUP($A482,DataPrixBillets!$M$66:$Q$700,3,FALSE),"")</f>
        <v>0</v>
      </c>
      <c r="D482" s="8">
        <f>IFERROR(VLOOKUP($A482,DataDemande!$AA$63:$AE$700,4,FALSE)*VLOOKUP($A482,DataPrixBillets!$M$66:$Q$700,4,FALSE),"")</f>
        <v>0</v>
      </c>
      <c r="E482" s="8">
        <f>IFERROR(VLOOKUP($A482,DataDemande!$AA$63:$AE$700,5,FALSE)*VLOOKUP($A482,DataPrixBillets!$M$66:$Q$700,5,FALSE),"")</f>
        <v>0</v>
      </c>
      <c r="F482" s="21">
        <f t="shared" si="9"/>
        <v>0</v>
      </c>
    </row>
    <row r="483" spans="1:6" x14ac:dyDescent="0.3">
      <c r="A483" s="185" t="str">
        <f>DataDemande!AA542</f>
        <v/>
      </c>
      <c r="B483" s="8">
        <f>IFERROR(VLOOKUP($A483,DataDemande!$AA$63:$AE$700,2,FALSE)*VLOOKUP($A483,DataPrixBillets!$M$66:$Q$700,2,FALSE),"")</f>
        <v>0</v>
      </c>
      <c r="C483" s="8">
        <f>IFERROR(VLOOKUP($A483,DataDemande!$AA$63:$AE$700,3,FALSE)*VLOOKUP($A483,DataPrixBillets!$M$66:$Q$700,3,FALSE),"")</f>
        <v>0</v>
      </c>
      <c r="D483" s="8">
        <f>IFERROR(VLOOKUP($A483,DataDemande!$AA$63:$AE$700,4,FALSE)*VLOOKUP($A483,DataPrixBillets!$M$66:$Q$700,4,FALSE),"")</f>
        <v>0</v>
      </c>
      <c r="E483" s="8">
        <f>IFERROR(VLOOKUP($A483,DataDemande!$AA$63:$AE$700,5,FALSE)*VLOOKUP($A483,DataPrixBillets!$M$66:$Q$700,5,FALSE),"")</f>
        <v>0</v>
      </c>
      <c r="F483" s="21">
        <f t="shared" si="9"/>
        <v>0</v>
      </c>
    </row>
    <row r="484" spans="1:6" x14ac:dyDescent="0.3">
      <c r="A484" s="185" t="str">
        <f>DataDemande!AA543</f>
        <v/>
      </c>
      <c r="B484" s="8">
        <f>IFERROR(VLOOKUP($A484,DataDemande!$AA$63:$AE$700,2,FALSE)*VLOOKUP($A484,DataPrixBillets!$M$66:$Q$700,2,FALSE),"")</f>
        <v>0</v>
      </c>
      <c r="C484" s="8">
        <f>IFERROR(VLOOKUP($A484,DataDemande!$AA$63:$AE$700,3,FALSE)*VLOOKUP($A484,DataPrixBillets!$M$66:$Q$700,3,FALSE),"")</f>
        <v>0</v>
      </c>
      <c r="D484" s="8">
        <f>IFERROR(VLOOKUP($A484,DataDemande!$AA$63:$AE$700,4,FALSE)*VLOOKUP($A484,DataPrixBillets!$M$66:$Q$700,4,FALSE),"")</f>
        <v>0</v>
      </c>
      <c r="E484" s="8">
        <f>IFERROR(VLOOKUP($A484,DataDemande!$AA$63:$AE$700,5,FALSE)*VLOOKUP($A484,DataPrixBillets!$M$66:$Q$700,5,FALSE),"")</f>
        <v>0</v>
      </c>
      <c r="F484" s="21">
        <f t="shared" si="9"/>
        <v>0</v>
      </c>
    </row>
    <row r="485" spans="1:6" x14ac:dyDescent="0.3">
      <c r="A485" s="185" t="str">
        <f>DataDemande!AA544</f>
        <v/>
      </c>
      <c r="B485" s="8">
        <f>IFERROR(VLOOKUP($A485,DataDemande!$AA$63:$AE$700,2,FALSE)*VLOOKUP($A485,DataPrixBillets!$M$66:$Q$700,2,FALSE),"")</f>
        <v>0</v>
      </c>
      <c r="C485" s="8">
        <f>IFERROR(VLOOKUP($A485,DataDemande!$AA$63:$AE$700,3,FALSE)*VLOOKUP($A485,DataPrixBillets!$M$66:$Q$700,3,FALSE),"")</f>
        <v>0</v>
      </c>
      <c r="D485" s="8">
        <f>IFERROR(VLOOKUP($A485,DataDemande!$AA$63:$AE$700,4,FALSE)*VLOOKUP($A485,DataPrixBillets!$M$66:$Q$700,4,FALSE),"")</f>
        <v>0</v>
      </c>
      <c r="E485" s="8">
        <f>IFERROR(VLOOKUP($A485,DataDemande!$AA$63:$AE$700,5,FALSE)*VLOOKUP($A485,DataPrixBillets!$M$66:$Q$700,5,FALSE),"")</f>
        <v>0</v>
      </c>
      <c r="F485" s="21">
        <f t="shared" si="9"/>
        <v>0</v>
      </c>
    </row>
    <row r="486" spans="1:6" x14ac:dyDescent="0.3">
      <c r="A486" s="185" t="str">
        <f>DataDemande!AA545</f>
        <v/>
      </c>
      <c r="B486" s="8">
        <f>IFERROR(VLOOKUP($A486,DataDemande!$AA$63:$AE$700,2,FALSE)*VLOOKUP($A486,DataPrixBillets!$M$66:$Q$700,2,FALSE),"")</f>
        <v>0</v>
      </c>
      <c r="C486" s="8">
        <f>IFERROR(VLOOKUP($A486,DataDemande!$AA$63:$AE$700,3,FALSE)*VLOOKUP($A486,DataPrixBillets!$M$66:$Q$700,3,FALSE),"")</f>
        <v>0</v>
      </c>
      <c r="D486" s="8">
        <f>IFERROR(VLOOKUP($A486,DataDemande!$AA$63:$AE$700,4,FALSE)*VLOOKUP($A486,DataPrixBillets!$M$66:$Q$700,4,FALSE),"")</f>
        <v>0</v>
      </c>
      <c r="E486" s="8">
        <f>IFERROR(VLOOKUP($A486,DataDemande!$AA$63:$AE$700,5,FALSE)*VLOOKUP($A486,DataPrixBillets!$M$66:$Q$700,5,FALSE),"")</f>
        <v>0</v>
      </c>
      <c r="F486" s="21">
        <f t="shared" si="9"/>
        <v>0</v>
      </c>
    </row>
    <row r="487" spans="1:6" x14ac:dyDescent="0.3">
      <c r="A487" s="185" t="str">
        <f>DataDemande!AA546</f>
        <v/>
      </c>
      <c r="B487" s="8">
        <f>IFERROR(VLOOKUP($A487,DataDemande!$AA$63:$AE$700,2,FALSE)*VLOOKUP($A487,DataPrixBillets!$M$66:$Q$700,2,FALSE),"")</f>
        <v>0</v>
      </c>
      <c r="C487" s="8">
        <f>IFERROR(VLOOKUP($A487,DataDemande!$AA$63:$AE$700,3,FALSE)*VLOOKUP($A487,DataPrixBillets!$M$66:$Q$700,3,FALSE),"")</f>
        <v>0</v>
      </c>
      <c r="D487" s="8">
        <f>IFERROR(VLOOKUP($A487,DataDemande!$AA$63:$AE$700,4,FALSE)*VLOOKUP($A487,DataPrixBillets!$M$66:$Q$700,4,FALSE),"")</f>
        <v>0</v>
      </c>
      <c r="E487" s="8">
        <f>IFERROR(VLOOKUP($A487,DataDemande!$AA$63:$AE$700,5,FALSE)*VLOOKUP($A487,DataPrixBillets!$M$66:$Q$700,5,FALSE),"")</f>
        <v>0</v>
      </c>
      <c r="F487" s="21">
        <f t="shared" si="9"/>
        <v>0</v>
      </c>
    </row>
    <row r="488" spans="1:6" x14ac:dyDescent="0.3">
      <c r="A488" s="185" t="str">
        <f>DataDemande!AA547</f>
        <v/>
      </c>
      <c r="B488" s="8">
        <f>IFERROR(VLOOKUP($A488,DataDemande!$AA$63:$AE$700,2,FALSE)*VLOOKUP($A488,DataPrixBillets!$M$66:$Q$700,2,FALSE),"")</f>
        <v>0</v>
      </c>
      <c r="C488" s="8">
        <f>IFERROR(VLOOKUP($A488,DataDemande!$AA$63:$AE$700,3,FALSE)*VLOOKUP($A488,DataPrixBillets!$M$66:$Q$700,3,FALSE),"")</f>
        <v>0</v>
      </c>
      <c r="D488" s="8">
        <f>IFERROR(VLOOKUP($A488,DataDemande!$AA$63:$AE$700,4,FALSE)*VLOOKUP($A488,DataPrixBillets!$M$66:$Q$700,4,FALSE),"")</f>
        <v>0</v>
      </c>
      <c r="E488" s="8">
        <f>IFERROR(VLOOKUP($A488,DataDemande!$AA$63:$AE$700,5,FALSE)*VLOOKUP($A488,DataPrixBillets!$M$66:$Q$700,5,FALSE),"")</f>
        <v>0</v>
      </c>
      <c r="F488" s="21">
        <f t="shared" si="9"/>
        <v>0</v>
      </c>
    </row>
    <row r="489" spans="1:6" x14ac:dyDescent="0.3">
      <c r="A489" s="185" t="str">
        <f>DataDemande!AA548</f>
        <v/>
      </c>
      <c r="B489" s="8">
        <f>IFERROR(VLOOKUP($A489,DataDemande!$AA$63:$AE$700,2,FALSE)*VLOOKUP($A489,DataPrixBillets!$M$66:$Q$700,2,FALSE),"")</f>
        <v>0</v>
      </c>
      <c r="C489" s="8">
        <f>IFERROR(VLOOKUP($A489,DataDemande!$AA$63:$AE$700,3,FALSE)*VLOOKUP($A489,DataPrixBillets!$M$66:$Q$700,3,FALSE),"")</f>
        <v>0</v>
      </c>
      <c r="D489" s="8">
        <f>IFERROR(VLOOKUP($A489,DataDemande!$AA$63:$AE$700,4,FALSE)*VLOOKUP($A489,DataPrixBillets!$M$66:$Q$700,4,FALSE),"")</f>
        <v>0</v>
      </c>
      <c r="E489" s="8">
        <f>IFERROR(VLOOKUP($A489,DataDemande!$AA$63:$AE$700,5,FALSE)*VLOOKUP($A489,DataPrixBillets!$M$66:$Q$700,5,FALSE),"")</f>
        <v>0</v>
      </c>
      <c r="F489" s="21">
        <f t="shared" si="9"/>
        <v>0</v>
      </c>
    </row>
    <row r="490" spans="1:6" x14ac:dyDescent="0.3">
      <c r="A490" s="185" t="str">
        <f>DataDemande!AA549</f>
        <v/>
      </c>
      <c r="B490" s="8">
        <f>IFERROR(VLOOKUP($A490,DataDemande!$AA$63:$AE$700,2,FALSE)*VLOOKUP($A490,DataPrixBillets!$M$66:$Q$700,2,FALSE),"")</f>
        <v>0</v>
      </c>
      <c r="C490" s="8">
        <f>IFERROR(VLOOKUP($A490,DataDemande!$AA$63:$AE$700,3,FALSE)*VLOOKUP($A490,DataPrixBillets!$M$66:$Q$700,3,FALSE),"")</f>
        <v>0</v>
      </c>
      <c r="D490" s="8">
        <f>IFERROR(VLOOKUP($A490,DataDemande!$AA$63:$AE$700,4,FALSE)*VLOOKUP($A490,DataPrixBillets!$M$66:$Q$700,4,FALSE),"")</f>
        <v>0</v>
      </c>
      <c r="E490" s="8">
        <f>IFERROR(VLOOKUP($A490,DataDemande!$AA$63:$AE$700,5,FALSE)*VLOOKUP($A490,DataPrixBillets!$M$66:$Q$700,5,FALSE),"")</f>
        <v>0</v>
      </c>
      <c r="F490" s="21">
        <f t="shared" si="9"/>
        <v>0</v>
      </c>
    </row>
    <row r="491" spans="1:6" x14ac:dyDescent="0.3">
      <c r="A491" s="185" t="str">
        <f>DataDemande!AA550</f>
        <v/>
      </c>
      <c r="B491" s="8">
        <f>IFERROR(VLOOKUP($A491,DataDemande!$AA$63:$AE$700,2,FALSE)*VLOOKUP($A491,DataPrixBillets!$M$66:$Q$700,2,FALSE),"")</f>
        <v>0</v>
      </c>
      <c r="C491" s="8">
        <f>IFERROR(VLOOKUP($A491,DataDemande!$AA$63:$AE$700,3,FALSE)*VLOOKUP($A491,DataPrixBillets!$M$66:$Q$700,3,FALSE),"")</f>
        <v>0</v>
      </c>
      <c r="D491" s="8">
        <f>IFERROR(VLOOKUP($A491,DataDemande!$AA$63:$AE$700,4,FALSE)*VLOOKUP($A491,DataPrixBillets!$M$66:$Q$700,4,FALSE),"")</f>
        <v>0</v>
      </c>
      <c r="E491" s="8">
        <f>IFERROR(VLOOKUP($A491,DataDemande!$AA$63:$AE$700,5,FALSE)*VLOOKUP($A491,DataPrixBillets!$M$66:$Q$700,5,FALSE),"")</f>
        <v>0</v>
      </c>
      <c r="F491" s="21">
        <f t="shared" si="9"/>
        <v>0</v>
      </c>
    </row>
    <row r="492" spans="1:6" x14ac:dyDescent="0.3">
      <c r="A492" s="185" t="str">
        <f>DataDemande!AA551</f>
        <v/>
      </c>
      <c r="B492" s="8">
        <f>IFERROR(VLOOKUP($A492,DataDemande!$AA$63:$AE$700,2,FALSE)*VLOOKUP($A492,DataPrixBillets!$M$66:$Q$700,2,FALSE),"")</f>
        <v>0</v>
      </c>
      <c r="C492" s="8">
        <f>IFERROR(VLOOKUP($A492,DataDemande!$AA$63:$AE$700,3,FALSE)*VLOOKUP($A492,DataPrixBillets!$M$66:$Q$700,3,FALSE),"")</f>
        <v>0</v>
      </c>
      <c r="D492" s="8">
        <f>IFERROR(VLOOKUP($A492,DataDemande!$AA$63:$AE$700,4,FALSE)*VLOOKUP($A492,DataPrixBillets!$M$66:$Q$700,4,FALSE),"")</f>
        <v>0</v>
      </c>
      <c r="E492" s="8">
        <f>IFERROR(VLOOKUP($A492,DataDemande!$AA$63:$AE$700,5,FALSE)*VLOOKUP($A492,DataPrixBillets!$M$66:$Q$700,5,FALSE),"")</f>
        <v>0</v>
      </c>
      <c r="F492" s="21">
        <f t="shared" si="9"/>
        <v>0</v>
      </c>
    </row>
    <row r="493" spans="1:6" x14ac:dyDescent="0.3">
      <c r="A493" s="185" t="str">
        <f>DataDemande!AA552</f>
        <v/>
      </c>
      <c r="B493" s="8">
        <f>IFERROR(VLOOKUP($A493,DataDemande!$AA$63:$AE$700,2,FALSE)*VLOOKUP($A493,DataPrixBillets!$M$66:$Q$700,2,FALSE),"")</f>
        <v>0</v>
      </c>
      <c r="C493" s="8">
        <f>IFERROR(VLOOKUP($A493,DataDemande!$AA$63:$AE$700,3,FALSE)*VLOOKUP($A493,DataPrixBillets!$M$66:$Q$700,3,FALSE),"")</f>
        <v>0</v>
      </c>
      <c r="D493" s="8">
        <f>IFERROR(VLOOKUP($A493,DataDemande!$AA$63:$AE$700,4,FALSE)*VLOOKUP($A493,DataPrixBillets!$M$66:$Q$700,4,FALSE),"")</f>
        <v>0</v>
      </c>
      <c r="E493" s="8">
        <f>IFERROR(VLOOKUP($A493,DataDemande!$AA$63:$AE$700,5,FALSE)*VLOOKUP($A493,DataPrixBillets!$M$66:$Q$700,5,FALSE),"")</f>
        <v>0</v>
      </c>
      <c r="F493" s="21">
        <f t="shared" si="9"/>
        <v>0</v>
      </c>
    </row>
    <row r="494" spans="1:6" x14ac:dyDescent="0.3">
      <c r="A494" s="185" t="str">
        <f>DataDemande!AA553</f>
        <v/>
      </c>
      <c r="B494" s="8">
        <f>IFERROR(VLOOKUP($A494,DataDemande!$AA$63:$AE$700,2,FALSE)*VLOOKUP($A494,DataPrixBillets!$M$66:$Q$700,2,FALSE),"")</f>
        <v>0</v>
      </c>
      <c r="C494" s="8">
        <f>IFERROR(VLOOKUP($A494,DataDemande!$AA$63:$AE$700,3,FALSE)*VLOOKUP($A494,DataPrixBillets!$M$66:$Q$700,3,FALSE),"")</f>
        <v>0</v>
      </c>
      <c r="D494" s="8">
        <f>IFERROR(VLOOKUP($A494,DataDemande!$AA$63:$AE$700,4,FALSE)*VLOOKUP($A494,DataPrixBillets!$M$66:$Q$700,4,FALSE),"")</f>
        <v>0</v>
      </c>
      <c r="E494" s="8">
        <f>IFERROR(VLOOKUP($A494,DataDemande!$AA$63:$AE$700,5,FALSE)*VLOOKUP($A494,DataPrixBillets!$M$66:$Q$700,5,FALSE),"")</f>
        <v>0</v>
      </c>
      <c r="F494" s="21">
        <f t="shared" si="9"/>
        <v>0</v>
      </c>
    </row>
    <row r="495" spans="1:6" x14ac:dyDescent="0.3">
      <c r="A495" s="185" t="str">
        <f>DataDemande!AA554</f>
        <v/>
      </c>
      <c r="B495" s="8">
        <f>IFERROR(VLOOKUP($A495,DataDemande!$AA$63:$AE$700,2,FALSE)*VLOOKUP($A495,DataPrixBillets!$M$66:$Q$700,2,FALSE),"")</f>
        <v>0</v>
      </c>
      <c r="C495" s="8">
        <f>IFERROR(VLOOKUP($A495,DataDemande!$AA$63:$AE$700,3,FALSE)*VLOOKUP($A495,DataPrixBillets!$M$66:$Q$700,3,FALSE),"")</f>
        <v>0</v>
      </c>
      <c r="D495" s="8">
        <f>IFERROR(VLOOKUP($A495,DataDemande!$AA$63:$AE$700,4,FALSE)*VLOOKUP($A495,DataPrixBillets!$M$66:$Q$700,4,FALSE),"")</f>
        <v>0</v>
      </c>
      <c r="E495" s="8">
        <f>IFERROR(VLOOKUP($A495,DataDemande!$AA$63:$AE$700,5,FALSE)*VLOOKUP($A495,DataPrixBillets!$M$66:$Q$700,5,FALSE),"")</f>
        <v>0</v>
      </c>
      <c r="F495" s="21">
        <f t="shared" si="9"/>
        <v>0</v>
      </c>
    </row>
    <row r="496" spans="1:6" x14ac:dyDescent="0.3">
      <c r="A496" s="185" t="str">
        <f>DataDemande!AA555</f>
        <v/>
      </c>
      <c r="B496" s="8">
        <f>IFERROR(VLOOKUP($A496,DataDemande!$AA$63:$AE$700,2,FALSE)*VLOOKUP($A496,DataPrixBillets!$M$66:$Q$700,2,FALSE),"")</f>
        <v>0</v>
      </c>
      <c r="C496" s="8">
        <f>IFERROR(VLOOKUP($A496,DataDemande!$AA$63:$AE$700,3,FALSE)*VLOOKUP($A496,DataPrixBillets!$M$66:$Q$700,3,FALSE),"")</f>
        <v>0</v>
      </c>
      <c r="D496" s="8">
        <f>IFERROR(VLOOKUP($A496,DataDemande!$AA$63:$AE$700,4,FALSE)*VLOOKUP($A496,DataPrixBillets!$M$66:$Q$700,4,FALSE),"")</f>
        <v>0</v>
      </c>
      <c r="E496" s="8">
        <f>IFERROR(VLOOKUP($A496,DataDemande!$AA$63:$AE$700,5,FALSE)*VLOOKUP($A496,DataPrixBillets!$M$66:$Q$700,5,FALSE),"")</f>
        <v>0</v>
      </c>
      <c r="F496" s="21">
        <f t="shared" si="9"/>
        <v>0</v>
      </c>
    </row>
    <row r="497" spans="1:6" x14ac:dyDescent="0.3">
      <c r="A497" s="185" t="str">
        <f>DataDemande!AA556</f>
        <v/>
      </c>
      <c r="B497" s="8">
        <f>IFERROR(VLOOKUP($A497,DataDemande!$AA$63:$AE$700,2,FALSE)*VLOOKUP($A497,DataPrixBillets!$M$66:$Q$700,2,FALSE),"")</f>
        <v>0</v>
      </c>
      <c r="C497" s="8">
        <f>IFERROR(VLOOKUP($A497,DataDemande!$AA$63:$AE$700,3,FALSE)*VLOOKUP($A497,DataPrixBillets!$M$66:$Q$700,3,FALSE),"")</f>
        <v>0</v>
      </c>
      <c r="D497" s="8">
        <f>IFERROR(VLOOKUP($A497,DataDemande!$AA$63:$AE$700,4,FALSE)*VLOOKUP($A497,DataPrixBillets!$M$66:$Q$700,4,FALSE),"")</f>
        <v>0</v>
      </c>
      <c r="E497" s="8">
        <f>IFERROR(VLOOKUP($A497,DataDemande!$AA$63:$AE$700,5,FALSE)*VLOOKUP($A497,DataPrixBillets!$M$66:$Q$700,5,FALSE),"")</f>
        <v>0</v>
      </c>
      <c r="F497" s="21">
        <f t="shared" si="9"/>
        <v>0</v>
      </c>
    </row>
    <row r="498" spans="1:6" x14ac:dyDescent="0.3">
      <c r="A498" s="185" t="str">
        <f>DataDemande!AA557</f>
        <v/>
      </c>
      <c r="B498" s="8">
        <f>IFERROR(VLOOKUP($A498,DataDemande!$AA$63:$AE$700,2,FALSE)*VLOOKUP($A498,DataPrixBillets!$M$66:$Q$700,2,FALSE),"")</f>
        <v>0</v>
      </c>
      <c r="C498" s="8">
        <f>IFERROR(VLOOKUP($A498,DataDemande!$AA$63:$AE$700,3,FALSE)*VLOOKUP($A498,DataPrixBillets!$M$66:$Q$700,3,FALSE),"")</f>
        <v>0</v>
      </c>
      <c r="D498" s="8">
        <f>IFERROR(VLOOKUP($A498,DataDemande!$AA$63:$AE$700,4,FALSE)*VLOOKUP($A498,DataPrixBillets!$M$66:$Q$700,4,FALSE),"")</f>
        <v>0</v>
      </c>
      <c r="E498" s="8">
        <f>IFERROR(VLOOKUP($A498,DataDemande!$AA$63:$AE$700,5,FALSE)*VLOOKUP($A498,DataPrixBillets!$M$66:$Q$700,5,FALSE),"")</f>
        <v>0</v>
      </c>
      <c r="F498" s="21">
        <f t="shared" si="9"/>
        <v>0</v>
      </c>
    </row>
    <row r="499" spans="1:6" x14ac:dyDescent="0.3">
      <c r="A499" s="185" t="str">
        <f>DataDemande!AA558</f>
        <v/>
      </c>
      <c r="B499" s="8">
        <f>IFERROR(VLOOKUP($A499,DataDemande!$AA$63:$AE$700,2,FALSE)*VLOOKUP($A499,DataPrixBillets!$M$66:$Q$700,2,FALSE),"")</f>
        <v>0</v>
      </c>
      <c r="C499" s="8">
        <f>IFERROR(VLOOKUP($A499,DataDemande!$AA$63:$AE$700,3,FALSE)*VLOOKUP($A499,DataPrixBillets!$M$66:$Q$700,3,FALSE),"")</f>
        <v>0</v>
      </c>
      <c r="D499" s="8">
        <f>IFERROR(VLOOKUP($A499,DataDemande!$AA$63:$AE$700,4,FALSE)*VLOOKUP($A499,DataPrixBillets!$M$66:$Q$700,4,FALSE),"")</f>
        <v>0</v>
      </c>
      <c r="E499" s="8">
        <f>IFERROR(VLOOKUP($A499,DataDemande!$AA$63:$AE$700,5,FALSE)*VLOOKUP($A499,DataPrixBillets!$M$66:$Q$700,5,FALSE),"")</f>
        <v>0</v>
      </c>
      <c r="F499" s="21">
        <f t="shared" si="9"/>
        <v>0</v>
      </c>
    </row>
    <row r="500" spans="1:6" x14ac:dyDescent="0.3">
      <c r="A500" s="185" t="str">
        <f>DataDemande!AA559</f>
        <v/>
      </c>
      <c r="B500" s="8">
        <f>IFERROR(VLOOKUP($A500,DataDemande!$AA$63:$AE$700,2,FALSE)*VLOOKUP($A500,DataPrixBillets!$M$66:$Q$700,2,FALSE),"")</f>
        <v>0</v>
      </c>
      <c r="C500" s="8">
        <f>IFERROR(VLOOKUP($A500,DataDemande!$AA$63:$AE$700,3,FALSE)*VLOOKUP($A500,DataPrixBillets!$M$66:$Q$700,3,FALSE),"")</f>
        <v>0</v>
      </c>
      <c r="D500" s="8">
        <f>IFERROR(VLOOKUP($A500,DataDemande!$AA$63:$AE$700,4,FALSE)*VLOOKUP($A500,DataPrixBillets!$M$66:$Q$700,4,FALSE),"")</f>
        <v>0</v>
      </c>
      <c r="E500" s="8">
        <f>IFERROR(VLOOKUP($A500,DataDemande!$AA$63:$AE$700,5,FALSE)*VLOOKUP($A500,DataPrixBillets!$M$66:$Q$700,5,FALSE),"")</f>
        <v>0</v>
      </c>
      <c r="F500" s="21">
        <f t="shared" si="9"/>
        <v>0</v>
      </c>
    </row>
    <row r="501" spans="1:6" x14ac:dyDescent="0.3">
      <c r="A501" s="185" t="str">
        <f>DataDemande!AA560</f>
        <v/>
      </c>
      <c r="B501" s="8">
        <f>IFERROR(VLOOKUP($A501,DataDemande!$AA$63:$AE$700,2,FALSE)*VLOOKUP($A501,DataPrixBillets!$M$66:$Q$700,2,FALSE),"")</f>
        <v>0</v>
      </c>
      <c r="C501" s="8">
        <f>IFERROR(VLOOKUP($A501,DataDemande!$AA$63:$AE$700,3,FALSE)*VLOOKUP($A501,DataPrixBillets!$M$66:$Q$700,3,FALSE),"")</f>
        <v>0</v>
      </c>
      <c r="D501" s="8">
        <f>IFERROR(VLOOKUP($A501,DataDemande!$AA$63:$AE$700,4,FALSE)*VLOOKUP($A501,DataPrixBillets!$M$66:$Q$700,4,FALSE),"")</f>
        <v>0</v>
      </c>
      <c r="E501" s="8">
        <f>IFERROR(VLOOKUP($A501,DataDemande!$AA$63:$AE$700,5,FALSE)*VLOOKUP($A501,DataPrixBillets!$M$66:$Q$700,5,FALSE),"")</f>
        <v>0</v>
      </c>
      <c r="F501" s="21">
        <f t="shared" si="9"/>
        <v>0</v>
      </c>
    </row>
    <row r="502" spans="1:6" x14ac:dyDescent="0.3">
      <c r="A502" s="185" t="str">
        <f>DataDemande!AA561</f>
        <v/>
      </c>
      <c r="B502" s="8">
        <f>IFERROR(VLOOKUP($A502,DataDemande!$AA$63:$AE$700,2,FALSE)*VLOOKUP($A502,DataPrixBillets!$M$66:$Q$700,2,FALSE),"")</f>
        <v>0</v>
      </c>
      <c r="C502" s="8">
        <f>IFERROR(VLOOKUP($A502,DataDemande!$AA$63:$AE$700,3,FALSE)*VLOOKUP($A502,DataPrixBillets!$M$66:$Q$700,3,FALSE),"")</f>
        <v>0</v>
      </c>
      <c r="D502" s="8">
        <f>IFERROR(VLOOKUP($A502,DataDemande!$AA$63:$AE$700,4,FALSE)*VLOOKUP($A502,DataPrixBillets!$M$66:$Q$700,4,FALSE),"")</f>
        <v>0</v>
      </c>
      <c r="E502" s="8">
        <f>IFERROR(VLOOKUP($A502,DataDemande!$AA$63:$AE$700,5,FALSE)*VLOOKUP($A502,DataPrixBillets!$M$66:$Q$700,5,FALSE),"")</f>
        <v>0</v>
      </c>
      <c r="F502" s="21">
        <f t="shared" si="9"/>
        <v>0</v>
      </c>
    </row>
    <row r="503" spans="1:6" x14ac:dyDescent="0.3">
      <c r="A503" s="185" t="str">
        <f>DataDemande!AA562</f>
        <v/>
      </c>
      <c r="B503" s="8">
        <f>IFERROR(VLOOKUP($A503,DataDemande!$AA$63:$AE$700,2,FALSE)*VLOOKUP($A503,DataPrixBillets!$M$66:$Q$700,2,FALSE),"")</f>
        <v>0</v>
      </c>
      <c r="C503" s="8">
        <f>IFERROR(VLOOKUP($A503,DataDemande!$AA$63:$AE$700,3,FALSE)*VLOOKUP($A503,DataPrixBillets!$M$66:$Q$700,3,FALSE),"")</f>
        <v>0</v>
      </c>
      <c r="D503" s="8">
        <f>IFERROR(VLOOKUP($A503,DataDemande!$AA$63:$AE$700,4,FALSE)*VLOOKUP($A503,DataPrixBillets!$M$66:$Q$700,4,FALSE),"")</f>
        <v>0</v>
      </c>
      <c r="E503" s="8">
        <f>IFERROR(VLOOKUP($A503,DataDemande!$AA$63:$AE$700,5,FALSE)*VLOOKUP($A503,DataPrixBillets!$M$66:$Q$700,5,FALSE),"")</f>
        <v>0</v>
      </c>
      <c r="F503" s="21">
        <f t="shared" si="9"/>
        <v>0</v>
      </c>
    </row>
    <row r="504" spans="1:6" x14ac:dyDescent="0.3">
      <c r="A504" s="185" t="str">
        <f>DataDemande!AA563</f>
        <v/>
      </c>
      <c r="B504" s="8">
        <f>IFERROR(VLOOKUP($A504,DataDemande!$AA$63:$AE$700,2,FALSE)*VLOOKUP($A504,DataPrixBillets!$M$66:$Q$700,2,FALSE),"")</f>
        <v>0</v>
      </c>
      <c r="C504" s="8">
        <f>IFERROR(VLOOKUP($A504,DataDemande!$AA$63:$AE$700,3,FALSE)*VLOOKUP($A504,DataPrixBillets!$M$66:$Q$700,3,FALSE),"")</f>
        <v>0</v>
      </c>
      <c r="D504" s="8">
        <f>IFERROR(VLOOKUP($A504,DataDemande!$AA$63:$AE$700,4,FALSE)*VLOOKUP($A504,DataPrixBillets!$M$66:$Q$700,4,FALSE),"")</f>
        <v>0</v>
      </c>
      <c r="E504" s="8">
        <f>IFERROR(VLOOKUP($A504,DataDemande!$AA$63:$AE$700,5,FALSE)*VLOOKUP($A504,DataPrixBillets!$M$66:$Q$700,5,FALSE),"")</f>
        <v>0</v>
      </c>
      <c r="F504" s="21">
        <f t="shared" si="9"/>
        <v>0</v>
      </c>
    </row>
    <row r="505" spans="1:6" x14ac:dyDescent="0.3">
      <c r="A505" s="185" t="str">
        <f>DataDemande!AA564</f>
        <v/>
      </c>
      <c r="B505" s="8">
        <f>IFERROR(VLOOKUP($A505,DataDemande!$AA$63:$AE$700,2,FALSE)*VLOOKUP($A505,DataPrixBillets!$M$66:$Q$700,2,FALSE),"")</f>
        <v>0</v>
      </c>
      <c r="C505" s="8">
        <f>IFERROR(VLOOKUP($A505,DataDemande!$AA$63:$AE$700,3,FALSE)*VLOOKUP($A505,DataPrixBillets!$M$66:$Q$700,3,FALSE),"")</f>
        <v>0</v>
      </c>
      <c r="D505" s="8">
        <f>IFERROR(VLOOKUP($A505,DataDemande!$AA$63:$AE$700,4,FALSE)*VLOOKUP($A505,DataPrixBillets!$M$66:$Q$700,4,FALSE),"")</f>
        <v>0</v>
      </c>
      <c r="E505" s="8">
        <f>IFERROR(VLOOKUP($A505,DataDemande!$AA$63:$AE$700,5,FALSE)*VLOOKUP($A505,DataPrixBillets!$M$66:$Q$700,5,FALSE),"")</f>
        <v>0</v>
      </c>
      <c r="F505" s="21">
        <f t="shared" si="9"/>
        <v>0</v>
      </c>
    </row>
    <row r="506" spans="1:6" x14ac:dyDescent="0.3">
      <c r="A506" s="185" t="str">
        <f>DataDemande!AA565</f>
        <v/>
      </c>
      <c r="B506" s="8">
        <f>IFERROR(VLOOKUP($A506,DataDemande!$AA$63:$AE$700,2,FALSE)*VLOOKUP($A506,DataPrixBillets!$M$66:$Q$700,2,FALSE),"")</f>
        <v>0</v>
      </c>
      <c r="C506" s="8">
        <f>IFERROR(VLOOKUP($A506,DataDemande!$AA$63:$AE$700,3,FALSE)*VLOOKUP($A506,DataPrixBillets!$M$66:$Q$700,3,FALSE),"")</f>
        <v>0</v>
      </c>
      <c r="D506" s="8">
        <f>IFERROR(VLOOKUP($A506,DataDemande!$AA$63:$AE$700,4,FALSE)*VLOOKUP($A506,DataPrixBillets!$M$66:$Q$700,4,FALSE),"")</f>
        <v>0</v>
      </c>
      <c r="E506" s="8">
        <f>IFERROR(VLOOKUP($A506,DataDemande!$AA$63:$AE$700,5,FALSE)*VLOOKUP($A506,DataPrixBillets!$M$66:$Q$700,5,FALSE),"")</f>
        <v>0</v>
      </c>
      <c r="F506" s="21">
        <f t="shared" si="9"/>
        <v>0</v>
      </c>
    </row>
    <row r="507" spans="1:6" x14ac:dyDescent="0.3">
      <c r="A507" s="185" t="str">
        <f>DataDemande!AA566</f>
        <v/>
      </c>
      <c r="B507" s="8">
        <f>IFERROR(VLOOKUP($A507,DataDemande!$AA$63:$AE$700,2,FALSE)*VLOOKUP($A507,DataPrixBillets!$M$66:$Q$700,2,FALSE),"")</f>
        <v>0</v>
      </c>
      <c r="C507" s="8">
        <f>IFERROR(VLOOKUP($A507,DataDemande!$AA$63:$AE$700,3,FALSE)*VLOOKUP($A507,DataPrixBillets!$M$66:$Q$700,3,FALSE),"")</f>
        <v>0</v>
      </c>
      <c r="D507" s="8">
        <f>IFERROR(VLOOKUP($A507,DataDemande!$AA$63:$AE$700,4,FALSE)*VLOOKUP($A507,DataPrixBillets!$M$66:$Q$700,4,FALSE),"")</f>
        <v>0</v>
      </c>
      <c r="E507" s="8">
        <f>IFERROR(VLOOKUP($A507,DataDemande!$AA$63:$AE$700,5,FALSE)*VLOOKUP($A507,DataPrixBillets!$M$66:$Q$700,5,FALSE),"")</f>
        <v>0</v>
      </c>
      <c r="F507" s="21">
        <f t="shared" si="9"/>
        <v>0</v>
      </c>
    </row>
    <row r="508" spans="1:6" x14ac:dyDescent="0.3">
      <c r="A508" s="185" t="str">
        <f>DataDemande!AA567</f>
        <v/>
      </c>
      <c r="B508" s="8">
        <f>IFERROR(VLOOKUP($A508,DataDemande!$AA$63:$AE$700,2,FALSE)*VLOOKUP($A508,DataPrixBillets!$M$66:$Q$700,2,FALSE),"")</f>
        <v>0</v>
      </c>
      <c r="C508" s="8">
        <f>IFERROR(VLOOKUP($A508,DataDemande!$AA$63:$AE$700,3,FALSE)*VLOOKUP($A508,DataPrixBillets!$M$66:$Q$700,3,FALSE),"")</f>
        <v>0</v>
      </c>
      <c r="D508" s="8">
        <f>IFERROR(VLOOKUP($A508,DataDemande!$AA$63:$AE$700,4,FALSE)*VLOOKUP($A508,DataPrixBillets!$M$66:$Q$700,4,FALSE),"")</f>
        <v>0</v>
      </c>
      <c r="E508" s="8">
        <f>IFERROR(VLOOKUP($A508,DataDemande!$AA$63:$AE$700,5,FALSE)*VLOOKUP($A508,DataPrixBillets!$M$66:$Q$700,5,FALSE),"")</f>
        <v>0</v>
      </c>
      <c r="F508" s="21">
        <f t="shared" si="9"/>
        <v>0</v>
      </c>
    </row>
    <row r="509" spans="1:6" x14ac:dyDescent="0.3">
      <c r="A509" s="185" t="str">
        <f>DataDemande!AA568</f>
        <v/>
      </c>
      <c r="B509" s="8">
        <f>IFERROR(VLOOKUP($A509,DataDemande!$AA$63:$AE$700,2,FALSE)*VLOOKUP($A509,DataPrixBillets!$M$66:$Q$700,2,FALSE),"")</f>
        <v>0</v>
      </c>
      <c r="C509" s="8">
        <f>IFERROR(VLOOKUP($A509,DataDemande!$AA$63:$AE$700,3,FALSE)*VLOOKUP($A509,DataPrixBillets!$M$66:$Q$700,3,FALSE),"")</f>
        <v>0</v>
      </c>
      <c r="D509" s="8">
        <f>IFERROR(VLOOKUP($A509,DataDemande!$AA$63:$AE$700,4,FALSE)*VLOOKUP($A509,DataPrixBillets!$M$66:$Q$700,4,FALSE),"")</f>
        <v>0</v>
      </c>
      <c r="E509" s="8">
        <f>IFERROR(VLOOKUP($A509,DataDemande!$AA$63:$AE$700,5,FALSE)*VLOOKUP($A509,DataPrixBillets!$M$66:$Q$700,5,FALSE),"")</f>
        <v>0</v>
      </c>
      <c r="F509" s="21">
        <f t="shared" si="9"/>
        <v>0</v>
      </c>
    </row>
    <row r="510" spans="1:6" x14ac:dyDescent="0.3">
      <c r="A510" s="185" t="str">
        <f>DataDemande!AA569</f>
        <v/>
      </c>
      <c r="B510" s="8">
        <f>IFERROR(VLOOKUP($A510,DataDemande!$AA$63:$AE$700,2,FALSE)*VLOOKUP($A510,DataPrixBillets!$M$66:$Q$700,2,FALSE),"")</f>
        <v>0</v>
      </c>
      <c r="C510" s="8">
        <f>IFERROR(VLOOKUP($A510,DataDemande!$AA$63:$AE$700,3,FALSE)*VLOOKUP($A510,DataPrixBillets!$M$66:$Q$700,3,FALSE),"")</f>
        <v>0</v>
      </c>
      <c r="D510" s="8">
        <f>IFERROR(VLOOKUP($A510,DataDemande!$AA$63:$AE$700,4,FALSE)*VLOOKUP($A510,DataPrixBillets!$M$66:$Q$700,4,FALSE),"")</f>
        <v>0</v>
      </c>
      <c r="E510" s="8">
        <f>IFERROR(VLOOKUP($A510,DataDemande!$AA$63:$AE$700,5,FALSE)*VLOOKUP($A510,DataPrixBillets!$M$66:$Q$700,5,FALSE),"")</f>
        <v>0</v>
      </c>
      <c r="F510" s="21">
        <f t="shared" si="9"/>
        <v>0</v>
      </c>
    </row>
    <row r="511" spans="1:6" x14ac:dyDescent="0.3">
      <c r="A511" s="185" t="str">
        <f>DataDemande!AA570</f>
        <v/>
      </c>
      <c r="B511" s="8">
        <f>IFERROR(VLOOKUP($A511,DataDemande!$AA$63:$AE$700,2,FALSE)*VLOOKUP($A511,DataPrixBillets!$M$66:$Q$700,2,FALSE),"")</f>
        <v>0</v>
      </c>
      <c r="C511" s="8">
        <f>IFERROR(VLOOKUP($A511,DataDemande!$AA$63:$AE$700,3,FALSE)*VLOOKUP($A511,DataPrixBillets!$M$66:$Q$700,3,FALSE),"")</f>
        <v>0</v>
      </c>
      <c r="D511" s="8">
        <f>IFERROR(VLOOKUP($A511,DataDemande!$AA$63:$AE$700,4,FALSE)*VLOOKUP($A511,DataPrixBillets!$M$66:$Q$700,4,FALSE),"")</f>
        <v>0</v>
      </c>
      <c r="E511" s="8">
        <f>IFERROR(VLOOKUP($A511,DataDemande!$AA$63:$AE$700,5,FALSE)*VLOOKUP($A511,DataPrixBillets!$M$66:$Q$700,5,FALSE),"")</f>
        <v>0</v>
      </c>
      <c r="F511" s="21">
        <f t="shared" si="9"/>
        <v>0</v>
      </c>
    </row>
    <row r="512" spans="1:6" x14ac:dyDescent="0.3">
      <c r="A512" s="185" t="str">
        <f>DataDemande!AA571</f>
        <v/>
      </c>
      <c r="B512" s="8">
        <f>IFERROR(VLOOKUP($A512,DataDemande!$AA$63:$AE$700,2,FALSE)*VLOOKUP($A512,DataPrixBillets!$M$66:$Q$700,2,FALSE),"")</f>
        <v>0</v>
      </c>
      <c r="C512" s="8">
        <f>IFERROR(VLOOKUP($A512,DataDemande!$AA$63:$AE$700,3,FALSE)*VLOOKUP($A512,DataPrixBillets!$M$66:$Q$700,3,FALSE),"")</f>
        <v>0</v>
      </c>
      <c r="D512" s="8">
        <f>IFERROR(VLOOKUP($A512,DataDemande!$AA$63:$AE$700,4,FALSE)*VLOOKUP($A512,DataPrixBillets!$M$66:$Q$700,4,FALSE),"")</f>
        <v>0</v>
      </c>
      <c r="E512" s="8">
        <f>IFERROR(VLOOKUP($A512,DataDemande!$AA$63:$AE$700,5,FALSE)*VLOOKUP($A512,DataPrixBillets!$M$66:$Q$700,5,FALSE),"")</f>
        <v>0</v>
      </c>
      <c r="F512" s="21">
        <f t="shared" si="9"/>
        <v>0</v>
      </c>
    </row>
    <row r="513" spans="1:6" x14ac:dyDescent="0.3">
      <c r="A513" s="185" t="str">
        <f>DataDemande!AA572</f>
        <v/>
      </c>
      <c r="B513" s="8">
        <f>IFERROR(VLOOKUP($A513,DataDemande!$AA$63:$AE$700,2,FALSE)*VLOOKUP($A513,DataPrixBillets!$M$66:$Q$700,2,FALSE),"")</f>
        <v>0</v>
      </c>
      <c r="C513" s="8">
        <f>IFERROR(VLOOKUP($A513,DataDemande!$AA$63:$AE$700,3,FALSE)*VLOOKUP($A513,DataPrixBillets!$M$66:$Q$700,3,FALSE),"")</f>
        <v>0</v>
      </c>
      <c r="D513" s="8">
        <f>IFERROR(VLOOKUP($A513,DataDemande!$AA$63:$AE$700,4,FALSE)*VLOOKUP($A513,DataPrixBillets!$M$66:$Q$700,4,FALSE),"")</f>
        <v>0</v>
      </c>
      <c r="E513" s="8">
        <f>IFERROR(VLOOKUP($A513,DataDemande!$AA$63:$AE$700,5,FALSE)*VLOOKUP($A513,DataPrixBillets!$M$66:$Q$700,5,FALSE),"")</f>
        <v>0</v>
      </c>
      <c r="F513" s="21">
        <f t="shared" si="9"/>
        <v>0</v>
      </c>
    </row>
    <row r="514" spans="1:6" x14ac:dyDescent="0.3">
      <c r="A514" s="185" t="str">
        <f>DataDemande!AA573</f>
        <v/>
      </c>
      <c r="B514" s="8">
        <f>IFERROR(VLOOKUP($A514,DataDemande!$AA$63:$AE$700,2,FALSE)*VLOOKUP($A514,DataPrixBillets!$M$66:$Q$700,2,FALSE),"")</f>
        <v>0</v>
      </c>
      <c r="C514" s="8">
        <f>IFERROR(VLOOKUP($A514,DataDemande!$AA$63:$AE$700,3,FALSE)*VLOOKUP($A514,DataPrixBillets!$M$66:$Q$700,3,FALSE),"")</f>
        <v>0</v>
      </c>
      <c r="D514" s="8">
        <f>IFERROR(VLOOKUP($A514,DataDemande!$AA$63:$AE$700,4,FALSE)*VLOOKUP($A514,DataPrixBillets!$M$66:$Q$700,4,FALSE),"")</f>
        <v>0</v>
      </c>
      <c r="E514" s="8">
        <f>IFERROR(VLOOKUP($A514,DataDemande!$AA$63:$AE$700,5,FALSE)*VLOOKUP($A514,DataPrixBillets!$M$66:$Q$700,5,FALSE),"")</f>
        <v>0</v>
      </c>
      <c r="F514" s="21">
        <f t="shared" si="9"/>
        <v>0</v>
      </c>
    </row>
    <row r="515" spans="1:6" x14ac:dyDescent="0.3">
      <c r="A515" s="185" t="str">
        <f>DataDemande!AA574</f>
        <v/>
      </c>
      <c r="B515" s="8">
        <f>IFERROR(VLOOKUP($A515,DataDemande!$AA$63:$AE$700,2,FALSE)*VLOOKUP($A515,DataPrixBillets!$M$66:$Q$700,2,FALSE),"")</f>
        <v>0</v>
      </c>
      <c r="C515" s="8">
        <f>IFERROR(VLOOKUP($A515,DataDemande!$AA$63:$AE$700,3,FALSE)*VLOOKUP($A515,DataPrixBillets!$M$66:$Q$700,3,FALSE),"")</f>
        <v>0</v>
      </c>
      <c r="D515" s="8">
        <f>IFERROR(VLOOKUP($A515,DataDemande!$AA$63:$AE$700,4,FALSE)*VLOOKUP($A515,DataPrixBillets!$M$66:$Q$700,4,FALSE),"")</f>
        <v>0</v>
      </c>
      <c r="E515" s="8">
        <f>IFERROR(VLOOKUP($A515,DataDemande!$AA$63:$AE$700,5,FALSE)*VLOOKUP($A515,DataPrixBillets!$M$66:$Q$700,5,FALSE),"")</f>
        <v>0</v>
      </c>
      <c r="F515" s="21">
        <f t="shared" si="9"/>
        <v>0</v>
      </c>
    </row>
    <row r="516" spans="1:6" x14ac:dyDescent="0.3">
      <c r="A516" s="185" t="str">
        <f>DataDemande!AA575</f>
        <v/>
      </c>
      <c r="B516" s="8">
        <f>IFERROR(VLOOKUP($A516,DataDemande!$AA$63:$AE$700,2,FALSE)*VLOOKUP($A516,DataPrixBillets!$M$66:$Q$700,2,FALSE),"")</f>
        <v>0</v>
      </c>
      <c r="C516" s="8">
        <f>IFERROR(VLOOKUP($A516,DataDemande!$AA$63:$AE$700,3,FALSE)*VLOOKUP($A516,DataPrixBillets!$M$66:$Q$700,3,FALSE),"")</f>
        <v>0</v>
      </c>
      <c r="D516" s="8">
        <f>IFERROR(VLOOKUP($A516,DataDemande!$AA$63:$AE$700,4,FALSE)*VLOOKUP($A516,DataPrixBillets!$M$66:$Q$700,4,FALSE),"")</f>
        <v>0</v>
      </c>
      <c r="E516" s="8">
        <f>IFERROR(VLOOKUP($A516,DataDemande!$AA$63:$AE$700,5,FALSE)*VLOOKUP($A516,DataPrixBillets!$M$66:$Q$700,5,FALSE),"")</f>
        <v>0</v>
      </c>
      <c r="F516" s="21">
        <f t="shared" si="9"/>
        <v>0</v>
      </c>
    </row>
    <row r="517" spans="1:6" x14ac:dyDescent="0.3">
      <c r="A517" s="185" t="str">
        <f>DataDemande!AA576</f>
        <v/>
      </c>
      <c r="B517" s="8">
        <f>IFERROR(VLOOKUP($A517,DataDemande!$AA$63:$AE$700,2,FALSE)*VLOOKUP($A517,DataPrixBillets!$M$66:$Q$700,2,FALSE),"")</f>
        <v>0</v>
      </c>
      <c r="C517" s="8">
        <f>IFERROR(VLOOKUP($A517,DataDemande!$AA$63:$AE$700,3,FALSE)*VLOOKUP($A517,DataPrixBillets!$M$66:$Q$700,3,FALSE),"")</f>
        <v>0</v>
      </c>
      <c r="D517" s="8">
        <f>IFERROR(VLOOKUP($A517,DataDemande!$AA$63:$AE$700,4,FALSE)*VLOOKUP($A517,DataPrixBillets!$M$66:$Q$700,4,FALSE),"")</f>
        <v>0</v>
      </c>
      <c r="E517" s="8">
        <f>IFERROR(VLOOKUP($A517,DataDemande!$AA$63:$AE$700,5,FALSE)*VLOOKUP($A517,DataPrixBillets!$M$66:$Q$700,5,FALSE),"")</f>
        <v>0</v>
      </c>
      <c r="F517" s="21">
        <f t="shared" ref="F517:F580" si="10">SUM(B517:E517)</f>
        <v>0</v>
      </c>
    </row>
    <row r="518" spans="1:6" x14ac:dyDescent="0.3">
      <c r="A518" s="185" t="str">
        <f>DataDemande!AA577</f>
        <v/>
      </c>
      <c r="B518" s="8">
        <f>IFERROR(VLOOKUP($A518,DataDemande!$AA$63:$AE$700,2,FALSE)*VLOOKUP($A518,DataPrixBillets!$M$66:$Q$700,2,FALSE),"")</f>
        <v>0</v>
      </c>
      <c r="C518" s="8">
        <f>IFERROR(VLOOKUP($A518,DataDemande!$AA$63:$AE$700,3,FALSE)*VLOOKUP($A518,DataPrixBillets!$M$66:$Q$700,3,FALSE),"")</f>
        <v>0</v>
      </c>
      <c r="D518" s="8">
        <f>IFERROR(VLOOKUP($A518,DataDemande!$AA$63:$AE$700,4,FALSE)*VLOOKUP($A518,DataPrixBillets!$M$66:$Q$700,4,FALSE),"")</f>
        <v>0</v>
      </c>
      <c r="E518" s="8">
        <f>IFERROR(VLOOKUP($A518,DataDemande!$AA$63:$AE$700,5,FALSE)*VLOOKUP($A518,DataPrixBillets!$M$66:$Q$700,5,FALSE),"")</f>
        <v>0</v>
      </c>
      <c r="F518" s="21">
        <f t="shared" si="10"/>
        <v>0</v>
      </c>
    </row>
    <row r="519" spans="1:6" x14ac:dyDescent="0.3">
      <c r="A519" s="185" t="str">
        <f>DataDemande!AA578</f>
        <v/>
      </c>
      <c r="B519" s="8">
        <f>IFERROR(VLOOKUP($A519,DataDemande!$AA$63:$AE$700,2,FALSE)*VLOOKUP($A519,DataPrixBillets!$M$66:$Q$700,2,FALSE),"")</f>
        <v>0</v>
      </c>
      <c r="C519" s="8">
        <f>IFERROR(VLOOKUP($A519,DataDemande!$AA$63:$AE$700,3,FALSE)*VLOOKUP($A519,DataPrixBillets!$M$66:$Q$700,3,FALSE),"")</f>
        <v>0</v>
      </c>
      <c r="D519" s="8">
        <f>IFERROR(VLOOKUP($A519,DataDemande!$AA$63:$AE$700,4,FALSE)*VLOOKUP($A519,DataPrixBillets!$M$66:$Q$700,4,FALSE),"")</f>
        <v>0</v>
      </c>
      <c r="E519" s="8">
        <f>IFERROR(VLOOKUP($A519,DataDemande!$AA$63:$AE$700,5,FALSE)*VLOOKUP($A519,DataPrixBillets!$M$66:$Q$700,5,FALSE),"")</f>
        <v>0</v>
      </c>
      <c r="F519" s="21">
        <f t="shared" si="10"/>
        <v>0</v>
      </c>
    </row>
    <row r="520" spans="1:6" x14ac:dyDescent="0.3">
      <c r="A520" s="185" t="str">
        <f>DataDemande!AA579</f>
        <v/>
      </c>
      <c r="B520" s="8">
        <f>IFERROR(VLOOKUP($A520,DataDemande!$AA$63:$AE$700,2,FALSE)*VLOOKUP($A520,DataPrixBillets!$M$66:$Q$700,2,FALSE),"")</f>
        <v>0</v>
      </c>
      <c r="C520" s="8">
        <f>IFERROR(VLOOKUP($A520,DataDemande!$AA$63:$AE$700,3,FALSE)*VLOOKUP($A520,DataPrixBillets!$M$66:$Q$700,3,FALSE),"")</f>
        <v>0</v>
      </c>
      <c r="D520" s="8">
        <f>IFERROR(VLOOKUP($A520,DataDemande!$AA$63:$AE$700,4,FALSE)*VLOOKUP($A520,DataPrixBillets!$M$66:$Q$700,4,FALSE),"")</f>
        <v>0</v>
      </c>
      <c r="E520" s="8">
        <f>IFERROR(VLOOKUP($A520,DataDemande!$AA$63:$AE$700,5,FALSE)*VLOOKUP($A520,DataPrixBillets!$M$66:$Q$700,5,FALSE),"")</f>
        <v>0</v>
      </c>
      <c r="F520" s="21">
        <f t="shared" si="10"/>
        <v>0</v>
      </c>
    </row>
    <row r="521" spans="1:6" x14ac:dyDescent="0.3">
      <c r="A521" s="185" t="str">
        <f>DataDemande!AA580</f>
        <v/>
      </c>
      <c r="B521" s="8">
        <f>IFERROR(VLOOKUP($A521,DataDemande!$AA$63:$AE$700,2,FALSE)*VLOOKUP($A521,DataPrixBillets!$M$66:$Q$700,2,FALSE),"")</f>
        <v>0</v>
      </c>
      <c r="C521" s="8">
        <f>IFERROR(VLOOKUP($A521,DataDemande!$AA$63:$AE$700,3,FALSE)*VLOOKUP($A521,DataPrixBillets!$M$66:$Q$700,3,FALSE),"")</f>
        <v>0</v>
      </c>
      <c r="D521" s="8">
        <f>IFERROR(VLOOKUP($A521,DataDemande!$AA$63:$AE$700,4,FALSE)*VLOOKUP($A521,DataPrixBillets!$M$66:$Q$700,4,FALSE),"")</f>
        <v>0</v>
      </c>
      <c r="E521" s="8">
        <f>IFERROR(VLOOKUP($A521,DataDemande!$AA$63:$AE$700,5,FALSE)*VLOOKUP($A521,DataPrixBillets!$M$66:$Q$700,5,FALSE),"")</f>
        <v>0</v>
      </c>
      <c r="F521" s="21">
        <f t="shared" si="10"/>
        <v>0</v>
      </c>
    </row>
    <row r="522" spans="1:6" x14ac:dyDescent="0.3">
      <c r="A522" s="185" t="str">
        <f>DataDemande!AA581</f>
        <v/>
      </c>
      <c r="B522" s="8">
        <f>IFERROR(VLOOKUP($A522,DataDemande!$AA$63:$AE$700,2,FALSE)*VLOOKUP($A522,DataPrixBillets!$M$66:$Q$700,2,FALSE),"")</f>
        <v>0</v>
      </c>
      <c r="C522" s="8">
        <f>IFERROR(VLOOKUP($A522,DataDemande!$AA$63:$AE$700,3,FALSE)*VLOOKUP($A522,DataPrixBillets!$M$66:$Q$700,3,FALSE),"")</f>
        <v>0</v>
      </c>
      <c r="D522" s="8">
        <f>IFERROR(VLOOKUP($A522,DataDemande!$AA$63:$AE$700,4,FALSE)*VLOOKUP($A522,DataPrixBillets!$M$66:$Q$700,4,FALSE),"")</f>
        <v>0</v>
      </c>
      <c r="E522" s="8">
        <f>IFERROR(VLOOKUP($A522,DataDemande!$AA$63:$AE$700,5,FALSE)*VLOOKUP($A522,DataPrixBillets!$M$66:$Q$700,5,FALSE),"")</f>
        <v>0</v>
      </c>
      <c r="F522" s="21">
        <f t="shared" si="10"/>
        <v>0</v>
      </c>
    </row>
    <row r="523" spans="1:6" x14ac:dyDescent="0.3">
      <c r="A523" s="185" t="str">
        <f>DataDemande!AA582</f>
        <v/>
      </c>
      <c r="B523" s="8">
        <f>IFERROR(VLOOKUP($A523,DataDemande!$AA$63:$AE$700,2,FALSE)*VLOOKUP($A523,DataPrixBillets!$M$66:$Q$700,2,FALSE),"")</f>
        <v>0</v>
      </c>
      <c r="C523" s="8">
        <f>IFERROR(VLOOKUP($A523,DataDemande!$AA$63:$AE$700,3,FALSE)*VLOOKUP($A523,DataPrixBillets!$M$66:$Q$700,3,FALSE),"")</f>
        <v>0</v>
      </c>
      <c r="D523" s="8">
        <f>IFERROR(VLOOKUP($A523,DataDemande!$AA$63:$AE$700,4,FALSE)*VLOOKUP($A523,DataPrixBillets!$M$66:$Q$700,4,FALSE),"")</f>
        <v>0</v>
      </c>
      <c r="E523" s="8">
        <f>IFERROR(VLOOKUP($A523,DataDemande!$AA$63:$AE$700,5,FALSE)*VLOOKUP($A523,DataPrixBillets!$M$66:$Q$700,5,FALSE),"")</f>
        <v>0</v>
      </c>
      <c r="F523" s="21">
        <f t="shared" si="10"/>
        <v>0</v>
      </c>
    </row>
    <row r="524" spans="1:6" x14ac:dyDescent="0.3">
      <c r="A524" s="185" t="str">
        <f>DataDemande!AA583</f>
        <v/>
      </c>
      <c r="B524" s="8">
        <f>IFERROR(VLOOKUP($A524,DataDemande!$AA$63:$AE$700,2,FALSE)*VLOOKUP($A524,DataPrixBillets!$M$66:$Q$700,2,FALSE),"")</f>
        <v>0</v>
      </c>
      <c r="C524" s="8">
        <f>IFERROR(VLOOKUP($A524,DataDemande!$AA$63:$AE$700,3,FALSE)*VLOOKUP($A524,DataPrixBillets!$M$66:$Q$700,3,FALSE),"")</f>
        <v>0</v>
      </c>
      <c r="D524" s="8">
        <f>IFERROR(VLOOKUP($A524,DataDemande!$AA$63:$AE$700,4,FALSE)*VLOOKUP($A524,DataPrixBillets!$M$66:$Q$700,4,FALSE),"")</f>
        <v>0</v>
      </c>
      <c r="E524" s="8">
        <f>IFERROR(VLOOKUP($A524,DataDemande!$AA$63:$AE$700,5,FALSE)*VLOOKUP($A524,DataPrixBillets!$M$66:$Q$700,5,FALSE),"")</f>
        <v>0</v>
      </c>
      <c r="F524" s="21">
        <f t="shared" si="10"/>
        <v>0</v>
      </c>
    </row>
    <row r="525" spans="1:6" x14ac:dyDescent="0.3">
      <c r="A525" s="185" t="str">
        <f>DataDemande!AA584</f>
        <v/>
      </c>
      <c r="B525" s="8">
        <f>IFERROR(VLOOKUP($A525,DataDemande!$AA$63:$AE$700,2,FALSE)*VLOOKUP($A525,DataPrixBillets!$M$66:$Q$700,2,FALSE),"")</f>
        <v>0</v>
      </c>
      <c r="C525" s="8">
        <f>IFERROR(VLOOKUP($A525,DataDemande!$AA$63:$AE$700,3,FALSE)*VLOOKUP($A525,DataPrixBillets!$M$66:$Q$700,3,FALSE),"")</f>
        <v>0</v>
      </c>
      <c r="D525" s="8">
        <f>IFERROR(VLOOKUP($A525,DataDemande!$AA$63:$AE$700,4,FALSE)*VLOOKUP($A525,DataPrixBillets!$M$66:$Q$700,4,FALSE),"")</f>
        <v>0</v>
      </c>
      <c r="E525" s="8">
        <f>IFERROR(VLOOKUP($A525,DataDemande!$AA$63:$AE$700,5,FALSE)*VLOOKUP($A525,DataPrixBillets!$M$66:$Q$700,5,FALSE),"")</f>
        <v>0</v>
      </c>
      <c r="F525" s="21">
        <f t="shared" si="10"/>
        <v>0</v>
      </c>
    </row>
    <row r="526" spans="1:6" x14ac:dyDescent="0.3">
      <c r="A526" s="185" t="str">
        <f>DataDemande!AA585</f>
        <v/>
      </c>
      <c r="B526" s="8">
        <f>IFERROR(VLOOKUP($A526,DataDemande!$AA$63:$AE$700,2,FALSE)*VLOOKUP($A526,DataPrixBillets!$M$66:$Q$700,2,FALSE),"")</f>
        <v>0</v>
      </c>
      <c r="C526" s="8">
        <f>IFERROR(VLOOKUP($A526,DataDemande!$AA$63:$AE$700,3,FALSE)*VLOOKUP($A526,DataPrixBillets!$M$66:$Q$700,3,FALSE),"")</f>
        <v>0</v>
      </c>
      <c r="D526" s="8">
        <f>IFERROR(VLOOKUP($A526,DataDemande!$AA$63:$AE$700,4,FALSE)*VLOOKUP($A526,DataPrixBillets!$M$66:$Q$700,4,FALSE),"")</f>
        <v>0</v>
      </c>
      <c r="E526" s="8">
        <f>IFERROR(VLOOKUP($A526,DataDemande!$AA$63:$AE$700,5,FALSE)*VLOOKUP($A526,DataPrixBillets!$M$66:$Q$700,5,FALSE),"")</f>
        <v>0</v>
      </c>
      <c r="F526" s="21">
        <f t="shared" si="10"/>
        <v>0</v>
      </c>
    </row>
    <row r="527" spans="1:6" x14ac:dyDescent="0.3">
      <c r="A527" s="185" t="str">
        <f>DataDemande!AA586</f>
        <v/>
      </c>
      <c r="B527" s="8">
        <f>IFERROR(VLOOKUP($A527,DataDemande!$AA$63:$AE$700,2,FALSE)*VLOOKUP($A527,DataPrixBillets!$M$66:$Q$700,2,FALSE),"")</f>
        <v>0</v>
      </c>
      <c r="C527" s="8">
        <f>IFERROR(VLOOKUP($A527,DataDemande!$AA$63:$AE$700,3,FALSE)*VLOOKUP($A527,DataPrixBillets!$M$66:$Q$700,3,FALSE),"")</f>
        <v>0</v>
      </c>
      <c r="D527" s="8">
        <f>IFERROR(VLOOKUP($A527,DataDemande!$AA$63:$AE$700,4,FALSE)*VLOOKUP($A527,DataPrixBillets!$M$66:$Q$700,4,FALSE),"")</f>
        <v>0</v>
      </c>
      <c r="E527" s="8">
        <f>IFERROR(VLOOKUP($A527,DataDemande!$AA$63:$AE$700,5,FALSE)*VLOOKUP($A527,DataPrixBillets!$M$66:$Q$700,5,FALSE),"")</f>
        <v>0</v>
      </c>
      <c r="F527" s="21">
        <f t="shared" si="10"/>
        <v>0</v>
      </c>
    </row>
    <row r="528" spans="1:6" x14ac:dyDescent="0.3">
      <c r="A528" s="185" t="str">
        <f>DataDemande!AA587</f>
        <v/>
      </c>
      <c r="B528" s="8">
        <f>IFERROR(VLOOKUP($A528,DataDemande!$AA$63:$AE$700,2,FALSE)*VLOOKUP($A528,DataPrixBillets!$M$66:$Q$700,2,FALSE),"")</f>
        <v>0</v>
      </c>
      <c r="C528" s="8">
        <f>IFERROR(VLOOKUP($A528,DataDemande!$AA$63:$AE$700,3,FALSE)*VLOOKUP($A528,DataPrixBillets!$M$66:$Q$700,3,FALSE),"")</f>
        <v>0</v>
      </c>
      <c r="D528" s="8">
        <f>IFERROR(VLOOKUP($A528,DataDemande!$AA$63:$AE$700,4,FALSE)*VLOOKUP($A528,DataPrixBillets!$M$66:$Q$700,4,FALSE),"")</f>
        <v>0</v>
      </c>
      <c r="E528" s="8">
        <f>IFERROR(VLOOKUP($A528,DataDemande!$AA$63:$AE$700,5,FALSE)*VLOOKUP($A528,DataPrixBillets!$M$66:$Q$700,5,FALSE),"")</f>
        <v>0</v>
      </c>
      <c r="F528" s="21">
        <f t="shared" si="10"/>
        <v>0</v>
      </c>
    </row>
    <row r="529" spans="1:6" x14ac:dyDescent="0.3">
      <c r="A529" s="185" t="str">
        <f>DataDemande!AA588</f>
        <v/>
      </c>
      <c r="B529" s="8">
        <f>IFERROR(VLOOKUP($A529,DataDemande!$AA$63:$AE$700,2,FALSE)*VLOOKUP($A529,DataPrixBillets!$M$66:$Q$700,2,FALSE),"")</f>
        <v>0</v>
      </c>
      <c r="C529" s="8">
        <f>IFERROR(VLOOKUP($A529,DataDemande!$AA$63:$AE$700,3,FALSE)*VLOOKUP($A529,DataPrixBillets!$M$66:$Q$700,3,FALSE),"")</f>
        <v>0</v>
      </c>
      <c r="D529" s="8">
        <f>IFERROR(VLOOKUP($A529,DataDemande!$AA$63:$AE$700,4,FALSE)*VLOOKUP($A529,DataPrixBillets!$M$66:$Q$700,4,FALSE),"")</f>
        <v>0</v>
      </c>
      <c r="E529" s="8">
        <f>IFERROR(VLOOKUP($A529,DataDemande!$AA$63:$AE$700,5,FALSE)*VLOOKUP($A529,DataPrixBillets!$M$66:$Q$700,5,FALSE),"")</f>
        <v>0</v>
      </c>
      <c r="F529" s="21">
        <f t="shared" si="10"/>
        <v>0</v>
      </c>
    </row>
    <row r="530" spans="1:6" x14ac:dyDescent="0.3">
      <c r="A530" s="185" t="str">
        <f>DataDemande!AA589</f>
        <v/>
      </c>
      <c r="B530" s="8">
        <f>IFERROR(VLOOKUP($A530,DataDemande!$AA$63:$AE$700,2,FALSE)*VLOOKUP($A530,DataPrixBillets!$M$66:$Q$700,2,FALSE),"")</f>
        <v>0</v>
      </c>
      <c r="C530" s="8">
        <f>IFERROR(VLOOKUP($A530,DataDemande!$AA$63:$AE$700,3,FALSE)*VLOOKUP($A530,DataPrixBillets!$M$66:$Q$700,3,FALSE),"")</f>
        <v>0</v>
      </c>
      <c r="D530" s="8">
        <f>IFERROR(VLOOKUP($A530,DataDemande!$AA$63:$AE$700,4,FALSE)*VLOOKUP($A530,DataPrixBillets!$M$66:$Q$700,4,FALSE),"")</f>
        <v>0</v>
      </c>
      <c r="E530" s="8">
        <f>IFERROR(VLOOKUP($A530,DataDemande!$AA$63:$AE$700,5,FALSE)*VLOOKUP($A530,DataPrixBillets!$M$66:$Q$700,5,FALSE),"")</f>
        <v>0</v>
      </c>
      <c r="F530" s="21">
        <f t="shared" si="10"/>
        <v>0</v>
      </c>
    </row>
    <row r="531" spans="1:6" x14ac:dyDescent="0.3">
      <c r="A531" s="185" t="str">
        <f>DataDemande!AA590</f>
        <v/>
      </c>
      <c r="B531" s="8">
        <f>IFERROR(VLOOKUP($A531,DataDemande!$AA$63:$AE$700,2,FALSE)*VLOOKUP($A531,DataPrixBillets!$M$66:$Q$700,2,FALSE),"")</f>
        <v>0</v>
      </c>
      <c r="C531" s="8">
        <f>IFERROR(VLOOKUP($A531,DataDemande!$AA$63:$AE$700,3,FALSE)*VLOOKUP($A531,DataPrixBillets!$M$66:$Q$700,3,FALSE),"")</f>
        <v>0</v>
      </c>
      <c r="D531" s="8">
        <f>IFERROR(VLOOKUP($A531,DataDemande!$AA$63:$AE$700,4,FALSE)*VLOOKUP($A531,DataPrixBillets!$M$66:$Q$700,4,FALSE),"")</f>
        <v>0</v>
      </c>
      <c r="E531" s="8">
        <f>IFERROR(VLOOKUP($A531,DataDemande!$AA$63:$AE$700,5,FALSE)*VLOOKUP($A531,DataPrixBillets!$M$66:$Q$700,5,FALSE),"")</f>
        <v>0</v>
      </c>
      <c r="F531" s="21">
        <f t="shared" si="10"/>
        <v>0</v>
      </c>
    </row>
    <row r="532" spans="1:6" x14ac:dyDescent="0.3">
      <c r="A532" s="185" t="str">
        <f>DataDemande!AA591</f>
        <v/>
      </c>
      <c r="B532" s="8">
        <f>IFERROR(VLOOKUP($A532,DataDemande!$AA$63:$AE$700,2,FALSE)*VLOOKUP($A532,DataPrixBillets!$M$66:$Q$700,2,FALSE),"")</f>
        <v>0</v>
      </c>
      <c r="C532" s="8">
        <f>IFERROR(VLOOKUP($A532,DataDemande!$AA$63:$AE$700,3,FALSE)*VLOOKUP($A532,DataPrixBillets!$M$66:$Q$700,3,FALSE),"")</f>
        <v>0</v>
      </c>
      <c r="D532" s="8">
        <f>IFERROR(VLOOKUP($A532,DataDemande!$AA$63:$AE$700,4,FALSE)*VLOOKUP($A532,DataPrixBillets!$M$66:$Q$700,4,FALSE),"")</f>
        <v>0</v>
      </c>
      <c r="E532" s="8">
        <f>IFERROR(VLOOKUP($A532,DataDemande!$AA$63:$AE$700,5,FALSE)*VLOOKUP($A532,DataPrixBillets!$M$66:$Q$700,5,FALSE),"")</f>
        <v>0</v>
      </c>
      <c r="F532" s="21">
        <f t="shared" si="10"/>
        <v>0</v>
      </c>
    </row>
    <row r="533" spans="1:6" x14ac:dyDescent="0.3">
      <c r="A533" s="185" t="str">
        <f>DataDemande!AA592</f>
        <v/>
      </c>
      <c r="B533" s="8">
        <f>IFERROR(VLOOKUP($A533,DataDemande!$AA$63:$AE$700,2,FALSE)*VLOOKUP($A533,DataPrixBillets!$M$66:$Q$700,2,FALSE),"")</f>
        <v>0</v>
      </c>
      <c r="C533" s="8">
        <f>IFERROR(VLOOKUP($A533,DataDemande!$AA$63:$AE$700,3,FALSE)*VLOOKUP($A533,DataPrixBillets!$M$66:$Q$700,3,FALSE),"")</f>
        <v>0</v>
      </c>
      <c r="D533" s="8">
        <f>IFERROR(VLOOKUP($A533,DataDemande!$AA$63:$AE$700,4,FALSE)*VLOOKUP($A533,DataPrixBillets!$M$66:$Q$700,4,FALSE),"")</f>
        <v>0</v>
      </c>
      <c r="E533" s="8">
        <f>IFERROR(VLOOKUP($A533,DataDemande!$AA$63:$AE$700,5,FALSE)*VLOOKUP($A533,DataPrixBillets!$M$66:$Q$700,5,FALSE),"")</f>
        <v>0</v>
      </c>
      <c r="F533" s="21">
        <f t="shared" si="10"/>
        <v>0</v>
      </c>
    </row>
    <row r="534" spans="1:6" x14ac:dyDescent="0.3">
      <c r="A534" s="185" t="str">
        <f>DataDemande!AA593</f>
        <v/>
      </c>
      <c r="B534" s="8">
        <f>IFERROR(VLOOKUP($A534,DataDemande!$AA$63:$AE$700,2,FALSE)*VLOOKUP($A534,DataPrixBillets!$M$66:$Q$700,2,FALSE),"")</f>
        <v>0</v>
      </c>
      <c r="C534" s="8">
        <f>IFERROR(VLOOKUP($A534,DataDemande!$AA$63:$AE$700,3,FALSE)*VLOOKUP($A534,DataPrixBillets!$M$66:$Q$700,3,FALSE),"")</f>
        <v>0</v>
      </c>
      <c r="D534" s="8">
        <f>IFERROR(VLOOKUP($A534,DataDemande!$AA$63:$AE$700,4,FALSE)*VLOOKUP($A534,DataPrixBillets!$M$66:$Q$700,4,FALSE),"")</f>
        <v>0</v>
      </c>
      <c r="E534" s="8">
        <f>IFERROR(VLOOKUP($A534,DataDemande!$AA$63:$AE$700,5,FALSE)*VLOOKUP($A534,DataPrixBillets!$M$66:$Q$700,5,FALSE),"")</f>
        <v>0</v>
      </c>
      <c r="F534" s="21">
        <f t="shared" si="10"/>
        <v>0</v>
      </c>
    </row>
    <row r="535" spans="1:6" x14ac:dyDescent="0.3">
      <c r="A535" s="185" t="str">
        <f>DataDemande!AA594</f>
        <v/>
      </c>
      <c r="B535" s="8">
        <f>IFERROR(VLOOKUP($A535,DataDemande!$AA$63:$AE$700,2,FALSE)*VLOOKUP($A535,DataPrixBillets!$M$66:$Q$700,2,FALSE),"")</f>
        <v>0</v>
      </c>
      <c r="C535" s="8">
        <f>IFERROR(VLOOKUP($A535,DataDemande!$AA$63:$AE$700,3,FALSE)*VLOOKUP($A535,DataPrixBillets!$M$66:$Q$700,3,FALSE),"")</f>
        <v>0</v>
      </c>
      <c r="D535" s="8">
        <f>IFERROR(VLOOKUP($A535,DataDemande!$AA$63:$AE$700,4,FALSE)*VLOOKUP($A535,DataPrixBillets!$M$66:$Q$700,4,FALSE),"")</f>
        <v>0</v>
      </c>
      <c r="E535" s="8">
        <f>IFERROR(VLOOKUP($A535,DataDemande!$AA$63:$AE$700,5,FALSE)*VLOOKUP($A535,DataPrixBillets!$M$66:$Q$700,5,FALSE),"")</f>
        <v>0</v>
      </c>
      <c r="F535" s="21">
        <f t="shared" si="10"/>
        <v>0</v>
      </c>
    </row>
    <row r="536" spans="1:6" x14ac:dyDescent="0.3">
      <c r="A536" s="185" t="str">
        <f>DataDemande!AA595</f>
        <v/>
      </c>
      <c r="B536" s="8">
        <f>IFERROR(VLOOKUP($A536,DataDemande!$AA$63:$AE$700,2,FALSE)*VLOOKUP($A536,DataPrixBillets!$M$66:$Q$700,2,FALSE),"")</f>
        <v>0</v>
      </c>
      <c r="C536" s="8">
        <f>IFERROR(VLOOKUP($A536,DataDemande!$AA$63:$AE$700,3,FALSE)*VLOOKUP($A536,DataPrixBillets!$M$66:$Q$700,3,FALSE),"")</f>
        <v>0</v>
      </c>
      <c r="D536" s="8">
        <f>IFERROR(VLOOKUP($A536,DataDemande!$AA$63:$AE$700,4,FALSE)*VLOOKUP($A536,DataPrixBillets!$M$66:$Q$700,4,FALSE),"")</f>
        <v>0</v>
      </c>
      <c r="E536" s="8">
        <f>IFERROR(VLOOKUP($A536,DataDemande!$AA$63:$AE$700,5,FALSE)*VLOOKUP($A536,DataPrixBillets!$M$66:$Q$700,5,FALSE),"")</f>
        <v>0</v>
      </c>
      <c r="F536" s="21">
        <f t="shared" si="10"/>
        <v>0</v>
      </c>
    </row>
    <row r="537" spans="1:6" x14ac:dyDescent="0.3">
      <c r="A537" s="185" t="str">
        <f>DataDemande!AA596</f>
        <v/>
      </c>
      <c r="B537" s="8">
        <f>IFERROR(VLOOKUP($A537,DataDemande!$AA$63:$AE$700,2,FALSE)*VLOOKUP($A537,DataPrixBillets!$M$66:$Q$700,2,FALSE),"")</f>
        <v>0</v>
      </c>
      <c r="C537" s="8">
        <f>IFERROR(VLOOKUP($A537,DataDemande!$AA$63:$AE$700,3,FALSE)*VLOOKUP($A537,DataPrixBillets!$M$66:$Q$700,3,FALSE),"")</f>
        <v>0</v>
      </c>
      <c r="D537" s="8">
        <f>IFERROR(VLOOKUP($A537,DataDemande!$AA$63:$AE$700,4,FALSE)*VLOOKUP($A537,DataPrixBillets!$M$66:$Q$700,4,FALSE),"")</f>
        <v>0</v>
      </c>
      <c r="E537" s="8">
        <f>IFERROR(VLOOKUP($A537,DataDemande!$AA$63:$AE$700,5,FALSE)*VLOOKUP($A537,DataPrixBillets!$M$66:$Q$700,5,FALSE),"")</f>
        <v>0</v>
      </c>
      <c r="F537" s="21">
        <f t="shared" si="10"/>
        <v>0</v>
      </c>
    </row>
    <row r="538" spans="1:6" x14ac:dyDescent="0.3">
      <c r="A538" s="185" t="str">
        <f>DataDemande!AA597</f>
        <v/>
      </c>
      <c r="B538" s="8">
        <f>IFERROR(VLOOKUP($A538,DataDemande!$AA$63:$AE$700,2,FALSE)*VLOOKUP($A538,DataPrixBillets!$M$66:$Q$700,2,FALSE),"")</f>
        <v>0</v>
      </c>
      <c r="C538" s="8">
        <f>IFERROR(VLOOKUP($A538,DataDemande!$AA$63:$AE$700,3,FALSE)*VLOOKUP($A538,DataPrixBillets!$M$66:$Q$700,3,FALSE),"")</f>
        <v>0</v>
      </c>
      <c r="D538" s="8">
        <f>IFERROR(VLOOKUP($A538,DataDemande!$AA$63:$AE$700,4,FALSE)*VLOOKUP($A538,DataPrixBillets!$M$66:$Q$700,4,FALSE),"")</f>
        <v>0</v>
      </c>
      <c r="E538" s="8">
        <f>IFERROR(VLOOKUP($A538,DataDemande!$AA$63:$AE$700,5,FALSE)*VLOOKUP($A538,DataPrixBillets!$M$66:$Q$700,5,FALSE),"")</f>
        <v>0</v>
      </c>
      <c r="F538" s="21">
        <f t="shared" si="10"/>
        <v>0</v>
      </c>
    </row>
    <row r="539" spans="1:6" x14ac:dyDescent="0.3">
      <c r="A539" s="185" t="str">
        <f>DataDemande!AA598</f>
        <v/>
      </c>
      <c r="B539" s="8">
        <f>IFERROR(VLOOKUP($A539,DataDemande!$AA$63:$AE$700,2,FALSE)*VLOOKUP($A539,DataPrixBillets!$M$66:$Q$700,2,FALSE),"")</f>
        <v>0</v>
      </c>
      <c r="C539" s="8">
        <f>IFERROR(VLOOKUP($A539,DataDemande!$AA$63:$AE$700,3,FALSE)*VLOOKUP($A539,DataPrixBillets!$M$66:$Q$700,3,FALSE),"")</f>
        <v>0</v>
      </c>
      <c r="D539" s="8">
        <f>IFERROR(VLOOKUP($A539,DataDemande!$AA$63:$AE$700,4,FALSE)*VLOOKUP($A539,DataPrixBillets!$M$66:$Q$700,4,FALSE),"")</f>
        <v>0</v>
      </c>
      <c r="E539" s="8">
        <f>IFERROR(VLOOKUP($A539,DataDemande!$AA$63:$AE$700,5,FALSE)*VLOOKUP($A539,DataPrixBillets!$M$66:$Q$700,5,FALSE),"")</f>
        <v>0</v>
      </c>
      <c r="F539" s="21">
        <f t="shared" si="10"/>
        <v>0</v>
      </c>
    </row>
    <row r="540" spans="1:6" x14ac:dyDescent="0.3">
      <c r="A540" s="185" t="str">
        <f>DataDemande!AA599</f>
        <v/>
      </c>
      <c r="B540" s="8">
        <f>IFERROR(VLOOKUP($A540,DataDemande!$AA$63:$AE$700,2,FALSE)*VLOOKUP($A540,DataPrixBillets!$M$66:$Q$700,2,FALSE),"")</f>
        <v>0</v>
      </c>
      <c r="C540" s="8">
        <f>IFERROR(VLOOKUP($A540,DataDemande!$AA$63:$AE$700,3,FALSE)*VLOOKUP($A540,DataPrixBillets!$M$66:$Q$700,3,FALSE),"")</f>
        <v>0</v>
      </c>
      <c r="D540" s="8">
        <f>IFERROR(VLOOKUP($A540,DataDemande!$AA$63:$AE$700,4,FALSE)*VLOOKUP($A540,DataPrixBillets!$M$66:$Q$700,4,FALSE),"")</f>
        <v>0</v>
      </c>
      <c r="E540" s="8">
        <f>IFERROR(VLOOKUP($A540,DataDemande!$AA$63:$AE$700,5,FALSE)*VLOOKUP($A540,DataPrixBillets!$M$66:$Q$700,5,FALSE),"")</f>
        <v>0</v>
      </c>
      <c r="F540" s="21">
        <f t="shared" si="10"/>
        <v>0</v>
      </c>
    </row>
    <row r="541" spans="1:6" x14ac:dyDescent="0.3">
      <c r="A541" s="185" t="str">
        <f>DataDemande!AA600</f>
        <v/>
      </c>
      <c r="B541" s="8">
        <f>IFERROR(VLOOKUP($A541,DataDemande!$AA$63:$AE$700,2,FALSE)*VLOOKUP($A541,DataPrixBillets!$M$66:$Q$700,2,FALSE),"")</f>
        <v>0</v>
      </c>
      <c r="C541" s="8">
        <f>IFERROR(VLOOKUP($A541,DataDemande!$AA$63:$AE$700,3,FALSE)*VLOOKUP($A541,DataPrixBillets!$M$66:$Q$700,3,FALSE),"")</f>
        <v>0</v>
      </c>
      <c r="D541" s="8">
        <f>IFERROR(VLOOKUP($A541,DataDemande!$AA$63:$AE$700,4,FALSE)*VLOOKUP($A541,DataPrixBillets!$M$66:$Q$700,4,FALSE),"")</f>
        <v>0</v>
      </c>
      <c r="E541" s="8">
        <f>IFERROR(VLOOKUP($A541,DataDemande!$AA$63:$AE$700,5,FALSE)*VLOOKUP($A541,DataPrixBillets!$M$66:$Q$700,5,FALSE),"")</f>
        <v>0</v>
      </c>
      <c r="F541" s="21">
        <f t="shared" si="10"/>
        <v>0</v>
      </c>
    </row>
    <row r="542" spans="1:6" x14ac:dyDescent="0.3">
      <c r="A542" s="185" t="str">
        <f>DataDemande!AA601</f>
        <v/>
      </c>
      <c r="B542" s="8">
        <f>IFERROR(VLOOKUP($A542,DataDemande!$AA$63:$AE$700,2,FALSE)*VLOOKUP($A542,DataPrixBillets!$M$66:$Q$700,2,FALSE),"")</f>
        <v>0</v>
      </c>
      <c r="C542" s="8">
        <f>IFERROR(VLOOKUP($A542,DataDemande!$AA$63:$AE$700,3,FALSE)*VLOOKUP($A542,DataPrixBillets!$M$66:$Q$700,3,FALSE),"")</f>
        <v>0</v>
      </c>
      <c r="D542" s="8">
        <f>IFERROR(VLOOKUP($A542,DataDemande!$AA$63:$AE$700,4,FALSE)*VLOOKUP($A542,DataPrixBillets!$M$66:$Q$700,4,FALSE),"")</f>
        <v>0</v>
      </c>
      <c r="E542" s="8">
        <f>IFERROR(VLOOKUP($A542,DataDemande!$AA$63:$AE$700,5,FALSE)*VLOOKUP($A542,DataPrixBillets!$M$66:$Q$700,5,FALSE),"")</f>
        <v>0</v>
      </c>
      <c r="F542" s="21">
        <f t="shared" si="10"/>
        <v>0</v>
      </c>
    </row>
    <row r="543" spans="1:6" x14ac:dyDescent="0.3">
      <c r="A543" s="185" t="str">
        <f>DataDemande!AA602</f>
        <v/>
      </c>
      <c r="B543" s="8">
        <f>IFERROR(VLOOKUP($A543,DataDemande!$AA$63:$AE$700,2,FALSE)*VLOOKUP($A543,DataPrixBillets!$M$66:$Q$700,2,FALSE),"")</f>
        <v>0</v>
      </c>
      <c r="C543" s="8">
        <f>IFERROR(VLOOKUP($A543,DataDemande!$AA$63:$AE$700,3,FALSE)*VLOOKUP($A543,DataPrixBillets!$M$66:$Q$700,3,FALSE),"")</f>
        <v>0</v>
      </c>
      <c r="D543" s="8">
        <f>IFERROR(VLOOKUP($A543,DataDemande!$AA$63:$AE$700,4,FALSE)*VLOOKUP($A543,DataPrixBillets!$M$66:$Q$700,4,FALSE),"")</f>
        <v>0</v>
      </c>
      <c r="E543" s="8">
        <f>IFERROR(VLOOKUP($A543,DataDemande!$AA$63:$AE$700,5,FALSE)*VLOOKUP($A543,DataPrixBillets!$M$66:$Q$700,5,FALSE),"")</f>
        <v>0</v>
      </c>
      <c r="F543" s="21">
        <f t="shared" si="10"/>
        <v>0</v>
      </c>
    </row>
    <row r="544" spans="1:6" x14ac:dyDescent="0.3">
      <c r="A544" s="185" t="str">
        <f>DataDemande!AA603</f>
        <v/>
      </c>
      <c r="B544" s="8">
        <f>IFERROR(VLOOKUP($A544,DataDemande!$AA$63:$AE$700,2,FALSE)*VLOOKUP($A544,DataPrixBillets!$M$66:$Q$700,2,FALSE),"")</f>
        <v>0</v>
      </c>
      <c r="C544" s="8">
        <f>IFERROR(VLOOKUP($A544,DataDemande!$AA$63:$AE$700,3,FALSE)*VLOOKUP($A544,DataPrixBillets!$M$66:$Q$700,3,FALSE),"")</f>
        <v>0</v>
      </c>
      <c r="D544" s="8">
        <f>IFERROR(VLOOKUP($A544,DataDemande!$AA$63:$AE$700,4,FALSE)*VLOOKUP($A544,DataPrixBillets!$M$66:$Q$700,4,FALSE),"")</f>
        <v>0</v>
      </c>
      <c r="E544" s="8">
        <f>IFERROR(VLOOKUP($A544,DataDemande!$AA$63:$AE$700,5,FALSE)*VLOOKUP($A544,DataPrixBillets!$M$66:$Q$700,5,FALSE),"")</f>
        <v>0</v>
      </c>
      <c r="F544" s="21">
        <f t="shared" si="10"/>
        <v>0</v>
      </c>
    </row>
    <row r="545" spans="1:6" x14ac:dyDescent="0.3">
      <c r="A545" s="185" t="str">
        <f>DataDemande!AA604</f>
        <v/>
      </c>
      <c r="B545" s="8">
        <f>IFERROR(VLOOKUP($A545,DataDemande!$AA$63:$AE$700,2,FALSE)*VLOOKUP($A545,DataPrixBillets!$M$66:$Q$700,2,FALSE),"")</f>
        <v>0</v>
      </c>
      <c r="C545" s="8">
        <f>IFERROR(VLOOKUP($A545,DataDemande!$AA$63:$AE$700,3,FALSE)*VLOOKUP($A545,DataPrixBillets!$M$66:$Q$700,3,FALSE),"")</f>
        <v>0</v>
      </c>
      <c r="D545" s="8">
        <f>IFERROR(VLOOKUP($A545,DataDemande!$AA$63:$AE$700,4,FALSE)*VLOOKUP($A545,DataPrixBillets!$M$66:$Q$700,4,FALSE),"")</f>
        <v>0</v>
      </c>
      <c r="E545" s="8">
        <f>IFERROR(VLOOKUP($A545,DataDemande!$AA$63:$AE$700,5,FALSE)*VLOOKUP($A545,DataPrixBillets!$M$66:$Q$700,5,FALSE),"")</f>
        <v>0</v>
      </c>
      <c r="F545" s="21">
        <f t="shared" si="10"/>
        <v>0</v>
      </c>
    </row>
    <row r="546" spans="1:6" x14ac:dyDescent="0.3">
      <c r="A546" s="185" t="str">
        <f>DataDemande!AA605</f>
        <v/>
      </c>
      <c r="B546" s="8">
        <f>IFERROR(VLOOKUP($A546,DataDemande!$AA$63:$AE$700,2,FALSE)*VLOOKUP($A546,DataPrixBillets!$M$66:$Q$700,2,FALSE),"")</f>
        <v>0</v>
      </c>
      <c r="C546" s="8">
        <f>IFERROR(VLOOKUP($A546,DataDemande!$AA$63:$AE$700,3,FALSE)*VLOOKUP($A546,DataPrixBillets!$M$66:$Q$700,3,FALSE),"")</f>
        <v>0</v>
      </c>
      <c r="D546" s="8">
        <f>IFERROR(VLOOKUP($A546,DataDemande!$AA$63:$AE$700,4,FALSE)*VLOOKUP($A546,DataPrixBillets!$M$66:$Q$700,4,FALSE),"")</f>
        <v>0</v>
      </c>
      <c r="E546" s="8">
        <f>IFERROR(VLOOKUP($A546,DataDemande!$AA$63:$AE$700,5,FALSE)*VLOOKUP($A546,DataPrixBillets!$M$66:$Q$700,5,FALSE),"")</f>
        <v>0</v>
      </c>
      <c r="F546" s="21">
        <f t="shared" si="10"/>
        <v>0</v>
      </c>
    </row>
    <row r="547" spans="1:6" x14ac:dyDescent="0.3">
      <c r="A547" s="185" t="str">
        <f>DataDemande!AA606</f>
        <v/>
      </c>
      <c r="B547" s="8">
        <f>IFERROR(VLOOKUP($A547,DataDemande!$AA$63:$AE$700,2,FALSE)*VLOOKUP($A547,DataPrixBillets!$M$66:$Q$700,2,FALSE),"")</f>
        <v>0</v>
      </c>
      <c r="C547" s="8">
        <f>IFERROR(VLOOKUP($A547,DataDemande!$AA$63:$AE$700,3,FALSE)*VLOOKUP($A547,DataPrixBillets!$M$66:$Q$700,3,FALSE),"")</f>
        <v>0</v>
      </c>
      <c r="D547" s="8">
        <f>IFERROR(VLOOKUP($A547,DataDemande!$AA$63:$AE$700,4,FALSE)*VLOOKUP($A547,DataPrixBillets!$M$66:$Q$700,4,FALSE),"")</f>
        <v>0</v>
      </c>
      <c r="E547" s="8">
        <f>IFERROR(VLOOKUP($A547,DataDemande!$AA$63:$AE$700,5,FALSE)*VLOOKUP($A547,DataPrixBillets!$M$66:$Q$700,5,FALSE),"")</f>
        <v>0</v>
      </c>
      <c r="F547" s="21">
        <f t="shared" si="10"/>
        <v>0</v>
      </c>
    </row>
    <row r="548" spans="1:6" x14ac:dyDescent="0.3">
      <c r="A548" s="185" t="str">
        <f>DataDemande!AA607</f>
        <v/>
      </c>
      <c r="B548" s="8">
        <f>IFERROR(VLOOKUP($A548,DataDemande!$AA$63:$AE$700,2,FALSE)*VLOOKUP($A548,DataPrixBillets!$M$66:$Q$700,2,FALSE),"")</f>
        <v>0</v>
      </c>
      <c r="C548" s="8">
        <f>IFERROR(VLOOKUP($A548,DataDemande!$AA$63:$AE$700,3,FALSE)*VLOOKUP($A548,DataPrixBillets!$M$66:$Q$700,3,FALSE),"")</f>
        <v>0</v>
      </c>
      <c r="D548" s="8">
        <f>IFERROR(VLOOKUP($A548,DataDemande!$AA$63:$AE$700,4,FALSE)*VLOOKUP($A548,DataPrixBillets!$M$66:$Q$700,4,FALSE),"")</f>
        <v>0</v>
      </c>
      <c r="E548" s="8">
        <f>IFERROR(VLOOKUP($A548,DataDemande!$AA$63:$AE$700,5,FALSE)*VLOOKUP($A548,DataPrixBillets!$M$66:$Q$700,5,FALSE),"")</f>
        <v>0</v>
      </c>
      <c r="F548" s="21">
        <f t="shared" si="10"/>
        <v>0</v>
      </c>
    </row>
    <row r="549" spans="1:6" x14ac:dyDescent="0.3">
      <c r="A549" s="185" t="str">
        <f>DataDemande!AA608</f>
        <v/>
      </c>
      <c r="B549" s="8">
        <f>IFERROR(VLOOKUP($A549,DataDemande!$AA$63:$AE$700,2,FALSE)*VLOOKUP($A549,DataPrixBillets!$M$66:$Q$700,2,FALSE),"")</f>
        <v>0</v>
      </c>
      <c r="C549" s="8">
        <f>IFERROR(VLOOKUP($A549,DataDemande!$AA$63:$AE$700,3,FALSE)*VLOOKUP($A549,DataPrixBillets!$M$66:$Q$700,3,FALSE),"")</f>
        <v>0</v>
      </c>
      <c r="D549" s="8">
        <f>IFERROR(VLOOKUP($A549,DataDemande!$AA$63:$AE$700,4,FALSE)*VLOOKUP($A549,DataPrixBillets!$M$66:$Q$700,4,FALSE),"")</f>
        <v>0</v>
      </c>
      <c r="E549" s="8">
        <f>IFERROR(VLOOKUP($A549,DataDemande!$AA$63:$AE$700,5,FALSE)*VLOOKUP($A549,DataPrixBillets!$M$66:$Q$700,5,FALSE),"")</f>
        <v>0</v>
      </c>
      <c r="F549" s="21">
        <f t="shared" si="10"/>
        <v>0</v>
      </c>
    </row>
    <row r="550" spans="1:6" x14ac:dyDescent="0.3">
      <c r="A550" s="185" t="str">
        <f>DataDemande!AA609</f>
        <v/>
      </c>
      <c r="B550" s="8">
        <f>IFERROR(VLOOKUP($A550,DataDemande!$AA$63:$AE$700,2,FALSE)*VLOOKUP($A550,DataPrixBillets!$M$66:$Q$700,2,FALSE),"")</f>
        <v>0</v>
      </c>
      <c r="C550" s="8">
        <f>IFERROR(VLOOKUP($A550,DataDemande!$AA$63:$AE$700,3,FALSE)*VLOOKUP($A550,DataPrixBillets!$M$66:$Q$700,3,FALSE),"")</f>
        <v>0</v>
      </c>
      <c r="D550" s="8">
        <f>IFERROR(VLOOKUP($A550,DataDemande!$AA$63:$AE$700,4,FALSE)*VLOOKUP($A550,DataPrixBillets!$M$66:$Q$700,4,FALSE),"")</f>
        <v>0</v>
      </c>
      <c r="E550" s="8">
        <f>IFERROR(VLOOKUP($A550,DataDemande!$AA$63:$AE$700,5,FALSE)*VLOOKUP($A550,DataPrixBillets!$M$66:$Q$700,5,FALSE),"")</f>
        <v>0</v>
      </c>
      <c r="F550" s="21">
        <f t="shared" si="10"/>
        <v>0</v>
      </c>
    </row>
    <row r="551" spans="1:6" x14ac:dyDescent="0.3">
      <c r="A551" s="185" t="str">
        <f>DataDemande!AA610</f>
        <v/>
      </c>
      <c r="B551" s="8">
        <f>IFERROR(VLOOKUP($A551,DataDemande!$AA$63:$AE$700,2,FALSE)*VLOOKUP($A551,DataPrixBillets!$M$66:$Q$700,2,FALSE),"")</f>
        <v>0</v>
      </c>
      <c r="C551" s="8">
        <f>IFERROR(VLOOKUP($A551,DataDemande!$AA$63:$AE$700,3,FALSE)*VLOOKUP($A551,DataPrixBillets!$M$66:$Q$700,3,FALSE),"")</f>
        <v>0</v>
      </c>
      <c r="D551" s="8">
        <f>IFERROR(VLOOKUP($A551,DataDemande!$AA$63:$AE$700,4,FALSE)*VLOOKUP($A551,DataPrixBillets!$M$66:$Q$700,4,FALSE),"")</f>
        <v>0</v>
      </c>
      <c r="E551" s="8">
        <f>IFERROR(VLOOKUP($A551,DataDemande!$AA$63:$AE$700,5,FALSE)*VLOOKUP($A551,DataPrixBillets!$M$66:$Q$700,5,FALSE),"")</f>
        <v>0</v>
      </c>
      <c r="F551" s="21">
        <f t="shared" si="10"/>
        <v>0</v>
      </c>
    </row>
    <row r="552" spans="1:6" x14ac:dyDescent="0.3">
      <c r="A552" s="185" t="str">
        <f>DataDemande!AA611</f>
        <v/>
      </c>
      <c r="B552" s="8">
        <f>IFERROR(VLOOKUP($A552,DataDemande!$AA$63:$AE$700,2,FALSE)*VLOOKUP($A552,DataPrixBillets!$M$66:$Q$700,2,FALSE),"")</f>
        <v>0</v>
      </c>
      <c r="C552" s="8">
        <f>IFERROR(VLOOKUP($A552,DataDemande!$AA$63:$AE$700,3,FALSE)*VLOOKUP($A552,DataPrixBillets!$M$66:$Q$700,3,FALSE),"")</f>
        <v>0</v>
      </c>
      <c r="D552" s="8">
        <f>IFERROR(VLOOKUP($A552,DataDemande!$AA$63:$AE$700,4,FALSE)*VLOOKUP($A552,DataPrixBillets!$M$66:$Q$700,4,FALSE),"")</f>
        <v>0</v>
      </c>
      <c r="E552" s="8">
        <f>IFERROR(VLOOKUP($A552,DataDemande!$AA$63:$AE$700,5,FALSE)*VLOOKUP($A552,DataPrixBillets!$M$66:$Q$700,5,FALSE),"")</f>
        <v>0</v>
      </c>
      <c r="F552" s="21">
        <f t="shared" si="10"/>
        <v>0</v>
      </c>
    </row>
    <row r="553" spans="1:6" x14ac:dyDescent="0.3">
      <c r="A553" s="185" t="str">
        <f>DataDemande!AA612</f>
        <v/>
      </c>
      <c r="B553" s="8">
        <f>IFERROR(VLOOKUP($A553,DataDemande!$AA$63:$AE$700,2,FALSE)*VLOOKUP($A553,DataPrixBillets!$M$66:$Q$700,2,FALSE),"")</f>
        <v>0</v>
      </c>
      <c r="C553" s="8">
        <f>IFERROR(VLOOKUP($A553,DataDemande!$AA$63:$AE$700,3,FALSE)*VLOOKUP($A553,DataPrixBillets!$M$66:$Q$700,3,FALSE),"")</f>
        <v>0</v>
      </c>
      <c r="D553" s="8">
        <f>IFERROR(VLOOKUP($A553,DataDemande!$AA$63:$AE$700,4,FALSE)*VLOOKUP($A553,DataPrixBillets!$M$66:$Q$700,4,FALSE),"")</f>
        <v>0</v>
      </c>
      <c r="E553" s="8">
        <f>IFERROR(VLOOKUP($A553,DataDemande!$AA$63:$AE$700,5,FALSE)*VLOOKUP($A553,DataPrixBillets!$M$66:$Q$700,5,FALSE),"")</f>
        <v>0</v>
      </c>
      <c r="F553" s="21">
        <f t="shared" si="10"/>
        <v>0</v>
      </c>
    </row>
    <row r="554" spans="1:6" x14ac:dyDescent="0.3">
      <c r="A554" s="185" t="str">
        <f>DataDemande!AA613</f>
        <v/>
      </c>
      <c r="B554" s="8">
        <f>IFERROR(VLOOKUP($A554,DataDemande!$AA$63:$AE$700,2,FALSE)*VLOOKUP($A554,DataPrixBillets!$M$66:$Q$700,2,FALSE),"")</f>
        <v>0</v>
      </c>
      <c r="C554" s="8">
        <f>IFERROR(VLOOKUP($A554,DataDemande!$AA$63:$AE$700,3,FALSE)*VLOOKUP($A554,DataPrixBillets!$M$66:$Q$700,3,FALSE),"")</f>
        <v>0</v>
      </c>
      <c r="D554" s="8">
        <f>IFERROR(VLOOKUP($A554,DataDemande!$AA$63:$AE$700,4,FALSE)*VLOOKUP($A554,DataPrixBillets!$M$66:$Q$700,4,FALSE),"")</f>
        <v>0</v>
      </c>
      <c r="E554" s="8">
        <f>IFERROR(VLOOKUP($A554,DataDemande!$AA$63:$AE$700,5,FALSE)*VLOOKUP($A554,DataPrixBillets!$M$66:$Q$700,5,FALSE),"")</f>
        <v>0</v>
      </c>
      <c r="F554" s="21">
        <f t="shared" si="10"/>
        <v>0</v>
      </c>
    </row>
    <row r="555" spans="1:6" x14ac:dyDescent="0.3">
      <c r="A555" s="185" t="str">
        <f>DataDemande!AA614</f>
        <v/>
      </c>
      <c r="B555" s="8">
        <f>IFERROR(VLOOKUP($A555,DataDemande!$AA$63:$AE$700,2,FALSE)*VLOOKUP($A555,DataPrixBillets!$M$66:$Q$700,2,FALSE),"")</f>
        <v>0</v>
      </c>
      <c r="C555" s="8">
        <f>IFERROR(VLOOKUP($A555,DataDemande!$AA$63:$AE$700,3,FALSE)*VLOOKUP($A555,DataPrixBillets!$M$66:$Q$700,3,FALSE),"")</f>
        <v>0</v>
      </c>
      <c r="D555" s="8">
        <f>IFERROR(VLOOKUP($A555,DataDemande!$AA$63:$AE$700,4,FALSE)*VLOOKUP($A555,DataPrixBillets!$M$66:$Q$700,4,FALSE),"")</f>
        <v>0</v>
      </c>
      <c r="E555" s="8">
        <f>IFERROR(VLOOKUP($A555,DataDemande!$AA$63:$AE$700,5,FALSE)*VLOOKUP($A555,DataPrixBillets!$M$66:$Q$700,5,FALSE),"")</f>
        <v>0</v>
      </c>
      <c r="F555" s="21">
        <f t="shared" si="10"/>
        <v>0</v>
      </c>
    </row>
    <row r="556" spans="1:6" x14ac:dyDescent="0.3">
      <c r="A556" s="185" t="str">
        <f>DataDemande!AA615</f>
        <v/>
      </c>
      <c r="B556" s="8">
        <f>IFERROR(VLOOKUP($A556,DataDemande!$AA$63:$AE$700,2,FALSE)*VLOOKUP($A556,DataPrixBillets!$M$66:$Q$700,2,FALSE),"")</f>
        <v>0</v>
      </c>
      <c r="C556" s="8">
        <f>IFERROR(VLOOKUP($A556,DataDemande!$AA$63:$AE$700,3,FALSE)*VLOOKUP($A556,DataPrixBillets!$M$66:$Q$700,3,FALSE),"")</f>
        <v>0</v>
      </c>
      <c r="D556" s="8">
        <f>IFERROR(VLOOKUP($A556,DataDemande!$AA$63:$AE$700,4,FALSE)*VLOOKUP($A556,DataPrixBillets!$M$66:$Q$700,4,FALSE),"")</f>
        <v>0</v>
      </c>
      <c r="E556" s="8">
        <f>IFERROR(VLOOKUP($A556,DataDemande!$AA$63:$AE$700,5,FALSE)*VLOOKUP($A556,DataPrixBillets!$M$66:$Q$700,5,FALSE),"")</f>
        <v>0</v>
      </c>
      <c r="F556" s="21">
        <f t="shared" si="10"/>
        <v>0</v>
      </c>
    </row>
    <row r="557" spans="1:6" x14ac:dyDescent="0.3">
      <c r="A557" s="185" t="str">
        <f>DataDemande!AA616</f>
        <v/>
      </c>
      <c r="B557" s="8">
        <f>IFERROR(VLOOKUP($A557,DataDemande!$AA$63:$AE$700,2,FALSE)*VLOOKUP($A557,DataPrixBillets!$M$66:$Q$700,2,FALSE),"")</f>
        <v>0</v>
      </c>
      <c r="C557" s="8">
        <f>IFERROR(VLOOKUP($A557,DataDemande!$AA$63:$AE$700,3,FALSE)*VLOOKUP($A557,DataPrixBillets!$M$66:$Q$700,3,FALSE),"")</f>
        <v>0</v>
      </c>
      <c r="D557" s="8">
        <f>IFERROR(VLOOKUP($A557,DataDemande!$AA$63:$AE$700,4,FALSE)*VLOOKUP($A557,DataPrixBillets!$M$66:$Q$700,4,FALSE),"")</f>
        <v>0</v>
      </c>
      <c r="E557" s="8">
        <f>IFERROR(VLOOKUP($A557,DataDemande!$AA$63:$AE$700,5,FALSE)*VLOOKUP($A557,DataPrixBillets!$M$66:$Q$700,5,FALSE),"")</f>
        <v>0</v>
      </c>
      <c r="F557" s="21">
        <f t="shared" si="10"/>
        <v>0</v>
      </c>
    </row>
    <row r="558" spans="1:6" x14ac:dyDescent="0.3">
      <c r="A558" s="185" t="str">
        <f>DataDemande!AA617</f>
        <v/>
      </c>
      <c r="B558" s="8">
        <f>IFERROR(VLOOKUP($A558,DataDemande!$AA$63:$AE$700,2,FALSE)*VLOOKUP($A558,DataPrixBillets!$M$66:$Q$700,2,FALSE),"")</f>
        <v>0</v>
      </c>
      <c r="C558" s="8">
        <f>IFERROR(VLOOKUP($A558,DataDemande!$AA$63:$AE$700,3,FALSE)*VLOOKUP($A558,DataPrixBillets!$M$66:$Q$700,3,FALSE),"")</f>
        <v>0</v>
      </c>
      <c r="D558" s="8">
        <f>IFERROR(VLOOKUP($A558,DataDemande!$AA$63:$AE$700,4,FALSE)*VLOOKUP($A558,DataPrixBillets!$M$66:$Q$700,4,FALSE),"")</f>
        <v>0</v>
      </c>
      <c r="E558" s="8">
        <f>IFERROR(VLOOKUP($A558,DataDemande!$AA$63:$AE$700,5,FALSE)*VLOOKUP($A558,DataPrixBillets!$M$66:$Q$700,5,FALSE),"")</f>
        <v>0</v>
      </c>
      <c r="F558" s="21">
        <f t="shared" si="10"/>
        <v>0</v>
      </c>
    </row>
    <row r="559" spans="1:6" x14ac:dyDescent="0.3">
      <c r="A559" s="185" t="str">
        <f>DataDemande!AA618</f>
        <v/>
      </c>
      <c r="B559" s="8">
        <f>IFERROR(VLOOKUP($A559,DataDemande!$AA$63:$AE$700,2,FALSE)*VLOOKUP($A559,DataPrixBillets!$M$66:$Q$700,2,FALSE),"")</f>
        <v>0</v>
      </c>
      <c r="C559" s="8">
        <f>IFERROR(VLOOKUP($A559,DataDemande!$AA$63:$AE$700,3,FALSE)*VLOOKUP($A559,DataPrixBillets!$M$66:$Q$700,3,FALSE),"")</f>
        <v>0</v>
      </c>
      <c r="D559" s="8">
        <f>IFERROR(VLOOKUP($A559,DataDemande!$AA$63:$AE$700,4,FALSE)*VLOOKUP($A559,DataPrixBillets!$M$66:$Q$700,4,FALSE),"")</f>
        <v>0</v>
      </c>
      <c r="E559" s="8">
        <f>IFERROR(VLOOKUP($A559,DataDemande!$AA$63:$AE$700,5,FALSE)*VLOOKUP($A559,DataPrixBillets!$M$66:$Q$700,5,FALSE),"")</f>
        <v>0</v>
      </c>
      <c r="F559" s="21">
        <f t="shared" si="10"/>
        <v>0</v>
      </c>
    </row>
    <row r="560" spans="1:6" x14ac:dyDescent="0.3">
      <c r="A560" s="185" t="str">
        <f>DataDemande!AA619</f>
        <v/>
      </c>
      <c r="B560" s="8">
        <f>IFERROR(VLOOKUP($A560,DataDemande!$AA$63:$AE$700,2,FALSE)*VLOOKUP($A560,DataPrixBillets!$M$66:$Q$700,2,FALSE),"")</f>
        <v>0</v>
      </c>
      <c r="C560" s="8">
        <f>IFERROR(VLOOKUP($A560,DataDemande!$AA$63:$AE$700,3,FALSE)*VLOOKUP($A560,DataPrixBillets!$M$66:$Q$700,3,FALSE),"")</f>
        <v>0</v>
      </c>
      <c r="D560" s="8">
        <f>IFERROR(VLOOKUP($A560,DataDemande!$AA$63:$AE$700,4,FALSE)*VLOOKUP($A560,DataPrixBillets!$M$66:$Q$700,4,FALSE),"")</f>
        <v>0</v>
      </c>
      <c r="E560" s="8">
        <f>IFERROR(VLOOKUP($A560,DataDemande!$AA$63:$AE$700,5,FALSE)*VLOOKUP($A560,DataPrixBillets!$M$66:$Q$700,5,FALSE),"")</f>
        <v>0</v>
      </c>
      <c r="F560" s="21">
        <f t="shared" si="10"/>
        <v>0</v>
      </c>
    </row>
    <row r="561" spans="1:6" x14ac:dyDescent="0.3">
      <c r="A561" s="185" t="str">
        <f>DataDemande!AA620</f>
        <v/>
      </c>
      <c r="B561" s="8">
        <f>IFERROR(VLOOKUP($A561,DataDemande!$AA$63:$AE$700,2,FALSE)*VLOOKUP($A561,DataPrixBillets!$M$66:$Q$700,2,FALSE),"")</f>
        <v>0</v>
      </c>
      <c r="C561" s="8">
        <f>IFERROR(VLOOKUP($A561,DataDemande!$AA$63:$AE$700,3,FALSE)*VLOOKUP($A561,DataPrixBillets!$M$66:$Q$700,3,FALSE),"")</f>
        <v>0</v>
      </c>
      <c r="D561" s="8">
        <f>IFERROR(VLOOKUP($A561,DataDemande!$AA$63:$AE$700,4,FALSE)*VLOOKUP($A561,DataPrixBillets!$M$66:$Q$700,4,FALSE),"")</f>
        <v>0</v>
      </c>
      <c r="E561" s="8">
        <f>IFERROR(VLOOKUP($A561,DataDemande!$AA$63:$AE$700,5,FALSE)*VLOOKUP($A561,DataPrixBillets!$M$66:$Q$700,5,FALSE),"")</f>
        <v>0</v>
      </c>
      <c r="F561" s="21">
        <f t="shared" si="10"/>
        <v>0</v>
      </c>
    </row>
    <row r="562" spans="1:6" x14ac:dyDescent="0.3">
      <c r="A562" s="185" t="str">
        <f>DataDemande!AA621</f>
        <v/>
      </c>
      <c r="B562" s="8">
        <f>IFERROR(VLOOKUP($A562,DataDemande!$AA$63:$AE$700,2,FALSE)*VLOOKUP($A562,DataPrixBillets!$M$66:$Q$700,2,FALSE),"")</f>
        <v>0</v>
      </c>
      <c r="C562" s="8">
        <f>IFERROR(VLOOKUP($A562,DataDemande!$AA$63:$AE$700,3,FALSE)*VLOOKUP($A562,DataPrixBillets!$M$66:$Q$700,3,FALSE),"")</f>
        <v>0</v>
      </c>
      <c r="D562" s="8">
        <f>IFERROR(VLOOKUP($A562,DataDemande!$AA$63:$AE$700,4,FALSE)*VLOOKUP($A562,DataPrixBillets!$M$66:$Q$700,4,FALSE),"")</f>
        <v>0</v>
      </c>
      <c r="E562" s="8">
        <f>IFERROR(VLOOKUP($A562,DataDemande!$AA$63:$AE$700,5,FALSE)*VLOOKUP($A562,DataPrixBillets!$M$66:$Q$700,5,FALSE),"")</f>
        <v>0</v>
      </c>
      <c r="F562" s="21">
        <f t="shared" si="10"/>
        <v>0</v>
      </c>
    </row>
    <row r="563" spans="1:6" x14ac:dyDescent="0.3">
      <c r="A563" s="185" t="str">
        <f>DataDemande!AA622</f>
        <v/>
      </c>
      <c r="B563" s="8">
        <f>IFERROR(VLOOKUP($A563,DataDemande!$AA$63:$AE$700,2,FALSE)*VLOOKUP($A563,DataPrixBillets!$M$66:$Q$700,2,FALSE),"")</f>
        <v>0</v>
      </c>
      <c r="C563" s="8">
        <f>IFERROR(VLOOKUP($A563,DataDemande!$AA$63:$AE$700,3,FALSE)*VLOOKUP($A563,DataPrixBillets!$M$66:$Q$700,3,FALSE),"")</f>
        <v>0</v>
      </c>
      <c r="D563" s="8">
        <f>IFERROR(VLOOKUP($A563,DataDemande!$AA$63:$AE$700,4,FALSE)*VLOOKUP($A563,DataPrixBillets!$M$66:$Q$700,4,FALSE),"")</f>
        <v>0</v>
      </c>
      <c r="E563" s="8">
        <f>IFERROR(VLOOKUP($A563,DataDemande!$AA$63:$AE$700,5,FALSE)*VLOOKUP($A563,DataPrixBillets!$M$66:$Q$700,5,FALSE),"")</f>
        <v>0</v>
      </c>
      <c r="F563" s="21">
        <f t="shared" si="10"/>
        <v>0</v>
      </c>
    </row>
    <row r="564" spans="1:6" x14ac:dyDescent="0.3">
      <c r="A564" s="185" t="str">
        <f>DataDemande!AA623</f>
        <v/>
      </c>
      <c r="B564" s="8">
        <f>IFERROR(VLOOKUP($A564,DataDemande!$AA$63:$AE$700,2,FALSE)*VLOOKUP($A564,DataPrixBillets!$M$66:$Q$700,2,FALSE),"")</f>
        <v>0</v>
      </c>
      <c r="C564" s="8">
        <f>IFERROR(VLOOKUP($A564,DataDemande!$AA$63:$AE$700,3,FALSE)*VLOOKUP($A564,DataPrixBillets!$M$66:$Q$700,3,FALSE),"")</f>
        <v>0</v>
      </c>
      <c r="D564" s="8">
        <f>IFERROR(VLOOKUP($A564,DataDemande!$AA$63:$AE$700,4,FALSE)*VLOOKUP($A564,DataPrixBillets!$M$66:$Q$700,4,FALSE),"")</f>
        <v>0</v>
      </c>
      <c r="E564" s="8">
        <f>IFERROR(VLOOKUP($A564,DataDemande!$AA$63:$AE$700,5,FALSE)*VLOOKUP($A564,DataPrixBillets!$M$66:$Q$700,5,FALSE),"")</f>
        <v>0</v>
      </c>
      <c r="F564" s="21">
        <f t="shared" si="10"/>
        <v>0</v>
      </c>
    </row>
    <row r="565" spans="1:6" x14ac:dyDescent="0.3">
      <c r="A565" s="185" t="str">
        <f>DataDemande!AA624</f>
        <v/>
      </c>
      <c r="B565" s="8">
        <f>IFERROR(VLOOKUP($A565,DataDemande!$AA$63:$AE$700,2,FALSE)*VLOOKUP($A565,DataPrixBillets!$M$66:$Q$700,2,FALSE),"")</f>
        <v>0</v>
      </c>
      <c r="C565" s="8">
        <f>IFERROR(VLOOKUP($A565,DataDemande!$AA$63:$AE$700,3,FALSE)*VLOOKUP($A565,DataPrixBillets!$M$66:$Q$700,3,FALSE),"")</f>
        <v>0</v>
      </c>
      <c r="D565" s="8">
        <f>IFERROR(VLOOKUP($A565,DataDemande!$AA$63:$AE$700,4,FALSE)*VLOOKUP($A565,DataPrixBillets!$M$66:$Q$700,4,FALSE),"")</f>
        <v>0</v>
      </c>
      <c r="E565" s="8">
        <f>IFERROR(VLOOKUP($A565,DataDemande!$AA$63:$AE$700,5,FALSE)*VLOOKUP($A565,DataPrixBillets!$M$66:$Q$700,5,FALSE),"")</f>
        <v>0</v>
      </c>
      <c r="F565" s="21">
        <f t="shared" si="10"/>
        <v>0</v>
      </c>
    </row>
    <row r="566" spans="1:6" x14ac:dyDescent="0.3">
      <c r="A566" s="185" t="str">
        <f>DataDemande!AA625</f>
        <v/>
      </c>
      <c r="B566" s="8">
        <f>IFERROR(VLOOKUP($A566,DataDemande!$AA$63:$AE$700,2,FALSE)*VLOOKUP($A566,DataPrixBillets!$M$66:$Q$700,2,FALSE),"")</f>
        <v>0</v>
      </c>
      <c r="C566" s="8">
        <f>IFERROR(VLOOKUP($A566,DataDemande!$AA$63:$AE$700,3,FALSE)*VLOOKUP($A566,DataPrixBillets!$M$66:$Q$700,3,FALSE),"")</f>
        <v>0</v>
      </c>
      <c r="D566" s="8">
        <f>IFERROR(VLOOKUP($A566,DataDemande!$AA$63:$AE$700,4,FALSE)*VLOOKUP($A566,DataPrixBillets!$M$66:$Q$700,4,FALSE),"")</f>
        <v>0</v>
      </c>
      <c r="E566" s="8">
        <f>IFERROR(VLOOKUP($A566,DataDemande!$AA$63:$AE$700,5,FALSE)*VLOOKUP($A566,DataPrixBillets!$M$66:$Q$700,5,FALSE),"")</f>
        <v>0</v>
      </c>
      <c r="F566" s="21">
        <f t="shared" si="10"/>
        <v>0</v>
      </c>
    </row>
    <row r="567" spans="1:6" x14ac:dyDescent="0.3">
      <c r="A567" s="185" t="str">
        <f>DataDemande!AA626</f>
        <v/>
      </c>
      <c r="B567" s="8">
        <f>IFERROR(VLOOKUP($A567,DataDemande!$AA$63:$AE$700,2,FALSE)*VLOOKUP($A567,DataPrixBillets!$M$66:$Q$700,2,FALSE),"")</f>
        <v>0</v>
      </c>
      <c r="C567" s="8">
        <f>IFERROR(VLOOKUP($A567,DataDemande!$AA$63:$AE$700,3,FALSE)*VLOOKUP($A567,DataPrixBillets!$M$66:$Q$700,3,FALSE),"")</f>
        <v>0</v>
      </c>
      <c r="D567" s="8">
        <f>IFERROR(VLOOKUP($A567,DataDemande!$AA$63:$AE$700,4,FALSE)*VLOOKUP($A567,DataPrixBillets!$M$66:$Q$700,4,FALSE),"")</f>
        <v>0</v>
      </c>
      <c r="E567" s="8">
        <f>IFERROR(VLOOKUP($A567,DataDemande!$AA$63:$AE$700,5,FALSE)*VLOOKUP($A567,DataPrixBillets!$M$66:$Q$700,5,FALSE),"")</f>
        <v>0</v>
      </c>
      <c r="F567" s="21">
        <f t="shared" si="10"/>
        <v>0</v>
      </c>
    </row>
    <row r="568" spans="1:6" x14ac:dyDescent="0.3">
      <c r="A568" s="185" t="str">
        <f>DataDemande!AA627</f>
        <v/>
      </c>
      <c r="B568" s="8">
        <f>IFERROR(VLOOKUP($A568,DataDemande!$AA$63:$AE$700,2,FALSE)*VLOOKUP($A568,DataPrixBillets!$M$66:$Q$700,2,FALSE),"")</f>
        <v>0</v>
      </c>
      <c r="C568" s="8">
        <f>IFERROR(VLOOKUP($A568,DataDemande!$AA$63:$AE$700,3,FALSE)*VLOOKUP($A568,DataPrixBillets!$M$66:$Q$700,3,FALSE),"")</f>
        <v>0</v>
      </c>
      <c r="D568" s="8">
        <f>IFERROR(VLOOKUP($A568,DataDemande!$AA$63:$AE$700,4,FALSE)*VLOOKUP($A568,DataPrixBillets!$M$66:$Q$700,4,FALSE),"")</f>
        <v>0</v>
      </c>
      <c r="E568" s="8">
        <f>IFERROR(VLOOKUP($A568,DataDemande!$AA$63:$AE$700,5,FALSE)*VLOOKUP($A568,DataPrixBillets!$M$66:$Q$700,5,FALSE),"")</f>
        <v>0</v>
      </c>
      <c r="F568" s="21">
        <f t="shared" si="10"/>
        <v>0</v>
      </c>
    </row>
    <row r="569" spans="1:6" x14ac:dyDescent="0.3">
      <c r="A569" s="185" t="str">
        <f>DataDemande!AA628</f>
        <v/>
      </c>
      <c r="B569" s="8">
        <f>IFERROR(VLOOKUP($A569,DataDemande!$AA$63:$AE$700,2,FALSE)*VLOOKUP($A569,DataPrixBillets!$M$66:$Q$700,2,FALSE),"")</f>
        <v>0</v>
      </c>
      <c r="C569" s="8">
        <f>IFERROR(VLOOKUP($A569,DataDemande!$AA$63:$AE$700,3,FALSE)*VLOOKUP($A569,DataPrixBillets!$M$66:$Q$700,3,FALSE),"")</f>
        <v>0</v>
      </c>
      <c r="D569" s="8">
        <f>IFERROR(VLOOKUP($A569,DataDemande!$AA$63:$AE$700,4,FALSE)*VLOOKUP($A569,DataPrixBillets!$M$66:$Q$700,4,FALSE),"")</f>
        <v>0</v>
      </c>
      <c r="E569" s="8">
        <f>IFERROR(VLOOKUP($A569,DataDemande!$AA$63:$AE$700,5,FALSE)*VLOOKUP($A569,DataPrixBillets!$M$66:$Q$700,5,FALSE),"")</f>
        <v>0</v>
      </c>
      <c r="F569" s="21">
        <f t="shared" si="10"/>
        <v>0</v>
      </c>
    </row>
    <row r="570" spans="1:6" x14ac:dyDescent="0.3">
      <c r="A570" s="185" t="str">
        <f>DataDemande!AA629</f>
        <v/>
      </c>
      <c r="B570" s="8">
        <f>IFERROR(VLOOKUP($A570,DataDemande!$AA$63:$AE$700,2,FALSE)*VLOOKUP($A570,DataPrixBillets!$M$66:$Q$700,2,FALSE),"")</f>
        <v>0</v>
      </c>
      <c r="C570" s="8">
        <f>IFERROR(VLOOKUP($A570,DataDemande!$AA$63:$AE$700,3,FALSE)*VLOOKUP($A570,DataPrixBillets!$M$66:$Q$700,3,FALSE),"")</f>
        <v>0</v>
      </c>
      <c r="D570" s="8">
        <f>IFERROR(VLOOKUP($A570,DataDemande!$AA$63:$AE$700,4,FALSE)*VLOOKUP($A570,DataPrixBillets!$M$66:$Q$700,4,FALSE),"")</f>
        <v>0</v>
      </c>
      <c r="E570" s="8">
        <f>IFERROR(VLOOKUP($A570,DataDemande!$AA$63:$AE$700,5,FALSE)*VLOOKUP($A570,DataPrixBillets!$M$66:$Q$700,5,FALSE),"")</f>
        <v>0</v>
      </c>
      <c r="F570" s="21">
        <f t="shared" si="10"/>
        <v>0</v>
      </c>
    </row>
    <row r="571" spans="1:6" x14ac:dyDescent="0.3">
      <c r="A571" s="185" t="str">
        <f>DataDemande!AA630</f>
        <v/>
      </c>
      <c r="B571" s="8">
        <f>IFERROR(VLOOKUP($A571,DataDemande!$AA$63:$AE$700,2,FALSE)*VLOOKUP($A571,DataPrixBillets!$M$66:$Q$700,2,FALSE),"")</f>
        <v>0</v>
      </c>
      <c r="C571" s="8">
        <f>IFERROR(VLOOKUP($A571,DataDemande!$AA$63:$AE$700,3,FALSE)*VLOOKUP($A571,DataPrixBillets!$M$66:$Q$700,3,FALSE),"")</f>
        <v>0</v>
      </c>
      <c r="D571" s="8">
        <f>IFERROR(VLOOKUP($A571,DataDemande!$AA$63:$AE$700,4,FALSE)*VLOOKUP($A571,DataPrixBillets!$M$66:$Q$700,4,FALSE),"")</f>
        <v>0</v>
      </c>
      <c r="E571" s="8">
        <f>IFERROR(VLOOKUP($A571,DataDemande!$AA$63:$AE$700,5,FALSE)*VLOOKUP($A571,DataPrixBillets!$M$66:$Q$700,5,FALSE),"")</f>
        <v>0</v>
      </c>
      <c r="F571" s="21">
        <f t="shared" si="10"/>
        <v>0</v>
      </c>
    </row>
    <row r="572" spans="1:6" x14ac:dyDescent="0.3">
      <c r="A572" s="185" t="str">
        <f>DataDemande!AA631</f>
        <v/>
      </c>
      <c r="B572" s="8">
        <f>IFERROR(VLOOKUP($A572,DataDemande!$AA$63:$AE$700,2,FALSE)*VLOOKUP($A572,DataPrixBillets!$M$66:$Q$700,2,FALSE),"")</f>
        <v>0</v>
      </c>
      <c r="C572" s="8">
        <f>IFERROR(VLOOKUP($A572,DataDemande!$AA$63:$AE$700,3,FALSE)*VLOOKUP($A572,DataPrixBillets!$M$66:$Q$700,3,FALSE),"")</f>
        <v>0</v>
      </c>
      <c r="D572" s="8">
        <f>IFERROR(VLOOKUP($A572,DataDemande!$AA$63:$AE$700,4,FALSE)*VLOOKUP($A572,DataPrixBillets!$M$66:$Q$700,4,FALSE),"")</f>
        <v>0</v>
      </c>
      <c r="E572" s="8">
        <f>IFERROR(VLOOKUP($A572,DataDemande!$AA$63:$AE$700,5,FALSE)*VLOOKUP($A572,DataPrixBillets!$M$66:$Q$700,5,FALSE),"")</f>
        <v>0</v>
      </c>
      <c r="F572" s="21">
        <f t="shared" si="10"/>
        <v>0</v>
      </c>
    </row>
    <row r="573" spans="1:6" x14ac:dyDescent="0.3">
      <c r="A573" s="185" t="str">
        <f>DataDemande!AA632</f>
        <v/>
      </c>
      <c r="B573" s="8">
        <f>IFERROR(VLOOKUP($A573,DataDemande!$AA$63:$AE$700,2,FALSE)*VLOOKUP($A573,DataPrixBillets!$M$66:$Q$700,2,FALSE),"")</f>
        <v>0</v>
      </c>
      <c r="C573" s="8">
        <f>IFERROR(VLOOKUP($A573,DataDemande!$AA$63:$AE$700,3,FALSE)*VLOOKUP($A573,DataPrixBillets!$M$66:$Q$700,3,FALSE),"")</f>
        <v>0</v>
      </c>
      <c r="D573" s="8">
        <f>IFERROR(VLOOKUP($A573,DataDemande!$AA$63:$AE$700,4,FALSE)*VLOOKUP($A573,DataPrixBillets!$M$66:$Q$700,4,FALSE),"")</f>
        <v>0</v>
      </c>
      <c r="E573" s="8">
        <f>IFERROR(VLOOKUP($A573,DataDemande!$AA$63:$AE$700,5,FALSE)*VLOOKUP($A573,DataPrixBillets!$M$66:$Q$700,5,FALSE),"")</f>
        <v>0</v>
      </c>
      <c r="F573" s="21">
        <f t="shared" si="10"/>
        <v>0</v>
      </c>
    </row>
    <row r="574" spans="1:6" x14ac:dyDescent="0.3">
      <c r="A574" s="185" t="str">
        <f>DataDemande!AA633</f>
        <v/>
      </c>
      <c r="B574" s="8">
        <f>IFERROR(VLOOKUP($A574,DataDemande!$AA$63:$AE$700,2,FALSE)*VLOOKUP($A574,DataPrixBillets!$M$66:$Q$700,2,FALSE),"")</f>
        <v>0</v>
      </c>
      <c r="C574" s="8">
        <f>IFERROR(VLOOKUP($A574,DataDemande!$AA$63:$AE$700,3,FALSE)*VLOOKUP($A574,DataPrixBillets!$M$66:$Q$700,3,FALSE),"")</f>
        <v>0</v>
      </c>
      <c r="D574" s="8">
        <f>IFERROR(VLOOKUP($A574,DataDemande!$AA$63:$AE$700,4,FALSE)*VLOOKUP($A574,DataPrixBillets!$M$66:$Q$700,4,FALSE),"")</f>
        <v>0</v>
      </c>
      <c r="E574" s="8">
        <f>IFERROR(VLOOKUP($A574,DataDemande!$AA$63:$AE$700,5,FALSE)*VLOOKUP($A574,DataPrixBillets!$M$66:$Q$700,5,FALSE),"")</f>
        <v>0</v>
      </c>
      <c r="F574" s="21">
        <f t="shared" si="10"/>
        <v>0</v>
      </c>
    </row>
    <row r="575" spans="1:6" x14ac:dyDescent="0.3">
      <c r="A575" s="185" t="str">
        <f>DataDemande!AA634</f>
        <v/>
      </c>
      <c r="B575" s="8">
        <f>IFERROR(VLOOKUP($A575,DataDemande!$AA$63:$AE$700,2,FALSE)*VLOOKUP($A575,DataPrixBillets!$M$66:$Q$700,2,FALSE),"")</f>
        <v>0</v>
      </c>
      <c r="C575" s="8">
        <f>IFERROR(VLOOKUP($A575,DataDemande!$AA$63:$AE$700,3,FALSE)*VLOOKUP($A575,DataPrixBillets!$M$66:$Q$700,3,FALSE),"")</f>
        <v>0</v>
      </c>
      <c r="D575" s="8">
        <f>IFERROR(VLOOKUP($A575,DataDemande!$AA$63:$AE$700,4,FALSE)*VLOOKUP($A575,DataPrixBillets!$M$66:$Q$700,4,FALSE),"")</f>
        <v>0</v>
      </c>
      <c r="E575" s="8">
        <f>IFERROR(VLOOKUP($A575,DataDemande!$AA$63:$AE$700,5,FALSE)*VLOOKUP($A575,DataPrixBillets!$M$66:$Q$700,5,FALSE),"")</f>
        <v>0</v>
      </c>
      <c r="F575" s="21">
        <f t="shared" si="10"/>
        <v>0</v>
      </c>
    </row>
    <row r="576" spans="1:6" x14ac:dyDescent="0.3">
      <c r="A576" s="185" t="str">
        <f>DataDemande!AA635</f>
        <v/>
      </c>
      <c r="B576" s="8">
        <f>IFERROR(VLOOKUP($A576,DataDemande!$AA$63:$AE$700,2,FALSE)*VLOOKUP($A576,DataPrixBillets!$M$66:$Q$700,2,FALSE),"")</f>
        <v>0</v>
      </c>
      <c r="C576" s="8">
        <f>IFERROR(VLOOKUP($A576,DataDemande!$AA$63:$AE$700,3,FALSE)*VLOOKUP($A576,DataPrixBillets!$M$66:$Q$700,3,FALSE),"")</f>
        <v>0</v>
      </c>
      <c r="D576" s="8">
        <f>IFERROR(VLOOKUP($A576,DataDemande!$AA$63:$AE$700,4,FALSE)*VLOOKUP($A576,DataPrixBillets!$M$66:$Q$700,4,FALSE),"")</f>
        <v>0</v>
      </c>
      <c r="E576" s="8">
        <f>IFERROR(VLOOKUP($A576,DataDemande!$AA$63:$AE$700,5,FALSE)*VLOOKUP($A576,DataPrixBillets!$M$66:$Q$700,5,FALSE),"")</f>
        <v>0</v>
      </c>
      <c r="F576" s="21">
        <f t="shared" si="10"/>
        <v>0</v>
      </c>
    </row>
    <row r="577" spans="1:6" x14ac:dyDescent="0.3">
      <c r="A577" s="185" t="str">
        <f>DataDemande!AA636</f>
        <v/>
      </c>
      <c r="B577" s="8">
        <f>IFERROR(VLOOKUP($A577,DataDemande!$AA$63:$AE$700,2,FALSE)*VLOOKUP($A577,DataPrixBillets!$M$66:$Q$700,2,FALSE),"")</f>
        <v>0</v>
      </c>
      <c r="C577" s="8">
        <f>IFERROR(VLOOKUP($A577,DataDemande!$AA$63:$AE$700,3,FALSE)*VLOOKUP($A577,DataPrixBillets!$M$66:$Q$700,3,FALSE),"")</f>
        <v>0</v>
      </c>
      <c r="D577" s="8">
        <f>IFERROR(VLOOKUP($A577,DataDemande!$AA$63:$AE$700,4,FALSE)*VLOOKUP($A577,DataPrixBillets!$M$66:$Q$700,4,FALSE),"")</f>
        <v>0</v>
      </c>
      <c r="E577" s="8">
        <f>IFERROR(VLOOKUP($A577,DataDemande!$AA$63:$AE$700,5,FALSE)*VLOOKUP($A577,DataPrixBillets!$M$66:$Q$700,5,FALSE),"")</f>
        <v>0</v>
      </c>
      <c r="F577" s="21">
        <f t="shared" si="10"/>
        <v>0</v>
      </c>
    </row>
    <row r="578" spans="1:6" x14ac:dyDescent="0.3">
      <c r="A578" s="185" t="str">
        <f>DataDemande!AA637</f>
        <v/>
      </c>
      <c r="B578" s="8">
        <f>IFERROR(VLOOKUP($A578,DataDemande!$AA$63:$AE$700,2,FALSE)*VLOOKUP($A578,DataPrixBillets!$M$66:$Q$700,2,FALSE),"")</f>
        <v>0</v>
      </c>
      <c r="C578" s="8">
        <f>IFERROR(VLOOKUP($A578,DataDemande!$AA$63:$AE$700,3,FALSE)*VLOOKUP($A578,DataPrixBillets!$M$66:$Q$700,3,FALSE),"")</f>
        <v>0</v>
      </c>
      <c r="D578" s="8">
        <f>IFERROR(VLOOKUP($A578,DataDemande!$AA$63:$AE$700,4,FALSE)*VLOOKUP($A578,DataPrixBillets!$M$66:$Q$700,4,FALSE),"")</f>
        <v>0</v>
      </c>
      <c r="E578" s="8">
        <f>IFERROR(VLOOKUP($A578,DataDemande!$AA$63:$AE$700,5,FALSE)*VLOOKUP($A578,DataPrixBillets!$M$66:$Q$700,5,FALSE),"")</f>
        <v>0</v>
      </c>
      <c r="F578" s="21">
        <f t="shared" si="10"/>
        <v>0</v>
      </c>
    </row>
    <row r="579" spans="1:6" x14ac:dyDescent="0.3">
      <c r="A579" s="185" t="str">
        <f>DataDemande!AA638</f>
        <v/>
      </c>
      <c r="B579" s="8">
        <f>IFERROR(VLOOKUP($A579,DataDemande!$AA$63:$AE$700,2,FALSE)*VLOOKUP($A579,DataPrixBillets!$M$66:$Q$700,2,FALSE),"")</f>
        <v>0</v>
      </c>
      <c r="C579" s="8">
        <f>IFERROR(VLOOKUP($A579,DataDemande!$AA$63:$AE$700,3,FALSE)*VLOOKUP($A579,DataPrixBillets!$M$66:$Q$700,3,FALSE),"")</f>
        <v>0</v>
      </c>
      <c r="D579" s="8">
        <f>IFERROR(VLOOKUP($A579,DataDemande!$AA$63:$AE$700,4,FALSE)*VLOOKUP($A579,DataPrixBillets!$M$66:$Q$700,4,FALSE),"")</f>
        <v>0</v>
      </c>
      <c r="E579" s="8">
        <f>IFERROR(VLOOKUP($A579,DataDemande!$AA$63:$AE$700,5,FALSE)*VLOOKUP($A579,DataPrixBillets!$M$66:$Q$700,5,FALSE),"")</f>
        <v>0</v>
      </c>
      <c r="F579" s="21">
        <f t="shared" si="10"/>
        <v>0</v>
      </c>
    </row>
    <row r="580" spans="1:6" x14ac:dyDescent="0.3">
      <c r="A580" s="185" t="str">
        <f>DataDemande!AA639</f>
        <v/>
      </c>
      <c r="B580" s="8">
        <f>IFERROR(VLOOKUP($A580,DataDemande!$AA$63:$AE$700,2,FALSE)*VLOOKUP($A580,DataPrixBillets!$M$66:$Q$700,2,FALSE),"")</f>
        <v>0</v>
      </c>
      <c r="C580" s="8">
        <f>IFERROR(VLOOKUP($A580,DataDemande!$AA$63:$AE$700,3,FALSE)*VLOOKUP($A580,DataPrixBillets!$M$66:$Q$700,3,FALSE),"")</f>
        <v>0</v>
      </c>
      <c r="D580" s="8">
        <f>IFERROR(VLOOKUP($A580,DataDemande!$AA$63:$AE$700,4,FALSE)*VLOOKUP($A580,DataPrixBillets!$M$66:$Q$700,4,FALSE),"")</f>
        <v>0</v>
      </c>
      <c r="E580" s="8">
        <f>IFERROR(VLOOKUP($A580,DataDemande!$AA$63:$AE$700,5,FALSE)*VLOOKUP($A580,DataPrixBillets!$M$66:$Q$700,5,FALSE),"")</f>
        <v>0</v>
      </c>
      <c r="F580" s="21">
        <f t="shared" si="10"/>
        <v>0</v>
      </c>
    </row>
    <row r="581" spans="1:6" x14ac:dyDescent="0.3">
      <c r="A581" s="185" t="str">
        <f>DataDemande!AA640</f>
        <v/>
      </c>
      <c r="B581" s="8">
        <f>IFERROR(VLOOKUP($A581,DataDemande!$AA$63:$AE$700,2,FALSE)*VLOOKUP($A581,DataPrixBillets!$M$66:$Q$700,2,FALSE),"")</f>
        <v>0</v>
      </c>
      <c r="C581" s="8">
        <f>IFERROR(VLOOKUP($A581,DataDemande!$AA$63:$AE$700,3,FALSE)*VLOOKUP($A581,DataPrixBillets!$M$66:$Q$700,3,FALSE),"")</f>
        <v>0</v>
      </c>
      <c r="D581" s="8">
        <f>IFERROR(VLOOKUP($A581,DataDemande!$AA$63:$AE$700,4,FALSE)*VLOOKUP($A581,DataPrixBillets!$M$66:$Q$700,4,FALSE),"")</f>
        <v>0</v>
      </c>
      <c r="E581" s="8">
        <f>IFERROR(VLOOKUP($A581,DataDemande!$AA$63:$AE$700,5,FALSE)*VLOOKUP($A581,DataPrixBillets!$M$66:$Q$700,5,FALSE),"")</f>
        <v>0</v>
      </c>
      <c r="F581" s="21">
        <f t="shared" ref="F581:F644" si="11">SUM(B581:E581)</f>
        <v>0</v>
      </c>
    </row>
    <row r="582" spans="1:6" x14ac:dyDescent="0.3">
      <c r="A582" s="185" t="str">
        <f>DataDemande!AA641</f>
        <v/>
      </c>
      <c r="B582" s="8">
        <f>IFERROR(VLOOKUP($A582,DataDemande!$AA$63:$AE$700,2,FALSE)*VLOOKUP($A582,DataPrixBillets!$M$66:$Q$700,2,FALSE),"")</f>
        <v>0</v>
      </c>
      <c r="C582" s="8">
        <f>IFERROR(VLOOKUP($A582,DataDemande!$AA$63:$AE$700,3,FALSE)*VLOOKUP($A582,DataPrixBillets!$M$66:$Q$700,3,FALSE),"")</f>
        <v>0</v>
      </c>
      <c r="D582" s="8">
        <f>IFERROR(VLOOKUP($A582,DataDemande!$AA$63:$AE$700,4,FALSE)*VLOOKUP($A582,DataPrixBillets!$M$66:$Q$700,4,FALSE),"")</f>
        <v>0</v>
      </c>
      <c r="E582" s="8">
        <f>IFERROR(VLOOKUP($A582,DataDemande!$AA$63:$AE$700,5,FALSE)*VLOOKUP($A582,DataPrixBillets!$M$66:$Q$700,5,FALSE),"")</f>
        <v>0</v>
      </c>
      <c r="F582" s="21">
        <f t="shared" si="11"/>
        <v>0</v>
      </c>
    </row>
    <row r="583" spans="1:6" x14ac:dyDescent="0.3">
      <c r="A583" s="185" t="str">
        <f>DataDemande!AA642</f>
        <v/>
      </c>
      <c r="B583" s="8">
        <f>IFERROR(VLOOKUP($A583,DataDemande!$AA$63:$AE$700,2,FALSE)*VLOOKUP($A583,DataPrixBillets!$M$66:$Q$700,2,FALSE),"")</f>
        <v>0</v>
      </c>
      <c r="C583" s="8">
        <f>IFERROR(VLOOKUP($A583,DataDemande!$AA$63:$AE$700,3,FALSE)*VLOOKUP($A583,DataPrixBillets!$M$66:$Q$700,3,FALSE),"")</f>
        <v>0</v>
      </c>
      <c r="D583" s="8">
        <f>IFERROR(VLOOKUP($A583,DataDemande!$AA$63:$AE$700,4,FALSE)*VLOOKUP($A583,DataPrixBillets!$M$66:$Q$700,4,FALSE),"")</f>
        <v>0</v>
      </c>
      <c r="E583" s="8">
        <f>IFERROR(VLOOKUP($A583,DataDemande!$AA$63:$AE$700,5,FALSE)*VLOOKUP($A583,DataPrixBillets!$M$66:$Q$700,5,FALSE),"")</f>
        <v>0</v>
      </c>
      <c r="F583" s="21">
        <f t="shared" si="11"/>
        <v>0</v>
      </c>
    </row>
    <row r="584" spans="1:6" x14ac:dyDescent="0.3">
      <c r="A584" s="185" t="str">
        <f>DataDemande!AA643</f>
        <v/>
      </c>
      <c r="B584" s="8">
        <f>IFERROR(VLOOKUP($A584,DataDemande!$AA$63:$AE$700,2,FALSE)*VLOOKUP($A584,DataPrixBillets!$M$66:$Q$700,2,FALSE),"")</f>
        <v>0</v>
      </c>
      <c r="C584" s="8">
        <f>IFERROR(VLOOKUP($A584,DataDemande!$AA$63:$AE$700,3,FALSE)*VLOOKUP($A584,DataPrixBillets!$M$66:$Q$700,3,FALSE),"")</f>
        <v>0</v>
      </c>
      <c r="D584" s="8">
        <f>IFERROR(VLOOKUP($A584,DataDemande!$AA$63:$AE$700,4,FALSE)*VLOOKUP($A584,DataPrixBillets!$M$66:$Q$700,4,FALSE),"")</f>
        <v>0</v>
      </c>
      <c r="E584" s="8">
        <f>IFERROR(VLOOKUP($A584,DataDemande!$AA$63:$AE$700,5,FALSE)*VLOOKUP($A584,DataPrixBillets!$M$66:$Q$700,5,FALSE),"")</f>
        <v>0</v>
      </c>
      <c r="F584" s="21">
        <f t="shared" si="11"/>
        <v>0</v>
      </c>
    </row>
    <row r="585" spans="1:6" x14ac:dyDescent="0.3">
      <c r="A585" s="185" t="str">
        <f>DataDemande!AA644</f>
        <v/>
      </c>
      <c r="B585" s="8">
        <f>IFERROR(VLOOKUP($A585,DataDemande!$AA$63:$AE$700,2,FALSE)*VLOOKUP($A585,DataPrixBillets!$M$66:$Q$700,2,FALSE),"")</f>
        <v>0</v>
      </c>
      <c r="C585" s="8">
        <f>IFERROR(VLOOKUP($A585,DataDemande!$AA$63:$AE$700,3,FALSE)*VLOOKUP($A585,DataPrixBillets!$M$66:$Q$700,3,FALSE),"")</f>
        <v>0</v>
      </c>
      <c r="D585" s="8">
        <f>IFERROR(VLOOKUP($A585,DataDemande!$AA$63:$AE$700,4,FALSE)*VLOOKUP($A585,DataPrixBillets!$M$66:$Q$700,4,FALSE),"")</f>
        <v>0</v>
      </c>
      <c r="E585" s="8">
        <f>IFERROR(VLOOKUP($A585,DataDemande!$AA$63:$AE$700,5,FALSE)*VLOOKUP($A585,DataPrixBillets!$M$66:$Q$700,5,FALSE),"")</f>
        <v>0</v>
      </c>
      <c r="F585" s="21">
        <f t="shared" si="11"/>
        <v>0</v>
      </c>
    </row>
    <row r="586" spans="1:6" x14ac:dyDescent="0.3">
      <c r="A586" s="185" t="str">
        <f>DataDemande!AA645</f>
        <v/>
      </c>
      <c r="B586" s="8">
        <f>IFERROR(VLOOKUP($A586,DataDemande!$AA$63:$AE$700,2,FALSE)*VLOOKUP($A586,DataPrixBillets!$M$66:$Q$700,2,FALSE),"")</f>
        <v>0</v>
      </c>
      <c r="C586" s="8">
        <f>IFERROR(VLOOKUP($A586,DataDemande!$AA$63:$AE$700,3,FALSE)*VLOOKUP($A586,DataPrixBillets!$M$66:$Q$700,3,FALSE),"")</f>
        <v>0</v>
      </c>
      <c r="D586" s="8">
        <f>IFERROR(VLOOKUP($A586,DataDemande!$AA$63:$AE$700,4,FALSE)*VLOOKUP($A586,DataPrixBillets!$M$66:$Q$700,4,FALSE),"")</f>
        <v>0</v>
      </c>
      <c r="E586" s="8">
        <f>IFERROR(VLOOKUP($A586,DataDemande!$AA$63:$AE$700,5,FALSE)*VLOOKUP($A586,DataPrixBillets!$M$66:$Q$700,5,FALSE),"")</f>
        <v>0</v>
      </c>
      <c r="F586" s="21">
        <f t="shared" si="11"/>
        <v>0</v>
      </c>
    </row>
    <row r="587" spans="1:6" x14ac:dyDescent="0.3">
      <c r="A587" s="185" t="str">
        <f>DataDemande!AA646</f>
        <v/>
      </c>
      <c r="B587" s="8">
        <f>IFERROR(VLOOKUP($A587,DataDemande!$AA$63:$AE$700,2,FALSE)*VLOOKUP($A587,DataPrixBillets!$M$66:$Q$700,2,FALSE),"")</f>
        <v>0</v>
      </c>
      <c r="C587" s="8">
        <f>IFERROR(VLOOKUP($A587,DataDemande!$AA$63:$AE$700,3,FALSE)*VLOOKUP($A587,DataPrixBillets!$M$66:$Q$700,3,FALSE),"")</f>
        <v>0</v>
      </c>
      <c r="D587" s="8">
        <f>IFERROR(VLOOKUP($A587,DataDemande!$AA$63:$AE$700,4,FALSE)*VLOOKUP($A587,DataPrixBillets!$M$66:$Q$700,4,FALSE),"")</f>
        <v>0</v>
      </c>
      <c r="E587" s="8">
        <f>IFERROR(VLOOKUP($A587,DataDemande!$AA$63:$AE$700,5,FALSE)*VLOOKUP($A587,DataPrixBillets!$M$66:$Q$700,5,FALSE),"")</f>
        <v>0</v>
      </c>
      <c r="F587" s="21">
        <f t="shared" si="11"/>
        <v>0</v>
      </c>
    </row>
    <row r="588" spans="1:6" x14ac:dyDescent="0.3">
      <c r="A588" s="185" t="str">
        <f>DataDemande!AA647</f>
        <v/>
      </c>
      <c r="B588" s="8">
        <f>IFERROR(VLOOKUP($A588,DataDemande!$AA$63:$AE$700,2,FALSE)*VLOOKUP($A588,DataPrixBillets!$M$66:$Q$700,2,FALSE),"")</f>
        <v>0</v>
      </c>
      <c r="C588" s="8">
        <f>IFERROR(VLOOKUP($A588,DataDemande!$AA$63:$AE$700,3,FALSE)*VLOOKUP($A588,DataPrixBillets!$M$66:$Q$700,3,FALSE),"")</f>
        <v>0</v>
      </c>
      <c r="D588" s="8">
        <f>IFERROR(VLOOKUP($A588,DataDemande!$AA$63:$AE$700,4,FALSE)*VLOOKUP($A588,DataPrixBillets!$M$66:$Q$700,4,FALSE),"")</f>
        <v>0</v>
      </c>
      <c r="E588" s="8">
        <f>IFERROR(VLOOKUP($A588,DataDemande!$AA$63:$AE$700,5,FALSE)*VLOOKUP($A588,DataPrixBillets!$M$66:$Q$700,5,FALSE),"")</f>
        <v>0</v>
      </c>
      <c r="F588" s="21">
        <f t="shared" si="11"/>
        <v>0</v>
      </c>
    </row>
    <row r="589" spans="1:6" x14ac:dyDescent="0.3">
      <c r="A589" s="185" t="str">
        <f>DataDemande!AA648</f>
        <v/>
      </c>
      <c r="B589" s="8">
        <f>IFERROR(VLOOKUP($A589,DataDemande!$AA$63:$AE$700,2,FALSE)*VLOOKUP($A589,DataPrixBillets!$M$66:$Q$700,2,FALSE),"")</f>
        <v>0</v>
      </c>
      <c r="C589" s="8">
        <f>IFERROR(VLOOKUP($A589,DataDemande!$AA$63:$AE$700,3,FALSE)*VLOOKUP($A589,DataPrixBillets!$M$66:$Q$700,3,FALSE),"")</f>
        <v>0</v>
      </c>
      <c r="D589" s="8">
        <f>IFERROR(VLOOKUP($A589,DataDemande!$AA$63:$AE$700,4,FALSE)*VLOOKUP($A589,DataPrixBillets!$M$66:$Q$700,4,FALSE),"")</f>
        <v>0</v>
      </c>
      <c r="E589" s="8">
        <f>IFERROR(VLOOKUP($A589,DataDemande!$AA$63:$AE$700,5,FALSE)*VLOOKUP($A589,DataPrixBillets!$M$66:$Q$700,5,FALSE),"")</f>
        <v>0</v>
      </c>
      <c r="F589" s="21">
        <f t="shared" si="11"/>
        <v>0</v>
      </c>
    </row>
    <row r="590" spans="1:6" x14ac:dyDescent="0.3">
      <c r="A590" s="185" t="str">
        <f>DataDemande!AA649</f>
        <v/>
      </c>
      <c r="B590" s="8">
        <f>IFERROR(VLOOKUP($A590,DataDemande!$AA$63:$AE$700,2,FALSE)*VLOOKUP($A590,DataPrixBillets!$M$66:$Q$700,2,FALSE),"")</f>
        <v>0</v>
      </c>
      <c r="C590" s="8">
        <f>IFERROR(VLOOKUP($A590,DataDemande!$AA$63:$AE$700,3,FALSE)*VLOOKUP($A590,DataPrixBillets!$M$66:$Q$700,3,FALSE),"")</f>
        <v>0</v>
      </c>
      <c r="D590" s="8">
        <f>IFERROR(VLOOKUP($A590,DataDemande!$AA$63:$AE$700,4,FALSE)*VLOOKUP($A590,DataPrixBillets!$M$66:$Q$700,4,FALSE),"")</f>
        <v>0</v>
      </c>
      <c r="E590" s="8">
        <f>IFERROR(VLOOKUP($A590,DataDemande!$AA$63:$AE$700,5,FALSE)*VLOOKUP($A590,DataPrixBillets!$M$66:$Q$700,5,FALSE),"")</f>
        <v>0</v>
      </c>
      <c r="F590" s="21">
        <f t="shared" si="11"/>
        <v>0</v>
      </c>
    </row>
    <row r="591" spans="1:6" x14ac:dyDescent="0.3">
      <c r="A591" s="185" t="str">
        <f>DataDemande!AA650</f>
        <v/>
      </c>
      <c r="B591" s="8">
        <f>IFERROR(VLOOKUP($A591,DataDemande!$AA$63:$AE$700,2,FALSE)*VLOOKUP($A591,DataPrixBillets!$M$66:$Q$700,2,FALSE),"")</f>
        <v>0</v>
      </c>
      <c r="C591" s="8">
        <f>IFERROR(VLOOKUP($A591,DataDemande!$AA$63:$AE$700,3,FALSE)*VLOOKUP($A591,DataPrixBillets!$M$66:$Q$700,3,FALSE),"")</f>
        <v>0</v>
      </c>
      <c r="D591" s="8">
        <f>IFERROR(VLOOKUP($A591,DataDemande!$AA$63:$AE$700,4,FALSE)*VLOOKUP($A591,DataPrixBillets!$M$66:$Q$700,4,FALSE),"")</f>
        <v>0</v>
      </c>
      <c r="E591" s="8">
        <f>IFERROR(VLOOKUP($A591,DataDemande!$AA$63:$AE$700,5,FALSE)*VLOOKUP($A591,DataPrixBillets!$M$66:$Q$700,5,FALSE),"")</f>
        <v>0</v>
      </c>
      <c r="F591" s="21">
        <f t="shared" si="11"/>
        <v>0</v>
      </c>
    </row>
    <row r="592" spans="1:6" x14ac:dyDescent="0.3">
      <c r="A592" s="185" t="str">
        <f>DataDemande!AA651</f>
        <v/>
      </c>
      <c r="B592" s="8">
        <f>IFERROR(VLOOKUP($A592,DataDemande!$AA$63:$AE$700,2,FALSE)*VLOOKUP($A592,DataPrixBillets!$M$66:$Q$700,2,FALSE),"")</f>
        <v>0</v>
      </c>
      <c r="C592" s="8">
        <f>IFERROR(VLOOKUP($A592,DataDemande!$AA$63:$AE$700,3,FALSE)*VLOOKUP($A592,DataPrixBillets!$M$66:$Q$700,3,FALSE),"")</f>
        <v>0</v>
      </c>
      <c r="D592" s="8">
        <f>IFERROR(VLOOKUP($A592,DataDemande!$AA$63:$AE$700,4,FALSE)*VLOOKUP($A592,DataPrixBillets!$M$66:$Q$700,4,FALSE),"")</f>
        <v>0</v>
      </c>
      <c r="E592" s="8">
        <f>IFERROR(VLOOKUP($A592,DataDemande!$AA$63:$AE$700,5,FALSE)*VLOOKUP($A592,DataPrixBillets!$M$66:$Q$700,5,FALSE),"")</f>
        <v>0</v>
      </c>
      <c r="F592" s="21">
        <f t="shared" si="11"/>
        <v>0</v>
      </c>
    </row>
    <row r="593" spans="1:6" x14ac:dyDescent="0.3">
      <c r="A593" s="185" t="str">
        <f>DataDemande!AA652</f>
        <v/>
      </c>
      <c r="B593" s="8">
        <f>IFERROR(VLOOKUP($A593,DataDemande!$AA$63:$AE$700,2,FALSE)*VLOOKUP($A593,DataPrixBillets!$M$66:$Q$700,2,FALSE),"")</f>
        <v>0</v>
      </c>
      <c r="C593" s="8">
        <f>IFERROR(VLOOKUP($A593,DataDemande!$AA$63:$AE$700,3,FALSE)*VLOOKUP($A593,DataPrixBillets!$M$66:$Q$700,3,FALSE),"")</f>
        <v>0</v>
      </c>
      <c r="D593" s="8">
        <f>IFERROR(VLOOKUP($A593,DataDemande!$AA$63:$AE$700,4,FALSE)*VLOOKUP($A593,DataPrixBillets!$M$66:$Q$700,4,FALSE),"")</f>
        <v>0</v>
      </c>
      <c r="E593" s="8">
        <f>IFERROR(VLOOKUP($A593,DataDemande!$AA$63:$AE$700,5,FALSE)*VLOOKUP($A593,DataPrixBillets!$M$66:$Q$700,5,FALSE),"")</f>
        <v>0</v>
      </c>
      <c r="F593" s="21">
        <f t="shared" si="11"/>
        <v>0</v>
      </c>
    </row>
    <row r="594" spans="1:6" x14ac:dyDescent="0.3">
      <c r="A594" s="185" t="str">
        <f>DataDemande!AA653</f>
        <v/>
      </c>
      <c r="B594" s="8">
        <f>IFERROR(VLOOKUP($A594,DataDemande!$AA$63:$AE$700,2,FALSE)*VLOOKUP($A594,DataPrixBillets!$M$66:$Q$700,2,FALSE),"")</f>
        <v>0</v>
      </c>
      <c r="C594" s="8">
        <f>IFERROR(VLOOKUP($A594,DataDemande!$AA$63:$AE$700,3,FALSE)*VLOOKUP($A594,DataPrixBillets!$M$66:$Q$700,3,FALSE),"")</f>
        <v>0</v>
      </c>
      <c r="D594" s="8">
        <f>IFERROR(VLOOKUP($A594,DataDemande!$AA$63:$AE$700,4,FALSE)*VLOOKUP($A594,DataPrixBillets!$M$66:$Q$700,4,FALSE),"")</f>
        <v>0</v>
      </c>
      <c r="E594" s="8">
        <f>IFERROR(VLOOKUP($A594,DataDemande!$AA$63:$AE$700,5,FALSE)*VLOOKUP($A594,DataPrixBillets!$M$66:$Q$700,5,FALSE),"")</f>
        <v>0</v>
      </c>
      <c r="F594" s="21">
        <f t="shared" si="11"/>
        <v>0</v>
      </c>
    </row>
    <row r="595" spans="1:6" x14ac:dyDescent="0.3">
      <c r="A595" s="185" t="str">
        <f>DataDemande!AA654</f>
        <v/>
      </c>
      <c r="B595" s="8">
        <f>IFERROR(VLOOKUP($A595,DataDemande!$AA$63:$AE$700,2,FALSE)*VLOOKUP($A595,DataPrixBillets!$M$66:$Q$700,2,FALSE),"")</f>
        <v>0</v>
      </c>
      <c r="C595" s="8">
        <f>IFERROR(VLOOKUP($A595,DataDemande!$AA$63:$AE$700,3,FALSE)*VLOOKUP($A595,DataPrixBillets!$M$66:$Q$700,3,FALSE),"")</f>
        <v>0</v>
      </c>
      <c r="D595" s="8">
        <f>IFERROR(VLOOKUP($A595,DataDemande!$AA$63:$AE$700,4,FALSE)*VLOOKUP($A595,DataPrixBillets!$M$66:$Q$700,4,FALSE),"")</f>
        <v>0</v>
      </c>
      <c r="E595" s="8">
        <f>IFERROR(VLOOKUP($A595,DataDemande!$AA$63:$AE$700,5,FALSE)*VLOOKUP($A595,DataPrixBillets!$M$66:$Q$700,5,FALSE),"")</f>
        <v>0</v>
      </c>
      <c r="F595" s="21">
        <f t="shared" si="11"/>
        <v>0</v>
      </c>
    </row>
    <row r="596" spans="1:6" x14ac:dyDescent="0.3">
      <c r="A596" s="185" t="str">
        <f>DataDemande!AA655</f>
        <v/>
      </c>
      <c r="B596" s="8">
        <f>IFERROR(VLOOKUP($A596,DataDemande!$AA$63:$AE$700,2,FALSE)*VLOOKUP($A596,DataPrixBillets!$M$66:$Q$700,2,FALSE),"")</f>
        <v>0</v>
      </c>
      <c r="C596" s="8">
        <f>IFERROR(VLOOKUP($A596,DataDemande!$AA$63:$AE$700,3,FALSE)*VLOOKUP($A596,DataPrixBillets!$M$66:$Q$700,3,FALSE),"")</f>
        <v>0</v>
      </c>
      <c r="D596" s="8">
        <f>IFERROR(VLOOKUP($A596,DataDemande!$AA$63:$AE$700,4,FALSE)*VLOOKUP($A596,DataPrixBillets!$M$66:$Q$700,4,FALSE),"")</f>
        <v>0</v>
      </c>
      <c r="E596" s="8">
        <f>IFERROR(VLOOKUP($A596,DataDemande!$AA$63:$AE$700,5,FALSE)*VLOOKUP($A596,DataPrixBillets!$M$66:$Q$700,5,FALSE),"")</f>
        <v>0</v>
      </c>
      <c r="F596" s="21">
        <f t="shared" si="11"/>
        <v>0</v>
      </c>
    </row>
    <row r="597" spans="1:6" x14ac:dyDescent="0.3">
      <c r="A597" s="185" t="str">
        <f>DataDemande!AA656</f>
        <v/>
      </c>
      <c r="B597" s="8">
        <f>IFERROR(VLOOKUP($A597,DataDemande!$AA$63:$AE$700,2,FALSE)*VLOOKUP($A597,DataPrixBillets!$M$66:$Q$700,2,FALSE),"")</f>
        <v>0</v>
      </c>
      <c r="C597" s="8">
        <f>IFERROR(VLOOKUP($A597,DataDemande!$AA$63:$AE$700,3,FALSE)*VLOOKUP($A597,DataPrixBillets!$M$66:$Q$700,3,FALSE),"")</f>
        <v>0</v>
      </c>
      <c r="D597" s="8">
        <f>IFERROR(VLOOKUP($A597,DataDemande!$AA$63:$AE$700,4,FALSE)*VLOOKUP($A597,DataPrixBillets!$M$66:$Q$700,4,FALSE),"")</f>
        <v>0</v>
      </c>
      <c r="E597" s="8">
        <f>IFERROR(VLOOKUP($A597,DataDemande!$AA$63:$AE$700,5,FALSE)*VLOOKUP($A597,DataPrixBillets!$M$66:$Q$700,5,FALSE),"")</f>
        <v>0</v>
      </c>
      <c r="F597" s="21">
        <f t="shared" si="11"/>
        <v>0</v>
      </c>
    </row>
    <row r="598" spans="1:6" x14ac:dyDescent="0.3">
      <c r="A598" s="185" t="str">
        <f>DataDemande!AA657</f>
        <v/>
      </c>
      <c r="B598" s="8">
        <f>IFERROR(VLOOKUP($A598,DataDemande!$AA$63:$AE$700,2,FALSE)*VLOOKUP($A598,DataPrixBillets!$M$66:$Q$700,2,FALSE),"")</f>
        <v>0</v>
      </c>
      <c r="C598" s="8">
        <f>IFERROR(VLOOKUP($A598,DataDemande!$AA$63:$AE$700,3,FALSE)*VLOOKUP($A598,DataPrixBillets!$M$66:$Q$700,3,FALSE),"")</f>
        <v>0</v>
      </c>
      <c r="D598" s="8">
        <f>IFERROR(VLOOKUP($A598,DataDemande!$AA$63:$AE$700,4,FALSE)*VLOOKUP($A598,DataPrixBillets!$M$66:$Q$700,4,FALSE),"")</f>
        <v>0</v>
      </c>
      <c r="E598" s="8">
        <f>IFERROR(VLOOKUP($A598,DataDemande!$AA$63:$AE$700,5,FALSE)*VLOOKUP($A598,DataPrixBillets!$M$66:$Q$700,5,FALSE),"")</f>
        <v>0</v>
      </c>
      <c r="F598" s="21">
        <f t="shared" si="11"/>
        <v>0</v>
      </c>
    </row>
    <row r="599" spans="1:6" x14ac:dyDescent="0.3">
      <c r="A599" s="185" t="str">
        <f>DataDemande!AA658</f>
        <v/>
      </c>
      <c r="B599" s="8">
        <f>IFERROR(VLOOKUP($A599,DataDemande!$AA$63:$AE$700,2,FALSE)*VLOOKUP($A599,DataPrixBillets!$M$66:$Q$700,2,FALSE),"")</f>
        <v>0</v>
      </c>
      <c r="C599" s="8">
        <f>IFERROR(VLOOKUP($A599,DataDemande!$AA$63:$AE$700,3,FALSE)*VLOOKUP($A599,DataPrixBillets!$M$66:$Q$700,3,FALSE),"")</f>
        <v>0</v>
      </c>
      <c r="D599" s="8">
        <f>IFERROR(VLOOKUP($A599,DataDemande!$AA$63:$AE$700,4,FALSE)*VLOOKUP($A599,DataPrixBillets!$M$66:$Q$700,4,FALSE),"")</f>
        <v>0</v>
      </c>
      <c r="E599" s="8">
        <f>IFERROR(VLOOKUP($A599,DataDemande!$AA$63:$AE$700,5,FALSE)*VLOOKUP($A599,DataPrixBillets!$M$66:$Q$700,5,FALSE),"")</f>
        <v>0</v>
      </c>
      <c r="F599" s="21">
        <f t="shared" si="11"/>
        <v>0</v>
      </c>
    </row>
    <row r="600" spans="1:6" x14ac:dyDescent="0.3">
      <c r="A600" s="185" t="str">
        <f>DataDemande!AA659</f>
        <v/>
      </c>
      <c r="B600" s="8">
        <f>IFERROR(VLOOKUP($A600,DataDemande!$AA$63:$AE$700,2,FALSE)*VLOOKUP($A600,DataPrixBillets!$M$66:$Q$700,2,FALSE),"")</f>
        <v>0</v>
      </c>
      <c r="C600" s="8">
        <f>IFERROR(VLOOKUP($A600,DataDemande!$AA$63:$AE$700,3,FALSE)*VLOOKUP($A600,DataPrixBillets!$M$66:$Q$700,3,FALSE),"")</f>
        <v>0</v>
      </c>
      <c r="D600" s="8">
        <f>IFERROR(VLOOKUP($A600,DataDemande!$AA$63:$AE$700,4,FALSE)*VLOOKUP($A600,DataPrixBillets!$M$66:$Q$700,4,FALSE),"")</f>
        <v>0</v>
      </c>
      <c r="E600" s="8">
        <f>IFERROR(VLOOKUP($A600,DataDemande!$AA$63:$AE$700,5,FALSE)*VLOOKUP($A600,DataPrixBillets!$M$66:$Q$700,5,FALSE),"")</f>
        <v>0</v>
      </c>
      <c r="F600" s="21">
        <f t="shared" si="11"/>
        <v>0</v>
      </c>
    </row>
    <row r="601" spans="1:6" x14ac:dyDescent="0.3">
      <c r="A601" s="185" t="str">
        <f>DataDemande!AA660</f>
        <v/>
      </c>
      <c r="B601" s="8">
        <f>IFERROR(VLOOKUP($A601,DataDemande!$AA$63:$AE$700,2,FALSE)*VLOOKUP($A601,DataPrixBillets!$M$66:$Q$700,2,FALSE),"")</f>
        <v>0</v>
      </c>
      <c r="C601" s="8">
        <f>IFERROR(VLOOKUP($A601,DataDemande!$AA$63:$AE$700,3,FALSE)*VLOOKUP($A601,DataPrixBillets!$M$66:$Q$700,3,FALSE),"")</f>
        <v>0</v>
      </c>
      <c r="D601" s="8">
        <f>IFERROR(VLOOKUP($A601,DataDemande!$AA$63:$AE$700,4,FALSE)*VLOOKUP($A601,DataPrixBillets!$M$66:$Q$700,4,FALSE),"")</f>
        <v>0</v>
      </c>
      <c r="E601" s="8">
        <f>IFERROR(VLOOKUP($A601,DataDemande!$AA$63:$AE$700,5,FALSE)*VLOOKUP($A601,DataPrixBillets!$M$66:$Q$700,5,FALSE),"")</f>
        <v>0</v>
      </c>
      <c r="F601" s="21">
        <f t="shared" si="11"/>
        <v>0</v>
      </c>
    </row>
    <row r="602" spans="1:6" x14ac:dyDescent="0.3">
      <c r="A602" s="185" t="str">
        <f>DataDemande!AA661</f>
        <v/>
      </c>
      <c r="B602" s="8">
        <f>IFERROR(VLOOKUP($A602,DataDemande!$AA$63:$AE$700,2,FALSE)*VLOOKUP($A602,DataPrixBillets!$M$66:$Q$700,2,FALSE),"")</f>
        <v>0</v>
      </c>
      <c r="C602" s="8">
        <f>IFERROR(VLOOKUP($A602,DataDemande!$AA$63:$AE$700,3,FALSE)*VLOOKUP($A602,DataPrixBillets!$M$66:$Q$700,3,FALSE),"")</f>
        <v>0</v>
      </c>
      <c r="D602" s="8">
        <f>IFERROR(VLOOKUP($A602,DataDemande!$AA$63:$AE$700,4,FALSE)*VLOOKUP($A602,DataPrixBillets!$M$66:$Q$700,4,FALSE),"")</f>
        <v>0</v>
      </c>
      <c r="E602" s="8">
        <f>IFERROR(VLOOKUP($A602,DataDemande!$AA$63:$AE$700,5,FALSE)*VLOOKUP($A602,DataPrixBillets!$M$66:$Q$700,5,FALSE),"")</f>
        <v>0</v>
      </c>
      <c r="F602" s="21">
        <f t="shared" si="11"/>
        <v>0</v>
      </c>
    </row>
    <row r="603" spans="1:6" x14ac:dyDescent="0.3">
      <c r="A603" s="185" t="str">
        <f>DataDemande!AA662</f>
        <v/>
      </c>
      <c r="B603" s="8">
        <f>IFERROR(VLOOKUP($A603,DataDemande!$AA$63:$AE$700,2,FALSE)*VLOOKUP($A603,DataPrixBillets!$M$66:$Q$700,2,FALSE),"")</f>
        <v>0</v>
      </c>
      <c r="C603" s="8">
        <f>IFERROR(VLOOKUP($A603,DataDemande!$AA$63:$AE$700,3,FALSE)*VLOOKUP($A603,DataPrixBillets!$M$66:$Q$700,3,FALSE),"")</f>
        <v>0</v>
      </c>
      <c r="D603" s="8">
        <f>IFERROR(VLOOKUP($A603,DataDemande!$AA$63:$AE$700,4,FALSE)*VLOOKUP($A603,DataPrixBillets!$M$66:$Q$700,4,FALSE),"")</f>
        <v>0</v>
      </c>
      <c r="E603" s="8">
        <f>IFERROR(VLOOKUP($A603,DataDemande!$AA$63:$AE$700,5,FALSE)*VLOOKUP($A603,DataPrixBillets!$M$66:$Q$700,5,FALSE),"")</f>
        <v>0</v>
      </c>
      <c r="F603" s="21">
        <f t="shared" si="11"/>
        <v>0</v>
      </c>
    </row>
    <row r="604" spans="1:6" x14ac:dyDescent="0.3">
      <c r="A604" s="185" t="str">
        <f>DataDemande!AA663</f>
        <v/>
      </c>
      <c r="B604" s="8">
        <f>IFERROR(VLOOKUP($A604,DataDemande!$AA$63:$AE$700,2,FALSE)*VLOOKUP($A604,DataPrixBillets!$M$66:$Q$700,2,FALSE),"")</f>
        <v>0</v>
      </c>
      <c r="C604" s="8">
        <f>IFERROR(VLOOKUP($A604,DataDemande!$AA$63:$AE$700,3,FALSE)*VLOOKUP($A604,DataPrixBillets!$M$66:$Q$700,3,FALSE),"")</f>
        <v>0</v>
      </c>
      <c r="D604" s="8">
        <f>IFERROR(VLOOKUP($A604,DataDemande!$AA$63:$AE$700,4,FALSE)*VLOOKUP($A604,DataPrixBillets!$M$66:$Q$700,4,FALSE),"")</f>
        <v>0</v>
      </c>
      <c r="E604" s="8">
        <f>IFERROR(VLOOKUP($A604,DataDemande!$AA$63:$AE$700,5,FALSE)*VLOOKUP($A604,DataPrixBillets!$M$66:$Q$700,5,FALSE),"")</f>
        <v>0</v>
      </c>
      <c r="F604" s="21">
        <f t="shared" si="11"/>
        <v>0</v>
      </c>
    </row>
    <row r="605" spans="1:6" x14ac:dyDescent="0.3">
      <c r="A605" s="185" t="str">
        <f>DataDemande!AA664</f>
        <v/>
      </c>
      <c r="B605" s="8">
        <f>IFERROR(VLOOKUP($A605,DataDemande!$AA$63:$AE$700,2,FALSE)*VLOOKUP($A605,DataPrixBillets!$M$66:$Q$700,2,FALSE),"")</f>
        <v>0</v>
      </c>
      <c r="C605" s="8">
        <f>IFERROR(VLOOKUP($A605,DataDemande!$AA$63:$AE$700,3,FALSE)*VLOOKUP($A605,DataPrixBillets!$M$66:$Q$700,3,FALSE),"")</f>
        <v>0</v>
      </c>
      <c r="D605" s="8">
        <f>IFERROR(VLOOKUP($A605,DataDemande!$AA$63:$AE$700,4,FALSE)*VLOOKUP($A605,DataPrixBillets!$M$66:$Q$700,4,FALSE),"")</f>
        <v>0</v>
      </c>
      <c r="E605" s="8">
        <f>IFERROR(VLOOKUP($A605,DataDemande!$AA$63:$AE$700,5,FALSE)*VLOOKUP($A605,DataPrixBillets!$M$66:$Q$700,5,FALSE),"")</f>
        <v>0</v>
      </c>
      <c r="F605" s="21">
        <f t="shared" si="11"/>
        <v>0</v>
      </c>
    </row>
    <row r="606" spans="1:6" x14ac:dyDescent="0.3">
      <c r="A606" s="185" t="str">
        <f>DataDemande!AA665</f>
        <v/>
      </c>
      <c r="B606" s="8">
        <f>IFERROR(VLOOKUP($A606,DataDemande!$AA$63:$AE$700,2,FALSE)*VLOOKUP($A606,DataPrixBillets!$M$66:$Q$700,2,FALSE),"")</f>
        <v>0</v>
      </c>
      <c r="C606" s="8">
        <f>IFERROR(VLOOKUP($A606,DataDemande!$AA$63:$AE$700,3,FALSE)*VLOOKUP($A606,DataPrixBillets!$M$66:$Q$700,3,FALSE),"")</f>
        <v>0</v>
      </c>
      <c r="D606" s="8">
        <f>IFERROR(VLOOKUP($A606,DataDemande!$AA$63:$AE$700,4,FALSE)*VLOOKUP($A606,DataPrixBillets!$M$66:$Q$700,4,FALSE),"")</f>
        <v>0</v>
      </c>
      <c r="E606" s="8">
        <f>IFERROR(VLOOKUP($A606,DataDemande!$AA$63:$AE$700,5,FALSE)*VLOOKUP($A606,DataPrixBillets!$M$66:$Q$700,5,FALSE),"")</f>
        <v>0</v>
      </c>
      <c r="F606" s="21">
        <f t="shared" si="11"/>
        <v>0</v>
      </c>
    </row>
    <row r="607" spans="1:6" x14ac:dyDescent="0.3">
      <c r="A607" s="185" t="str">
        <f>DataDemande!AA666</f>
        <v/>
      </c>
      <c r="B607" s="8">
        <f>IFERROR(VLOOKUP($A607,DataDemande!$AA$63:$AE$700,2,FALSE)*VLOOKUP($A607,DataPrixBillets!$M$66:$Q$700,2,FALSE),"")</f>
        <v>0</v>
      </c>
      <c r="C607" s="8">
        <f>IFERROR(VLOOKUP($A607,DataDemande!$AA$63:$AE$700,3,FALSE)*VLOOKUP($A607,DataPrixBillets!$M$66:$Q$700,3,FALSE),"")</f>
        <v>0</v>
      </c>
      <c r="D607" s="8">
        <f>IFERROR(VLOOKUP($A607,DataDemande!$AA$63:$AE$700,4,FALSE)*VLOOKUP($A607,DataPrixBillets!$M$66:$Q$700,4,FALSE),"")</f>
        <v>0</v>
      </c>
      <c r="E607" s="8">
        <f>IFERROR(VLOOKUP($A607,DataDemande!$AA$63:$AE$700,5,FALSE)*VLOOKUP($A607,DataPrixBillets!$M$66:$Q$700,5,FALSE),"")</f>
        <v>0</v>
      </c>
      <c r="F607" s="21">
        <f t="shared" si="11"/>
        <v>0</v>
      </c>
    </row>
    <row r="608" spans="1:6" x14ac:dyDescent="0.3">
      <c r="A608" s="185" t="str">
        <f>DataDemande!AA667</f>
        <v/>
      </c>
      <c r="B608" s="8">
        <f>IFERROR(VLOOKUP($A608,DataDemande!$AA$63:$AE$700,2,FALSE)*VLOOKUP($A608,DataPrixBillets!$M$66:$Q$700,2,FALSE),"")</f>
        <v>0</v>
      </c>
      <c r="C608" s="8">
        <f>IFERROR(VLOOKUP($A608,DataDemande!$AA$63:$AE$700,3,FALSE)*VLOOKUP($A608,DataPrixBillets!$M$66:$Q$700,3,FALSE),"")</f>
        <v>0</v>
      </c>
      <c r="D608" s="8">
        <f>IFERROR(VLOOKUP($A608,DataDemande!$AA$63:$AE$700,4,FALSE)*VLOOKUP($A608,DataPrixBillets!$M$66:$Q$700,4,FALSE),"")</f>
        <v>0</v>
      </c>
      <c r="E608" s="8">
        <f>IFERROR(VLOOKUP($A608,DataDemande!$AA$63:$AE$700,5,FALSE)*VLOOKUP($A608,DataPrixBillets!$M$66:$Q$700,5,FALSE),"")</f>
        <v>0</v>
      </c>
      <c r="F608" s="21">
        <f t="shared" si="11"/>
        <v>0</v>
      </c>
    </row>
    <row r="609" spans="1:6" x14ac:dyDescent="0.3">
      <c r="A609" s="185" t="str">
        <f>DataDemande!AA668</f>
        <v/>
      </c>
      <c r="B609" s="8">
        <f>IFERROR(VLOOKUP($A609,DataDemande!$AA$63:$AE$700,2,FALSE)*VLOOKUP($A609,DataPrixBillets!$M$66:$Q$700,2,FALSE),"")</f>
        <v>0</v>
      </c>
      <c r="C609" s="8">
        <f>IFERROR(VLOOKUP($A609,DataDemande!$AA$63:$AE$700,3,FALSE)*VLOOKUP($A609,DataPrixBillets!$M$66:$Q$700,3,FALSE),"")</f>
        <v>0</v>
      </c>
      <c r="D609" s="8">
        <f>IFERROR(VLOOKUP($A609,DataDemande!$AA$63:$AE$700,4,FALSE)*VLOOKUP($A609,DataPrixBillets!$M$66:$Q$700,4,FALSE),"")</f>
        <v>0</v>
      </c>
      <c r="E609" s="8">
        <f>IFERROR(VLOOKUP($A609,DataDemande!$AA$63:$AE$700,5,FALSE)*VLOOKUP($A609,DataPrixBillets!$M$66:$Q$700,5,FALSE),"")</f>
        <v>0</v>
      </c>
      <c r="F609" s="21">
        <f t="shared" si="11"/>
        <v>0</v>
      </c>
    </row>
    <row r="610" spans="1:6" x14ac:dyDescent="0.3">
      <c r="A610" s="185" t="str">
        <f>DataDemande!AA669</f>
        <v/>
      </c>
      <c r="B610" s="8">
        <f>IFERROR(VLOOKUP($A610,DataDemande!$AA$63:$AE$700,2,FALSE)*VLOOKUP($A610,DataPrixBillets!$M$66:$Q$700,2,FALSE),"")</f>
        <v>0</v>
      </c>
      <c r="C610" s="8">
        <f>IFERROR(VLOOKUP($A610,DataDemande!$AA$63:$AE$700,3,FALSE)*VLOOKUP($A610,DataPrixBillets!$M$66:$Q$700,3,FALSE),"")</f>
        <v>0</v>
      </c>
      <c r="D610" s="8">
        <f>IFERROR(VLOOKUP($A610,DataDemande!$AA$63:$AE$700,4,FALSE)*VLOOKUP($A610,DataPrixBillets!$M$66:$Q$700,4,FALSE),"")</f>
        <v>0</v>
      </c>
      <c r="E610" s="8">
        <f>IFERROR(VLOOKUP($A610,DataDemande!$AA$63:$AE$700,5,FALSE)*VLOOKUP($A610,DataPrixBillets!$M$66:$Q$700,5,FALSE),"")</f>
        <v>0</v>
      </c>
      <c r="F610" s="21">
        <f t="shared" si="11"/>
        <v>0</v>
      </c>
    </row>
    <row r="611" spans="1:6" x14ac:dyDescent="0.3">
      <c r="A611" s="185" t="str">
        <f>DataDemande!AA670</f>
        <v/>
      </c>
      <c r="B611" s="8">
        <f>IFERROR(VLOOKUP($A611,DataDemande!$AA$63:$AE$700,2,FALSE)*VLOOKUP($A611,DataPrixBillets!$M$66:$Q$700,2,FALSE),"")</f>
        <v>0</v>
      </c>
      <c r="C611" s="8">
        <f>IFERROR(VLOOKUP($A611,DataDemande!$AA$63:$AE$700,3,FALSE)*VLOOKUP($A611,DataPrixBillets!$M$66:$Q$700,3,FALSE),"")</f>
        <v>0</v>
      </c>
      <c r="D611" s="8">
        <f>IFERROR(VLOOKUP($A611,DataDemande!$AA$63:$AE$700,4,FALSE)*VLOOKUP($A611,DataPrixBillets!$M$66:$Q$700,4,FALSE),"")</f>
        <v>0</v>
      </c>
      <c r="E611" s="8">
        <f>IFERROR(VLOOKUP($A611,DataDemande!$AA$63:$AE$700,5,FALSE)*VLOOKUP($A611,DataPrixBillets!$M$66:$Q$700,5,FALSE),"")</f>
        <v>0</v>
      </c>
      <c r="F611" s="21">
        <f t="shared" si="11"/>
        <v>0</v>
      </c>
    </row>
    <row r="612" spans="1:6" x14ac:dyDescent="0.3">
      <c r="A612" s="185" t="str">
        <f>DataDemande!AA671</f>
        <v/>
      </c>
      <c r="B612" s="8">
        <f>IFERROR(VLOOKUP($A612,DataDemande!$AA$63:$AE$700,2,FALSE)*VLOOKUP($A612,DataPrixBillets!$M$66:$Q$700,2,FALSE),"")</f>
        <v>0</v>
      </c>
      <c r="C612" s="8">
        <f>IFERROR(VLOOKUP($A612,DataDemande!$AA$63:$AE$700,3,FALSE)*VLOOKUP($A612,DataPrixBillets!$M$66:$Q$700,3,FALSE),"")</f>
        <v>0</v>
      </c>
      <c r="D612" s="8">
        <f>IFERROR(VLOOKUP($A612,DataDemande!$AA$63:$AE$700,4,FALSE)*VLOOKUP($A612,DataPrixBillets!$M$66:$Q$700,4,FALSE),"")</f>
        <v>0</v>
      </c>
      <c r="E612" s="8">
        <f>IFERROR(VLOOKUP($A612,DataDemande!$AA$63:$AE$700,5,FALSE)*VLOOKUP($A612,DataPrixBillets!$M$66:$Q$700,5,FALSE),"")</f>
        <v>0</v>
      </c>
      <c r="F612" s="21">
        <f t="shared" si="11"/>
        <v>0</v>
      </c>
    </row>
    <row r="613" spans="1:6" x14ac:dyDescent="0.3">
      <c r="A613" s="185" t="str">
        <f>DataDemande!AA672</f>
        <v/>
      </c>
      <c r="B613" s="8">
        <f>IFERROR(VLOOKUP($A613,DataDemande!$AA$63:$AE$700,2,FALSE)*VLOOKUP($A613,DataPrixBillets!$M$66:$Q$700,2,FALSE),"")</f>
        <v>0</v>
      </c>
      <c r="C613" s="8">
        <f>IFERROR(VLOOKUP($A613,DataDemande!$AA$63:$AE$700,3,FALSE)*VLOOKUP($A613,DataPrixBillets!$M$66:$Q$700,3,FALSE),"")</f>
        <v>0</v>
      </c>
      <c r="D613" s="8">
        <f>IFERROR(VLOOKUP($A613,DataDemande!$AA$63:$AE$700,4,FALSE)*VLOOKUP($A613,DataPrixBillets!$M$66:$Q$700,4,FALSE),"")</f>
        <v>0</v>
      </c>
      <c r="E613" s="8">
        <f>IFERROR(VLOOKUP($A613,DataDemande!$AA$63:$AE$700,5,FALSE)*VLOOKUP($A613,DataPrixBillets!$M$66:$Q$700,5,FALSE),"")</f>
        <v>0</v>
      </c>
      <c r="F613" s="21">
        <f t="shared" si="11"/>
        <v>0</v>
      </c>
    </row>
    <row r="614" spans="1:6" x14ac:dyDescent="0.3">
      <c r="A614" s="185" t="str">
        <f>DataDemande!AA673</f>
        <v/>
      </c>
      <c r="B614" s="8">
        <f>IFERROR(VLOOKUP($A614,DataDemande!$AA$63:$AE$700,2,FALSE)*VLOOKUP($A614,DataPrixBillets!$M$66:$Q$700,2,FALSE),"")</f>
        <v>0</v>
      </c>
      <c r="C614" s="8">
        <f>IFERROR(VLOOKUP($A614,DataDemande!$AA$63:$AE$700,3,FALSE)*VLOOKUP($A614,DataPrixBillets!$M$66:$Q$700,3,FALSE),"")</f>
        <v>0</v>
      </c>
      <c r="D614" s="8">
        <f>IFERROR(VLOOKUP($A614,DataDemande!$AA$63:$AE$700,4,FALSE)*VLOOKUP($A614,DataPrixBillets!$M$66:$Q$700,4,FALSE),"")</f>
        <v>0</v>
      </c>
      <c r="E614" s="8">
        <f>IFERROR(VLOOKUP($A614,DataDemande!$AA$63:$AE$700,5,FALSE)*VLOOKUP($A614,DataPrixBillets!$M$66:$Q$700,5,FALSE),"")</f>
        <v>0</v>
      </c>
      <c r="F614" s="21">
        <f t="shared" si="11"/>
        <v>0</v>
      </c>
    </row>
    <row r="615" spans="1:6" x14ac:dyDescent="0.3">
      <c r="A615" s="185" t="str">
        <f>DataDemande!AA674</f>
        <v/>
      </c>
      <c r="B615" s="8">
        <f>IFERROR(VLOOKUP($A615,DataDemande!$AA$63:$AE$700,2,FALSE)*VLOOKUP($A615,DataPrixBillets!$M$66:$Q$700,2,FALSE),"")</f>
        <v>0</v>
      </c>
      <c r="C615" s="8">
        <f>IFERROR(VLOOKUP($A615,DataDemande!$AA$63:$AE$700,3,FALSE)*VLOOKUP($A615,DataPrixBillets!$M$66:$Q$700,3,FALSE),"")</f>
        <v>0</v>
      </c>
      <c r="D615" s="8">
        <f>IFERROR(VLOOKUP($A615,DataDemande!$AA$63:$AE$700,4,FALSE)*VLOOKUP($A615,DataPrixBillets!$M$66:$Q$700,4,FALSE),"")</f>
        <v>0</v>
      </c>
      <c r="E615" s="8">
        <f>IFERROR(VLOOKUP($A615,DataDemande!$AA$63:$AE$700,5,FALSE)*VLOOKUP($A615,DataPrixBillets!$M$66:$Q$700,5,FALSE),"")</f>
        <v>0</v>
      </c>
      <c r="F615" s="21">
        <f t="shared" si="11"/>
        <v>0</v>
      </c>
    </row>
    <row r="616" spans="1:6" x14ac:dyDescent="0.3">
      <c r="A616" s="185" t="str">
        <f>DataDemande!AA675</f>
        <v/>
      </c>
      <c r="B616" s="8">
        <f>IFERROR(VLOOKUP($A616,DataDemande!$AA$63:$AE$700,2,FALSE)*VLOOKUP($A616,DataPrixBillets!$M$66:$Q$700,2,FALSE),"")</f>
        <v>0</v>
      </c>
      <c r="C616" s="8">
        <f>IFERROR(VLOOKUP($A616,DataDemande!$AA$63:$AE$700,3,FALSE)*VLOOKUP($A616,DataPrixBillets!$M$66:$Q$700,3,FALSE),"")</f>
        <v>0</v>
      </c>
      <c r="D616" s="8">
        <f>IFERROR(VLOOKUP($A616,DataDemande!$AA$63:$AE$700,4,FALSE)*VLOOKUP($A616,DataPrixBillets!$M$66:$Q$700,4,FALSE),"")</f>
        <v>0</v>
      </c>
      <c r="E616" s="8">
        <f>IFERROR(VLOOKUP($A616,DataDemande!$AA$63:$AE$700,5,FALSE)*VLOOKUP($A616,DataPrixBillets!$M$66:$Q$700,5,FALSE),"")</f>
        <v>0</v>
      </c>
      <c r="F616" s="21">
        <f t="shared" si="11"/>
        <v>0</v>
      </c>
    </row>
    <row r="617" spans="1:6" x14ac:dyDescent="0.3">
      <c r="A617" s="185" t="str">
        <f>DataDemande!AA676</f>
        <v/>
      </c>
      <c r="B617" s="8">
        <f>IFERROR(VLOOKUP($A617,DataDemande!$AA$63:$AE$700,2,FALSE)*VLOOKUP($A617,DataPrixBillets!$M$66:$Q$700,2,FALSE),"")</f>
        <v>0</v>
      </c>
      <c r="C617" s="8">
        <f>IFERROR(VLOOKUP($A617,DataDemande!$AA$63:$AE$700,3,FALSE)*VLOOKUP($A617,DataPrixBillets!$M$66:$Q$700,3,FALSE),"")</f>
        <v>0</v>
      </c>
      <c r="D617" s="8">
        <f>IFERROR(VLOOKUP($A617,DataDemande!$AA$63:$AE$700,4,FALSE)*VLOOKUP($A617,DataPrixBillets!$M$66:$Q$700,4,FALSE),"")</f>
        <v>0</v>
      </c>
      <c r="E617" s="8">
        <f>IFERROR(VLOOKUP($A617,DataDemande!$AA$63:$AE$700,5,FALSE)*VLOOKUP($A617,DataPrixBillets!$M$66:$Q$700,5,FALSE),"")</f>
        <v>0</v>
      </c>
      <c r="F617" s="21">
        <f t="shared" si="11"/>
        <v>0</v>
      </c>
    </row>
    <row r="618" spans="1:6" x14ac:dyDescent="0.3">
      <c r="A618" s="185" t="str">
        <f>DataDemande!AA677</f>
        <v/>
      </c>
      <c r="B618" s="8">
        <f>IFERROR(VLOOKUP($A618,DataDemande!$AA$63:$AE$700,2,FALSE)*VLOOKUP($A618,DataPrixBillets!$M$66:$Q$700,2,FALSE),"")</f>
        <v>0</v>
      </c>
      <c r="C618" s="8">
        <f>IFERROR(VLOOKUP($A618,DataDemande!$AA$63:$AE$700,3,FALSE)*VLOOKUP($A618,DataPrixBillets!$M$66:$Q$700,3,FALSE),"")</f>
        <v>0</v>
      </c>
      <c r="D618" s="8">
        <f>IFERROR(VLOOKUP($A618,DataDemande!$AA$63:$AE$700,4,FALSE)*VLOOKUP($A618,DataPrixBillets!$M$66:$Q$700,4,FALSE),"")</f>
        <v>0</v>
      </c>
      <c r="E618" s="8">
        <f>IFERROR(VLOOKUP($A618,DataDemande!$AA$63:$AE$700,5,FALSE)*VLOOKUP($A618,DataPrixBillets!$M$66:$Q$700,5,FALSE),"")</f>
        <v>0</v>
      </c>
      <c r="F618" s="21">
        <f t="shared" si="11"/>
        <v>0</v>
      </c>
    </row>
    <row r="619" spans="1:6" x14ac:dyDescent="0.3">
      <c r="A619" s="185" t="str">
        <f>DataDemande!AA678</f>
        <v/>
      </c>
      <c r="B619" s="8">
        <f>IFERROR(VLOOKUP($A619,DataDemande!$AA$63:$AE$700,2,FALSE)*VLOOKUP($A619,DataPrixBillets!$M$66:$Q$700,2,FALSE),"")</f>
        <v>0</v>
      </c>
      <c r="C619" s="8">
        <f>IFERROR(VLOOKUP($A619,DataDemande!$AA$63:$AE$700,3,FALSE)*VLOOKUP($A619,DataPrixBillets!$M$66:$Q$700,3,FALSE),"")</f>
        <v>0</v>
      </c>
      <c r="D619" s="8">
        <f>IFERROR(VLOOKUP($A619,DataDemande!$AA$63:$AE$700,4,FALSE)*VLOOKUP($A619,DataPrixBillets!$M$66:$Q$700,4,FALSE),"")</f>
        <v>0</v>
      </c>
      <c r="E619" s="8">
        <f>IFERROR(VLOOKUP($A619,DataDemande!$AA$63:$AE$700,5,FALSE)*VLOOKUP($A619,DataPrixBillets!$M$66:$Q$700,5,FALSE),"")</f>
        <v>0</v>
      </c>
      <c r="F619" s="21">
        <f t="shared" si="11"/>
        <v>0</v>
      </c>
    </row>
    <row r="620" spans="1:6" x14ac:dyDescent="0.3">
      <c r="A620" s="185" t="str">
        <f>DataDemande!AA679</f>
        <v/>
      </c>
      <c r="B620" s="8">
        <f>IFERROR(VLOOKUP($A620,DataDemande!$AA$63:$AE$700,2,FALSE)*VLOOKUP($A620,DataPrixBillets!$M$66:$Q$700,2,FALSE),"")</f>
        <v>0</v>
      </c>
      <c r="C620" s="8">
        <f>IFERROR(VLOOKUP($A620,DataDemande!$AA$63:$AE$700,3,FALSE)*VLOOKUP($A620,DataPrixBillets!$M$66:$Q$700,3,FALSE),"")</f>
        <v>0</v>
      </c>
      <c r="D620" s="8">
        <f>IFERROR(VLOOKUP($A620,DataDemande!$AA$63:$AE$700,4,FALSE)*VLOOKUP($A620,DataPrixBillets!$M$66:$Q$700,4,FALSE),"")</f>
        <v>0</v>
      </c>
      <c r="E620" s="8">
        <f>IFERROR(VLOOKUP($A620,DataDemande!$AA$63:$AE$700,5,FALSE)*VLOOKUP($A620,DataPrixBillets!$M$66:$Q$700,5,FALSE),"")</f>
        <v>0</v>
      </c>
      <c r="F620" s="21">
        <f t="shared" si="11"/>
        <v>0</v>
      </c>
    </row>
    <row r="621" spans="1:6" x14ac:dyDescent="0.3">
      <c r="A621" s="185" t="str">
        <f>DataDemande!AA680</f>
        <v/>
      </c>
      <c r="B621" s="8">
        <f>IFERROR(VLOOKUP($A621,DataDemande!$AA$63:$AE$700,2,FALSE)*VLOOKUP($A621,DataPrixBillets!$M$66:$Q$700,2,FALSE),"")</f>
        <v>0</v>
      </c>
      <c r="C621" s="8">
        <f>IFERROR(VLOOKUP($A621,DataDemande!$AA$63:$AE$700,3,FALSE)*VLOOKUP($A621,DataPrixBillets!$M$66:$Q$700,3,FALSE),"")</f>
        <v>0</v>
      </c>
      <c r="D621" s="8">
        <f>IFERROR(VLOOKUP($A621,DataDemande!$AA$63:$AE$700,4,FALSE)*VLOOKUP($A621,DataPrixBillets!$M$66:$Q$700,4,FALSE),"")</f>
        <v>0</v>
      </c>
      <c r="E621" s="8">
        <f>IFERROR(VLOOKUP($A621,DataDemande!$AA$63:$AE$700,5,FALSE)*VLOOKUP($A621,DataPrixBillets!$M$66:$Q$700,5,FALSE),"")</f>
        <v>0</v>
      </c>
      <c r="F621" s="21">
        <f t="shared" si="11"/>
        <v>0</v>
      </c>
    </row>
    <row r="622" spans="1:6" x14ac:dyDescent="0.3">
      <c r="A622" s="185" t="str">
        <f>DataDemande!AA681</f>
        <v/>
      </c>
      <c r="B622" s="8">
        <f>IFERROR(VLOOKUP($A622,DataDemande!$AA$63:$AE$700,2,FALSE)*VLOOKUP($A622,DataPrixBillets!$M$66:$Q$700,2,FALSE),"")</f>
        <v>0</v>
      </c>
      <c r="C622" s="8">
        <f>IFERROR(VLOOKUP($A622,DataDemande!$AA$63:$AE$700,3,FALSE)*VLOOKUP($A622,DataPrixBillets!$M$66:$Q$700,3,FALSE),"")</f>
        <v>0</v>
      </c>
      <c r="D622" s="8">
        <f>IFERROR(VLOOKUP($A622,DataDemande!$AA$63:$AE$700,4,FALSE)*VLOOKUP($A622,DataPrixBillets!$M$66:$Q$700,4,FALSE),"")</f>
        <v>0</v>
      </c>
      <c r="E622" s="8">
        <f>IFERROR(VLOOKUP($A622,DataDemande!$AA$63:$AE$700,5,FALSE)*VLOOKUP($A622,DataPrixBillets!$M$66:$Q$700,5,FALSE),"")</f>
        <v>0</v>
      </c>
      <c r="F622" s="21">
        <f t="shared" si="11"/>
        <v>0</v>
      </c>
    </row>
    <row r="623" spans="1:6" x14ac:dyDescent="0.3">
      <c r="A623" s="185" t="str">
        <f>DataDemande!AA682</f>
        <v/>
      </c>
      <c r="B623" s="8">
        <f>IFERROR(VLOOKUP($A623,DataDemande!$AA$63:$AE$700,2,FALSE)*VLOOKUP($A623,DataPrixBillets!$M$66:$Q$700,2,FALSE),"")</f>
        <v>0</v>
      </c>
      <c r="C623" s="8">
        <f>IFERROR(VLOOKUP($A623,DataDemande!$AA$63:$AE$700,3,FALSE)*VLOOKUP($A623,DataPrixBillets!$M$66:$Q$700,3,FALSE),"")</f>
        <v>0</v>
      </c>
      <c r="D623" s="8">
        <f>IFERROR(VLOOKUP($A623,DataDemande!$AA$63:$AE$700,4,FALSE)*VLOOKUP($A623,DataPrixBillets!$M$66:$Q$700,4,FALSE),"")</f>
        <v>0</v>
      </c>
      <c r="E623" s="8">
        <f>IFERROR(VLOOKUP($A623,DataDemande!$AA$63:$AE$700,5,FALSE)*VLOOKUP($A623,DataPrixBillets!$M$66:$Q$700,5,FALSE),"")</f>
        <v>0</v>
      </c>
      <c r="F623" s="21">
        <f t="shared" si="11"/>
        <v>0</v>
      </c>
    </row>
    <row r="624" spans="1:6" x14ac:dyDescent="0.3">
      <c r="A624" s="185" t="str">
        <f>DataDemande!AA683</f>
        <v/>
      </c>
      <c r="B624" s="8">
        <f>IFERROR(VLOOKUP($A624,DataDemande!$AA$63:$AE$700,2,FALSE)*VLOOKUP($A624,DataPrixBillets!$M$66:$Q$700,2,FALSE),"")</f>
        <v>0</v>
      </c>
      <c r="C624" s="8">
        <f>IFERROR(VLOOKUP($A624,DataDemande!$AA$63:$AE$700,3,FALSE)*VLOOKUP($A624,DataPrixBillets!$M$66:$Q$700,3,FALSE),"")</f>
        <v>0</v>
      </c>
      <c r="D624" s="8">
        <f>IFERROR(VLOOKUP($A624,DataDemande!$AA$63:$AE$700,4,FALSE)*VLOOKUP($A624,DataPrixBillets!$M$66:$Q$700,4,FALSE),"")</f>
        <v>0</v>
      </c>
      <c r="E624" s="8">
        <f>IFERROR(VLOOKUP($A624,DataDemande!$AA$63:$AE$700,5,FALSE)*VLOOKUP($A624,DataPrixBillets!$M$66:$Q$700,5,FALSE),"")</f>
        <v>0</v>
      </c>
      <c r="F624" s="21">
        <f t="shared" si="11"/>
        <v>0</v>
      </c>
    </row>
    <row r="625" spans="1:6" x14ac:dyDescent="0.3">
      <c r="A625" s="185" t="str">
        <f>DataDemande!AA684</f>
        <v/>
      </c>
      <c r="B625" s="8">
        <f>IFERROR(VLOOKUP($A625,DataDemande!$AA$63:$AE$700,2,FALSE)*VLOOKUP($A625,DataPrixBillets!$M$66:$Q$700,2,FALSE),"")</f>
        <v>0</v>
      </c>
      <c r="C625" s="8">
        <f>IFERROR(VLOOKUP($A625,DataDemande!$AA$63:$AE$700,3,FALSE)*VLOOKUP($A625,DataPrixBillets!$M$66:$Q$700,3,FALSE),"")</f>
        <v>0</v>
      </c>
      <c r="D625" s="8">
        <f>IFERROR(VLOOKUP($A625,DataDemande!$AA$63:$AE$700,4,FALSE)*VLOOKUP($A625,DataPrixBillets!$M$66:$Q$700,4,FALSE),"")</f>
        <v>0</v>
      </c>
      <c r="E625" s="8">
        <f>IFERROR(VLOOKUP($A625,DataDemande!$AA$63:$AE$700,5,FALSE)*VLOOKUP($A625,DataPrixBillets!$M$66:$Q$700,5,FALSE),"")</f>
        <v>0</v>
      </c>
      <c r="F625" s="21">
        <f t="shared" si="11"/>
        <v>0</v>
      </c>
    </row>
    <row r="626" spans="1:6" x14ac:dyDescent="0.3">
      <c r="A626" s="185" t="str">
        <f>DataDemande!AA685</f>
        <v/>
      </c>
      <c r="B626" s="8">
        <f>IFERROR(VLOOKUP($A626,DataDemande!$AA$63:$AE$700,2,FALSE)*VLOOKUP($A626,DataPrixBillets!$M$66:$Q$700,2,FALSE),"")</f>
        <v>0</v>
      </c>
      <c r="C626" s="8">
        <f>IFERROR(VLOOKUP($A626,DataDemande!$AA$63:$AE$700,3,FALSE)*VLOOKUP($A626,DataPrixBillets!$M$66:$Q$700,3,FALSE),"")</f>
        <v>0</v>
      </c>
      <c r="D626" s="8">
        <f>IFERROR(VLOOKUP($A626,DataDemande!$AA$63:$AE$700,4,FALSE)*VLOOKUP($A626,DataPrixBillets!$M$66:$Q$700,4,FALSE),"")</f>
        <v>0</v>
      </c>
      <c r="E626" s="8">
        <f>IFERROR(VLOOKUP($A626,DataDemande!$AA$63:$AE$700,5,FALSE)*VLOOKUP($A626,DataPrixBillets!$M$66:$Q$700,5,FALSE),"")</f>
        <v>0</v>
      </c>
      <c r="F626" s="21">
        <f t="shared" si="11"/>
        <v>0</v>
      </c>
    </row>
    <row r="627" spans="1:6" x14ac:dyDescent="0.3">
      <c r="A627" s="185" t="str">
        <f>DataDemande!AA686</f>
        <v/>
      </c>
      <c r="B627" s="8">
        <f>IFERROR(VLOOKUP($A627,DataDemande!$AA$63:$AE$700,2,FALSE)*VLOOKUP($A627,DataPrixBillets!$M$66:$Q$700,2,FALSE),"")</f>
        <v>0</v>
      </c>
      <c r="C627" s="8">
        <f>IFERROR(VLOOKUP($A627,DataDemande!$AA$63:$AE$700,3,FALSE)*VLOOKUP($A627,DataPrixBillets!$M$66:$Q$700,3,FALSE),"")</f>
        <v>0</v>
      </c>
      <c r="D627" s="8">
        <f>IFERROR(VLOOKUP($A627,DataDemande!$AA$63:$AE$700,4,FALSE)*VLOOKUP($A627,DataPrixBillets!$M$66:$Q$700,4,FALSE),"")</f>
        <v>0</v>
      </c>
      <c r="E627" s="8">
        <f>IFERROR(VLOOKUP($A627,DataDemande!$AA$63:$AE$700,5,FALSE)*VLOOKUP($A627,DataPrixBillets!$M$66:$Q$700,5,FALSE),"")</f>
        <v>0</v>
      </c>
      <c r="F627" s="21">
        <f t="shared" si="11"/>
        <v>0</v>
      </c>
    </row>
    <row r="628" spans="1:6" x14ac:dyDescent="0.3">
      <c r="A628" s="185" t="str">
        <f>DataDemande!AA687</f>
        <v/>
      </c>
      <c r="B628" s="8">
        <f>IFERROR(VLOOKUP($A628,DataDemande!$AA$63:$AE$700,2,FALSE)*VLOOKUP($A628,DataPrixBillets!$M$66:$Q$700,2,FALSE),"")</f>
        <v>0</v>
      </c>
      <c r="C628" s="8">
        <f>IFERROR(VLOOKUP($A628,DataDemande!$AA$63:$AE$700,3,FALSE)*VLOOKUP($A628,DataPrixBillets!$M$66:$Q$700,3,FALSE),"")</f>
        <v>0</v>
      </c>
      <c r="D628" s="8">
        <f>IFERROR(VLOOKUP($A628,DataDemande!$AA$63:$AE$700,4,FALSE)*VLOOKUP($A628,DataPrixBillets!$M$66:$Q$700,4,FALSE),"")</f>
        <v>0</v>
      </c>
      <c r="E628" s="8">
        <f>IFERROR(VLOOKUP($A628,DataDemande!$AA$63:$AE$700,5,FALSE)*VLOOKUP($A628,DataPrixBillets!$M$66:$Q$700,5,FALSE),"")</f>
        <v>0</v>
      </c>
      <c r="F628" s="21">
        <f t="shared" si="11"/>
        <v>0</v>
      </c>
    </row>
    <row r="629" spans="1:6" x14ac:dyDescent="0.3">
      <c r="A629" s="185" t="str">
        <f>DataDemande!AA688</f>
        <v/>
      </c>
      <c r="B629" s="8">
        <f>IFERROR(VLOOKUP($A629,DataDemande!$AA$63:$AE$700,2,FALSE)*VLOOKUP($A629,DataPrixBillets!$M$66:$Q$700,2,FALSE),"")</f>
        <v>0</v>
      </c>
      <c r="C629" s="8">
        <f>IFERROR(VLOOKUP($A629,DataDemande!$AA$63:$AE$700,3,FALSE)*VLOOKUP($A629,DataPrixBillets!$M$66:$Q$700,3,FALSE),"")</f>
        <v>0</v>
      </c>
      <c r="D629" s="8">
        <f>IFERROR(VLOOKUP($A629,DataDemande!$AA$63:$AE$700,4,FALSE)*VLOOKUP($A629,DataPrixBillets!$M$66:$Q$700,4,FALSE),"")</f>
        <v>0</v>
      </c>
      <c r="E629" s="8">
        <f>IFERROR(VLOOKUP($A629,DataDemande!$AA$63:$AE$700,5,FALSE)*VLOOKUP($A629,DataPrixBillets!$M$66:$Q$700,5,FALSE),"")</f>
        <v>0</v>
      </c>
      <c r="F629" s="21">
        <f t="shared" si="11"/>
        <v>0</v>
      </c>
    </row>
    <row r="630" spans="1:6" x14ac:dyDescent="0.3">
      <c r="A630" s="185" t="str">
        <f>DataDemande!AA689</f>
        <v/>
      </c>
      <c r="B630" s="8">
        <f>IFERROR(VLOOKUP($A630,DataDemande!$AA$63:$AE$700,2,FALSE)*VLOOKUP($A630,DataPrixBillets!$M$66:$Q$700,2,FALSE),"")</f>
        <v>0</v>
      </c>
      <c r="C630" s="8">
        <f>IFERROR(VLOOKUP($A630,DataDemande!$AA$63:$AE$700,3,FALSE)*VLOOKUP($A630,DataPrixBillets!$M$66:$Q$700,3,FALSE),"")</f>
        <v>0</v>
      </c>
      <c r="D630" s="8">
        <f>IFERROR(VLOOKUP($A630,DataDemande!$AA$63:$AE$700,4,FALSE)*VLOOKUP($A630,DataPrixBillets!$M$66:$Q$700,4,FALSE),"")</f>
        <v>0</v>
      </c>
      <c r="E630" s="8">
        <f>IFERROR(VLOOKUP($A630,DataDemande!$AA$63:$AE$700,5,FALSE)*VLOOKUP($A630,DataPrixBillets!$M$66:$Q$700,5,FALSE),"")</f>
        <v>0</v>
      </c>
      <c r="F630" s="21">
        <f t="shared" si="11"/>
        <v>0</v>
      </c>
    </row>
    <row r="631" spans="1:6" x14ac:dyDescent="0.3">
      <c r="A631" s="185" t="str">
        <f>DataDemande!AA690</f>
        <v/>
      </c>
      <c r="B631" s="8">
        <f>IFERROR(VLOOKUP($A631,DataDemande!$AA$63:$AE$700,2,FALSE)*VLOOKUP($A631,DataPrixBillets!$M$66:$Q$700,2,FALSE),"")</f>
        <v>0</v>
      </c>
      <c r="C631" s="8">
        <f>IFERROR(VLOOKUP($A631,DataDemande!$AA$63:$AE$700,3,FALSE)*VLOOKUP($A631,DataPrixBillets!$M$66:$Q$700,3,FALSE),"")</f>
        <v>0</v>
      </c>
      <c r="D631" s="8">
        <f>IFERROR(VLOOKUP($A631,DataDemande!$AA$63:$AE$700,4,FALSE)*VLOOKUP($A631,DataPrixBillets!$M$66:$Q$700,4,FALSE),"")</f>
        <v>0</v>
      </c>
      <c r="E631" s="8">
        <f>IFERROR(VLOOKUP($A631,DataDemande!$AA$63:$AE$700,5,FALSE)*VLOOKUP($A631,DataPrixBillets!$M$66:$Q$700,5,FALSE),"")</f>
        <v>0</v>
      </c>
      <c r="F631" s="21">
        <f t="shared" si="11"/>
        <v>0</v>
      </c>
    </row>
    <row r="632" spans="1:6" x14ac:dyDescent="0.3">
      <c r="A632" s="185" t="str">
        <f>DataDemande!AA691</f>
        <v/>
      </c>
      <c r="B632" s="8">
        <f>IFERROR(VLOOKUP($A632,DataDemande!$AA$63:$AE$700,2,FALSE)*VLOOKUP($A632,DataPrixBillets!$M$66:$Q$700,2,FALSE),"")</f>
        <v>0</v>
      </c>
      <c r="C632" s="8">
        <f>IFERROR(VLOOKUP($A632,DataDemande!$AA$63:$AE$700,3,FALSE)*VLOOKUP($A632,DataPrixBillets!$M$66:$Q$700,3,FALSE),"")</f>
        <v>0</v>
      </c>
      <c r="D632" s="8">
        <f>IFERROR(VLOOKUP($A632,DataDemande!$AA$63:$AE$700,4,FALSE)*VLOOKUP($A632,DataPrixBillets!$M$66:$Q$700,4,FALSE),"")</f>
        <v>0</v>
      </c>
      <c r="E632" s="8">
        <f>IFERROR(VLOOKUP($A632,DataDemande!$AA$63:$AE$700,5,FALSE)*VLOOKUP($A632,DataPrixBillets!$M$66:$Q$700,5,FALSE),"")</f>
        <v>0</v>
      </c>
      <c r="F632" s="21">
        <f t="shared" si="11"/>
        <v>0</v>
      </c>
    </row>
    <row r="633" spans="1:6" x14ac:dyDescent="0.3">
      <c r="A633" s="185" t="str">
        <f>DataDemande!AA692</f>
        <v/>
      </c>
      <c r="B633" s="8">
        <f>IFERROR(VLOOKUP($A633,DataDemande!$AA$63:$AE$700,2,FALSE)*VLOOKUP($A633,DataPrixBillets!$M$66:$Q$700,2,FALSE),"")</f>
        <v>0</v>
      </c>
      <c r="C633" s="8">
        <f>IFERROR(VLOOKUP($A633,DataDemande!$AA$63:$AE$700,3,FALSE)*VLOOKUP($A633,DataPrixBillets!$M$66:$Q$700,3,FALSE),"")</f>
        <v>0</v>
      </c>
      <c r="D633" s="8">
        <f>IFERROR(VLOOKUP($A633,DataDemande!$AA$63:$AE$700,4,FALSE)*VLOOKUP($A633,DataPrixBillets!$M$66:$Q$700,4,FALSE),"")</f>
        <v>0</v>
      </c>
      <c r="E633" s="8">
        <f>IFERROR(VLOOKUP($A633,DataDemande!$AA$63:$AE$700,5,FALSE)*VLOOKUP($A633,DataPrixBillets!$M$66:$Q$700,5,FALSE),"")</f>
        <v>0</v>
      </c>
      <c r="F633" s="21">
        <f t="shared" si="11"/>
        <v>0</v>
      </c>
    </row>
    <row r="634" spans="1:6" x14ac:dyDescent="0.3">
      <c r="A634" s="185" t="str">
        <f>DataDemande!AA693</f>
        <v/>
      </c>
      <c r="B634" s="8">
        <f>IFERROR(VLOOKUP($A634,DataDemande!$AA$63:$AE$700,2,FALSE)*VLOOKUP($A634,DataPrixBillets!$M$66:$Q$700,2,FALSE),"")</f>
        <v>0</v>
      </c>
      <c r="C634" s="8">
        <f>IFERROR(VLOOKUP($A634,DataDemande!$AA$63:$AE$700,3,FALSE)*VLOOKUP($A634,DataPrixBillets!$M$66:$Q$700,3,FALSE),"")</f>
        <v>0</v>
      </c>
      <c r="D634" s="8">
        <f>IFERROR(VLOOKUP($A634,DataDemande!$AA$63:$AE$700,4,FALSE)*VLOOKUP($A634,DataPrixBillets!$M$66:$Q$700,4,FALSE),"")</f>
        <v>0</v>
      </c>
      <c r="E634" s="8">
        <f>IFERROR(VLOOKUP($A634,DataDemande!$AA$63:$AE$700,5,FALSE)*VLOOKUP($A634,DataPrixBillets!$M$66:$Q$700,5,FALSE),"")</f>
        <v>0</v>
      </c>
      <c r="F634" s="21">
        <f t="shared" si="11"/>
        <v>0</v>
      </c>
    </row>
    <row r="635" spans="1:6" x14ac:dyDescent="0.3">
      <c r="A635" s="185" t="str">
        <f>DataDemande!AA694</f>
        <v/>
      </c>
      <c r="B635" s="8">
        <f>IFERROR(VLOOKUP($A635,DataDemande!$AA$63:$AE$700,2,FALSE)*VLOOKUP($A635,DataPrixBillets!$M$66:$Q$700,2,FALSE),"")</f>
        <v>0</v>
      </c>
      <c r="C635" s="8">
        <f>IFERROR(VLOOKUP($A635,DataDemande!$AA$63:$AE$700,3,FALSE)*VLOOKUP($A635,DataPrixBillets!$M$66:$Q$700,3,FALSE),"")</f>
        <v>0</v>
      </c>
      <c r="D635" s="8">
        <f>IFERROR(VLOOKUP($A635,DataDemande!$AA$63:$AE$700,4,FALSE)*VLOOKUP($A635,DataPrixBillets!$M$66:$Q$700,4,FALSE),"")</f>
        <v>0</v>
      </c>
      <c r="E635" s="8">
        <f>IFERROR(VLOOKUP($A635,DataDemande!$AA$63:$AE$700,5,FALSE)*VLOOKUP($A635,DataPrixBillets!$M$66:$Q$700,5,FALSE),"")</f>
        <v>0</v>
      </c>
      <c r="F635" s="21">
        <f t="shared" si="11"/>
        <v>0</v>
      </c>
    </row>
    <row r="636" spans="1:6" x14ac:dyDescent="0.3">
      <c r="A636" s="185" t="str">
        <f>DataDemande!AA695</f>
        <v/>
      </c>
      <c r="B636" s="8">
        <f>IFERROR(VLOOKUP($A636,DataDemande!$AA$63:$AE$700,2,FALSE)*VLOOKUP($A636,DataPrixBillets!$M$66:$Q$700,2,FALSE),"")</f>
        <v>0</v>
      </c>
      <c r="C636" s="8">
        <f>IFERROR(VLOOKUP($A636,DataDemande!$AA$63:$AE$700,3,FALSE)*VLOOKUP($A636,DataPrixBillets!$M$66:$Q$700,3,FALSE),"")</f>
        <v>0</v>
      </c>
      <c r="D636" s="8">
        <f>IFERROR(VLOOKUP($A636,DataDemande!$AA$63:$AE$700,4,FALSE)*VLOOKUP($A636,DataPrixBillets!$M$66:$Q$700,4,FALSE),"")</f>
        <v>0</v>
      </c>
      <c r="E636" s="8">
        <f>IFERROR(VLOOKUP($A636,DataDemande!$AA$63:$AE$700,5,FALSE)*VLOOKUP($A636,DataPrixBillets!$M$66:$Q$700,5,FALSE),"")</f>
        <v>0</v>
      </c>
      <c r="F636" s="21">
        <f t="shared" si="11"/>
        <v>0</v>
      </c>
    </row>
    <row r="637" spans="1:6" x14ac:dyDescent="0.3">
      <c r="A637" s="185" t="str">
        <f>DataDemande!AA696</f>
        <v/>
      </c>
      <c r="B637" s="8">
        <f>IFERROR(VLOOKUP($A637,DataDemande!$AA$63:$AE$700,2,FALSE)*VLOOKUP($A637,DataPrixBillets!$M$66:$Q$700,2,FALSE),"")</f>
        <v>0</v>
      </c>
      <c r="C637" s="8">
        <f>IFERROR(VLOOKUP($A637,DataDemande!$AA$63:$AE$700,3,FALSE)*VLOOKUP($A637,DataPrixBillets!$M$66:$Q$700,3,FALSE),"")</f>
        <v>0</v>
      </c>
      <c r="D637" s="8">
        <f>IFERROR(VLOOKUP($A637,DataDemande!$AA$63:$AE$700,4,FALSE)*VLOOKUP($A637,DataPrixBillets!$M$66:$Q$700,4,FALSE),"")</f>
        <v>0</v>
      </c>
      <c r="E637" s="8">
        <f>IFERROR(VLOOKUP($A637,DataDemande!$AA$63:$AE$700,5,FALSE)*VLOOKUP($A637,DataPrixBillets!$M$66:$Q$700,5,FALSE),"")</f>
        <v>0</v>
      </c>
      <c r="F637" s="21">
        <f t="shared" si="11"/>
        <v>0</v>
      </c>
    </row>
    <row r="638" spans="1:6" x14ac:dyDescent="0.3">
      <c r="A638" s="185" t="str">
        <f>DataDemande!AA697</f>
        <v/>
      </c>
      <c r="B638" s="8">
        <f>IFERROR(VLOOKUP($A638,DataDemande!$AA$63:$AE$700,2,FALSE)*VLOOKUP($A638,DataPrixBillets!$M$66:$Q$700,2,FALSE),"")</f>
        <v>0</v>
      </c>
      <c r="C638" s="8">
        <f>IFERROR(VLOOKUP($A638,DataDemande!$AA$63:$AE$700,3,FALSE)*VLOOKUP($A638,DataPrixBillets!$M$66:$Q$700,3,FALSE),"")</f>
        <v>0</v>
      </c>
      <c r="D638" s="8">
        <f>IFERROR(VLOOKUP($A638,DataDemande!$AA$63:$AE$700,4,FALSE)*VLOOKUP($A638,DataPrixBillets!$M$66:$Q$700,4,FALSE),"")</f>
        <v>0</v>
      </c>
      <c r="E638" s="8">
        <f>IFERROR(VLOOKUP($A638,DataDemande!$AA$63:$AE$700,5,FALSE)*VLOOKUP($A638,DataPrixBillets!$M$66:$Q$700,5,FALSE),"")</f>
        <v>0</v>
      </c>
      <c r="F638" s="21">
        <f t="shared" si="11"/>
        <v>0</v>
      </c>
    </row>
    <row r="639" spans="1:6" x14ac:dyDescent="0.3">
      <c r="A639" s="185" t="str">
        <f>DataDemande!AA698</f>
        <v/>
      </c>
      <c r="B639" s="8">
        <f>IFERROR(VLOOKUP($A639,DataDemande!$AA$63:$AE$700,2,FALSE)*VLOOKUP($A639,DataPrixBillets!$M$66:$Q$700,2,FALSE),"")</f>
        <v>0</v>
      </c>
      <c r="C639" s="8">
        <f>IFERROR(VLOOKUP($A639,DataDemande!$AA$63:$AE$700,3,FALSE)*VLOOKUP($A639,DataPrixBillets!$M$66:$Q$700,3,FALSE),"")</f>
        <v>0</v>
      </c>
      <c r="D639" s="8">
        <f>IFERROR(VLOOKUP($A639,DataDemande!$AA$63:$AE$700,4,FALSE)*VLOOKUP($A639,DataPrixBillets!$M$66:$Q$700,4,FALSE),"")</f>
        <v>0</v>
      </c>
      <c r="E639" s="8">
        <f>IFERROR(VLOOKUP($A639,DataDemande!$AA$63:$AE$700,5,FALSE)*VLOOKUP($A639,DataPrixBillets!$M$66:$Q$700,5,FALSE),"")</f>
        <v>0</v>
      </c>
      <c r="F639" s="21">
        <f t="shared" si="11"/>
        <v>0</v>
      </c>
    </row>
    <row r="640" spans="1:6" x14ac:dyDescent="0.3">
      <c r="A640" s="185" t="str">
        <f>DataDemande!AA699</f>
        <v/>
      </c>
      <c r="B640" s="8">
        <f>IFERROR(VLOOKUP($A640,DataDemande!$AA$63:$AE$700,2,FALSE)*VLOOKUP($A640,DataPrixBillets!$M$66:$Q$700,2,FALSE),"")</f>
        <v>0</v>
      </c>
      <c r="C640" s="8">
        <f>IFERROR(VLOOKUP($A640,DataDemande!$AA$63:$AE$700,3,FALSE)*VLOOKUP($A640,DataPrixBillets!$M$66:$Q$700,3,FALSE),"")</f>
        <v>0</v>
      </c>
      <c r="D640" s="8">
        <f>IFERROR(VLOOKUP($A640,DataDemande!$AA$63:$AE$700,4,FALSE)*VLOOKUP($A640,DataPrixBillets!$M$66:$Q$700,4,FALSE),"")</f>
        <v>0</v>
      </c>
      <c r="E640" s="8">
        <f>IFERROR(VLOOKUP($A640,DataDemande!$AA$63:$AE$700,5,FALSE)*VLOOKUP($A640,DataPrixBillets!$M$66:$Q$700,5,FALSE),"")</f>
        <v>0</v>
      </c>
      <c r="F640" s="21">
        <f t="shared" si="11"/>
        <v>0</v>
      </c>
    </row>
    <row r="641" spans="1:6" x14ac:dyDescent="0.3">
      <c r="A641" s="185" t="str">
        <f>DataDemande!AA700</f>
        <v/>
      </c>
      <c r="B641" s="8">
        <f>IFERROR(VLOOKUP($A641,DataDemande!$AA$63:$AE$700,2,FALSE)*VLOOKUP($A641,DataPrixBillets!$M$66:$Q$700,2,FALSE),"")</f>
        <v>0</v>
      </c>
      <c r="C641" s="8">
        <f>IFERROR(VLOOKUP($A641,DataDemande!$AA$63:$AE$700,3,FALSE)*VLOOKUP($A641,DataPrixBillets!$M$66:$Q$700,3,FALSE),"")</f>
        <v>0</v>
      </c>
      <c r="D641" s="8">
        <f>IFERROR(VLOOKUP($A641,DataDemande!$AA$63:$AE$700,4,FALSE)*VLOOKUP($A641,DataPrixBillets!$M$66:$Q$700,4,FALSE),"")</f>
        <v>0</v>
      </c>
      <c r="E641" s="8">
        <f>IFERROR(VLOOKUP($A641,DataDemande!$AA$63:$AE$700,5,FALSE)*VLOOKUP($A641,DataPrixBillets!$M$66:$Q$700,5,FALSE),"")</f>
        <v>0</v>
      </c>
      <c r="F641" s="21">
        <f t="shared" si="11"/>
        <v>0</v>
      </c>
    </row>
    <row r="642" spans="1:6" x14ac:dyDescent="0.3">
      <c r="A642" s="185" t="str">
        <f>DataDemande!AA701</f>
        <v/>
      </c>
      <c r="B642" s="8">
        <f>IFERROR(VLOOKUP($A642,DataDemande!$AA$63:$AE$700,2,FALSE)*VLOOKUP($A642,DataPrixBillets!$M$66:$Q$700,2,FALSE),"")</f>
        <v>0</v>
      </c>
      <c r="C642" s="8">
        <f>IFERROR(VLOOKUP($A642,DataDemande!$AA$63:$AE$700,3,FALSE)*VLOOKUP($A642,DataPrixBillets!$M$66:$Q$700,3,FALSE),"")</f>
        <v>0</v>
      </c>
      <c r="D642" s="8">
        <f>IFERROR(VLOOKUP($A642,DataDemande!$AA$63:$AE$700,4,FALSE)*VLOOKUP($A642,DataPrixBillets!$M$66:$Q$700,4,FALSE),"")</f>
        <v>0</v>
      </c>
      <c r="E642" s="8">
        <f>IFERROR(VLOOKUP($A642,DataDemande!$AA$63:$AE$700,5,FALSE)*VLOOKUP($A642,DataPrixBillets!$M$66:$Q$700,5,FALSE),"")</f>
        <v>0</v>
      </c>
      <c r="F642" s="21">
        <f t="shared" si="11"/>
        <v>0</v>
      </c>
    </row>
    <row r="643" spans="1:6" x14ac:dyDescent="0.3">
      <c r="A643" s="185" t="str">
        <f>DataDemande!AA702</f>
        <v/>
      </c>
      <c r="B643" s="8">
        <f>IFERROR(VLOOKUP($A643,DataDemande!$AA$63:$AE$700,2,FALSE)*VLOOKUP($A643,DataPrixBillets!$M$66:$Q$700,2,FALSE),"")</f>
        <v>0</v>
      </c>
      <c r="C643" s="8">
        <f>IFERROR(VLOOKUP($A643,DataDemande!$AA$63:$AE$700,3,FALSE)*VLOOKUP($A643,DataPrixBillets!$M$66:$Q$700,3,FALSE),"")</f>
        <v>0</v>
      </c>
      <c r="D643" s="8">
        <f>IFERROR(VLOOKUP($A643,DataDemande!$AA$63:$AE$700,4,FALSE)*VLOOKUP($A643,DataPrixBillets!$M$66:$Q$700,4,FALSE),"")</f>
        <v>0</v>
      </c>
      <c r="E643" s="8">
        <f>IFERROR(VLOOKUP($A643,DataDemande!$AA$63:$AE$700,5,FALSE)*VLOOKUP($A643,DataPrixBillets!$M$66:$Q$700,5,FALSE),"")</f>
        <v>0</v>
      </c>
      <c r="F643" s="21">
        <f t="shared" si="11"/>
        <v>0</v>
      </c>
    </row>
    <row r="644" spans="1:6" x14ac:dyDescent="0.3">
      <c r="A644" s="185" t="str">
        <f>DataDemande!AA703</f>
        <v/>
      </c>
      <c r="B644" s="8">
        <f>IFERROR(VLOOKUP($A644,DataDemande!$AA$63:$AE$700,2,FALSE)*VLOOKUP($A644,DataPrixBillets!$M$66:$Q$700,2,FALSE),"")</f>
        <v>0</v>
      </c>
      <c r="C644" s="8">
        <f>IFERROR(VLOOKUP($A644,DataDemande!$AA$63:$AE$700,3,FALSE)*VLOOKUP($A644,DataPrixBillets!$M$66:$Q$700,3,FALSE),"")</f>
        <v>0</v>
      </c>
      <c r="D644" s="8">
        <f>IFERROR(VLOOKUP($A644,DataDemande!$AA$63:$AE$700,4,FALSE)*VLOOKUP($A644,DataPrixBillets!$M$66:$Q$700,4,FALSE),"")</f>
        <v>0</v>
      </c>
      <c r="E644" s="8">
        <f>IFERROR(VLOOKUP($A644,DataDemande!$AA$63:$AE$700,5,FALSE)*VLOOKUP($A644,DataPrixBillets!$M$66:$Q$700,5,FALSE),"")</f>
        <v>0</v>
      </c>
      <c r="F644" s="21">
        <f t="shared" si="11"/>
        <v>0</v>
      </c>
    </row>
    <row r="645" spans="1:6" x14ac:dyDescent="0.3">
      <c r="A645" s="185" t="str">
        <f>DataDemande!AA704</f>
        <v/>
      </c>
      <c r="B645" s="8">
        <f>IFERROR(VLOOKUP($A645,DataDemande!$AA$63:$AE$700,2,FALSE)*VLOOKUP($A645,DataPrixBillets!$M$66:$Q$700,2,FALSE),"")</f>
        <v>0</v>
      </c>
      <c r="C645" s="8">
        <f>IFERROR(VLOOKUP($A645,DataDemande!$AA$63:$AE$700,3,FALSE)*VLOOKUP($A645,DataPrixBillets!$M$66:$Q$700,3,FALSE),"")</f>
        <v>0</v>
      </c>
      <c r="D645" s="8">
        <f>IFERROR(VLOOKUP($A645,DataDemande!$AA$63:$AE$700,4,FALSE)*VLOOKUP($A645,DataPrixBillets!$M$66:$Q$700,4,FALSE),"")</f>
        <v>0</v>
      </c>
      <c r="E645" s="8">
        <f>IFERROR(VLOOKUP($A645,DataDemande!$AA$63:$AE$700,5,FALSE)*VLOOKUP($A645,DataPrixBillets!$M$66:$Q$700,5,FALSE),"")</f>
        <v>0</v>
      </c>
      <c r="F645" s="21">
        <f t="shared" ref="F645:F708" si="12">SUM(B645:E645)</f>
        <v>0</v>
      </c>
    </row>
    <row r="646" spans="1:6" x14ac:dyDescent="0.3">
      <c r="A646" s="185" t="str">
        <f>DataDemande!AA705</f>
        <v/>
      </c>
      <c r="B646" s="8">
        <f>IFERROR(VLOOKUP($A646,DataDemande!$AA$63:$AE$700,2,FALSE)*VLOOKUP($A646,DataPrixBillets!$M$66:$Q$700,2,FALSE),"")</f>
        <v>0</v>
      </c>
      <c r="C646" s="8">
        <f>IFERROR(VLOOKUP($A646,DataDemande!$AA$63:$AE$700,3,FALSE)*VLOOKUP($A646,DataPrixBillets!$M$66:$Q$700,3,FALSE),"")</f>
        <v>0</v>
      </c>
      <c r="D646" s="8">
        <f>IFERROR(VLOOKUP($A646,DataDemande!$AA$63:$AE$700,4,FALSE)*VLOOKUP($A646,DataPrixBillets!$M$66:$Q$700,4,FALSE),"")</f>
        <v>0</v>
      </c>
      <c r="E646" s="8">
        <f>IFERROR(VLOOKUP($A646,DataDemande!$AA$63:$AE$700,5,FALSE)*VLOOKUP($A646,DataPrixBillets!$M$66:$Q$700,5,FALSE),"")</f>
        <v>0</v>
      </c>
      <c r="F646" s="21">
        <f t="shared" si="12"/>
        <v>0</v>
      </c>
    </row>
    <row r="647" spans="1:6" x14ac:dyDescent="0.3">
      <c r="A647" s="185" t="str">
        <f>DataDemande!AA706</f>
        <v/>
      </c>
      <c r="B647" s="8">
        <f>IFERROR(VLOOKUP($A647,DataDemande!$AA$63:$AE$700,2,FALSE)*VLOOKUP($A647,DataPrixBillets!$M$66:$Q$700,2,FALSE),"")</f>
        <v>0</v>
      </c>
      <c r="C647" s="8">
        <f>IFERROR(VLOOKUP($A647,DataDemande!$AA$63:$AE$700,3,FALSE)*VLOOKUP($A647,DataPrixBillets!$M$66:$Q$700,3,FALSE),"")</f>
        <v>0</v>
      </c>
      <c r="D647" s="8">
        <f>IFERROR(VLOOKUP($A647,DataDemande!$AA$63:$AE$700,4,FALSE)*VLOOKUP($A647,DataPrixBillets!$M$66:$Q$700,4,FALSE),"")</f>
        <v>0</v>
      </c>
      <c r="E647" s="8">
        <f>IFERROR(VLOOKUP($A647,DataDemande!$AA$63:$AE$700,5,FALSE)*VLOOKUP($A647,DataPrixBillets!$M$66:$Q$700,5,FALSE),"")</f>
        <v>0</v>
      </c>
      <c r="F647" s="21">
        <f t="shared" si="12"/>
        <v>0</v>
      </c>
    </row>
    <row r="648" spans="1:6" x14ac:dyDescent="0.3">
      <c r="A648" s="185" t="str">
        <f>DataDemande!AA707</f>
        <v/>
      </c>
      <c r="B648" s="8">
        <f>IFERROR(VLOOKUP($A648,DataDemande!$AA$63:$AE$700,2,FALSE)*VLOOKUP($A648,DataPrixBillets!$M$66:$Q$700,2,FALSE),"")</f>
        <v>0</v>
      </c>
      <c r="C648" s="8">
        <f>IFERROR(VLOOKUP($A648,DataDemande!$AA$63:$AE$700,3,FALSE)*VLOOKUP($A648,DataPrixBillets!$M$66:$Q$700,3,FALSE),"")</f>
        <v>0</v>
      </c>
      <c r="D648" s="8">
        <f>IFERROR(VLOOKUP($A648,DataDemande!$AA$63:$AE$700,4,FALSE)*VLOOKUP($A648,DataPrixBillets!$M$66:$Q$700,4,FALSE),"")</f>
        <v>0</v>
      </c>
      <c r="E648" s="8">
        <f>IFERROR(VLOOKUP($A648,DataDemande!$AA$63:$AE$700,5,FALSE)*VLOOKUP($A648,DataPrixBillets!$M$66:$Q$700,5,FALSE),"")</f>
        <v>0</v>
      </c>
      <c r="F648" s="21">
        <f t="shared" si="12"/>
        <v>0</v>
      </c>
    </row>
    <row r="649" spans="1:6" x14ac:dyDescent="0.3">
      <c r="A649" s="185" t="str">
        <f>DataDemande!AA708</f>
        <v/>
      </c>
      <c r="B649" s="8">
        <f>IFERROR(VLOOKUP($A649,DataDemande!$AA$63:$AE$700,2,FALSE)*VLOOKUP($A649,DataPrixBillets!$M$66:$Q$700,2,FALSE),"")</f>
        <v>0</v>
      </c>
      <c r="C649" s="8">
        <f>IFERROR(VLOOKUP($A649,DataDemande!$AA$63:$AE$700,3,FALSE)*VLOOKUP($A649,DataPrixBillets!$M$66:$Q$700,3,FALSE),"")</f>
        <v>0</v>
      </c>
      <c r="D649" s="8">
        <f>IFERROR(VLOOKUP($A649,DataDemande!$AA$63:$AE$700,4,FALSE)*VLOOKUP($A649,DataPrixBillets!$M$66:$Q$700,4,FALSE),"")</f>
        <v>0</v>
      </c>
      <c r="E649" s="8">
        <f>IFERROR(VLOOKUP($A649,DataDemande!$AA$63:$AE$700,5,FALSE)*VLOOKUP($A649,DataPrixBillets!$M$66:$Q$700,5,FALSE),"")</f>
        <v>0</v>
      </c>
      <c r="F649" s="21">
        <f t="shared" si="12"/>
        <v>0</v>
      </c>
    </row>
    <row r="650" spans="1:6" x14ac:dyDescent="0.3">
      <c r="A650" s="185" t="str">
        <f>DataDemande!AA709</f>
        <v/>
      </c>
      <c r="B650" s="8">
        <f>IFERROR(VLOOKUP($A650,DataDemande!$AA$63:$AE$700,2,FALSE)*VLOOKUP($A650,DataPrixBillets!$M$66:$Q$700,2,FALSE),"")</f>
        <v>0</v>
      </c>
      <c r="C650" s="8">
        <f>IFERROR(VLOOKUP($A650,DataDemande!$AA$63:$AE$700,3,FALSE)*VLOOKUP($A650,DataPrixBillets!$M$66:$Q$700,3,FALSE),"")</f>
        <v>0</v>
      </c>
      <c r="D650" s="8">
        <f>IFERROR(VLOOKUP($A650,DataDemande!$AA$63:$AE$700,4,FALSE)*VLOOKUP($A650,DataPrixBillets!$M$66:$Q$700,4,FALSE),"")</f>
        <v>0</v>
      </c>
      <c r="E650" s="8">
        <f>IFERROR(VLOOKUP($A650,DataDemande!$AA$63:$AE$700,5,FALSE)*VLOOKUP($A650,DataPrixBillets!$M$66:$Q$700,5,FALSE),"")</f>
        <v>0</v>
      </c>
      <c r="F650" s="21">
        <f t="shared" si="12"/>
        <v>0</v>
      </c>
    </row>
    <row r="651" spans="1:6" x14ac:dyDescent="0.3">
      <c r="A651" s="185" t="str">
        <f>DataDemande!AA710</f>
        <v/>
      </c>
      <c r="B651" s="8">
        <f>IFERROR(VLOOKUP($A651,DataDemande!$AA$63:$AE$700,2,FALSE)*VLOOKUP($A651,DataPrixBillets!$M$66:$Q$700,2,FALSE),"")</f>
        <v>0</v>
      </c>
      <c r="C651" s="8">
        <f>IFERROR(VLOOKUP($A651,DataDemande!$AA$63:$AE$700,3,FALSE)*VLOOKUP($A651,DataPrixBillets!$M$66:$Q$700,3,FALSE),"")</f>
        <v>0</v>
      </c>
      <c r="D651" s="8">
        <f>IFERROR(VLOOKUP($A651,DataDemande!$AA$63:$AE$700,4,FALSE)*VLOOKUP($A651,DataPrixBillets!$M$66:$Q$700,4,FALSE),"")</f>
        <v>0</v>
      </c>
      <c r="E651" s="8">
        <f>IFERROR(VLOOKUP($A651,DataDemande!$AA$63:$AE$700,5,FALSE)*VLOOKUP($A651,DataPrixBillets!$M$66:$Q$700,5,FALSE),"")</f>
        <v>0</v>
      </c>
      <c r="F651" s="21">
        <f t="shared" si="12"/>
        <v>0</v>
      </c>
    </row>
    <row r="652" spans="1:6" x14ac:dyDescent="0.3">
      <c r="A652" s="185" t="str">
        <f>DataDemande!AA711</f>
        <v/>
      </c>
      <c r="B652" s="8">
        <f>IFERROR(VLOOKUP($A652,DataDemande!$AA$63:$AE$700,2,FALSE)*VLOOKUP($A652,DataPrixBillets!$M$66:$Q$700,2,FALSE),"")</f>
        <v>0</v>
      </c>
      <c r="C652" s="8">
        <f>IFERROR(VLOOKUP($A652,DataDemande!$AA$63:$AE$700,3,FALSE)*VLOOKUP($A652,DataPrixBillets!$M$66:$Q$700,3,FALSE),"")</f>
        <v>0</v>
      </c>
      <c r="D652" s="8">
        <f>IFERROR(VLOOKUP($A652,DataDemande!$AA$63:$AE$700,4,FALSE)*VLOOKUP($A652,DataPrixBillets!$M$66:$Q$700,4,FALSE),"")</f>
        <v>0</v>
      </c>
      <c r="E652" s="8">
        <f>IFERROR(VLOOKUP($A652,DataDemande!$AA$63:$AE$700,5,FALSE)*VLOOKUP($A652,DataPrixBillets!$M$66:$Q$700,5,FALSE),"")</f>
        <v>0</v>
      </c>
      <c r="F652" s="21">
        <f t="shared" si="12"/>
        <v>0</v>
      </c>
    </row>
    <row r="653" spans="1:6" x14ac:dyDescent="0.3">
      <c r="A653" s="185" t="str">
        <f>DataDemande!AA712</f>
        <v/>
      </c>
      <c r="B653" s="8">
        <f>IFERROR(VLOOKUP($A653,DataDemande!$AA$63:$AE$700,2,FALSE)*VLOOKUP($A653,DataPrixBillets!$M$66:$Q$700,2,FALSE),"")</f>
        <v>0</v>
      </c>
      <c r="C653" s="8">
        <f>IFERROR(VLOOKUP($A653,DataDemande!$AA$63:$AE$700,3,FALSE)*VLOOKUP($A653,DataPrixBillets!$M$66:$Q$700,3,FALSE),"")</f>
        <v>0</v>
      </c>
      <c r="D653" s="8">
        <f>IFERROR(VLOOKUP($A653,DataDemande!$AA$63:$AE$700,4,FALSE)*VLOOKUP($A653,DataPrixBillets!$M$66:$Q$700,4,FALSE),"")</f>
        <v>0</v>
      </c>
      <c r="E653" s="8">
        <f>IFERROR(VLOOKUP($A653,DataDemande!$AA$63:$AE$700,5,FALSE)*VLOOKUP($A653,DataPrixBillets!$M$66:$Q$700,5,FALSE),"")</f>
        <v>0</v>
      </c>
      <c r="F653" s="21">
        <f t="shared" si="12"/>
        <v>0</v>
      </c>
    </row>
    <row r="654" spans="1:6" x14ac:dyDescent="0.3">
      <c r="A654" s="185" t="str">
        <f>DataDemande!AA713</f>
        <v/>
      </c>
      <c r="B654" s="8">
        <f>IFERROR(VLOOKUP($A654,DataDemande!$AA$63:$AE$700,2,FALSE)*VLOOKUP($A654,DataPrixBillets!$M$66:$Q$700,2,FALSE),"")</f>
        <v>0</v>
      </c>
      <c r="C654" s="8">
        <f>IFERROR(VLOOKUP($A654,DataDemande!$AA$63:$AE$700,3,FALSE)*VLOOKUP($A654,DataPrixBillets!$M$66:$Q$700,3,FALSE),"")</f>
        <v>0</v>
      </c>
      <c r="D654" s="8">
        <f>IFERROR(VLOOKUP($A654,DataDemande!$AA$63:$AE$700,4,FALSE)*VLOOKUP($A654,DataPrixBillets!$M$66:$Q$700,4,FALSE),"")</f>
        <v>0</v>
      </c>
      <c r="E654" s="8">
        <f>IFERROR(VLOOKUP($A654,DataDemande!$AA$63:$AE$700,5,FALSE)*VLOOKUP($A654,DataPrixBillets!$M$66:$Q$700,5,FALSE),"")</f>
        <v>0</v>
      </c>
      <c r="F654" s="21">
        <f t="shared" si="12"/>
        <v>0</v>
      </c>
    </row>
    <row r="655" spans="1:6" x14ac:dyDescent="0.3">
      <c r="A655" s="185" t="str">
        <f>DataDemande!AA714</f>
        <v/>
      </c>
      <c r="B655" s="8">
        <f>IFERROR(VLOOKUP($A655,DataDemande!$AA$63:$AE$700,2,FALSE)*VLOOKUP($A655,DataPrixBillets!$M$66:$Q$700,2,FALSE),"")</f>
        <v>0</v>
      </c>
      <c r="C655" s="8">
        <f>IFERROR(VLOOKUP($A655,DataDemande!$AA$63:$AE$700,3,FALSE)*VLOOKUP($A655,DataPrixBillets!$M$66:$Q$700,3,FALSE),"")</f>
        <v>0</v>
      </c>
      <c r="D655" s="8">
        <f>IFERROR(VLOOKUP($A655,DataDemande!$AA$63:$AE$700,4,FALSE)*VLOOKUP($A655,DataPrixBillets!$M$66:$Q$700,4,FALSE),"")</f>
        <v>0</v>
      </c>
      <c r="E655" s="8">
        <f>IFERROR(VLOOKUP($A655,DataDemande!$AA$63:$AE$700,5,FALSE)*VLOOKUP($A655,DataPrixBillets!$M$66:$Q$700,5,FALSE),"")</f>
        <v>0</v>
      </c>
      <c r="F655" s="21">
        <f t="shared" si="12"/>
        <v>0</v>
      </c>
    </row>
    <row r="656" spans="1:6" x14ac:dyDescent="0.3">
      <c r="A656" s="185" t="str">
        <f>DataDemande!AA715</f>
        <v/>
      </c>
      <c r="B656" s="8">
        <f>IFERROR(VLOOKUP($A656,DataDemande!$AA$63:$AE$700,2,FALSE)*VLOOKUP($A656,DataPrixBillets!$M$66:$Q$700,2,FALSE),"")</f>
        <v>0</v>
      </c>
      <c r="C656" s="8">
        <f>IFERROR(VLOOKUP($A656,DataDemande!$AA$63:$AE$700,3,FALSE)*VLOOKUP($A656,DataPrixBillets!$M$66:$Q$700,3,FALSE),"")</f>
        <v>0</v>
      </c>
      <c r="D656" s="8">
        <f>IFERROR(VLOOKUP($A656,DataDemande!$AA$63:$AE$700,4,FALSE)*VLOOKUP($A656,DataPrixBillets!$M$66:$Q$700,4,FALSE),"")</f>
        <v>0</v>
      </c>
      <c r="E656" s="8">
        <f>IFERROR(VLOOKUP($A656,DataDemande!$AA$63:$AE$700,5,FALSE)*VLOOKUP($A656,DataPrixBillets!$M$66:$Q$700,5,FALSE),"")</f>
        <v>0</v>
      </c>
      <c r="F656" s="21">
        <f t="shared" si="12"/>
        <v>0</v>
      </c>
    </row>
    <row r="657" spans="1:6" x14ac:dyDescent="0.3">
      <c r="A657" s="185" t="str">
        <f>DataDemande!AA716</f>
        <v/>
      </c>
      <c r="B657" s="8">
        <f>IFERROR(VLOOKUP($A657,DataDemande!$AA$63:$AE$700,2,FALSE)*VLOOKUP($A657,DataPrixBillets!$M$66:$Q$700,2,FALSE),"")</f>
        <v>0</v>
      </c>
      <c r="C657" s="8">
        <f>IFERROR(VLOOKUP($A657,DataDemande!$AA$63:$AE$700,3,FALSE)*VLOOKUP($A657,DataPrixBillets!$M$66:$Q$700,3,FALSE),"")</f>
        <v>0</v>
      </c>
      <c r="D657" s="8">
        <f>IFERROR(VLOOKUP($A657,DataDemande!$AA$63:$AE$700,4,FALSE)*VLOOKUP($A657,DataPrixBillets!$M$66:$Q$700,4,FALSE),"")</f>
        <v>0</v>
      </c>
      <c r="E657" s="8">
        <f>IFERROR(VLOOKUP($A657,DataDemande!$AA$63:$AE$700,5,FALSE)*VLOOKUP($A657,DataPrixBillets!$M$66:$Q$700,5,FALSE),"")</f>
        <v>0</v>
      </c>
      <c r="F657" s="21">
        <f t="shared" si="12"/>
        <v>0</v>
      </c>
    </row>
    <row r="658" spans="1:6" x14ac:dyDescent="0.3">
      <c r="A658" s="185" t="str">
        <f>DataDemande!AA717</f>
        <v/>
      </c>
      <c r="B658" s="8">
        <f>IFERROR(VLOOKUP($A658,DataDemande!$AA$63:$AE$700,2,FALSE)*VLOOKUP($A658,DataPrixBillets!$M$66:$Q$700,2,FALSE),"")</f>
        <v>0</v>
      </c>
      <c r="C658" s="8">
        <f>IFERROR(VLOOKUP($A658,DataDemande!$AA$63:$AE$700,3,FALSE)*VLOOKUP($A658,DataPrixBillets!$M$66:$Q$700,3,FALSE),"")</f>
        <v>0</v>
      </c>
      <c r="D658" s="8">
        <f>IFERROR(VLOOKUP($A658,DataDemande!$AA$63:$AE$700,4,FALSE)*VLOOKUP($A658,DataPrixBillets!$M$66:$Q$700,4,FALSE),"")</f>
        <v>0</v>
      </c>
      <c r="E658" s="8">
        <f>IFERROR(VLOOKUP($A658,DataDemande!$AA$63:$AE$700,5,FALSE)*VLOOKUP($A658,DataPrixBillets!$M$66:$Q$700,5,FALSE),"")</f>
        <v>0</v>
      </c>
      <c r="F658" s="21">
        <f t="shared" si="12"/>
        <v>0</v>
      </c>
    </row>
    <row r="659" spans="1:6" x14ac:dyDescent="0.3">
      <c r="A659" s="185" t="str">
        <f>DataDemande!AA718</f>
        <v/>
      </c>
      <c r="B659" s="8">
        <f>IFERROR(VLOOKUP($A659,DataDemande!$AA$63:$AE$700,2,FALSE)*VLOOKUP($A659,DataPrixBillets!$M$66:$Q$700,2,FALSE),"")</f>
        <v>0</v>
      </c>
      <c r="C659" s="8">
        <f>IFERROR(VLOOKUP($A659,DataDemande!$AA$63:$AE$700,3,FALSE)*VLOOKUP($A659,DataPrixBillets!$M$66:$Q$700,3,FALSE),"")</f>
        <v>0</v>
      </c>
      <c r="D659" s="8">
        <f>IFERROR(VLOOKUP($A659,DataDemande!$AA$63:$AE$700,4,FALSE)*VLOOKUP($A659,DataPrixBillets!$M$66:$Q$700,4,FALSE),"")</f>
        <v>0</v>
      </c>
      <c r="E659" s="8">
        <f>IFERROR(VLOOKUP($A659,DataDemande!$AA$63:$AE$700,5,FALSE)*VLOOKUP($A659,DataPrixBillets!$M$66:$Q$700,5,FALSE),"")</f>
        <v>0</v>
      </c>
      <c r="F659" s="21">
        <f t="shared" si="12"/>
        <v>0</v>
      </c>
    </row>
    <row r="660" spans="1:6" x14ac:dyDescent="0.3">
      <c r="A660" s="185" t="str">
        <f>DataDemande!AA719</f>
        <v/>
      </c>
      <c r="B660" s="8">
        <f>IFERROR(VLOOKUP($A660,DataDemande!$AA$63:$AE$700,2,FALSE)*VLOOKUP($A660,DataPrixBillets!$M$66:$Q$700,2,FALSE),"")</f>
        <v>0</v>
      </c>
      <c r="C660" s="8">
        <f>IFERROR(VLOOKUP($A660,DataDemande!$AA$63:$AE$700,3,FALSE)*VLOOKUP($A660,DataPrixBillets!$M$66:$Q$700,3,FALSE),"")</f>
        <v>0</v>
      </c>
      <c r="D660" s="8">
        <f>IFERROR(VLOOKUP($A660,DataDemande!$AA$63:$AE$700,4,FALSE)*VLOOKUP($A660,DataPrixBillets!$M$66:$Q$700,4,FALSE),"")</f>
        <v>0</v>
      </c>
      <c r="E660" s="8">
        <f>IFERROR(VLOOKUP($A660,DataDemande!$AA$63:$AE$700,5,FALSE)*VLOOKUP($A660,DataPrixBillets!$M$66:$Q$700,5,FALSE),"")</f>
        <v>0</v>
      </c>
      <c r="F660" s="21">
        <f t="shared" si="12"/>
        <v>0</v>
      </c>
    </row>
    <row r="661" spans="1:6" x14ac:dyDescent="0.3">
      <c r="A661" s="185" t="str">
        <f>DataDemande!AA720</f>
        <v/>
      </c>
      <c r="B661" s="8">
        <f>IFERROR(VLOOKUP($A661,DataDemande!$AA$63:$AE$700,2,FALSE)*VLOOKUP($A661,DataPrixBillets!$M$66:$Q$700,2,FALSE),"")</f>
        <v>0</v>
      </c>
      <c r="C661" s="8">
        <f>IFERROR(VLOOKUP($A661,DataDemande!$AA$63:$AE$700,3,FALSE)*VLOOKUP($A661,DataPrixBillets!$M$66:$Q$700,3,FALSE),"")</f>
        <v>0</v>
      </c>
      <c r="D661" s="8">
        <f>IFERROR(VLOOKUP($A661,DataDemande!$AA$63:$AE$700,4,FALSE)*VLOOKUP($A661,DataPrixBillets!$M$66:$Q$700,4,FALSE),"")</f>
        <v>0</v>
      </c>
      <c r="E661" s="8">
        <f>IFERROR(VLOOKUP($A661,DataDemande!$AA$63:$AE$700,5,FALSE)*VLOOKUP($A661,DataPrixBillets!$M$66:$Q$700,5,FALSE),"")</f>
        <v>0</v>
      </c>
      <c r="F661" s="21">
        <f t="shared" si="12"/>
        <v>0</v>
      </c>
    </row>
    <row r="662" spans="1:6" x14ac:dyDescent="0.3">
      <c r="A662" s="185" t="str">
        <f>DataDemande!AA721</f>
        <v/>
      </c>
      <c r="B662" s="8">
        <f>IFERROR(VLOOKUP($A662,DataDemande!$AA$63:$AE$700,2,FALSE)*VLOOKUP($A662,DataPrixBillets!$M$66:$Q$700,2,FALSE),"")</f>
        <v>0</v>
      </c>
      <c r="C662" s="8">
        <f>IFERROR(VLOOKUP($A662,DataDemande!$AA$63:$AE$700,3,FALSE)*VLOOKUP($A662,DataPrixBillets!$M$66:$Q$700,3,FALSE),"")</f>
        <v>0</v>
      </c>
      <c r="D662" s="8">
        <f>IFERROR(VLOOKUP($A662,DataDemande!$AA$63:$AE$700,4,FALSE)*VLOOKUP($A662,DataPrixBillets!$M$66:$Q$700,4,FALSE),"")</f>
        <v>0</v>
      </c>
      <c r="E662" s="8">
        <f>IFERROR(VLOOKUP($A662,DataDemande!$AA$63:$AE$700,5,FALSE)*VLOOKUP($A662,DataPrixBillets!$M$66:$Q$700,5,FALSE),"")</f>
        <v>0</v>
      </c>
      <c r="F662" s="21">
        <f t="shared" si="12"/>
        <v>0</v>
      </c>
    </row>
    <row r="663" spans="1:6" x14ac:dyDescent="0.3">
      <c r="A663" s="185" t="str">
        <f>DataDemande!AA722</f>
        <v/>
      </c>
      <c r="B663" s="8">
        <f>IFERROR(VLOOKUP($A663,DataDemande!$AA$63:$AE$700,2,FALSE)*VLOOKUP($A663,DataPrixBillets!$M$66:$Q$700,2,FALSE),"")</f>
        <v>0</v>
      </c>
      <c r="C663" s="8">
        <f>IFERROR(VLOOKUP($A663,DataDemande!$AA$63:$AE$700,3,FALSE)*VLOOKUP($A663,DataPrixBillets!$M$66:$Q$700,3,FALSE),"")</f>
        <v>0</v>
      </c>
      <c r="D663" s="8">
        <f>IFERROR(VLOOKUP($A663,DataDemande!$AA$63:$AE$700,4,FALSE)*VLOOKUP($A663,DataPrixBillets!$M$66:$Q$700,4,FALSE),"")</f>
        <v>0</v>
      </c>
      <c r="E663" s="8">
        <f>IFERROR(VLOOKUP($A663,DataDemande!$AA$63:$AE$700,5,FALSE)*VLOOKUP($A663,DataPrixBillets!$M$66:$Q$700,5,FALSE),"")</f>
        <v>0</v>
      </c>
      <c r="F663" s="21">
        <f t="shared" si="12"/>
        <v>0</v>
      </c>
    </row>
    <row r="664" spans="1:6" x14ac:dyDescent="0.3">
      <c r="A664" s="185" t="str">
        <f>DataDemande!AA723</f>
        <v/>
      </c>
      <c r="B664" s="8">
        <f>IFERROR(VLOOKUP($A664,DataDemande!$AA$63:$AE$700,2,FALSE)*VLOOKUP($A664,DataPrixBillets!$M$66:$Q$700,2,FALSE),"")</f>
        <v>0</v>
      </c>
      <c r="C664" s="8">
        <f>IFERROR(VLOOKUP($A664,DataDemande!$AA$63:$AE$700,3,FALSE)*VLOOKUP($A664,DataPrixBillets!$M$66:$Q$700,3,FALSE),"")</f>
        <v>0</v>
      </c>
      <c r="D664" s="8">
        <f>IFERROR(VLOOKUP($A664,DataDemande!$AA$63:$AE$700,4,FALSE)*VLOOKUP($A664,DataPrixBillets!$M$66:$Q$700,4,FALSE),"")</f>
        <v>0</v>
      </c>
      <c r="E664" s="8">
        <f>IFERROR(VLOOKUP($A664,DataDemande!$AA$63:$AE$700,5,FALSE)*VLOOKUP($A664,DataPrixBillets!$M$66:$Q$700,5,FALSE),"")</f>
        <v>0</v>
      </c>
      <c r="F664" s="21">
        <f t="shared" si="12"/>
        <v>0</v>
      </c>
    </row>
    <row r="665" spans="1:6" x14ac:dyDescent="0.3">
      <c r="A665" s="185" t="str">
        <f>DataDemande!AA724</f>
        <v/>
      </c>
      <c r="B665" s="8">
        <f>IFERROR(VLOOKUP($A665,DataDemande!$AA$63:$AE$700,2,FALSE)*VLOOKUP($A665,DataPrixBillets!$M$66:$Q$700,2,FALSE),"")</f>
        <v>0</v>
      </c>
      <c r="C665" s="8">
        <f>IFERROR(VLOOKUP($A665,DataDemande!$AA$63:$AE$700,3,FALSE)*VLOOKUP($A665,DataPrixBillets!$M$66:$Q$700,3,FALSE),"")</f>
        <v>0</v>
      </c>
      <c r="D665" s="8">
        <f>IFERROR(VLOOKUP($A665,DataDemande!$AA$63:$AE$700,4,FALSE)*VLOOKUP($A665,DataPrixBillets!$M$66:$Q$700,4,FALSE),"")</f>
        <v>0</v>
      </c>
      <c r="E665" s="8">
        <f>IFERROR(VLOOKUP($A665,DataDemande!$AA$63:$AE$700,5,FALSE)*VLOOKUP($A665,DataPrixBillets!$M$66:$Q$700,5,FALSE),"")</f>
        <v>0</v>
      </c>
      <c r="F665" s="21">
        <f t="shared" si="12"/>
        <v>0</v>
      </c>
    </row>
    <row r="666" spans="1:6" x14ac:dyDescent="0.3">
      <c r="A666" s="185" t="str">
        <f>DataDemande!AA725</f>
        <v/>
      </c>
      <c r="B666" s="8">
        <f>IFERROR(VLOOKUP($A666,DataDemande!$AA$63:$AE$700,2,FALSE)*VLOOKUP($A666,DataPrixBillets!$M$66:$Q$700,2,FALSE),"")</f>
        <v>0</v>
      </c>
      <c r="C666" s="8">
        <f>IFERROR(VLOOKUP($A666,DataDemande!$AA$63:$AE$700,3,FALSE)*VLOOKUP($A666,DataPrixBillets!$M$66:$Q$700,3,FALSE),"")</f>
        <v>0</v>
      </c>
      <c r="D666" s="8">
        <f>IFERROR(VLOOKUP($A666,DataDemande!$AA$63:$AE$700,4,FALSE)*VLOOKUP($A666,DataPrixBillets!$M$66:$Q$700,4,FALSE),"")</f>
        <v>0</v>
      </c>
      <c r="E666" s="8">
        <f>IFERROR(VLOOKUP($A666,DataDemande!$AA$63:$AE$700,5,FALSE)*VLOOKUP($A666,DataPrixBillets!$M$66:$Q$700,5,FALSE),"")</f>
        <v>0</v>
      </c>
      <c r="F666" s="21">
        <f t="shared" si="12"/>
        <v>0</v>
      </c>
    </row>
    <row r="667" spans="1:6" x14ac:dyDescent="0.3">
      <c r="A667" s="185" t="str">
        <f>DataDemande!AA726</f>
        <v/>
      </c>
      <c r="B667" s="8">
        <f>IFERROR(VLOOKUP($A667,DataDemande!$AA$63:$AE$700,2,FALSE)*VLOOKUP($A667,DataPrixBillets!$M$66:$Q$700,2,FALSE),"")</f>
        <v>0</v>
      </c>
      <c r="C667" s="8">
        <f>IFERROR(VLOOKUP($A667,DataDemande!$AA$63:$AE$700,3,FALSE)*VLOOKUP($A667,DataPrixBillets!$M$66:$Q$700,3,FALSE),"")</f>
        <v>0</v>
      </c>
      <c r="D667" s="8">
        <f>IFERROR(VLOOKUP($A667,DataDemande!$AA$63:$AE$700,4,FALSE)*VLOOKUP($A667,DataPrixBillets!$M$66:$Q$700,4,FALSE),"")</f>
        <v>0</v>
      </c>
      <c r="E667" s="8">
        <f>IFERROR(VLOOKUP($A667,DataDemande!$AA$63:$AE$700,5,FALSE)*VLOOKUP($A667,DataPrixBillets!$M$66:$Q$700,5,FALSE),"")</f>
        <v>0</v>
      </c>
      <c r="F667" s="21">
        <f t="shared" si="12"/>
        <v>0</v>
      </c>
    </row>
    <row r="668" spans="1:6" x14ac:dyDescent="0.3">
      <c r="A668" s="185" t="str">
        <f>DataDemande!AA727</f>
        <v/>
      </c>
      <c r="B668" s="8">
        <f>IFERROR(VLOOKUP($A668,DataDemande!$AA$63:$AE$700,2,FALSE)*VLOOKUP($A668,DataPrixBillets!$M$66:$Q$700,2,FALSE),"")</f>
        <v>0</v>
      </c>
      <c r="C668" s="8">
        <f>IFERROR(VLOOKUP($A668,DataDemande!$AA$63:$AE$700,3,FALSE)*VLOOKUP($A668,DataPrixBillets!$M$66:$Q$700,3,FALSE),"")</f>
        <v>0</v>
      </c>
      <c r="D668" s="8">
        <f>IFERROR(VLOOKUP($A668,DataDemande!$AA$63:$AE$700,4,FALSE)*VLOOKUP($A668,DataPrixBillets!$M$66:$Q$700,4,FALSE),"")</f>
        <v>0</v>
      </c>
      <c r="E668" s="8">
        <f>IFERROR(VLOOKUP($A668,DataDemande!$AA$63:$AE$700,5,FALSE)*VLOOKUP($A668,DataPrixBillets!$M$66:$Q$700,5,FALSE),"")</f>
        <v>0</v>
      </c>
      <c r="F668" s="21">
        <f t="shared" si="12"/>
        <v>0</v>
      </c>
    </row>
    <row r="669" spans="1:6" x14ac:dyDescent="0.3">
      <c r="A669" s="185" t="str">
        <f>DataDemande!AA728</f>
        <v/>
      </c>
      <c r="B669" s="8">
        <f>IFERROR(VLOOKUP($A669,DataDemande!$AA$63:$AE$700,2,FALSE)*VLOOKUP($A669,DataPrixBillets!$M$66:$Q$700,2,FALSE),"")</f>
        <v>0</v>
      </c>
      <c r="C669" s="8">
        <f>IFERROR(VLOOKUP($A669,DataDemande!$AA$63:$AE$700,3,FALSE)*VLOOKUP($A669,DataPrixBillets!$M$66:$Q$700,3,FALSE),"")</f>
        <v>0</v>
      </c>
      <c r="D669" s="8">
        <f>IFERROR(VLOOKUP($A669,DataDemande!$AA$63:$AE$700,4,FALSE)*VLOOKUP($A669,DataPrixBillets!$M$66:$Q$700,4,FALSE),"")</f>
        <v>0</v>
      </c>
      <c r="E669" s="8">
        <f>IFERROR(VLOOKUP($A669,DataDemande!$AA$63:$AE$700,5,FALSE)*VLOOKUP($A669,DataPrixBillets!$M$66:$Q$700,5,FALSE),"")</f>
        <v>0</v>
      </c>
      <c r="F669" s="21">
        <f t="shared" si="12"/>
        <v>0</v>
      </c>
    </row>
    <row r="670" spans="1:6" x14ac:dyDescent="0.3">
      <c r="A670" s="185" t="str">
        <f>DataDemande!AA729</f>
        <v/>
      </c>
      <c r="B670" s="8">
        <f>IFERROR(VLOOKUP($A670,DataDemande!$AA$63:$AE$700,2,FALSE)*VLOOKUP($A670,DataPrixBillets!$M$66:$Q$700,2,FALSE),"")</f>
        <v>0</v>
      </c>
      <c r="C670" s="8">
        <f>IFERROR(VLOOKUP($A670,DataDemande!$AA$63:$AE$700,3,FALSE)*VLOOKUP($A670,DataPrixBillets!$M$66:$Q$700,3,FALSE),"")</f>
        <v>0</v>
      </c>
      <c r="D670" s="8">
        <f>IFERROR(VLOOKUP($A670,DataDemande!$AA$63:$AE$700,4,FALSE)*VLOOKUP($A670,DataPrixBillets!$M$66:$Q$700,4,FALSE),"")</f>
        <v>0</v>
      </c>
      <c r="E670" s="8">
        <f>IFERROR(VLOOKUP($A670,DataDemande!$AA$63:$AE$700,5,FALSE)*VLOOKUP($A670,DataPrixBillets!$M$66:$Q$700,5,FALSE),"")</f>
        <v>0</v>
      </c>
      <c r="F670" s="21">
        <f t="shared" si="12"/>
        <v>0</v>
      </c>
    </row>
    <row r="671" spans="1:6" x14ac:dyDescent="0.3">
      <c r="A671" s="185" t="str">
        <f>DataDemande!AA730</f>
        <v/>
      </c>
      <c r="B671" s="8">
        <f>IFERROR(VLOOKUP($A671,DataDemande!$AA$63:$AE$700,2,FALSE)*VLOOKUP($A671,DataPrixBillets!$M$66:$Q$700,2,FALSE),"")</f>
        <v>0</v>
      </c>
      <c r="C671" s="8">
        <f>IFERROR(VLOOKUP($A671,DataDemande!$AA$63:$AE$700,3,FALSE)*VLOOKUP($A671,DataPrixBillets!$M$66:$Q$700,3,FALSE),"")</f>
        <v>0</v>
      </c>
      <c r="D671" s="8">
        <f>IFERROR(VLOOKUP($A671,DataDemande!$AA$63:$AE$700,4,FALSE)*VLOOKUP($A671,DataPrixBillets!$M$66:$Q$700,4,FALSE),"")</f>
        <v>0</v>
      </c>
      <c r="E671" s="8">
        <f>IFERROR(VLOOKUP($A671,DataDemande!$AA$63:$AE$700,5,FALSE)*VLOOKUP($A671,DataPrixBillets!$M$66:$Q$700,5,FALSE),"")</f>
        <v>0</v>
      </c>
      <c r="F671" s="21">
        <f t="shared" si="12"/>
        <v>0</v>
      </c>
    </row>
    <row r="672" spans="1:6" x14ac:dyDescent="0.3">
      <c r="A672" s="185" t="str">
        <f>DataDemande!AA731</f>
        <v/>
      </c>
      <c r="B672" s="8">
        <f>IFERROR(VLOOKUP($A672,DataDemande!$AA$63:$AE$700,2,FALSE)*VLOOKUP($A672,DataPrixBillets!$M$66:$Q$700,2,FALSE),"")</f>
        <v>0</v>
      </c>
      <c r="C672" s="8">
        <f>IFERROR(VLOOKUP($A672,DataDemande!$AA$63:$AE$700,3,FALSE)*VLOOKUP($A672,DataPrixBillets!$M$66:$Q$700,3,FALSE),"")</f>
        <v>0</v>
      </c>
      <c r="D672" s="8">
        <f>IFERROR(VLOOKUP($A672,DataDemande!$AA$63:$AE$700,4,FALSE)*VLOOKUP($A672,DataPrixBillets!$M$66:$Q$700,4,FALSE),"")</f>
        <v>0</v>
      </c>
      <c r="E672" s="8">
        <f>IFERROR(VLOOKUP($A672,DataDemande!$AA$63:$AE$700,5,FALSE)*VLOOKUP($A672,DataPrixBillets!$M$66:$Q$700,5,FALSE),"")</f>
        <v>0</v>
      </c>
      <c r="F672" s="21">
        <f t="shared" si="12"/>
        <v>0</v>
      </c>
    </row>
    <row r="673" spans="1:6" x14ac:dyDescent="0.3">
      <c r="A673" s="185" t="str">
        <f>DataDemande!AA732</f>
        <v/>
      </c>
      <c r="B673" s="8">
        <f>IFERROR(VLOOKUP($A673,DataDemande!$AA$63:$AE$700,2,FALSE)*VLOOKUP($A673,DataPrixBillets!$M$66:$Q$700,2,FALSE),"")</f>
        <v>0</v>
      </c>
      <c r="C673" s="8">
        <f>IFERROR(VLOOKUP($A673,DataDemande!$AA$63:$AE$700,3,FALSE)*VLOOKUP($A673,DataPrixBillets!$M$66:$Q$700,3,FALSE),"")</f>
        <v>0</v>
      </c>
      <c r="D673" s="8">
        <f>IFERROR(VLOOKUP($A673,DataDemande!$AA$63:$AE$700,4,FALSE)*VLOOKUP($A673,DataPrixBillets!$M$66:$Q$700,4,FALSE),"")</f>
        <v>0</v>
      </c>
      <c r="E673" s="8">
        <f>IFERROR(VLOOKUP($A673,DataDemande!$AA$63:$AE$700,5,FALSE)*VLOOKUP($A673,DataPrixBillets!$M$66:$Q$700,5,FALSE),"")</f>
        <v>0</v>
      </c>
      <c r="F673" s="21">
        <f t="shared" si="12"/>
        <v>0</v>
      </c>
    </row>
    <row r="674" spans="1:6" x14ac:dyDescent="0.3">
      <c r="A674" s="185" t="str">
        <f>DataDemande!AA733</f>
        <v/>
      </c>
      <c r="B674" s="8">
        <f>IFERROR(VLOOKUP($A674,DataDemande!$AA$63:$AE$700,2,FALSE)*VLOOKUP($A674,DataPrixBillets!$M$66:$Q$700,2,FALSE),"")</f>
        <v>0</v>
      </c>
      <c r="C674" s="8">
        <f>IFERROR(VLOOKUP($A674,DataDemande!$AA$63:$AE$700,3,FALSE)*VLOOKUP($A674,DataPrixBillets!$M$66:$Q$700,3,FALSE),"")</f>
        <v>0</v>
      </c>
      <c r="D674" s="8">
        <f>IFERROR(VLOOKUP($A674,DataDemande!$AA$63:$AE$700,4,FALSE)*VLOOKUP($A674,DataPrixBillets!$M$66:$Q$700,4,FALSE),"")</f>
        <v>0</v>
      </c>
      <c r="E674" s="8">
        <f>IFERROR(VLOOKUP($A674,DataDemande!$AA$63:$AE$700,5,FALSE)*VLOOKUP($A674,DataPrixBillets!$M$66:$Q$700,5,FALSE),"")</f>
        <v>0</v>
      </c>
      <c r="F674" s="21">
        <f t="shared" si="12"/>
        <v>0</v>
      </c>
    </row>
    <row r="675" spans="1:6" x14ac:dyDescent="0.3">
      <c r="A675" s="185" t="str">
        <f>DataDemande!AA734</f>
        <v/>
      </c>
      <c r="B675" s="8">
        <f>IFERROR(VLOOKUP($A675,DataDemande!$AA$63:$AE$700,2,FALSE)*VLOOKUP($A675,DataPrixBillets!$M$66:$Q$700,2,FALSE),"")</f>
        <v>0</v>
      </c>
      <c r="C675" s="8">
        <f>IFERROR(VLOOKUP($A675,DataDemande!$AA$63:$AE$700,3,FALSE)*VLOOKUP($A675,DataPrixBillets!$M$66:$Q$700,3,FALSE),"")</f>
        <v>0</v>
      </c>
      <c r="D675" s="8">
        <f>IFERROR(VLOOKUP($A675,DataDemande!$AA$63:$AE$700,4,FALSE)*VLOOKUP($A675,DataPrixBillets!$M$66:$Q$700,4,FALSE),"")</f>
        <v>0</v>
      </c>
      <c r="E675" s="8">
        <f>IFERROR(VLOOKUP($A675,DataDemande!$AA$63:$AE$700,5,FALSE)*VLOOKUP($A675,DataPrixBillets!$M$66:$Q$700,5,FALSE),"")</f>
        <v>0</v>
      </c>
      <c r="F675" s="21">
        <f t="shared" si="12"/>
        <v>0</v>
      </c>
    </row>
    <row r="676" spans="1:6" x14ac:dyDescent="0.3">
      <c r="A676" s="185" t="str">
        <f>DataDemande!AA735</f>
        <v/>
      </c>
      <c r="B676" s="8">
        <f>IFERROR(VLOOKUP($A676,DataDemande!$AA$63:$AE$700,2,FALSE)*VLOOKUP($A676,DataPrixBillets!$M$66:$Q$700,2,FALSE),"")</f>
        <v>0</v>
      </c>
      <c r="C676" s="8">
        <f>IFERROR(VLOOKUP($A676,DataDemande!$AA$63:$AE$700,3,FALSE)*VLOOKUP($A676,DataPrixBillets!$M$66:$Q$700,3,FALSE),"")</f>
        <v>0</v>
      </c>
      <c r="D676" s="8">
        <f>IFERROR(VLOOKUP($A676,DataDemande!$AA$63:$AE$700,4,FALSE)*VLOOKUP($A676,DataPrixBillets!$M$66:$Q$700,4,FALSE),"")</f>
        <v>0</v>
      </c>
      <c r="E676" s="8">
        <f>IFERROR(VLOOKUP($A676,DataDemande!$AA$63:$AE$700,5,FALSE)*VLOOKUP($A676,DataPrixBillets!$M$66:$Q$700,5,FALSE),"")</f>
        <v>0</v>
      </c>
      <c r="F676" s="21">
        <f t="shared" si="12"/>
        <v>0</v>
      </c>
    </row>
    <row r="677" spans="1:6" x14ac:dyDescent="0.3">
      <c r="A677" s="185" t="str">
        <f>DataDemande!AA736</f>
        <v/>
      </c>
      <c r="B677" s="8">
        <f>IFERROR(VLOOKUP($A677,DataDemande!$AA$63:$AE$700,2,FALSE)*VLOOKUP($A677,DataPrixBillets!$M$66:$Q$700,2,FALSE),"")</f>
        <v>0</v>
      </c>
      <c r="C677" s="8">
        <f>IFERROR(VLOOKUP($A677,DataDemande!$AA$63:$AE$700,3,FALSE)*VLOOKUP($A677,DataPrixBillets!$M$66:$Q$700,3,FALSE),"")</f>
        <v>0</v>
      </c>
      <c r="D677" s="8">
        <f>IFERROR(VLOOKUP($A677,DataDemande!$AA$63:$AE$700,4,FALSE)*VLOOKUP($A677,DataPrixBillets!$M$66:$Q$700,4,FALSE),"")</f>
        <v>0</v>
      </c>
      <c r="E677" s="8">
        <f>IFERROR(VLOOKUP($A677,DataDemande!$AA$63:$AE$700,5,FALSE)*VLOOKUP($A677,DataPrixBillets!$M$66:$Q$700,5,FALSE),"")</f>
        <v>0</v>
      </c>
      <c r="F677" s="21">
        <f t="shared" si="12"/>
        <v>0</v>
      </c>
    </row>
    <row r="678" spans="1:6" x14ac:dyDescent="0.3">
      <c r="A678" s="185" t="str">
        <f>DataDemande!AA737</f>
        <v/>
      </c>
      <c r="B678" s="8">
        <f>IFERROR(VLOOKUP($A678,DataDemande!$AA$63:$AE$700,2,FALSE)*VLOOKUP($A678,DataPrixBillets!$M$66:$Q$700,2,FALSE),"")</f>
        <v>0</v>
      </c>
      <c r="C678" s="8">
        <f>IFERROR(VLOOKUP($A678,DataDemande!$AA$63:$AE$700,3,FALSE)*VLOOKUP($A678,DataPrixBillets!$M$66:$Q$700,3,FALSE),"")</f>
        <v>0</v>
      </c>
      <c r="D678" s="8">
        <f>IFERROR(VLOOKUP($A678,DataDemande!$AA$63:$AE$700,4,FALSE)*VLOOKUP($A678,DataPrixBillets!$M$66:$Q$700,4,FALSE),"")</f>
        <v>0</v>
      </c>
      <c r="E678" s="8">
        <f>IFERROR(VLOOKUP($A678,DataDemande!$AA$63:$AE$700,5,FALSE)*VLOOKUP($A678,DataPrixBillets!$M$66:$Q$700,5,FALSE),"")</f>
        <v>0</v>
      </c>
      <c r="F678" s="21">
        <f t="shared" si="12"/>
        <v>0</v>
      </c>
    </row>
    <row r="679" spans="1:6" x14ac:dyDescent="0.3">
      <c r="A679" s="185" t="str">
        <f>DataDemande!AA738</f>
        <v/>
      </c>
      <c r="B679" s="8">
        <f>IFERROR(VLOOKUP($A679,DataDemande!$AA$63:$AE$700,2,FALSE)*VLOOKUP($A679,DataPrixBillets!$M$66:$Q$700,2,FALSE),"")</f>
        <v>0</v>
      </c>
      <c r="C679" s="8">
        <f>IFERROR(VLOOKUP($A679,DataDemande!$AA$63:$AE$700,3,FALSE)*VLOOKUP($A679,DataPrixBillets!$M$66:$Q$700,3,FALSE),"")</f>
        <v>0</v>
      </c>
      <c r="D679" s="8">
        <f>IFERROR(VLOOKUP($A679,DataDemande!$AA$63:$AE$700,4,FALSE)*VLOOKUP($A679,DataPrixBillets!$M$66:$Q$700,4,FALSE),"")</f>
        <v>0</v>
      </c>
      <c r="E679" s="8">
        <f>IFERROR(VLOOKUP($A679,DataDemande!$AA$63:$AE$700,5,FALSE)*VLOOKUP($A679,DataPrixBillets!$M$66:$Q$700,5,FALSE),"")</f>
        <v>0</v>
      </c>
      <c r="F679" s="21">
        <f t="shared" si="12"/>
        <v>0</v>
      </c>
    </row>
    <row r="680" spans="1:6" x14ac:dyDescent="0.3">
      <c r="A680" s="185" t="str">
        <f>DataDemande!AA739</f>
        <v/>
      </c>
      <c r="B680" s="8">
        <f>IFERROR(VLOOKUP($A680,DataDemande!$AA$63:$AE$700,2,FALSE)*VLOOKUP($A680,DataPrixBillets!$M$66:$Q$700,2,FALSE),"")</f>
        <v>0</v>
      </c>
      <c r="C680" s="8">
        <f>IFERROR(VLOOKUP($A680,DataDemande!$AA$63:$AE$700,3,FALSE)*VLOOKUP($A680,DataPrixBillets!$M$66:$Q$700,3,FALSE),"")</f>
        <v>0</v>
      </c>
      <c r="D680" s="8">
        <f>IFERROR(VLOOKUP($A680,DataDemande!$AA$63:$AE$700,4,FALSE)*VLOOKUP($A680,DataPrixBillets!$M$66:$Q$700,4,FALSE),"")</f>
        <v>0</v>
      </c>
      <c r="E680" s="8">
        <f>IFERROR(VLOOKUP($A680,DataDemande!$AA$63:$AE$700,5,FALSE)*VLOOKUP($A680,DataPrixBillets!$M$66:$Q$700,5,FALSE),"")</f>
        <v>0</v>
      </c>
      <c r="F680" s="21">
        <f t="shared" si="12"/>
        <v>0</v>
      </c>
    </row>
    <row r="681" spans="1:6" x14ac:dyDescent="0.3">
      <c r="A681" s="185" t="str">
        <f>DataDemande!AA740</f>
        <v/>
      </c>
      <c r="B681" s="8">
        <f>IFERROR(VLOOKUP($A681,DataDemande!$AA$63:$AE$700,2,FALSE)*VLOOKUP($A681,DataPrixBillets!$M$66:$Q$700,2,FALSE),"")</f>
        <v>0</v>
      </c>
      <c r="C681" s="8">
        <f>IFERROR(VLOOKUP($A681,DataDemande!$AA$63:$AE$700,3,FALSE)*VLOOKUP($A681,DataPrixBillets!$M$66:$Q$700,3,FALSE),"")</f>
        <v>0</v>
      </c>
      <c r="D681" s="8">
        <f>IFERROR(VLOOKUP($A681,DataDemande!$AA$63:$AE$700,4,FALSE)*VLOOKUP($A681,DataPrixBillets!$M$66:$Q$700,4,FALSE),"")</f>
        <v>0</v>
      </c>
      <c r="E681" s="8">
        <f>IFERROR(VLOOKUP($A681,DataDemande!$AA$63:$AE$700,5,FALSE)*VLOOKUP($A681,DataPrixBillets!$M$66:$Q$700,5,FALSE),"")</f>
        <v>0</v>
      </c>
      <c r="F681" s="21">
        <f t="shared" si="12"/>
        <v>0</v>
      </c>
    </row>
    <row r="682" spans="1:6" x14ac:dyDescent="0.3">
      <c r="A682" s="185" t="str">
        <f>DataDemande!AA741</f>
        <v/>
      </c>
      <c r="B682" s="8">
        <f>IFERROR(VLOOKUP($A682,DataDemande!$AA$63:$AE$700,2,FALSE)*VLOOKUP($A682,DataPrixBillets!$M$66:$Q$700,2,FALSE),"")</f>
        <v>0</v>
      </c>
      <c r="C682" s="8">
        <f>IFERROR(VLOOKUP($A682,DataDemande!$AA$63:$AE$700,3,FALSE)*VLOOKUP($A682,DataPrixBillets!$M$66:$Q$700,3,FALSE),"")</f>
        <v>0</v>
      </c>
      <c r="D682" s="8">
        <f>IFERROR(VLOOKUP($A682,DataDemande!$AA$63:$AE$700,4,FALSE)*VLOOKUP($A682,DataPrixBillets!$M$66:$Q$700,4,FALSE),"")</f>
        <v>0</v>
      </c>
      <c r="E682" s="8">
        <f>IFERROR(VLOOKUP($A682,DataDemande!$AA$63:$AE$700,5,FALSE)*VLOOKUP($A682,DataPrixBillets!$M$66:$Q$700,5,FALSE),"")</f>
        <v>0</v>
      </c>
      <c r="F682" s="21">
        <f t="shared" si="12"/>
        <v>0</v>
      </c>
    </row>
    <row r="683" spans="1:6" x14ac:dyDescent="0.3">
      <c r="A683" s="185" t="str">
        <f>DataDemande!AA742</f>
        <v/>
      </c>
      <c r="B683" s="8">
        <f>IFERROR(VLOOKUP($A683,DataDemande!$AA$63:$AE$700,2,FALSE)*VLOOKUP($A683,DataPrixBillets!$M$66:$Q$700,2,FALSE),"")</f>
        <v>0</v>
      </c>
      <c r="C683" s="8">
        <f>IFERROR(VLOOKUP($A683,DataDemande!$AA$63:$AE$700,3,FALSE)*VLOOKUP($A683,DataPrixBillets!$M$66:$Q$700,3,FALSE),"")</f>
        <v>0</v>
      </c>
      <c r="D683" s="8">
        <f>IFERROR(VLOOKUP($A683,DataDemande!$AA$63:$AE$700,4,FALSE)*VLOOKUP($A683,DataPrixBillets!$M$66:$Q$700,4,FALSE),"")</f>
        <v>0</v>
      </c>
      <c r="E683" s="8">
        <f>IFERROR(VLOOKUP($A683,DataDemande!$AA$63:$AE$700,5,FALSE)*VLOOKUP($A683,DataPrixBillets!$M$66:$Q$700,5,FALSE),"")</f>
        <v>0</v>
      </c>
      <c r="F683" s="21">
        <f t="shared" si="12"/>
        <v>0</v>
      </c>
    </row>
    <row r="684" spans="1:6" x14ac:dyDescent="0.3">
      <c r="A684" s="185" t="str">
        <f>DataDemande!AA743</f>
        <v/>
      </c>
      <c r="B684" s="8">
        <f>IFERROR(VLOOKUP($A684,DataDemande!$AA$63:$AE$700,2,FALSE)*VLOOKUP($A684,DataPrixBillets!$M$66:$Q$700,2,FALSE),"")</f>
        <v>0</v>
      </c>
      <c r="C684" s="8">
        <f>IFERROR(VLOOKUP($A684,DataDemande!$AA$63:$AE$700,3,FALSE)*VLOOKUP($A684,DataPrixBillets!$M$66:$Q$700,3,FALSE),"")</f>
        <v>0</v>
      </c>
      <c r="D684" s="8">
        <f>IFERROR(VLOOKUP($A684,DataDemande!$AA$63:$AE$700,4,FALSE)*VLOOKUP($A684,DataPrixBillets!$M$66:$Q$700,4,FALSE),"")</f>
        <v>0</v>
      </c>
      <c r="E684" s="8">
        <f>IFERROR(VLOOKUP($A684,DataDemande!$AA$63:$AE$700,5,FALSE)*VLOOKUP($A684,DataPrixBillets!$M$66:$Q$700,5,FALSE),"")</f>
        <v>0</v>
      </c>
      <c r="F684" s="21">
        <f t="shared" si="12"/>
        <v>0</v>
      </c>
    </row>
    <row r="685" spans="1:6" x14ac:dyDescent="0.3">
      <c r="A685" s="185" t="str">
        <f>DataDemande!AA744</f>
        <v/>
      </c>
      <c r="B685" s="8">
        <f>IFERROR(VLOOKUP($A685,DataDemande!$AA$63:$AE$700,2,FALSE)*VLOOKUP($A685,DataPrixBillets!$M$66:$Q$700,2,FALSE),"")</f>
        <v>0</v>
      </c>
      <c r="C685" s="8">
        <f>IFERROR(VLOOKUP($A685,DataDemande!$AA$63:$AE$700,3,FALSE)*VLOOKUP($A685,DataPrixBillets!$M$66:$Q$700,3,FALSE),"")</f>
        <v>0</v>
      </c>
      <c r="D685" s="8">
        <f>IFERROR(VLOOKUP($A685,DataDemande!$AA$63:$AE$700,4,FALSE)*VLOOKUP($A685,DataPrixBillets!$M$66:$Q$700,4,FALSE),"")</f>
        <v>0</v>
      </c>
      <c r="E685" s="8">
        <f>IFERROR(VLOOKUP($A685,DataDemande!$AA$63:$AE$700,5,FALSE)*VLOOKUP($A685,DataPrixBillets!$M$66:$Q$700,5,FALSE),"")</f>
        <v>0</v>
      </c>
      <c r="F685" s="21">
        <f t="shared" si="12"/>
        <v>0</v>
      </c>
    </row>
    <row r="686" spans="1:6" x14ac:dyDescent="0.3">
      <c r="A686" s="185" t="str">
        <f>DataDemande!AA745</f>
        <v/>
      </c>
      <c r="B686" s="8">
        <f>IFERROR(VLOOKUP($A686,DataDemande!$AA$63:$AE$700,2,FALSE)*VLOOKUP($A686,DataPrixBillets!$M$66:$Q$700,2,FALSE),"")</f>
        <v>0</v>
      </c>
      <c r="C686" s="8">
        <f>IFERROR(VLOOKUP($A686,DataDemande!$AA$63:$AE$700,3,FALSE)*VLOOKUP($A686,DataPrixBillets!$M$66:$Q$700,3,FALSE),"")</f>
        <v>0</v>
      </c>
      <c r="D686" s="8">
        <f>IFERROR(VLOOKUP($A686,DataDemande!$AA$63:$AE$700,4,FALSE)*VLOOKUP($A686,DataPrixBillets!$M$66:$Q$700,4,FALSE),"")</f>
        <v>0</v>
      </c>
      <c r="E686" s="8">
        <f>IFERROR(VLOOKUP($A686,DataDemande!$AA$63:$AE$700,5,FALSE)*VLOOKUP($A686,DataPrixBillets!$M$66:$Q$700,5,FALSE),"")</f>
        <v>0</v>
      </c>
      <c r="F686" s="21">
        <f t="shared" si="12"/>
        <v>0</v>
      </c>
    </row>
    <row r="687" spans="1:6" x14ac:dyDescent="0.3">
      <c r="A687" s="185" t="str">
        <f>DataDemande!AA746</f>
        <v/>
      </c>
      <c r="B687" s="8">
        <f>IFERROR(VLOOKUP($A687,DataDemande!$AA$63:$AE$700,2,FALSE)*VLOOKUP($A687,DataPrixBillets!$M$66:$Q$700,2,FALSE),"")</f>
        <v>0</v>
      </c>
      <c r="C687" s="8">
        <f>IFERROR(VLOOKUP($A687,DataDemande!$AA$63:$AE$700,3,FALSE)*VLOOKUP($A687,DataPrixBillets!$M$66:$Q$700,3,FALSE),"")</f>
        <v>0</v>
      </c>
      <c r="D687" s="8">
        <f>IFERROR(VLOOKUP($A687,DataDemande!$AA$63:$AE$700,4,FALSE)*VLOOKUP($A687,DataPrixBillets!$M$66:$Q$700,4,FALSE),"")</f>
        <v>0</v>
      </c>
      <c r="E687" s="8">
        <f>IFERROR(VLOOKUP($A687,DataDemande!$AA$63:$AE$700,5,FALSE)*VLOOKUP($A687,DataPrixBillets!$M$66:$Q$700,5,FALSE),"")</f>
        <v>0</v>
      </c>
      <c r="F687" s="21">
        <f t="shared" si="12"/>
        <v>0</v>
      </c>
    </row>
    <row r="688" spans="1:6" x14ac:dyDescent="0.3">
      <c r="A688" s="185" t="str">
        <f>DataDemande!AA747</f>
        <v/>
      </c>
      <c r="B688" s="8">
        <f>IFERROR(VLOOKUP($A688,DataDemande!$AA$63:$AE$700,2,FALSE)*VLOOKUP($A688,DataPrixBillets!$M$66:$Q$700,2,FALSE),"")</f>
        <v>0</v>
      </c>
      <c r="C688" s="8">
        <f>IFERROR(VLOOKUP($A688,DataDemande!$AA$63:$AE$700,3,FALSE)*VLOOKUP($A688,DataPrixBillets!$M$66:$Q$700,3,FALSE),"")</f>
        <v>0</v>
      </c>
      <c r="D688" s="8">
        <f>IFERROR(VLOOKUP($A688,DataDemande!$AA$63:$AE$700,4,FALSE)*VLOOKUP($A688,DataPrixBillets!$M$66:$Q$700,4,FALSE),"")</f>
        <v>0</v>
      </c>
      <c r="E688" s="8">
        <f>IFERROR(VLOOKUP($A688,DataDemande!$AA$63:$AE$700,5,FALSE)*VLOOKUP($A688,DataPrixBillets!$M$66:$Q$700,5,FALSE),"")</f>
        <v>0</v>
      </c>
      <c r="F688" s="21">
        <f t="shared" si="12"/>
        <v>0</v>
      </c>
    </row>
    <row r="689" spans="1:6" x14ac:dyDescent="0.3">
      <c r="A689" s="185" t="str">
        <f>DataDemande!AA748</f>
        <v/>
      </c>
      <c r="B689" s="8">
        <f>IFERROR(VLOOKUP($A689,DataDemande!$AA$63:$AE$700,2,FALSE)*VLOOKUP($A689,DataPrixBillets!$M$66:$Q$700,2,FALSE),"")</f>
        <v>0</v>
      </c>
      <c r="C689" s="8">
        <f>IFERROR(VLOOKUP($A689,DataDemande!$AA$63:$AE$700,3,FALSE)*VLOOKUP($A689,DataPrixBillets!$M$66:$Q$700,3,FALSE),"")</f>
        <v>0</v>
      </c>
      <c r="D689" s="8">
        <f>IFERROR(VLOOKUP($A689,DataDemande!$AA$63:$AE$700,4,FALSE)*VLOOKUP($A689,DataPrixBillets!$M$66:$Q$700,4,FALSE),"")</f>
        <v>0</v>
      </c>
      <c r="E689" s="8">
        <f>IFERROR(VLOOKUP($A689,DataDemande!$AA$63:$AE$700,5,FALSE)*VLOOKUP($A689,DataPrixBillets!$M$66:$Q$700,5,FALSE),"")</f>
        <v>0</v>
      </c>
      <c r="F689" s="21">
        <f t="shared" si="12"/>
        <v>0</v>
      </c>
    </row>
    <row r="690" spans="1:6" x14ac:dyDescent="0.3">
      <c r="A690" s="185" t="str">
        <f>DataDemande!AA749</f>
        <v/>
      </c>
      <c r="B690" s="8">
        <f>IFERROR(VLOOKUP($A690,DataDemande!$AA$63:$AE$700,2,FALSE)*VLOOKUP($A690,DataPrixBillets!$M$66:$Q$700,2,FALSE),"")</f>
        <v>0</v>
      </c>
      <c r="C690" s="8">
        <f>IFERROR(VLOOKUP($A690,DataDemande!$AA$63:$AE$700,3,FALSE)*VLOOKUP($A690,DataPrixBillets!$M$66:$Q$700,3,FALSE),"")</f>
        <v>0</v>
      </c>
      <c r="D690" s="8">
        <f>IFERROR(VLOOKUP($A690,DataDemande!$AA$63:$AE$700,4,FALSE)*VLOOKUP($A690,DataPrixBillets!$M$66:$Q$700,4,FALSE),"")</f>
        <v>0</v>
      </c>
      <c r="E690" s="8">
        <f>IFERROR(VLOOKUP($A690,DataDemande!$AA$63:$AE$700,5,FALSE)*VLOOKUP($A690,DataPrixBillets!$M$66:$Q$700,5,FALSE),"")</f>
        <v>0</v>
      </c>
      <c r="F690" s="21">
        <f t="shared" si="12"/>
        <v>0</v>
      </c>
    </row>
    <row r="691" spans="1:6" x14ac:dyDescent="0.3">
      <c r="A691" s="185" t="str">
        <f>DataDemande!AA750</f>
        <v/>
      </c>
      <c r="B691" s="8">
        <f>IFERROR(VLOOKUP($A691,DataDemande!$AA$63:$AE$700,2,FALSE)*VLOOKUP($A691,DataPrixBillets!$M$66:$Q$700,2,FALSE),"")</f>
        <v>0</v>
      </c>
      <c r="C691" s="8">
        <f>IFERROR(VLOOKUP($A691,DataDemande!$AA$63:$AE$700,3,FALSE)*VLOOKUP($A691,DataPrixBillets!$M$66:$Q$700,3,FALSE),"")</f>
        <v>0</v>
      </c>
      <c r="D691" s="8">
        <f>IFERROR(VLOOKUP($A691,DataDemande!$AA$63:$AE$700,4,FALSE)*VLOOKUP($A691,DataPrixBillets!$M$66:$Q$700,4,FALSE),"")</f>
        <v>0</v>
      </c>
      <c r="E691" s="8">
        <f>IFERROR(VLOOKUP($A691,DataDemande!$AA$63:$AE$700,5,FALSE)*VLOOKUP($A691,DataPrixBillets!$M$66:$Q$700,5,FALSE),"")</f>
        <v>0</v>
      </c>
      <c r="F691" s="21">
        <f t="shared" si="12"/>
        <v>0</v>
      </c>
    </row>
    <row r="692" spans="1:6" x14ac:dyDescent="0.3">
      <c r="A692" s="185" t="str">
        <f>DataDemande!AA751</f>
        <v/>
      </c>
      <c r="B692" s="8">
        <f>IFERROR(VLOOKUP($A692,DataDemande!$AA$63:$AE$700,2,FALSE)*VLOOKUP($A692,DataPrixBillets!$M$66:$Q$700,2,FALSE),"")</f>
        <v>0</v>
      </c>
      <c r="C692" s="8">
        <f>IFERROR(VLOOKUP($A692,DataDemande!$AA$63:$AE$700,3,FALSE)*VLOOKUP($A692,DataPrixBillets!$M$66:$Q$700,3,FALSE),"")</f>
        <v>0</v>
      </c>
      <c r="D692" s="8">
        <f>IFERROR(VLOOKUP($A692,DataDemande!$AA$63:$AE$700,4,FALSE)*VLOOKUP($A692,DataPrixBillets!$M$66:$Q$700,4,FALSE),"")</f>
        <v>0</v>
      </c>
      <c r="E692" s="8">
        <f>IFERROR(VLOOKUP($A692,DataDemande!$AA$63:$AE$700,5,FALSE)*VLOOKUP($A692,DataPrixBillets!$M$66:$Q$700,5,FALSE),"")</f>
        <v>0</v>
      </c>
      <c r="F692" s="21">
        <f t="shared" si="12"/>
        <v>0</v>
      </c>
    </row>
    <row r="693" spans="1:6" x14ac:dyDescent="0.3">
      <c r="A693" s="185" t="str">
        <f>DataDemande!AA752</f>
        <v/>
      </c>
      <c r="B693" s="8">
        <f>IFERROR(VLOOKUP($A693,DataDemande!$AA$63:$AE$700,2,FALSE)*VLOOKUP($A693,DataPrixBillets!$M$66:$Q$700,2,FALSE),"")</f>
        <v>0</v>
      </c>
      <c r="C693" s="8">
        <f>IFERROR(VLOOKUP($A693,DataDemande!$AA$63:$AE$700,3,FALSE)*VLOOKUP($A693,DataPrixBillets!$M$66:$Q$700,3,FALSE),"")</f>
        <v>0</v>
      </c>
      <c r="D693" s="8">
        <f>IFERROR(VLOOKUP($A693,DataDemande!$AA$63:$AE$700,4,FALSE)*VLOOKUP($A693,DataPrixBillets!$M$66:$Q$700,4,FALSE),"")</f>
        <v>0</v>
      </c>
      <c r="E693" s="8">
        <f>IFERROR(VLOOKUP($A693,DataDemande!$AA$63:$AE$700,5,FALSE)*VLOOKUP($A693,DataPrixBillets!$M$66:$Q$700,5,FALSE),"")</f>
        <v>0</v>
      </c>
      <c r="F693" s="21">
        <f t="shared" si="12"/>
        <v>0</v>
      </c>
    </row>
    <row r="694" spans="1:6" x14ac:dyDescent="0.3">
      <c r="A694" s="185" t="str">
        <f>DataDemande!AA753</f>
        <v/>
      </c>
      <c r="B694" s="8">
        <f>IFERROR(VLOOKUP($A694,DataDemande!$AA$63:$AE$700,2,FALSE)*VLOOKUP($A694,DataPrixBillets!$M$66:$Q$700,2,FALSE),"")</f>
        <v>0</v>
      </c>
      <c r="C694" s="8">
        <f>IFERROR(VLOOKUP($A694,DataDemande!$AA$63:$AE$700,3,FALSE)*VLOOKUP($A694,DataPrixBillets!$M$66:$Q$700,3,FALSE),"")</f>
        <v>0</v>
      </c>
      <c r="D694" s="8">
        <f>IFERROR(VLOOKUP($A694,DataDemande!$AA$63:$AE$700,4,FALSE)*VLOOKUP($A694,DataPrixBillets!$M$66:$Q$700,4,FALSE),"")</f>
        <v>0</v>
      </c>
      <c r="E694" s="8">
        <f>IFERROR(VLOOKUP($A694,DataDemande!$AA$63:$AE$700,5,FALSE)*VLOOKUP($A694,DataPrixBillets!$M$66:$Q$700,5,FALSE),"")</f>
        <v>0</v>
      </c>
      <c r="F694" s="21">
        <f t="shared" si="12"/>
        <v>0</v>
      </c>
    </row>
    <row r="695" spans="1:6" x14ac:dyDescent="0.3">
      <c r="A695" s="185" t="str">
        <f>DataDemande!AA754</f>
        <v/>
      </c>
      <c r="B695" s="8">
        <f>IFERROR(VLOOKUP($A695,DataDemande!$AA$63:$AE$700,2,FALSE)*VLOOKUP($A695,DataPrixBillets!$M$66:$Q$700,2,FALSE),"")</f>
        <v>0</v>
      </c>
      <c r="C695" s="8">
        <f>IFERROR(VLOOKUP($A695,DataDemande!$AA$63:$AE$700,3,FALSE)*VLOOKUP($A695,DataPrixBillets!$M$66:$Q$700,3,FALSE),"")</f>
        <v>0</v>
      </c>
      <c r="D695" s="8">
        <f>IFERROR(VLOOKUP($A695,DataDemande!$AA$63:$AE$700,4,FALSE)*VLOOKUP($A695,DataPrixBillets!$M$66:$Q$700,4,FALSE),"")</f>
        <v>0</v>
      </c>
      <c r="E695" s="8">
        <f>IFERROR(VLOOKUP($A695,DataDemande!$AA$63:$AE$700,5,FALSE)*VLOOKUP($A695,DataPrixBillets!$M$66:$Q$700,5,FALSE),"")</f>
        <v>0</v>
      </c>
      <c r="F695" s="21">
        <f t="shared" si="12"/>
        <v>0</v>
      </c>
    </row>
    <row r="696" spans="1:6" x14ac:dyDescent="0.3">
      <c r="A696" s="185" t="str">
        <f>DataDemande!AA755</f>
        <v/>
      </c>
      <c r="B696" s="8">
        <f>IFERROR(VLOOKUP($A696,DataDemande!$AA$63:$AE$700,2,FALSE)*VLOOKUP($A696,DataPrixBillets!$M$66:$Q$700,2,FALSE),"")</f>
        <v>0</v>
      </c>
      <c r="C696" s="8">
        <f>IFERROR(VLOOKUP($A696,DataDemande!$AA$63:$AE$700,3,FALSE)*VLOOKUP($A696,DataPrixBillets!$M$66:$Q$700,3,FALSE),"")</f>
        <v>0</v>
      </c>
      <c r="D696" s="8">
        <f>IFERROR(VLOOKUP($A696,DataDemande!$AA$63:$AE$700,4,FALSE)*VLOOKUP($A696,DataPrixBillets!$M$66:$Q$700,4,FALSE),"")</f>
        <v>0</v>
      </c>
      <c r="E696" s="8">
        <f>IFERROR(VLOOKUP($A696,DataDemande!$AA$63:$AE$700,5,FALSE)*VLOOKUP($A696,DataPrixBillets!$M$66:$Q$700,5,FALSE),"")</f>
        <v>0</v>
      </c>
      <c r="F696" s="21">
        <f t="shared" si="12"/>
        <v>0</v>
      </c>
    </row>
    <row r="697" spans="1:6" x14ac:dyDescent="0.3">
      <c r="A697" s="185" t="str">
        <f>DataDemande!AA756</f>
        <v/>
      </c>
      <c r="B697" s="8">
        <f>IFERROR(VLOOKUP($A697,DataDemande!$AA$63:$AE$700,2,FALSE)*VLOOKUP($A697,DataPrixBillets!$M$66:$Q$700,2,FALSE),"")</f>
        <v>0</v>
      </c>
      <c r="C697" s="8">
        <f>IFERROR(VLOOKUP($A697,DataDemande!$AA$63:$AE$700,3,FALSE)*VLOOKUP($A697,DataPrixBillets!$M$66:$Q$700,3,FALSE),"")</f>
        <v>0</v>
      </c>
      <c r="D697" s="8">
        <f>IFERROR(VLOOKUP($A697,DataDemande!$AA$63:$AE$700,4,FALSE)*VLOOKUP($A697,DataPrixBillets!$M$66:$Q$700,4,FALSE),"")</f>
        <v>0</v>
      </c>
      <c r="E697" s="8">
        <f>IFERROR(VLOOKUP($A697,DataDemande!$AA$63:$AE$700,5,FALSE)*VLOOKUP($A697,DataPrixBillets!$M$66:$Q$700,5,FALSE),"")</f>
        <v>0</v>
      </c>
      <c r="F697" s="21">
        <f t="shared" si="12"/>
        <v>0</v>
      </c>
    </row>
    <row r="698" spans="1:6" x14ac:dyDescent="0.3">
      <c r="A698" s="185" t="str">
        <f>DataDemande!AA757</f>
        <v/>
      </c>
      <c r="B698" s="8">
        <f>IFERROR(VLOOKUP($A698,DataDemande!$AA$63:$AE$700,2,FALSE)*VLOOKUP($A698,DataPrixBillets!$M$66:$Q$700,2,FALSE),"")</f>
        <v>0</v>
      </c>
      <c r="C698" s="8">
        <f>IFERROR(VLOOKUP($A698,DataDemande!$AA$63:$AE$700,3,FALSE)*VLOOKUP($A698,DataPrixBillets!$M$66:$Q$700,3,FALSE),"")</f>
        <v>0</v>
      </c>
      <c r="D698" s="8">
        <f>IFERROR(VLOOKUP($A698,DataDemande!$AA$63:$AE$700,4,FALSE)*VLOOKUP($A698,DataPrixBillets!$M$66:$Q$700,4,FALSE),"")</f>
        <v>0</v>
      </c>
      <c r="E698" s="8">
        <f>IFERROR(VLOOKUP($A698,DataDemande!$AA$63:$AE$700,5,FALSE)*VLOOKUP($A698,DataPrixBillets!$M$66:$Q$700,5,FALSE),"")</f>
        <v>0</v>
      </c>
      <c r="F698" s="21">
        <f t="shared" si="12"/>
        <v>0</v>
      </c>
    </row>
    <row r="699" spans="1:6" x14ac:dyDescent="0.3">
      <c r="A699" s="185" t="str">
        <f>DataDemande!AA758</f>
        <v/>
      </c>
      <c r="B699" s="8">
        <f>IFERROR(VLOOKUP($A699,DataDemande!$AA$63:$AE$700,2,FALSE)*VLOOKUP($A699,DataPrixBillets!$M$66:$Q$700,2,FALSE),"")</f>
        <v>0</v>
      </c>
      <c r="C699" s="8">
        <f>IFERROR(VLOOKUP($A699,DataDemande!$AA$63:$AE$700,3,FALSE)*VLOOKUP($A699,DataPrixBillets!$M$66:$Q$700,3,FALSE),"")</f>
        <v>0</v>
      </c>
      <c r="D699" s="8">
        <f>IFERROR(VLOOKUP($A699,DataDemande!$AA$63:$AE$700,4,FALSE)*VLOOKUP($A699,DataPrixBillets!$M$66:$Q$700,4,FALSE),"")</f>
        <v>0</v>
      </c>
      <c r="E699" s="8">
        <f>IFERROR(VLOOKUP($A699,DataDemande!$AA$63:$AE$700,5,FALSE)*VLOOKUP($A699,DataPrixBillets!$M$66:$Q$700,5,FALSE),"")</f>
        <v>0</v>
      </c>
      <c r="F699" s="21">
        <f t="shared" si="12"/>
        <v>0</v>
      </c>
    </row>
    <row r="700" spans="1:6" x14ac:dyDescent="0.3">
      <c r="A700" s="185" t="str">
        <f>DataDemande!AA759</f>
        <v/>
      </c>
      <c r="B700" s="8">
        <f>IFERROR(VLOOKUP($A700,DataDemande!$AA$63:$AE$700,2,FALSE)*VLOOKUP($A700,DataPrixBillets!$M$66:$Q$700,2,FALSE),"")</f>
        <v>0</v>
      </c>
      <c r="C700" s="8">
        <f>IFERROR(VLOOKUP($A700,DataDemande!$AA$63:$AE$700,3,FALSE)*VLOOKUP($A700,DataPrixBillets!$M$66:$Q$700,3,FALSE),"")</f>
        <v>0</v>
      </c>
      <c r="D700" s="8">
        <f>IFERROR(VLOOKUP($A700,DataDemande!$AA$63:$AE$700,4,FALSE)*VLOOKUP($A700,DataPrixBillets!$M$66:$Q$700,4,FALSE),"")</f>
        <v>0</v>
      </c>
      <c r="E700" s="8">
        <f>IFERROR(VLOOKUP($A700,DataDemande!$AA$63:$AE$700,5,FALSE)*VLOOKUP($A700,DataPrixBillets!$M$66:$Q$700,5,FALSE),"")</f>
        <v>0</v>
      </c>
      <c r="F700" s="21">
        <f t="shared" si="12"/>
        <v>0</v>
      </c>
    </row>
    <row r="701" spans="1:6" x14ac:dyDescent="0.3">
      <c r="A701" s="185" t="str">
        <f>DataDemande!AA760</f>
        <v/>
      </c>
      <c r="B701" s="8">
        <f>IFERROR(VLOOKUP($A701,DataDemande!$AA$63:$AE$700,2,FALSE)*VLOOKUP($A701,DataPrixBillets!$M$66:$Q$700,2,FALSE),"")</f>
        <v>0</v>
      </c>
      <c r="C701" s="8">
        <f>IFERROR(VLOOKUP($A701,DataDemande!$AA$63:$AE$700,3,FALSE)*VLOOKUP($A701,DataPrixBillets!$M$66:$Q$700,3,FALSE),"")</f>
        <v>0</v>
      </c>
      <c r="D701" s="8">
        <f>IFERROR(VLOOKUP($A701,DataDemande!$AA$63:$AE$700,4,FALSE)*VLOOKUP($A701,DataPrixBillets!$M$66:$Q$700,4,FALSE),"")</f>
        <v>0</v>
      </c>
      <c r="E701" s="8">
        <f>IFERROR(VLOOKUP($A701,DataDemande!$AA$63:$AE$700,5,FALSE)*VLOOKUP($A701,DataPrixBillets!$M$66:$Q$700,5,FALSE),"")</f>
        <v>0</v>
      </c>
      <c r="F701" s="21">
        <f t="shared" si="12"/>
        <v>0</v>
      </c>
    </row>
    <row r="702" spans="1:6" x14ac:dyDescent="0.3">
      <c r="A702" s="185" t="str">
        <f>DataDemande!AA761</f>
        <v/>
      </c>
      <c r="B702" s="8">
        <f>IFERROR(VLOOKUP($A702,DataDemande!$AA$63:$AE$700,2,FALSE)*VLOOKUP($A702,DataPrixBillets!$M$66:$Q$700,2,FALSE),"")</f>
        <v>0</v>
      </c>
      <c r="C702" s="8">
        <f>IFERROR(VLOOKUP($A702,DataDemande!$AA$63:$AE$700,3,FALSE)*VLOOKUP($A702,DataPrixBillets!$M$66:$Q$700,3,FALSE),"")</f>
        <v>0</v>
      </c>
      <c r="D702" s="8">
        <f>IFERROR(VLOOKUP($A702,DataDemande!$AA$63:$AE$700,4,FALSE)*VLOOKUP($A702,DataPrixBillets!$M$66:$Q$700,4,FALSE),"")</f>
        <v>0</v>
      </c>
      <c r="E702" s="8">
        <f>IFERROR(VLOOKUP($A702,DataDemande!$AA$63:$AE$700,5,FALSE)*VLOOKUP($A702,DataPrixBillets!$M$66:$Q$700,5,FALSE),"")</f>
        <v>0</v>
      </c>
      <c r="F702" s="21">
        <f t="shared" si="12"/>
        <v>0</v>
      </c>
    </row>
    <row r="703" spans="1:6" x14ac:dyDescent="0.3">
      <c r="A703" s="185" t="str">
        <f>DataDemande!AA762</f>
        <v/>
      </c>
      <c r="B703" s="8">
        <f>IFERROR(VLOOKUP($A703,DataDemande!$AA$63:$AE$700,2,FALSE)*VLOOKUP($A703,DataPrixBillets!$M$66:$Q$700,2,FALSE),"")</f>
        <v>0</v>
      </c>
      <c r="C703" s="8">
        <f>IFERROR(VLOOKUP($A703,DataDemande!$AA$63:$AE$700,3,FALSE)*VLOOKUP($A703,DataPrixBillets!$M$66:$Q$700,3,FALSE),"")</f>
        <v>0</v>
      </c>
      <c r="D703" s="8">
        <f>IFERROR(VLOOKUP($A703,DataDemande!$AA$63:$AE$700,4,FALSE)*VLOOKUP($A703,DataPrixBillets!$M$66:$Q$700,4,FALSE),"")</f>
        <v>0</v>
      </c>
      <c r="E703" s="8">
        <f>IFERROR(VLOOKUP($A703,DataDemande!$AA$63:$AE$700,5,FALSE)*VLOOKUP($A703,DataPrixBillets!$M$66:$Q$700,5,FALSE),"")</f>
        <v>0</v>
      </c>
      <c r="F703" s="21">
        <f t="shared" si="12"/>
        <v>0</v>
      </c>
    </row>
    <row r="704" spans="1:6" x14ac:dyDescent="0.3">
      <c r="A704" s="185" t="str">
        <f>DataDemande!AA763</f>
        <v/>
      </c>
      <c r="B704" s="8">
        <f>IFERROR(VLOOKUP($A704,DataDemande!$AA$63:$AE$700,2,FALSE)*VLOOKUP($A704,DataPrixBillets!$M$66:$Q$700,2,FALSE),"")</f>
        <v>0</v>
      </c>
      <c r="C704" s="8">
        <f>IFERROR(VLOOKUP($A704,DataDemande!$AA$63:$AE$700,3,FALSE)*VLOOKUP($A704,DataPrixBillets!$M$66:$Q$700,3,FALSE),"")</f>
        <v>0</v>
      </c>
      <c r="D704" s="8">
        <f>IFERROR(VLOOKUP($A704,DataDemande!$AA$63:$AE$700,4,FALSE)*VLOOKUP($A704,DataPrixBillets!$M$66:$Q$700,4,FALSE),"")</f>
        <v>0</v>
      </c>
      <c r="E704" s="8">
        <f>IFERROR(VLOOKUP($A704,DataDemande!$AA$63:$AE$700,5,FALSE)*VLOOKUP($A704,DataPrixBillets!$M$66:$Q$700,5,FALSE),"")</f>
        <v>0</v>
      </c>
      <c r="F704" s="21">
        <f t="shared" si="12"/>
        <v>0</v>
      </c>
    </row>
    <row r="705" spans="1:6" x14ac:dyDescent="0.3">
      <c r="A705" s="185" t="str">
        <f>DataDemande!AA764</f>
        <v/>
      </c>
      <c r="B705" s="8">
        <f>IFERROR(VLOOKUP($A705,DataDemande!$AA$63:$AE$700,2,FALSE)*VLOOKUP($A705,DataPrixBillets!$M$66:$Q$700,2,FALSE),"")</f>
        <v>0</v>
      </c>
      <c r="C705" s="8">
        <f>IFERROR(VLOOKUP($A705,DataDemande!$AA$63:$AE$700,3,FALSE)*VLOOKUP($A705,DataPrixBillets!$M$66:$Q$700,3,FALSE),"")</f>
        <v>0</v>
      </c>
      <c r="D705" s="8">
        <f>IFERROR(VLOOKUP($A705,DataDemande!$AA$63:$AE$700,4,FALSE)*VLOOKUP($A705,DataPrixBillets!$M$66:$Q$700,4,FALSE),"")</f>
        <v>0</v>
      </c>
      <c r="E705" s="8">
        <f>IFERROR(VLOOKUP($A705,DataDemande!$AA$63:$AE$700,5,FALSE)*VLOOKUP($A705,DataPrixBillets!$M$66:$Q$700,5,FALSE),"")</f>
        <v>0</v>
      </c>
      <c r="F705" s="21">
        <f t="shared" si="12"/>
        <v>0</v>
      </c>
    </row>
    <row r="706" spans="1:6" x14ac:dyDescent="0.3">
      <c r="A706" s="185" t="str">
        <f>DataDemande!AA765</f>
        <v/>
      </c>
      <c r="B706" s="8">
        <f>IFERROR(VLOOKUP($A706,DataDemande!$AA$63:$AE$700,2,FALSE)*VLOOKUP($A706,DataPrixBillets!$M$66:$Q$700,2,FALSE),"")</f>
        <v>0</v>
      </c>
      <c r="C706" s="8">
        <f>IFERROR(VLOOKUP($A706,DataDemande!$AA$63:$AE$700,3,FALSE)*VLOOKUP($A706,DataPrixBillets!$M$66:$Q$700,3,FALSE),"")</f>
        <v>0</v>
      </c>
      <c r="D706" s="8">
        <f>IFERROR(VLOOKUP($A706,DataDemande!$AA$63:$AE$700,4,FALSE)*VLOOKUP($A706,DataPrixBillets!$M$66:$Q$700,4,FALSE),"")</f>
        <v>0</v>
      </c>
      <c r="E706" s="8">
        <f>IFERROR(VLOOKUP($A706,DataDemande!$AA$63:$AE$700,5,FALSE)*VLOOKUP($A706,DataPrixBillets!$M$66:$Q$700,5,FALSE),"")</f>
        <v>0</v>
      </c>
      <c r="F706" s="21">
        <f t="shared" si="12"/>
        <v>0</v>
      </c>
    </row>
    <row r="707" spans="1:6" x14ac:dyDescent="0.3">
      <c r="A707" s="185" t="str">
        <f>DataDemande!AA766</f>
        <v/>
      </c>
      <c r="B707" s="8">
        <f>IFERROR(VLOOKUP($A707,DataDemande!$AA$63:$AE$700,2,FALSE)*VLOOKUP($A707,DataPrixBillets!$M$66:$Q$700,2,FALSE),"")</f>
        <v>0</v>
      </c>
      <c r="C707" s="8">
        <f>IFERROR(VLOOKUP($A707,DataDemande!$AA$63:$AE$700,3,FALSE)*VLOOKUP($A707,DataPrixBillets!$M$66:$Q$700,3,FALSE),"")</f>
        <v>0</v>
      </c>
      <c r="D707" s="8">
        <f>IFERROR(VLOOKUP($A707,DataDemande!$AA$63:$AE$700,4,FALSE)*VLOOKUP($A707,DataPrixBillets!$M$66:$Q$700,4,FALSE),"")</f>
        <v>0</v>
      </c>
      <c r="E707" s="8">
        <f>IFERROR(VLOOKUP($A707,DataDemande!$AA$63:$AE$700,5,FALSE)*VLOOKUP($A707,DataPrixBillets!$M$66:$Q$700,5,FALSE),"")</f>
        <v>0</v>
      </c>
      <c r="F707" s="21">
        <f t="shared" si="12"/>
        <v>0</v>
      </c>
    </row>
    <row r="708" spans="1:6" x14ac:dyDescent="0.3">
      <c r="A708" s="185" t="str">
        <f>DataDemande!AA767</f>
        <v/>
      </c>
      <c r="B708" s="8">
        <f>IFERROR(VLOOKUP($A708,DataDemande!$AA$63:$AE$700,2,FALSE)*VLOOKUP($A708,DataPrixBillets!$M$66:$Q$700,2,FALSE),"")</f>
        <v>0</v>
      </c>
      <c r="C708" s="8">
        <f>IFERROR(VLOOKUP($A708,DataDemande!$AA$63:$AE$700,3,FALSE)*VLOOKUP($A708,DataPrixBillets!$M$66:$Q$700,3,FALSE),"")</f>
        <v>0</v>
      </c>
      <c r="D708" s="8">
        <f>IFERROR(VLOOKUP($A708,DataDemande!$AA$63:$AE$700,4,FALSE)*VLOOKUP($A708,DataPrixBillets!$M$66:$Q$700,4,FALSE),"")</f>
        <v>0</v>
      </c>
      <c r="E708" s="8">
        <f>IFERROR(VLOOKUP($A708,DataDemande!$AA$63:$AE$700,5,FALSE)*VLOOKUP($A708,DataPrixBillets!$M$66:$Q$700,5,FALSE),"")</f>
        <v>0</v>
      </c>
      <c r="F708" s="21">
        <f t="shared" si="12"/>
        <v>0</v>
      </c>
    </row>
    <row r="709" spans="1:6" x14ac:dyDescent="0.3">
      <c r="A709" s="185" t="str">
        <f>DataDemande!AA768</f>
        <v/>
      </c>
      <c r="B709" s="8">
        <f>IFERROR(VLOOKUP($A709,DataDemande!$AA$63:$AE$700,2,FALSE)*VLOOKUP($A709,DataPrixBillets!$M$66:$Q$700,2,FALSE),"")</f>
        <v>0</v>
      </c>
      <c r="C709" s="8">
        <f>IFERROR(VLOOKUP($A709,DataDemande!$AA$63:$AE$700,3,FALSE)*VLOOKUP($A709,DataPrixBillets!$M$66:$Q$700,3,FALSE),"")</f>
        <v>0</v>
      </c>
      <c r="D709" s="8">
        <f>IFERROR(VLOOKUP($A709,DataDemande!$AA$63:$AE$700,4,FALSE)*VLOOKUP($A709,DataPrixBillets!$M$66:$Q$700,4,FALSE),"")</f>
        <v>0</v>
      </c>
      <c r="E709" s="8">
        <f>IFERROR(VLOOKUP($A709,DataDemande!$AA$63:$AE$700,5,FALSE)*VLOOKUP($A709,DataPrixBillets!$M$66:$Q$700,5,FALSE),"")</f>
        <v>0</v>
      </c>
      <c r="F709" s="21">
        <f t="shared" ref="F709:F738" si="13">SUM(B709:E709)</f>
        <v>0</v>
      </c>
    </row>
    <row r="710" spans="1:6" x14ac:dyDescent="0.3">
      <c r="A710" s="185" t="str">
        <f>DataDemande!AA769</f>
        <v/>
      </c>
      <c r="B710" s="8">
        <f>IFERROR(VLOOKUP($A710,DataDemande!$AA$63:$AE$700,2,FALSE)*VLOOKUP($A710,DataPrixBillets!$M$66:$Q$700,2,FALSE),"")</f>
        <v>0</v>
      </c>
      <c r="C710" s="8">
        <f>IFERROR(VLOOKUP($A710,DataDemande!$AA$63:$AE$700,3,FALSE)*VLOOKUP($A710,DataPrixBillets!$M$66:$Q$700,3,FALSE),"")</f>
        <v>0</v>
      </c>
      <c r="D710" s="8">
        <f>IFERROR(VLOOKUP($A710,DataDemande!$AA$63:$AE$700,4,FALSE)*VLOOKUP($A710,DataPrixBillets!$M$66:$Q$700,4,FALSE),"")</f>
        <v>0</v>
      </c>
      <c r="E710" s="8">
        <f>IFERROR(VLOOKUP($A710,DataDemande!$AA$63:$AE$700,5,FALSE)*VLOOKUP($A710,DataPrixBillets!$M$66:$Q$700,5,FALSE),"")</f>
        <v>0</v>
      </c>
      <c r="F710" s="21">
        <f t="shared" si="13"/>
        <v>0</v>
      </c>
    </row>
    <row r="711" spans="1:6" x14ac:dyDescent="0.3">
      <c r="A711" s="185" t="str">
        <f>DataDemande!AA770</f>
        <v/>
      </c>
      <c r="B711" s="8">
        <f>IFERROR(VLOOKUP($A711,DataDemande!$AA$63:$AE$700,2,FALSE)*VLOOKUP($A711,DataPrixBillets!$M$66:$Q$700,2,FALSE),"")</f>
        <v>0</v>
      </c>
      <c r="C711" s="8">
        <f>IFERROR(VLOOKUP($A711,DataDemande!$AA$63:$AE$700,3,FALSE)*VLOOKUP($A711,DataPrixBillets!$M$66:$Q$700,3,FALSE),"")</f>
        <v>0</v>
      </c>
      <c r="D711" s="8">
        <f>IFERROR(VLOOKUP($A711,DataDemande!$AA$63:$AE$700,4,FALSE)*VLOOKUP($A711,DataPrixBillets!$M$66:$Q$700,4,FALSE),"")</f>
        <v>0</v>
      </c>
      <c r="E711" s="8">
        <f>IFERROR(VLOOKUP($A711,DataDemande!$AA$63:$AE$700,5,FALSE)*VLOOKUP($A711,DataPrixBillets!$M$66:$Q$700,5,FALSE),"")</f>
        <v>0</v>
      </c>
      <c r="F711" s="21">
        <f t="shared" si="13"/>
        <v>0</v>
      </c>
    </row>
    <row r="712" spans="1:6" x14ac:dyDescent="0.3">
      <c r="A712" s="185" t="str">
        <f>DataDemande!AA771</f>
        <v/>
      </c>
      <c r="B712" s="8">
        <f>IFERROR(VLOOKUP($A712,DataDemande!$AA$63:$AE$700,2,FALSE)*VLOOKUP($A712,DataPrixBillets!$M$66:$Q$700,2,FALSE),"")</f>
        <v>0</v>
      </c>
      <c r="C712" s="8">
        <f>IFERROR(VLOOKUP($A712,DataDemande!$AA$63:$AE$700,3,FALSE)*VLOOKUP($A712,DataPrixBillets!$M$66:$Q$700,3,FALSE),"")</f>
        <v>0</v>
      </c>
      <c r="D712" s="8">
        <f>IFERROR(VLOOKUP($A712,DataDemande!$AA$63:$AE$700,4,FALSE)*VLOOKUP($A712,DataPrixBillets!$M$66:$Q$700,4,FALSE),"")</f>
        <v>0</v>
      </c>
      <c r="E712" s="8">
        <f>IFERROR(VLOOKUP($A712,DataDemande!$AA$63:$AE$700,5,FALSE)*VLOOKUP($A712,DataPrixBillets!$M$66:$Q$700,5,FALSE),"")</f>
        <v>0</v>
      </c>
      <c r="F712" s="21">
        <f t="shared" si="13"/>
        <v>0</v>
      </c>
    </row>
    <row r="713" spans="1:6" x14ac:dyDescent="0.3">
      <c r="A713" s="185" t="str">
        <f>DataDemande!AA772</f>
        <v/>
      </c>
      <c r="B713" s="8">
        <f>IFERROR(VLOOKUP($A713,DataDemande!$AA$63:$AE$700,2,FALSE)*VLOOKUP($A713,DataPrixBillets!$M$66:$Q$700,2,FALSE),"")</f>
        <v>0</v>
      </c>
      <c r="C713" s="8">
        <f>IFERROR(VLOOKUP($A713,DataDemande!$AA$63:$AE$700,3,FALSE)*VLOOKUP($A713,DataPrixBillets!$M$66:$Q$700,3,FALSE),"")</f>
        <v>0</v>
      </c>
      <c r="D713" s="8">
        <f>IFERROR(VLOOKUP($A713,DataDemande!$AA$63:$AE$700,4,FALSE)*VLOOKUP($A713,DataPrixBillets!$M$66:$Q$700,4,FALSE),"")</f>
        <v>0</v>
      </c>
      <c r="E713" s="8">
        <f>IFERROR(VLOOKUP($A713,DataDemande!$AA$63:$AE$700,5,FALSE)*VLOOKUP($A713,DataPrixBillets!$M$66:$Q$700,5,FALSE),"")</f>
        <v>0</v>
      </c>
      <c r="F713" s="21">
        <f t="shared" si="13"/>
        <v>0</v>
      </c>
    </row>
    <row r="714" spans="1:6" x14ac:dyDescent="0.3">
      <c r="A714" s="185" t="str">
        <f>DataDemande!AA773</f>
        <v/>
      </c>
      <c r="B714" s="8">
        <f>IFERROR(VLOOKUP($A714,DataDemande!$AA$63:$AE$700,2,FALSE)*VLOOKUP($A714,DataPrixBillets!$M$66:$Q$700,2,FALSE),"")</f>
        <v>0</v>
      </c>
      <c r="C714" s="8">
        <f>IFERROR(VLOOKUP($A714,DataDemande!$AA$63:$AE$700,3,FALSE)*VLOOKUP($A714,DataPrixBillets!$M$66:$Q$700,3,FALSE),"")</f>
        <v>0</v>
      </c>
      <c r="D714" s="8">
        <f>IFERROR(VLOOKUP($A714,DataDemande!$AA$63:$AE$700,4,FALSE)*VLOOKUP($A714,DataPrixBillets!$M$66:$Q$700,4,FALSE),"")</f>
        <v>0</v>
      </c>
      <c r="E714" s="8">
        <f>IFERROR(VLOOKUP($A714,DataDemande!$AA$63:$AE$700,5,FALSE)*VLOOKUP($A714,DataPrixBillets!$M$66:$Q$700,5,FALSE),"")</f>
        <v>0</v>
      </c>
      <c r="F714" s="21">
        <f t="shared" si="13"/>
        <v>0</v>
      </c>
    </row>
    <row r="715" spans="1:6" x14ac:dyDescent="0.3">
      <c r="A715" s="185" t="str">
        <f>DataDemande!AA774</f>
        <v/>
      </c>
      <c r="B715" s="8">
        <f>IFERROR(VLOOKUP($A715,DataDemande!$AA$63:$AE$700,2,FALSE)*VLOOKUP($A715,DataPrixBillets!$M$66:$Q$700,2,FALSE),"")</f>
        <v>0</v>
      </c>
      <c r="C715" s="8">
        <f>IFERROR(VLOOKUP($A715,DataDemande!$AA$63:$AE$700,3,FALSE)*VLOOKUP($A715,DataPrixBillets!$M$66:$Q$700,3,FALSE),"")</f>
        <v>0</v>
      </c>
      <c r="D715" s="8">
        <f>IFERROR(VLOOKUP($A715,DataDemande!$AA$63:$AE$700,4,FALSE)*VLOOKUP($A715,DataPrixBillets!$M$66:$Q$700,4,FALSE),"")</f>
        <v>0</v>
      </c>
      <c r="E715" s="8">
        <f>IFERROR(VLOOKUP($A715,DataDemande!$AA$63:$AE$700,5,FALSE)*VLOOKUP($A715,DataPrixBillets!$M$66:$Q$700,5,FALSE),"")</f>
        <v>0</v>
      </c>
      <c r="F715" s="21">
        <f t="shared" si="13"/>
        <v>0</v>
      </c>
    </row>
    <row r="716" spans="1:6" x14ac:dyDescent="0.3">
      <c r="A716" s="185" t="str">
        <f>DataDemande!AA775</f>
        <v/>
      </c>
      <c r="B716" s="8">
        <f>IFERROR(VLOOKUP($A716,DataDemande!$AA$63:$AE$700,2,FALSE)*VLOOKUP($A716,DataPrixBillets!$M$66:$Q$700,2,FALSE),"")</f>
        <v>0</v>
      </c>
      <c r="C716" s="8">
        <f>IFERROR(VLOOKUP($A716,DataDemande!$AA$63:$AE$700,3,FALSE)*VLOOKUP($A716,DataPrixBillets!$M$66:$Q$700,3,FALSE),"")</f>
        <v>0</v>
      </c>
      <c r="D716" s="8">
        <f>IFERROR(VLOOKUP($A716,DataDemande!$AA$63:$AE$700,4,FALSE)*VLOOKUP($A716,DataPrixBillets!$M$66:$Q$700,4,FALSE),"")</f>
        <v>0</v>
      </c>
      <c r="E716" s="8">
        <f>IFERROR(VLOOKUP($A716,DataDemande!$AA$63:$AE$700,5,FALSE)*VLOOKUP($A716,DataPrixBillets!$M$66:$Q$700,5,FALSE),"")</f>
        <v>0</v>
      </c>
      <c r="F716" s="21">
        <f t="shared" si="13"/>
        <v>0</v>
      </c>
    </row>
    <row r="717" spans="1:6" x14ac:dyDescent="0.3">
      <c r="A717" s="185" t="str">
        <f>DataDemande!AA776</f>
        <v/>
      </c>
      <c r="B717" s="8">
        <f>IFERROR(VLOOKUP($A717,DataDemande!$AA$63:$AE$700,2,FALSE)*VLOOKUP($A717,DataPrixBillets!$M$66:$Q$700,2,FALSE),"")</f>
        <v>0</v>
      </c>
      <c r="C717" s="8">
        <f>IFERROR(VLOOKUP($A717,DataDemande!$AA$63:$AE$700,3,FALSE)*VLOOKUP($A717,DataPrixBillets!$M$66:$Q$700,3,FALSE),"")</f>
        <v>0</v>
      </c>
      <c r="D717" s="8">
        <f>IFERROR(VLOOKUP($A717,DataDemande!$AA$63:$AE$700,4,FALSE)*VLOOKUP($A717,DataPrixBillets!$M$66:$Q$700,4,FALSE),"")</f>
        <v>0</v>
      </c>
      <c r="E717" s="8">
        <f>IFERROR(VLOOKUP($A717,DataDemande!$AA$63:$AE$700,5,FALSE)*VLOOKUP($A717,DataPrixBillets!$M$66:$Q$700,5,FALSE),"")</f>
        <v>0</v>
      </c>
      <c r="F717" s="21">
        <f t="shared" si="13"/>
        <v>0</v>
      </c>
    </row>
    <row r="718" spans="1:6" x14ac:dyDescent="0.3">
      <c r="A718" s="185" t="str">
        <f>DataDemande!AA777</f>
        <v/>
      </c>
      <c r="B718" s="8">
        <f>IFERROR(VLOOKUP($A718,DataDemande!$AA$63:$AE$700,2,FALSE)*VLOOKUP($A718,DataPrixBillets!$M$66:$Q$700,2,FALSE),"")</f>
        <v>0</v>
      </c>
      <c r="C718" s="8">
        <f>IFERROR(VLOOKUP($A718,DataDemande!$AA$63:$AE$700,3,FALSE)*VLOOKUP($A718,DataPrixBillets!$M$66:$Q$700,3,FALSE),"")</f>
        <v>0</v>
      </c>
      <c r="D718" s="8">
        <f>IFERROR(VLOOKUP($A718,DataDemande!$AA$63:$AE$700,4,FALSE)*VLOOKUP($A718,DataPrixBillets!$M$66:$Q$700,4,FALSE),"")</f>
        <v>0</v>
      </c>
      <c r="E718" s="8">
        <f>IFERROR(VLOOKUP($A718,DataDemande!$AA$63:$AE$700,5,FALSE)*VLOOKUP($A718,DataPrixBillets!$M$66:$Q$700,5,FALSE),"")</f>
        <v>0</v>
      </c>
      <c r="F718" s="21">
        <f t="shared" si="13"/>
        <v>0</v>
      </c>
    </row>
    <row r="719" spans="1:6" x14ac:dyDescent="0.3">
      <c r="A719" s="185" t="str">
        <f>DataDemande!AA778</f>
        <v/>
      </c>
      <c r="B719" s="8">
        <f>IFERROR(VLOOKUP($A719,DataDemande!$AA$63:$AE$700,2,FALSE)*VLOOKUP($A719,DataPrixBillets!$M$66:$Q$700,2,FALSE),"")</f>
        <v>0</v>
      </c>
      <c r="C719" s="8">
        <f>IFERROR(VLOOKUP($A719,DataDemande!$AA$63:$AE$700,3,FALSE)*VLOOKUP($A719,DataPrixBillets!$M$66:$Q$700,3,FALSE),"")</f>
        <v>0</v>
      </c>
      <c r="D719" s="8">
        <f>IFERROR(VLOOKUP($A719,DataDemande!$AA$63:$AE$700,4,FALSE)*VLOOKUP($A719,DataPrixBillets!$M$66:$Q$700,4,FALSE),"")</f>
        <v>0</v>
      </c>
      <c r="E719" s="8">
        <f>IFERROR(VLOOKUP($A719,DataDemande!$AA$63:$AE$700,5,FALSE)*VLOOKUP($A719,DataPrixBillets!$M$66:$Q$700,5,FALSE),"")</f>
        <v>0</v>
      </c>
      <c r="F719" s="21">
        <f t="shared" si="13"/>
        <v>0</v>
      </c>
    </row>
    <row r="720" spans="1:6" x14ac:dyDescent="0.3">
      <c r="A720" s="185" t="str">
        <f>DataDemande!AA779</f>
        <v/>
      </c>
      <c r="B720" s="8">
        <f>IFERROR(VLOOKUP($A720,DataDemande!$AA$63:$AE$700,2,FALSE)*VLOOKUP($A720,DataPrixBillets!$M$66:$Q$700,2,FALSE),"")</f>
        <v>0</v>
      </c>
      <c r="C720" s="8">
        <f>IFERROR(VLOOKUP($A720,DataDemande!$AA$63:$AE$700,3,FALSE)*VLOOKUP($A720,DataPrixBillets!$M$66:$Q$700,3,FALSE),"")</f>
        <v>0</v>
      </c>
      <c r="D720" s="8">
        <f>IFERROR(VLOOKUP($A720,DataDemande!$AA$63:$AE$700,4,FALSE)*VLOOKUP($A720,DataPrixBillets!$M$66:$Q$700,4,FALSE),"")</f>
        <v>0</v>
      </c>
      <c r="E720" s="8">
        <f>IFERROR(VLOOKUP($A720,DataDemande!$AA$63:$AE$700,5,FALSE)*VLOOKUP($A720,DataPrixBillets!$M$66:$Q$700,5,FALSE),"")</f>
        <v>0</v>
      </c>
      <c r="F720" s="21">
        <f t="shared" si="13"/>
        <v>0</v>
      </c>
    </row>
    <row r="721" spans="1:6" x14ac:dyDescent="0.3">
      <c r="A721" s="185" t="str">
        <f>DataDemande!AA780</f>
        <v/>
      </c>
      <c r="B721" s="8">
        <f>IFERROR(VLOOKUP($A721,DataDemande!$AA$63:$AE$700,2,FALSE)*VLOOKUP($A721,DataPrixBillets!$M$66:$Q$700,2,FALSE),"")</f>
        <v>0</v>
      </c>
      <c r="C721" s="8">
        <f>IFERROR(VLOOKUP($A721,DataDemande!$AA$63:$AE$700,3,FALSE)*VLOOKUP($A721,DataPrixBillets!$M$66:$Q$700,3,FALSE),"")</f>
        <v>0</v>
      </c>
      <c r="D721" s="8">
        <f>IFERROR(VLOOKUP($A721,DataDemande!$AA$63:$AE$700,4,FALSE)*VLOOKUP($A721,DataPrixBillets!$M$66:$Q$700,4,FALSE),"")</f>
        <v>0</v>
      </c>
      <c r="E721" s="8">
        <f>IFERROR(VLOOKUP($A721,DataDemande!$AA$63:$AE$700,5,FALSE)*VLOOKUP($A721,DataPrixBillets!$M$66:$Q$700,5,FALSE),"")</f>
        <v>0</v>
      </c>
      <c r="F721" s="21">
        <f t="shared" si="13"/>
        <v>0</v>
      </c>
    </row>
    <row r="722" spans="1:6" x14ac:dyDescent="0.3">
      <c r="A722" s="185" t="str">
        <f>DataDemande!AA781</f>
        <v/>
      </c>
      <c r="B722" s="8">
        <f>IFERROR(VLOOKUP($A722,DataDemande!$AA$63:$AE$700,2,FALSE)*VLOOKUP($A722,DataPrixBillets!$M$66:$Q$700,2,FALSE),"")</f>
        <v>0</v>
      </c>
      <c r="C722" s="8">
        <f>IFERROR(VLOOKUP($A722,DataDemande!$AA$63:$AE$700,3,FALSE)*VLOOKUP($A722,DataPrixBillets!$M$66:$Q$700,3,FALSE),"")</f>
        <v>0</v>
      </c>
      <c r="D722" s="8">
        <f>IFERROR(VLOOKUP($A722,DataDemande!$AA$63:$AE$700,4,FALSE)*VLOOKUP($A722,DataPrixBillets!$M$66:$Q$700,4,FALSE),"")</f>
        <v>0</v>
      </c>
      <c r="E722" s="8">
        <f>IFERROR(VLOOKUP($A722,DataDemande!$AA$63:$AE$700,5,FALSE)*VLOOKUP($A722,DataPrixBillets!$M$66:$Q$700,5,FALSE),"")</f>
        <v>0</v>
      </c>
      <c r="F722" s="21">
        <f t="shared" si="13"/>
        <v>0</v>
      </c>
    </row>
    <row r="723" spans="1:6" x14ac:dyDescent="0.3">
      <c r="A723" s="185" t="str">
        <f>DataDemande!AA782</f>
        <v/>
      </c>
      <c r="B723" s="8">
        <f>IFERROR(VLOOKUP($A723,DataDemande!$AA$63:$AE$700,2,FALSE)*VLOOKUP($A723,DataPrixBillets!$M$66:$Q$700,2,FALSE),"")</f>
        <v>0</v>
      </c>
      <c r="C723" s="8">
        <f>IFERROR(VLOOKUP($A723,DataDemande!$AA$63:$AE$700,3,FALSE)*VLOOKUP($A723,DataPrixBillets!$M$66:$Q$700,3,FALSE),"")</f>
        <v>0</v>
      </c>
      <c r="D723" s="8">
        <f>IFERROR(VLOOKUP($A723,DataDemande!$AA$63:$AE$700,4,FALSE)*VLOOKUP($A723,DataPrixBillets!$M$66:$Q$700,4,FALSE),"")</f>
        <v>0</v>
      </c>
      <c r="E723" s="8">
        <f>IFERROR(VLOOKUP($A723,DataDemande!$AA$63:$AE$700,5,FALSE)*VLOOKUP($A723,DataPrixBillets!$M$66:$Q$700,5,FALSE),"")</f>
        <v>0</v>
      </c>
      <c r="F723" s="21">
        <f t="shared" si="13"/>
        <v>0</v>
      </c>
    </row>
    <row r="724" spans="1:6" x14ac:dyDescent="0.3">
      <c r="A724" s="185" t="str">
        <f>DataDemande!AA783</f>
        <v/>
      </c>
      <c r="B724" s="8">
        <f>IFERROR(VLOOKUP($A724,DataDemande!$AA$63:$AE$700,2,FALSE)*VLOOKUP($A724,DataPrixBillets!$M$66:$Q$700,2,FALSE),"")</f>
        <v>0</v>
      </c>
      <c r="C724" s="8">
        <f>IFERROR(VLOOKUP($A724,DataDemande!$AA$63:$AE$700,3,FALSE)*VLOOKUP($A724,DataPrixBillets!$M$66:$Q$700,3,FALSE),"")</f>
        <v>0</v>
      </c>
      <c r="D724" s="8">
        <f>IFERROR(VLOOKUP($A724,DataDemande!$AA$63:$AE$700,4,FALSE)*VLOOKUP($A724,DataPrixBillets!$M$66:$Q$700,4,FALSE),"")</f>
        <v>0</v>
      </c>
      <c r="E724" s="8">
        <f>IFERROR(VLOOKUP($A724,DataDemande!$AA$63:$AE$700,5,FALSE)*VLOOKUP($A724,DataPrixBillets!$M$66:$Q$700,5,FALSE),"")</f>
        <v>0</v>
      </c>
      <c r="F724" s="21">
        <f t="shared" si="13"/>
        <v>0</v>
      </c>
    </row>
    <row r="725" spans="1:6" x14ac:dyDescent="0.3">
      <c r="A725" s="185" t="str">
        <f>DataDemande!AA784</f>
        <v/>
      </c>
      <c r="B725" s="8">
        <f>IFERROR(VLOOKUP($A725,DataDemande!$AA$63:$AE$700,2,FALSE)*VLOOKUP($A725,DataPrixBillets!$M$66:$Q$700,2,FALSE),"")</f>
        <v>0</v>
      </c>
      <c r="C725" s="8">
        <f>IFERROR(VLOOKUP($A725,DataDemande!$AA$63:$AE$700,3,FALSE)*VLOOKUP($A725,DataPrixBillets!$M$66:$Q$700,3,FALSE),"")</f>
        <v>0</v>
      </c>
      <c r="D725" s="8">
        <f>IFERROR(VLOOKUP($A725,DataDemande!$AA$63:$AE$700,4,FALSE)*VLOOKUP($A725,DataPrixBillets!$M$66:$Q$700,4,FALSE),"")</f>
        <v>0</v>
      </c>
      <c r="E725" s="8">
        <f>IFERROR(VLOOKUP($A725,DataDemande!$AA$63:$AE$700,5,FALSE)*VLOOKUP($A725,DataPrixBillets!$M$66:$Q$700,5,FALSE),"")</f>
        <v>0</v>
      </c>
      <c r="F725" s="21">
        <f t="shared" si="13"/>
        <v>0</v>
      </c>
    </row>
    <row r="726" spans="1:6" x14ac:dyDescent="0.3">
      <c r="A726" s="185" t="str">
        <f>DataDemande!AA785</f>
        <v/>
      </c>
      <c r="B726" s="8">
        <f>IFERROR(VLOOKUP($A726,DataDemande!$AA$63:$AE$700,2,FALSE)*VLOOKUP($A726,DataPrixBillets!$M$66:$Q$700,2,FALSE),"")</f>
        <v>0</v>
      </c>
      <c r="C726" s="8">
        <f>IFERROR(VLOOKUP($A726,DataDemande!$AA$63:$AE$700,3,FALSE)*VLOOKUP($A726,DataPrixBillets!$M$66:$Q$700,3,FALSE),"")</f>
        <v>0</v>
      </c>
      <c r="D726" s="8">
        <f>IFERROR(VLOOKUP($A726,DataDemande!$AA$63:$AE$700,4,FALSE)*VLOOKUP($A726,DataPrixBillets!$M$66:$Q$700,4,FALSE),"")</f>
        <v>0</v>
      </c>
      <c r="E726" s="8">
        <f>IFERROR(VLOOKUP($A726,DataDemande!$AA$63:$AE$700,5,FALSE)*VLOOKUP($A726,DataPrixBillets!$M$66:$Q$700,5,FALSE),"")</f>
        <v>0</v>
      </c>
      <c r="F726" s="21">
        <f t="shared" si="13"/>
        <v>0</v>
      </c>
    </row>
    <row r="727" spans="1:6" x14ac:dyDescent="0.3">
      <c r="A727" s="185" t="str">
        <f>DataDemande!AA786</f>
        <v/>
      </c>
      <c r="B727" s="8">
        <f>IFERROR(VLOOKUP($A727,DataDemande!$AA$63:$AE$700,2,FALSE)*VLOOKUP($A727,DataPrixBillets!$M$66:$Q$700,2,FALSE),"")</f>
        <v>0</v>
      </c>
      <c r="C727" s="8">
        <f>IFERROR(VLOOKUP($A727,DataDemande!$AA$63:$AE$700,3,FALSE)*VLOOKUP($A727,DataPrixBillets!$M$66:$Q$700,3,FALSE),"")</f>
        <v>0</v>
      </c>
      <c r="D727" s="8">
        <f>IFERROR(VLOOKUP($A727,DataDemande!$AA$63:$AE$700,4,FALSE)*VLOOKUP($A727,DataPrixBillets!$M$66:$Q$700,4,FALSE),"")</f>
        <v>0</v>
      </c>
      <c r="E727" s="8">
        <f>IFERROR(VLOOKUP($A727,DataDemande!$AA$63:$AE$700,5,FALSE)*VLOOKUP($A727,DataPrixBillets!$M$66:$Q$700,5,FALSE),"")</f>
        <v>0</v>
      </c>
      <c r="F727" s="21">
        <f t="shared" si="13"/>
        <v>0</v>
      </c>
    </row>
    <row r="728" spans="1:6" x14ac:dyDescent="0.3">
      <c r="A728" s="185" t="str">
        <f>DataDemande!AA787</f>
        <v/>
      </c>
      <c r="B728" s="8">
        <f>IFERROR(VLOOKUP($A728,DataDemande!$AA$63:$AE$700,2,FALSE)*VLOOKUP($A728,DataPrixBillets!$M$66:$Q$700,2,FALSE),"")</f>
        <v>0</v>
      </c>
      <c r="C728" s="8">
        <f>IFERROR(VLOOKUP($A728,DataDemande!$AA$63:$AE$700,3,FALSE)*VLOOKUP($A728,DataPrixBillets!$M$66:$Q$700,3,FALSE),"")</f>
        <v>0</v>
      </c>
      <c r="D728" s="8">
        <f>IFERROR(VLOOKUP($A728,DataDemande!$AA$63:$AE$700,4,FALSE)*VLOOKUP($A728,DataPrixBillets!$M$66:$Q$700,4,FALSE),"")</f>
        <v>0</v>
      </c>
      <c r="E728" s="8">
        <f>IFERROR(VLOOKUP($A728,DataDemande!$AA$63:$AE$700,5,FALSE)*VLOOKUP($A728,DataPrixBillets!$M$66:$Q$700,5,FALSE),"")</f>
        <v>0</v>
      </c>
      <c r="F728" s="21">
        <f t="shared" si="13"/>
        <v>0</v>
      </c>
    </row>
    <row r="729" spans="1:6" x14ac:dyDescent="0.3">
      <c r="A729" s="185" t="str">
        <f>DataDemande!AA788</f>
        <v/>
      </c>
      <c r="B729" s="8">
        <f>IFERROR(VLOOKUP($A729,DataDemande!$AA$63:$AE$700,2,FALSE)*VLOOKUP($A729,DataPrixBillets!$M$66:$Q$700,2,FALSE),"")</f>
        <v>0</v>
      </c>
      <c r="C729" s="8">
        <f>IFERROR(VLOOKUP($A729,DataDemande!$AA$63:$AE$700,3,FALSE)*VLOOKUP($A729,DataPrixBillets!$M$66:$Q$700,3,FALSE),"")</f>
        <v>0</v>
      </c>
      <c r="D729" s="8">
        <f>IFERROR(VLOOKUP($A729,DataDemande!$AA$63:$AE$700,4,FALSE)*VLOOKUP($A729,DataPrixBillets!$M$66:$Q$700,4,FALSE),"")</f>
        <v>0</v>
      </c>
      <c r="E729" s="8">
        <f>IFERROR(VLOOKUP($A729,DataDemande!$AA$63:$AE$700,5,FALSE)*VLOOKUP($A729,DataPrixBillets!$M$66:$Q$700,5,FALSE),"")</f>
        <v>0</v>
      </c>
      <c r="F729" s="21">
        <f t="shared" si="13"/>
        <v>0</v>
      </c>
    </row>
    <row r="730" spans="1:6" x14ac:dyDescent="0.3">
      <c r="A730" s="185" t="str">
        <f>DataDemande!AA789</f>
        <v/>
      </c>
      <c r="B730" s="8">
        <f>IFERROR(VLOOKUP($A730,DataDemande!$AA$63:$AE$700,2,FALSE)*VLOOKUP($A730,DataPrixBillets!$M$66:$Q$700,2,FALSE),"")</f>
        <v>0</v>
      </c>
      <c r="C730" s="8">
        <f>IFERROR(VLOOKUP($A730,DataDemande!$AA$63:$AE$700,3,FALSE)*VLOOKUP($A730,DataPrixBillets!$M$66:$Q$700,3,FALSE),"")</f>
        <v>0</v>
      </c>
      <c r="D730" s="8">
        <f>IFERROR(VLOOKUP($A730,DataDemande!$AA$63:$AE$700,4,FALSE)*VLOOKUP($A730,DataPrixBillets!$M$66:$Q$700,4,FALSE),"")</f>
        <v>0</v>
      </c>
      <c r="E730" s="8">
        <f>IFERROR(VLOOKUP($A730,DataDemande!$AA$63:$AE$700,5,FALSE)*VLOOKUP($A730,DataPrixBillets!$M$66:$Q$700,5,FALSE),"")</f>
        <v>0</v>
      </c>
      <c r="F730" s="21">
        <f t="shared" si="13"/>
        <v>0</v>
      </c>
    </row>
    <row r="731" spans="1:6" x14ac:dyDescent="0.3">
      <c r="A731" s="185" t="str">
        <f>DataDemande!AA790</f>
        <v/>
      </c>
      <c r="B731" s="8">
        <f>IFERROR(VLOOKUP($A731,DataDemande!$AA$63:$AE$700,2,FALSE)*VLOOKUP($A731,DataPrixBillets!$M$66:$Q$700,2,FALSE),"")</f>
        <v>0</v>
      </c>
      <c r="C731" s="8">
        <f>IFERROR(VLOOKUP($A731,DataDemande!$AA$63:$AE$700,3,FALSE)*VLOOKUP($A731,DataPrixBillets!$M$66:$Q$700,3,FALSE),"")</f>
        <v>0</v>
      </c>
      <c r="D731" s="8">
        <f>IFERROR(VLOOKUP($A731,DataDemande!$AA$63:$AE$700,4,FALSE)*VLOOKUP($A731,DataPrixBillets!$M$66:$Q$700,4,FALSE),"")</f>
        <v>0</v>
      </c>
      <c r="E731" s="8">
        <f>IFERROR(VLOOKUP($A731,DataDemande!$AA$63:$AE$700,5,FALSE)*VLOOKUP($A731,DataPrixBillets!$M$66:$Q$700,5,FALSE),"")</f>
        <v>0</v>
      </c>
      <c r="F731" s="21">
        <f t="shared" si="13"/>
        <v>0</v>
      </c>
    </row>
    <row r="732" spans="1:6" x14ac:dyDescent="0.3">
      <c r="A732" s="185" t="str">
        <f>DataDemande!AA791</f>
        <v/>
      </c>
      <c r="B732" s="8">
        <f>IFERROR(VLOOKUP($A732,DataDemande!$AA$63:$AE$700,2,FALSE)*VLOOKUP($A732,DataPrixBillets!$M$66:$Q$700,2,FALSE),"")</f>
        <v>0</v>
      </c>
      <c r="C732" s="8">
        <f>IFERROR(VLOOKUP($A732,DataDemande!$AA$63:$AE$700,3,FALSE)*VLOOKUP($A732,DataPrixBillets!$M$66:$Q$700,3,FALSE),"")</f>
        <v>0</v>
      </c>
      <c r="D732" s="8">
        <f>IFERROR(VLOOKUP($A732,DataDemande!$AA$63:$AE$700,4,FALSE)*VLOOKUP($A732,DataPrixBillets!$M$66:$Q$700,4,FALSE),"")</f>
        <v>0</v>
      </c>
      <c r="E732" s="8">
        <f>IFERROR(VLOOKUP($A732,DataDemande!$AA$63:$AE$700,5,FALSE)*VLOOKUP($A732,DataPrixBillets!$M$66:$Q$700,5,FALSE),"")</f>
        <v>0</v>
      </c>
      <c r="F732" s="21">
        <f t="shared" si="13"/>
        <v>0</v>
      </c>
    </row>
    <row r="733" spans="1:6" x14ac:dyDescent="0.3">
      <c r="A733" s="185" t="str">
        <f>DataDemande!AA792</f>
        <v/>
      </c>
      <c r="B733" s="8">
        <f>IFERROR(VLOOKUP($A733,DataDemande!$AA$63:$AE$700,2,FALSE)*VLOOKUP($A733,DataPrixBillets!$M$66:$Q$700,2,FALSE),"")</f>
        <v>0</v>
      </c>
      <c r="C733" s="8">
        <f>IFERROR(VLOOKUP($A733,DataDemande!$AA$63:$AE$700,3,FALSE)*VLOOKUP($A733,DataPrixBillets!$M$66:$Q$700,3,FALSE),"")</f>
        <v>0</v>
      </c>
      <c r="D733" s="8">
        <f>IFERROR(VLOOKUP($A733,DataDemande!$AA$63:$AE$700,4,FALSE)*VLOOKUP($A733,DataPrixBillets!$M$66:$Q$700,4,FALSE),"")</f>
        <v>0</v>
      </c>
      <c r="E733" s="8">
        <f>IFERROR(VLOOKUP($A733,DataDemande!$AA$63:$AE$700,5,FALSE)*VLOOKUP($A733,DataPrixBillets!$M$66:$Q$700,5,FALSE),"")</f>
        <v>0</v>
      </c>
      <c r="F733" s="21">
        <f t="shared" si="13"/>
        <v>0</v>
      </c>
    </row>
    <row r="734" spans="1:6" x14ac:dyDescent="0.3">
      <c r="A734" s="185" t="str">
        <f>DataDemande!AA793</f>
        <v/>
      </c>
      <c r="B734" s="8">
        <f>IFERROR(VLOOKUP($A734,DataDemande!$AA$63:$AE$700,2,FALSE)*VLOOKUP($A734,DataPrixBillets!$M$66:$Q$700,2,FALSE),"")</f>
        <v>0</v>
      </c>
      <c r="C734" s="8">
        <f>IFERROR(VLOOKUP($A734,DataDemande!$AA$63:$AE$700,3,FALSE)*VLOOKUP($A734,DataPrixBillets!$M$66:$Q$700,3,FALSE),"")</f>
        <v>0</v>
      </c>
      <c r="D734" s="8">
        <f>IFERROR(VLOOKUP($A734,DataDemande!$AA$63:$AE$700,4,FALSE)*VLOOKUP($A734,DataPrixBillets!$M$66:$Q$700,4,FALSE),"")</f>
        <v>0</v>
      </c>
      <c r="E734" s="8">
        <f>IFERROR(VLOOKUP($A734,DataDemande!$AA$63:$AE$700,5,FALSE)*VLOOKUP($A734,DataPrixBillets!$M$66:$Q$700,5,FALSE),"")</f>
        <v>0</v>
      </c>
      <c r="F734" s="21">
        <f t="shared" si="13"/>
        <v>0</v>
      </c>
    </row>
    <row r="735" spans="1:6" x14ac:dyDescent="0.3">
      <c r="A735" s="185" t="str">
        <f>DataDemande!AA794</f>
        <v/>
      </c>
      <c r="B735" s="8">
        <f>IFERROR(VLOOKUP($A735,DataDemande!$AA$63:$AE$700,2,FALSE)*VLOOKUP($A735,DataPrixBillets!$M$66:$Q$700,2,FALSE),"")</f>
        <v>0</v>
      </c>
      <c r="C735" s="8">
        <f>IFERROR(VLOOKUP($A735,DataDemande!$AA$63:$AE$700,3,FALSE)*VLOOKUP($A735,DataPrixBillets!$M$66:$Q$700,3,FALSE),"")</f>
        <v>0</v>
      </c>
      <c r="D735" s="8">
        <f>IFERROR(VLOOKUP($A735,DataDemande!$AA$63:$AE$700,4,FALSE)*VLOOKUP($A735,DataPrixBillets!$M$66:$Q$700,4,FALSE),"")</f>
        <v>0</v>
      </c>
      <c r="E735" s="8">
        <f>IFERROR(VLOOKUP($A735,DataDemande!$AA$63:$AE$700,5,FALSE)*VLOOKUP($A735,DataPrixBillets!$M$66:$Q$700,5,FALSE),"")</f>
        <v>0</v>
      </c>
      <c r="F735" s="21">
        <f t="shared" si="13"/>
        <v>0</v>
      </c>
    </row>
    <row r="736" spans="1:6" x14ac:dyDescent="0.3">
      <c r="A736" s="185" t="str">
        <f>DataDemande!AA795</f>
        <v/>
      </c>
      <c r="B736" s="8">
        <f>IFERROR(VLOOKUP($A736,DataDemande!$AA$63:$AE$700,2,FALSE)*VLOOKUP($A736,DataPrixBillets!$M$66:$Q$700,2,FALSE),"")</f>
        <v>0</v>
      </c>
      <c r="C736" s="8">
        <f>IFERROR(VLOOKUP($A736,DataDemande!$AA$63:$AE$700,3,FALSE)*VLOOKUP($A736,DataPrixBillets!$M$66:$Q$700,3,FALSE),"")</f>
        <v>0</v>
      </c>
      <c r="D736" s="8">
        <f>IFERROR(VLOOKUP($A736,DataDemande!$AA$63:$AE$700,4,FALSE)*VLOOKUP($A736,DataPrixBillets!$M$66:$Q$700,4,FALSE),"")</f>
        <v>0</v>
      </c>
      <c r="E736" s="8">
        <f>IFERROR(VLOOKUP($A736,DataDemande!$AA$63:$AE$700,5,FALSE)*VLOOKUP($A736,DataPrixBillets!$M$66:$Q$700,5,FALSE),"")</f>
        <v>0</v>
      </c>
      <c r="F736" s="21">
        <f t="shared" si="13"/>
        <v>0</v>
      </c>
    </row>
    <row r="737" spans="1:6" x14ac:dyDescent="0.3">
      <c r="A737" s="185" t="str">
        <f>DataDemande!AA796</f>
        <v/>
      </c>
      <c r="B737" s="8">
        <f>IFERROR(VLOOKUP($A737,DataDemande!$AA$63:$AE$700,2,FALSE)*VLOOKUP($A737,DataPrixBillets!$M$66:$Q$700,2,FALSE),"")</f>
        <v>0</v>
      </c>
      <c r="C737" s="8">
        <f>IFERROR(VLOOKUP($A737,DataDemande!$AA$63:$AE$700,3,FALSE)*VLOOKUP($A737,DataPrixBillets!$M$66:$Q$700,3,FALSE),"")</f>
        <v>0</v>
      </c>
      <c r="D737" s="8">
        <f>IFERROR(VLOOKUP($A737,DataDemande!$AA$63:$AE$700,4,FALSE)*VLOOKUP($A737,DataPrixBillets!$M$66:$Q$700,4,FALSE),"")</f>
        <v>0</v>
      </c>
      <c r="E737" s="8">
        <f>IFERROR(VLOOKUP($A737,DataDemande!$AA$63:$AE$700,5,FALSE)*VLOOKUP($A737,DataPrixBillets!$M$66:$Q$700,5,FALSE),"")</f>
        <v>0</v>
      </c>
      <c r="F737" s="21">
        <f t="shared" si="13"/>
        <v>0</v>
      </c>
    </row>
    <row r="738" spans="1:6" x14ac:dyDescent="0.3">
      <c r="A738" s="185" t="str">
        <f>DataDemande!AA797</f>
        <v/>
      </c>
      <c r="B738" s="8">
        <f>IFERROR(VLOOKUP($A738,DataDemande!$AA$63:$AE$700,2,FALSE)*VLOOKUP($A738,DataPrixBillets!$M$66:$Q$700,2,FALSE),"")</f>
        <v>0</v>
      </c>
      <c r="C738" s="8">
        <f>IFERROR(VLOOKUP($A738,DataDemande!$AA$63:$AE$700,3,FALSE)*VLOOKUP($A738,DataPrixBillets!$M$66:$Q$700,3,FALSE),"")</f>
        <v>0</v>
      </c>
      <c r="D738" s="8">
        <f>IFERROR(VLOOKUP($A738,DataDemande!$AA$63:$AE$700,4,FALSE)*VLOOKUP($A738,DataPrixBillets!$M$66:$Q$700,4,FALSE),"")</f>
        <v>0</v>
      </c>
      <c r="E738" s="8">
        <f>IFERROR(VLOOKUP($A738,DataDemande!$AA$63:$AE$700,5,FALSE)*VLOOKUP($A738,DataPrixBillets!$M$66:$Q$700,5,FALSE),"")</f>
        <v>0</v>
      </c>
      <c r="F738" s="21">
        <f t="shared" si="13"/>
        <v>0</v>
      </c>
    </row>
  </sheetData>
  <conditionalFormatting sqref="B1:E1 B3:E3">
    <cfRule type="cellIs" dxfId="3" priority="1" operator="greaterThan">
      <formula>0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10"/>
  <dimension ref="A1:AM103"/>
  <sheetViews>
    <sheetView workbookViewId="0">
      <selection activeCell="I14" sqref="I14"/>
    </sheetView>
  </sheetViews>
  <sheetFormatPr baseColWidth="10" defaultColWidth="11.44140625" defaultRowHeight="14.4" x14ac:dyDescent="0.3"/>
  <cols>
    <col min="1" max="1" width="12.6640625" bestFit="1" customWidth="1"/>
    <col min="2" max="2" width="6.88671875" bestFit="1" customWidth="1"/>
    <col min="3" max="3" width="6.109375" bestFit="1" customWidth="1"/>
    <col min="4" max="4" width="1.6640625" style="20" customWidth="1"/>
    <col min="11" max="11" width="7.5546875" bestFit="1" customWidth="1"/>
    <col min="12" max="12" width="1.6640625" style="20" customWidth="1"/>
    <col min="13" max="14" width="8.33203125" bestFit="1" customWidth="1"/>
    <col min="15" max="15" width="9.109375" bestFit="1" customWidth="1"/>
    <col min="16" max="16" width="1.6640625" customWidth="1"/>
    <col min="17" max="17" width="10.6640625" bestFit="1" customWidth="1"/>
    <col min="18" max="18" width="15.109375" bestFit="1" customWidth="1"/>
    <col min="19" max="19" width="15.33203125" bestFit="1" customWidth="1"/>
    <col min="20" max="20" width="15.109375" bestFit="1" customWidth="1"/>
    <col min="21" max="21" width="13.6640625" bestFit="1" customWidth="1"/>
    <col min="22" max="24" width="10.6640625" bestFit="1" customWidth="1"/>
    <col min="25" max="25" width="1.6640625" style="20" customWidth="1"/>
    <col min="26" max="26" width="9.109375" style="20" bestFit="1" customWidth="1"/>
    <col min="27" max="27" width="8.33203125" bestFit="1" customWidth="1"/>
    <col min="28" max="28" width="9.33203125" bestFit="1" customWidth="1"/>
    <col min="29" max="29" width="10.88671875" bestFit="1" customWidth="1"/>
    <col min="31" max="31" width="1.6640625" style="20" customWidth="1"/>
    <col min="32" max="32" width="16.44140625" bestFit="1" customWidth="1"/>
    <col min="33" max="33" width="12.6640625" bestFit="1" customWidth="1"/>
    <col min="34" max="34" width="1.6640625" style="20" customWidth="1"/>
    <col min="35" max="35" width="15.109375" bestFit="1" customWidth="1"/>
    <col min="37" max="37" width="1.6640625" style="20" customWidth="1"/>
    <col min="38" max="38" width="13.6640625" bestFit="1" customWidth="1"/>
    <col min="39" max="39" width="11.6640625" bestFit="1" customWidth="1"/>
  </cols>
  <sheetData>
    <row r="1" spans="1:39" x14ac:dyDescent="0.3">
      <c r="A1" t="s">
        <v>456</v>
      </c>
      <c r="W1" t="s">
        <v>457</v>
      </c>
      <c r="X1">
        <f ca="1">W2-V2</f>
        <v>1743</v>
      </c>
      <c r="Y1" s="20">
        <v>0.01</v>
      </c>
      <c r="Z1" s="20">
        <v>0.02</v>
      </c>
      <c r="AA1">
        <v>0.03</v>
      </c>
      <c r="AB1">
        <v>0.04</v>
      </c>
      <c r="AF1">
        <f>MROUND(23.15,0.05)</f>
        <v>23.150000000000002</v>
      </c>
    </row>
    <row r="2" spans="1:39" x14ac:dyDescent="0.3">
      <c r="V2" s="1">
        <v>41722</v>
      </c>
      <c r="W2" s="53">
        <f ca="1">ROUND(NOW(),0)</f>
        <v>43465</v>
      </c>
      <c r="X2">
        <v>1</v>
      </c>
      <c r="Z2" s="20">
        <v>2</v>
      </c>
    </row>
    <row r="3" spans="1:39" x14ac:dyDescent="0.3">
      <c r="B3" s="246" t="s">
        <v>458</v>
      </c>
      <c r="C3" s="246"/>
      <c r="D3" s="47"/>
      <c r="E3" s="246" t="s">
        <v>459</v>
      </c>
      <c r="F3" s="246"/>
      <c r="G3" s="246"/>
      <c r="H3" s="246"/>
      <c r="I3" s="246"/>
      <c r="J3" s="246"/>
      <c r="K3" s="246"/>
      <c r="L3" s="47"/>
      <c r="M3" s="246" t="s">
        <v>127</v>
      </c>
      <c r="N3" s="246"/>
      <c r="O3" s="246"/>
      <c r="P3" s="46"/>
      <c r="Q3" s="246" t="s">
        <v>460</v>
      </c>
      <c r="R3" s="246"/>
      <c r="S3" s="246"/>
      <c r="T3" s="246"/>
      <c r="U3" s="246"/>
      <c r="V3" s="246"/>
      <c r="W3" s="246"/>
      <c r="X3" s="246"/>
      <c r="Y3" s="47"/>
      <c r="Z3" s="246" t="s">
        <v>461</v>
      </c>
      <c r="AA3" s="246"/>
      <c r="AB3" s="246"/>
      <c r="AC3" s="246"/>
      <c r="AD3" s="246"/>
      <c r="AE3" s="47"/>
      <c r="AF3" s="246" t="s">
        <v>27</v>
      </c>
      <c r="AG3" s="246"/>
      <c r="AH3" s="47"/>
      <c r="AI3" s="240" t="s">
        <v>462</v>
      </c>
      <c r="AJ3" s="240"/>
      <c r="AK3" s="47"/>
      <c r="AL3" s="246" t="s">
        <v>4</v>
      </c>
      <c r="AM3" s="246"/>
    </row>
    <row r="4" spans="1:39" ht="43.2" x14ac:dyDescent="0.3">
      <c r="A4" s="18" t="s">
        <v>121</v>
      </c>
      <c r="B4" s="19" t="s">
        <v>463</v>
      </c>
      <c r="C4" s="19" t="s">
        <v>464</v>
      </c>
      <c r="D4" s="25"/>
      <c r="E4" s="19" t="s">
        <v>465</v>
      </c>
      <c r="F4" s="18" t="s">
        <v>466</v>
      </c>
      <c r="G4" s="18" t="s">
        <v>467</v>
      </c>
      <c r="H4" s="18" t="s">
        <v>468</v>
      </c>
      <c r="I4" s="18" t="s">
        <v>128</v>
      </c>
      <c r="J4" s="18" t="s">
        <v>125</v>
      </c>
      <c r="K4" s="18" t="s">
        <v>126</v>
      </c>
      <c r="L4" s="48"/>
      <c r="M4" s="18" t="s">
        <v>32</v>
      </c>
      <c r="N4" s="18" t="s">
        <v>469</v>
      </c>
      <c r="O4" s="18" t="s">
        <v>470</v>
      </c>
      <c r="P4" s="18"/>
      <c r="Q4" s="18" t="s">
        <v>285</v>
      </c>
      <c r="R4" s="18" t="s">
        <v>471</v>
      </c>
      <c r="S4" s="18" t="s">
        <v>472</v>
      </c>
      <c r="T4" s="19" t="s">
        <v>473</v>
      </c>
      <c r="U4" s="19" t="s">
        <v>474</v>
      </c>
      <c r="V4" s="19" t="s">
        <v>475</v>
      </c>
      <c r="W4" s="19" t="s">
        <v>476</v>
      </c>
      <c r="X4" s="19" t="s">
        <v>477</v>
      </c>
      <c r="Y4" s="25"/>
      <c r="Z4" s="19" t="s">
        <v>478</v>
      </c>
      <c r="AA4" s="19" t="s">
        <v>479</v>
      </c>
      <c r="AB4" s="19" t="s">
        <v>480</v>
      </c>
      <c r="AC4" s="19" t="s">
        <v>481</v>
      </c>
      <c r="AD4" s="19" t="s">
        <v>482</v>
      </c>
      <c r="AE4" s="25"/>
      <c r="AF4" s="18" t="s">
        <v>355</v>
      </c>
      <c r="AG4" s="18" t="s">
        <v>483</v>
      </c>
      <c r="AH4" s="25"/>
      <c r="AI4" s="18" t="s">
        <v>484</v>
      </c>
      <c r="AJ4" s="18" t="s">
        <v>485</v>
      </c>
      <c r="AK4" s="25"/>
      <c r="AL4" s="18" t="s">
        <v>309</v>
      </c>
      <c r="AM4" s="18" t="s">
        <v>4</v>
      </c>
    </row>
    <row r="5" spans="1:39" x14ac:dyDescent="0.3">
      <c r="A5" t="s">
        <v>486</v>
      </c>
      <c r="B5" t="s">
        <v>315</v>
      </c>
      <c r="C5" t="s">
        <v>326</v>
      </c>
      <c r="E5">
        <v>9630</v>
      </c>
      <c r="F5" s="45">
        <v>0.96</v>
      </c>
      <c r="G5" s="45">
        <v>1</v>
      </c>
      <c r="H5">
        <v>275</v>
      </c>
      <c r="I5">
        <v>8</v>
      </c>
      <c r="J5">
        <v>5.27</v>
      </c>
      <c r="K5">
        <v>850</v>
      </c>
      <c r="M5">
        <v>96</v>
      </c>
      <c r="N5">
        <v>50</v>
      </c>
      <c r="O5">
        <v>21</v>
      </c>
      <c r="Q5" s="1">
        <v>41557</v>
      </c>
      <c r="R5" s="21">
        <v>140468900</v>
      </c>
      <c r="S5" s="21">
        <f ca="1">AI5</f>
        <v>1739349909</v>
      </c>
      <c r="T5" s="21" t="str">
        <f ca="1">IF(R5-S5&lt;0,"Rentabilisé",R5-S5)</f>
        <v>Rentabilisé</v>
      </c>
      <c r="U5" s="21">
        <f ca="1">IF(S5&gt;R5,S5-R5,"NR")</f>
        <v>1598881009</v>
      </c>
      <c r="V5" s="21">
        <f>IFERROR(R5/AJ5,0)</f>
        <v>154.00822509256244</v>
      </c>
      <c r="W5">
        <f ca="1">164+X1</f>
        <v>1907</v>
      </c>
      <c r="X5" s="1">
        <f>ROUND(Q5+V5,0)</f>
        <v>41711</v>
      </c>
      <c r="Y5" s="49"/>
      <c r="Z5" s="50">
        <f>MROUND(IFERROR((VLOOKUP(C5,Lignes!$B$5:$F$28,5,FALSE)*2)/K5+$Z$2,0),0.05)</f>
        <v>23.150000000000002</v>
      </c>
      <c r="AA5" s="51">
        <f ca="1">MROUND(Z5*W5-Z5,2)</f>
        <v>44124</v>
      </c>
      <c r="AB5" s="8">
        <f ca="1">ROUND(NOW(),0)-Q5</f>
        <v>1908</v>
      </c>
      <c r="AC5" s="38">
        <f ca="1">(ROUND(AB5,0)/30)</f>
        <v>63.6</v>
      </c>
      <c r="AD5" s="38">
        <f ca="1">AC5/10</f>
        <v>6.36</v>
      </c>
      <c r="AE5" s="49"/>
      <c r="AF5" s="21">
        <f ca="1">AG5*W5</f>
        <v>2774130063</v>
      </c>
      <c r="AG5" s="21">
        <v>1454709</v>
      </c>
      <c r="AH5" s="49"/>
      <c r="AI5" s="21">
        <f ca="1">AJ5*W5</f>
        <v>1739349909</v>
      </c>
      <c r="AJ5" s="21">
        <f>AG5-AM5</f>
        <v>912087</v>
      </c>
      <c r="AK5" s="49"/>
      <c r="AL5" s="21">
        <f ca="1">AM5*W5</f>
        <v>1034780154</v>
      </c>
      <c r="AM5" s="21">
        <v>542622</v>
      </c>
    </row>
    <row r="6" spans="1:39" x14ac:dyDescent="0.3">
      <c r="A6" t="s">
        <v>487</v>
      </c>
      <c r="B6" t="s">
        <v>315</v>
      </c>
      <c r="C6" t="s">
        <v>326</v>
      </c>
      <c r="E6">
        <v>9630</v>
      </c>
      <c r="F6" s="45">
        <v>0.96</v>
      </c>
      <c r="G6" s="45">
        <v>1</v>
      </c>
      <c r="H6">
        <v>275</v>
      </c>
      <c r="I6">
        <v>8</v>
      </c>
      <c r="J6">
        <v>5.27</v>
      </c>
      <c r="K6">
        <v>850</v>
      </c>
      <c r="M6">
        <v>96</v>
      </c>
      <c r="N6">
        <v>50</v>
      </c>
      <c r="O6">
        <v>21</v>
      </c>
      <c r="Q6" s="1">
        <v>41557</v>
      </c>
      <c r="R6" s="21">
        <v>140468900</v>
      </c>
      <c r="S6" s="21">
        <f t="shared" ref="S6:S69" si="0">AI6</f>
        <v>150267936</v>
      </c>
      <c r="T6" s="21" t="str">
        <f t="shared" ref="T6:T69" si="1">IF(R6-S6&lt;0,"Rentabilisé",R6-S6)</f>
        <v>Rentabilisé</v>
      </c>
      <c r="U6" s="21">
        <f t="shared" ref="U6:U69" si="2">IF(S6&gt;R6,S6-R6,"NR")</f>
        <v>9799036</v>
      </c>
      <c r="V6" s="21">
        <f t="shared" ref="V6:V69" si="3">IFERROR(R6/AJ6,0)</f>
        <v>156.10985899214054</v>
      </c>
      <c r="W6">
        <f>166+$X$2</f>
        <v>167</v>
      </c>
      <c r="X6" s="1">
        <f t="shared" ref="X6:X69" si="4">ROUND(Q6+V6,0)</f>
        <v>41713</v>
      </c>
      <c r="Z6" s="50">
        <f>MROUND(IFERROR((VLOOKUP(C6,Lignes!$B$5:$F$28,5,FALSE)*2)/K6+$Z$2,0),0.05)</f>
        <v>23.150000000000002</v>
      </c>
      <c r="AA6" s="51">
        <f t="shared" ref="AA6:AA69" si="5">MROUND(Z6*W6-Z6,2)</f>
        <v>3842</v>
      </c>
      <c r="AB6" s="8">
        <f t="shared" ref="AB6:AB69" ca="1" si="6">ROUND(NOW(),0)-Q6</f>
        <v>1908</v>
      </c>
      <c r="AC6" s="38">
        <f t="shared" ref="AC6:AC69" ca="1" si="7">(ROUND(AB6,0)/30)</f>
        <v>63.6</v>
      </c>
      <c r="AD6" s="38">
        <f t="shared" ref="AD6:AD69" ca="1" si="8">AC6/10</f>
        <v>6.36</v>
      </c>
      <c r="AF6" s="21">
        <f t="shared" ref="AF6:AF69" si="9">AG6*W6</f>
        <v>236938431</v>
      </c>
      <c r="AG6" s="21">
        <v>1418793</v>
      </c>
      <c r="AI6" s="21">
        <f t="shared" ref="AI6:AI69" si="10">AJ6*W6</f>
        <v>150267936</v>
      </c>
      <c r="AJ6" s="21">
        <f t="shared" ref="AJ6:AJ69" si="11">AG6-AM6</f>
        <v>899808</v>
      </c>
      <c r="AL6" s="21">
        <f t="shared" ref="AL6:AL69" si="12">AM6*W6</f>
        <v>86670495</v>
      </c>
      <c r="AM6" s="21">
        <v>518985</v>
      </c>
    </row>
    <row r="7" spans="1:39" x14ac:dyDescent="0.3">
      <c r="A7" t="s">
        <v>488</v>
      </c>
      <c r="B7" t="s">
        <v>315</v>
      </c>
      <c r="C7" t="s">
        <v>326</v>
      </c>
      <c r="E7">
        <v>9630</v>
      </c>
      <c r="F7" s="45">
        <v>0.96</v>
      </c>
      <c r="G7" s="45">
        <v>1</v>
      </c>
      <c r="H7">
        <v>275</v>
      </c>
      <c r="I7">
        <v>8</v>
      </c>
      <c r="J7">
        <v>5.27</v>
      </c>
      <c r="K7">
        <v>850</v>
      </c>
      <c r="M7">
        <f>174/2</f>
        <v>87</v>
      </c>
      <c r="N7" s="52">
        <f>91/2</f>
        <v>45.5</v>
      </c>
      <c r="O7" s="52">
        <f>39/2</f>
        <v>19.5</v>
      </c>
      <c r="Q7" s="1">
        <v>41557</v>
      </c>
      <c r="R7" s="21">
        <v>140468900</v>
      </c>
      <c r="S7" s="21">
        <f t="shared" si="0"/>
        <v>136909272</v>
      </c>
      <c r="T7" s="21">
        <f t="shared" si="1"/>
        <v>3559628</v>
      </c>
      <c r="U7" s="21" t="str">
        <f t="shared" si="2"/>
        <v>NR</v>
      </c>
      <c r="V7" s="21">
        <f t="shared" si="3"/>
        <v>171.34198405495869</v>
      </c>
      <c r="W7">
        <f>166+$X$2</f>
        <v>167</v>
      </c>
      <c r="X7" s="1">
        <f t="shared" si="4"/>
        <v>41728</v>
      </c>
      <c r="Z7" s="50">
        <f>MROUND(IFERROR((VLOOKUP(C7,Lignes!$B$5:$F$28,5,FALSE)*2)/K7+$Z$2,0),0.05)</f>
        <v>23.150000000000002</v>
      </c>
      <c r="AA7" s="51">
        <f t="shared" si="5"/>
        <v>3842</v>
      </c>
      <c r="AB7" s="8">
        <f t="shared" ca="1" si="6"/>
        <v>1908</v>
      </c>
      <c r="AC7" s="38">
        <f t="shared" ca="1" si="7"/>
        <v>63.6</v>
      </c>
      <c r="AD7" s="38">
        <f t="shared" ca="1" si="8"/>
        <v>6.36</v>
      </c>
      <c r="AF7" s="21">
        <f t="shared" si="9"/>
        <v>216859687</v>
      </c>
      <c r="AG7" s="21">
        <v>1298561</v>
      </c>
      <c r="AI7" s="21">
        <f t="shared" si="10"/>
        <v>136909272</v>
      </c>
      <c r="AJ7" s="21">
        <f t="shared" si="11"/>
        <v>819816</v>
      </c>
      <c r="AL7" s="21">
        <f t="shared" si="12"/>
        <v>79950415</v>
      </c>
      <c r="AM7" s="21">
        <v>478745</v>
      </c>
    </row>
    <row r="8" spans="1:39" x14ac:dyDescent="0.3">
      <c r="A8" t="s">
        <v>489</v>
      </c>
      <c r="B8" t="s">
        <v>315</v>
      </c>
      <c r="C8" t="s">
        <v>326</v>
      </c>
      <c r="E8">
        <v>9630</v>
      </c>
      <c r="F8" s="45">
        <v>0.96</v>
      </c>
      <c r="G8" s="45">
        <v>1</v>
      </c>
      <c r="H8">
        <v>275</v>
      </c>
      <c r="I8">
        <v>8</v>
      </c>
      <c r="J8">
        <v>5.27</v>
      </c>
      <c r="K8">
        <v>850</v>
      </c>
      <c r="M8">
        <v>96</v>
      </c>
      <c r="N8">
        <v>50</v>
      </c>
      <c r="O8">
        <v>21</v>
      </c>
      <c r="Q8" s="1">
        <v>41557</v>
      </c>
      <c r="R8" s="21">
        <v>140468900</v>
      </c>
      <c r="S8" s="21">
        <f t="shared" si="0"/>
        <v>152565355</v>
      </c>
      <c r="T8" s="21" t="str">
        <f t="shared" si="1"/>
        <v>Rentabilisé</v>
      </c>
      <c r="U8" s="21">
        <f t="shared" si="2"/>
        <v>12096455</v>
      </c>
      <c r="V8" s="21">
        <f t="shared" si="3"/>
        <v>153.75906476277004</v>
      </c>
      <c r="W8">
        <f>166+$X$2</f>
        <v>167</v>
      </c>
      <c r="X8" s="1">
        <f t="shared" si="4"/>
        <v>41711</v>
      </c>
      <c r="Z8" s="50">
        <f>MROUND(IFERROR((VLOOKUP(C8,Lignes!$B$5:$F$28,5,FALSE)*2)/K8+$Z$2,0),0.05)</f>
        <v>23.150000000000002</v>
      </c>
      <c r="AA8" s="51">
        <f t="shared" si="5"/>
        <v>3842</v>
      </c>
      <c r="AB8" s="8">
        <f t="shared" ca="1" si="6"/>
        <v>1908</v>
      </c>
      <c r="AC8" s="38">
        <f t="shared" ca="1" si="7"/>
        <v>63.6</v>
      </c>
      <c r="AD8" s="38">
        <f t="shared" ca="1" si="8"/>
        <v>6.36</v>
      </c>
      <c r="AF8" s="21">
        <f t="shared" si="9"/>
        <v>242936403</v>
      </c>
      <c r="AG8" s="21">
        <v>1454709</v>
      </c>
      <c r="AI8" s="21">
        <f t="shared" si="10"/>
        <v>152565355</v>
      </c>
      <c r="AJ8" s="21">
        <f t="shared" si="11"/>
        <v>913565</v>
      </c>
      <c r="AL8" s="21">
        <f t="shared" si="12"/>
        <v>90371048</v>
      </c>
      <c r="AM8" s="21">
        <v>541144</v>
      </c>
    </row>
    <row r="9" spans="1:39" x14ac:dyDescent="0.3">
      <c r="A9" t="s">
        <v>490</v>
      </c>
      <c r="B9" t="s">
        <v>315</v>
      </c>
      <c r="C9" t="s">
        <v>332</v>
      </c>
      <c r="E9">
        <v>9630</v>
      </c>
      <c r="F9" s="45">
        <v>0.96</v>
      </c>
      <c r="G9" s="45">
        <v>1</v>
      </c>
      <c r="H9">
        <v>275</v>
      </c>
      <c r="I9">
        <v>8</v>
      </c>
      <c r="J9">
        <v>5.27</v>
      </c>
      <c r="K9">
        <v>850</v>
      </c>
      <c r="M9">
        <v>96</v>
      </c>
      <c r="N9">
        <v>50</v>
      </c>
      <c r="O9">
        <v>21</v>
      </c>
      <c r="Q9" s="1">
        <v>41557</v>
      </c>
      <c r="R9" s="21">
        <v>140468900</v>
      </c>
      <c r="S9" s="21">
        <f t="shared" si="0"/>
        <v>173124391</v>
      </c>
      <c r="T9" s="21" t="str">
        <f t="shared" si="1"/>
        <v>Rentabilisé</v>
      </c>
      <c r="U9" s="21">
        <f t="shared" si="2"/>
        <v>32655491</v>
      </c>
      <c r="V9" s="21">
        <f t="shared" si="3"/>
        <v>135.49971881200725</v>
      </c>
      <c r="W9">
        <f>166+$X$2</f>
        <v>167</v>
      </c>
      <c r="X9" s="1">
        <f t="shared" si="4"/>
        <v>41692</v>
      </c>
      <c r="Z9" s="50">
        <f>MROUND(IFERROR((VLOOKUP(C9,Lignes!$B$5:$F$28,5,FALSE)*2)/K9+$Z$2,0),0.05)</f>
        <v>23.1</v>
      </c>
      <c r="AA9" s="51">
        <f t="shared" si="5"/>
        <v>3834</v>
      </c>
      <c r="AB9" s="8">
        <f t="shared" ca="1" si="6"/>
        <v>1908</v>
      </c>
      <c r="AC9" s="38">
        <f t="shared" ca="1" si="7"/>
        <v>63.6</v>
      </c>
      <c r="AD9" s="38">
        <f t="shared" ca="1" si="8"/>
        <v>6.36</v>
      </c>
      <c r="AF9" s="21">
        <f t="shared" si="9"/>
        <v>267911086</v>
      </c>
      <c r="AG9" s="21">
        <v>1604258</v>
      </c>
      <c r="AI9" s="21">
        <f t="shared" si="10"/>
        <v>173124391</v>
      </c>
      <c r="AJ9" s="21">
        <f t="shared" si="11"/>
        <v>1036673</v>
      </c>
      <c r="AL9" s="21">
        <f t="shared" si="12"/>
        <v>94786695</v>
      </c>
      <c r="AM9" s="21">
        <v>567585</v>
      </c>
    </row>
    <row r="10" spans="1:39" x14ac:dyDescent="0.3">
      <c r="A10" t="s">
        <v>491</v>
      </c>
      <c r="B10" t="s">
        <v>315</v>
      </c>
      <c r="C10" t="s">
        <v>332</v>
      </c>
      <c r="E10">
        <v>9630</v>
      </c>
      <c r="F10" s="45">
        <v>0.96</v>
      </c>
      <c r="G10" s="45">
        <v>1</v>
      </c>
      <c r="H10">
        <v>275</v>
      </c>
      <c r="I10">
        <v>8</v>
      </c>
      <c r="J10">
        <v>5.27</v>
      </c>
      <c r="K10">
        <v>850</v>
      </c>
      <c r="M10">
        <v>96</v>
      </c>
      <c r="N10">
        <v>50</v>
      </c>
      <c r="O10">
        <v>21</v>
      </c>
      <c r="Q10" s="1">
        <v>41557</v>
      </c>
      <c r="R10" s="21">
        <v>140468900</v>
      </c>
      <c r="S10" s="21">
        <f t="shared" si="0"/>
        <v>188685451</v>
      </c>
      <c r="T10" s="21" t="str">
        <f t="shared" si="1"/>
        <v>Rentabilisé</v>
      </c>
      <c r="U10" s="21">
        <f t="shared" si="2"/>
        <v>48216551</v>
      </c>
      <c r="V10" s="21">
        <f t="shared" si="3"/>
        <v>124.32493430561321</v>
      </c>
      <c r="W10">
        <f>166+X2</f>
        <v>167</v>
      </c>
      <c r="X10" s="1">
        <f t="shared" si="4"/>
        <v>41681</v>
      </c>
      <c r="Z10" s="50">
        <f>MROUND(IFERROR((VLOOKUP(C10,Lignes!$B$5:$F$28,5,FALSE)*2)/K10+$Z$2,0),0.05)</f>
        <v>23.1</v>
      </c>
      <c r="AA10" s="51">
        <f t="shared" si="5"/>
        <v>3834</v>
      </c>
      <c r="AB10" s="8">
        <f t="shared" ca="1" si="6"/>
        <v>1908</v>
      </c>
      <c r="AC10" s="38">
        <f t="shared" ca="1" si="7"/>
        <v>63.6</v>
      </c>
      <c r="AD10" s="38">
        <f t="shared" ca="1" si="8"/>
        <v>6.36</v>
      </c>
      <c r="AF10" s="21">
        <f t="shared" si="9"/>
        <v>265115172</v>
      </c>
      <c r="AG10" s="21">
        <v>1587516</v>
      </c>
      <c r="AI10" s="21">
        <f t="shared" si="10"/>
        <v>188685451</v>
      </c>
      <c r="AJ10" s="21">
        <f t="shared" si="11"/>
        <v>1129853</v>
      </c>
      <c r="AL10" s="21">
        <f t="shared" si="12"/>
        <v>76429721</v>
      </c>
      <c r="AM10" s="21">
        <v>457663</v>
      </c>
    </row>
    <row r="11" spans="1:39" x14ac:dyDescent="0.3">
      <c r="A11" t="s">
        <v>492</v>
      </c>
      <c r="B11" t="s">
        <v>315</v>
      </c>
      <c r="C11" t="s">
        <v>320</v>
      </c>
      <c r="E11">
        <v>9630</v>
      </c>
      <c r="F11" s="45">
        <v>0.93</v>
      </c>
      <c r="G11" s="45">
        <v>1</v>
      </c>
      <c r="H11">
        <v>275</v>
      </c>
      <c r="I11">
        <v>8</v>
      </c>
      <c r="J11">
        <v>5.27</v>
      </c>
      <c r="K11">
        <v>850</v>
      </c>
      <c r="M11">
        <v>96</v>
      </c>
      <c r="N11">
        <v>50</v>
      </c>
      <c r="O11">
        <v>21</v>
      </c>
      <c r="Q11" s="1">
        <v>41557</v>
      </c>
      <c r="R11" s="21">
        <v>140468900</v>
      </c>
      <c r="S11" s="21">
        <f t="shared" si="0"/>
        <v>176375472</v>
      </c>
      <c r="T11" s="21" t="str">
        <f t="shared" si="1"/>
        <v>Rentabilisé</v>
      </c>
      <c r="U11" s="21">
        <f t="shared" si="2"/>
        <v>35906572</v>
      </c>
      <c r="V11" s="21">
        <f t="shared" si="3"/>
        <v>133.79850912603086</v>
      </c>
      <c r="W11">
        <v>168</v>
      </c>
      <c r="X11" s="1">
        <f t="shared" si="4"/>
        <v>41691</v>
      </c>
      <c r="Z11" s="50">
        <f>MROUND(IFERROR((VLOOKUP(C11,Lignes!$B$5:$F$28,5,FALSE)*2)/K11+$Z$2,0),0.05)</f>
        <v>22.35</v>
      </c>
      <c r="AA11" s="51">
        <f t="shared" si="5"/>
        <v>3732</v>
      </c>
      <c r="AB11" s="8">
        <f t="shared" ca="1" si="6"/>
        <v>1908</v>
      </c>
      <c r="AC11" s="38">
        <f t="shared" ca="1" si="7"/>
        <v>63.6</v>
      </c>
      <c r="AD11" s="38">
        <f t="shared" ca="1" si="8"/>
        <v>6.36</v>
      </c>
      <c r="AF11" s="21">
        <f t="shared" si="9"/>
        <v>247717008</v>
      </c>
      <c r="AG11" s="21">
        <v>1474506</v>
      </c>
      <c r="AI11" s="21">
        <f t="shared" si="10"/>
        <v>176375472</v>
      </c>
      <c r="AJ11" s="21">
        <f t="shared" si="11"/>
        <v>1049854</v>
      </c>
      <c r="AL11" s="21">
        <f t="shared" si="12"/>
        <v>71341536</v>
      </c>
      <c r="AM11" s="21">
        <v>424652</v>
      </c>
    </row>
    <row r="12" spans="1:39" x14ac:dyDescent="0.3">
      <c r="A12" t="s">
        <v>493</v>
      </c>
      <c r="B12" t="s">
        <v>315</v>
      </c>
      <c r="C12" t="s">
        <v>320</v>
      </c>
      <c r="E12">
        <v>9630</v>
      </c>
      <c r="F12" s="45">
        <v>0.93</v>
      </c>
      <c r="G12" s="45">
        <v>1</v>
      </c>
      <c r="H12">
        <v>275</v>
      </c>
      <c r="I12">
        <v>8</v>
      </c>
      <c r="J12">
        <v>5.27</v>
      </c>
      <c r="K12">
        <v>850</v>
      </c>
      <c r="M12">
        <v>96</v>
      </c>
      <c r="N12">
        <v>50</v>
      </c>
      <c r="O12">
        <v>21</v>
      </c>
      <c r="Q12" s="1">
        <v>41557</v>
      </c>
      <c r="R12" s="21">
        <v>140468900</v>
      </c>
      <c r="S12" s="21">
        <f t="shared" si="0"/>
        <v>176375472</v>
      </c>
      <c r="T12" s="21" t="str">
        <f t="shared" si="1"/>
        <v>Rentabilisé</v>
      </c>
      <c r="U12" s="21">
        <f t="shared" si="2"/>
        <v>35906572</v>
      </c>
      <c r="V12" s="21">
        <f t="shared" si="3"/>
        <v>133.79850912603086</v>
      </c>
      <c r="W12">
        <v>168</v>
      </c>
      <c r="X12" s="1">
        <f t="shared" si="4"/>
        <v>41691</v>
      </c>
      <c r="Z12" s="50">
        <f>MROUND(IFERROR((VLOOKUP(C12,Lignes!$B$5:$F$28,5,FALSE)*2)/K12+$Z$2,0),0.05)</f>
        <v>22.35</v>
      </c>
      <c r="AA12" s="51">
        <f t="shared" si="5"/>
        <v>3732</v>
      </c>
      <c r="AB12" s="8">
        <f t="shared" ca="1" si="6"/>
        <v>1908</v>
      </c>
      <c r="AC12" s="38">
        <f t="shared" ca="1" si="7"/>
        <v>63.6</v>
      </c>
      <c r="AD12" s="38">
        <f t="shared" ca="1" si="8"/>
        <v>6.36</v>
      </c>
      <c r="AF12" s="21">
        <f t="shared" si="9"/>
        <v>247717008</v>
      </c>
      <c r="AG12" s="21">
        <v>1474506</v>
      </c>
      <c r="AI12" s="21">
        <f t="shared" si="10"/>
        <v>176375472</v>
      </c>
      <c r="AJ12" s="21">
        <f t="shared" si="11"/>
        <v>1049854</v>
      </c>
      <c r="AL12" s="21">
        <f t="shared" si="12"/>
        <v>71341536</v>
      </c>
      <c r="AM12" s="21">
        <v>424652</v>
      </c>
    </row>
    <row r="13" spans="1:39" x14ac:dyDescent="0.3">
      <c r="A13" t="s">
        <v>494</v>
      </c>
      <c r="B13" t="s">
        <v>315</v>
      </c>
      <c r="E13">
        <v>9630</v>
      </c>
      <c r="G13" s="45">
        <v>1</v>
      </c>
      <c r="H13">
        <v>275</v>
      </c>
      <c r="I13">
        <v>8</v>
      </c>
      <c r="J13">
        <v>5.27</v>
      </c>
      <c r="K13">
        <v>850</v>
      </c>
      <c r="M13">
        <v>96</v>
      </c>
      <c r="N13">
        <v>50</v>
      </c>
      <c r="O13">
        <v>21</v>
      </c>
      <c r="Q13" s="1">
        <v>41557</v>
      </c>
      <c r="R13" s="21">
        <v>140468900</v>
      </c>
      <c r="S13" s="21">
        <f t="shared" si="0"/>
        <v>0</v>
      </c>
      <c r="T13" s="21">
        <f t="shared" si="1"/>
        <v>140468900</v>
      </c>
      <c r="U13" s="21" t="str">
        <f t="shared" si="2"/>
        <v>NR</v>
      </c>
      <c r="V13" s="21">
        <f t="shared" si="3"/>
        <v>0</v>
      </c>
      <c r="X13" s="1">
        <f t="shared" si="4"/>
        <v>41557</v>
      </c>
      <c r="Z13" s="50">
        <f>MROUND(IFERROR((VLOOKUP(C13,Lignes!$B$5:$F$28,5,FALSE)*2)/K13+$Z$2,0),0.05)</f>
        <v>0</v>
      </c>
      <c r="AA13" s="51">
        <f t="shared" si="5"/>
        <v>0</v>
      </c>
      <c r="AB13" s="8">
        <f t="shared" ca="1" si="6"/>
        <v>1908</v>
      </c>
      <c r="AC13" s="38">
        <f t="shared" ca="1" si="7"/>
        <v>63.6</v>
      </c>
      <c r="AD13" s="38">
        <f t="shared" ca="1" si="8"/>
        <v>6.36</v>
      </c>
      <c r="AF13" s="21">
        <f t="shared" si="9"/>
        <v>0</v>
      </c>
      <c r="AG13" s="21"/>
      <c r="AI13" s="21">
        <f t="shared" si="10"/>
        <v>0</v>
      </c>
      <c r="AJ13" s="21">
        <f t="shared" si="11"/>
        <v>0</v>
      </c>
      <c r="AL13" s="21">
        <f t="shared" si="12"/>
        <v>0</v>
      </c>
      <c r="AM13" s="21"/>
    </row>
    <row r="14" spans="1:39" x14ac:dyDescent="0.3">
      <c r="A14" t="s">
        <v>495</v>
      </c>
      <c r="B14" t="s">
        <v>315</v>
      </c>
      <c r="E14">
        <v>9630</v>
      </c>
      <c r="G14" s="45">
        <v>1</v>
      </c>
      <c r="H14">
        <v>275</v>
      </c>
      <c r="I14">
        <v>8</v>
      </c>
      <c r="J14">
        <v>5.27</v>
      </c>
      <c r="K14">
        <v>850</v>
      </c>
      <c r="M14">
        <v>96</v>
      </c>
      <c r="N14">
        <v>50</v>
      </c>
      <c r="O14">
        <v>21</v>
      </c>
      <c r="Q14" s="1">
        <v>41557</v>
      </c>
      <c r="R14" s="21">
        <v>140468900</v>
      </c>
      <c r="S14" s="21">
        <f t="shared" si="0"/>
        <v>0</v>
      </c>
      <c r="T14" s="21">
        <f t="shared" si="1"/>
        <v>140468900</v>
      </c>
      <c r="U14" s="21" t="str">
        <f t="shared" si="2"/>
        <v>NR</v>
      </c>
      <c r="V14" s="21">
        <f t="shared" si="3"/>
        <v>0</v>
      </c>
      <c r="X14" s="1">
        <f t="shared" si="4"/>
        <v>41557</v>
      </c>
      <c r="Z14" s="50">
        <f>MROUND(IFERROR((VLOOKUP(C14,Lignes!$B$5:$F$28,5,FALSE)*2)/K14+$Z$2,0),0.05)</f>
        <v>0</v>
      </c>
      <c r="AA14" s="51">
        <f t="shared" si="5"/>
        <v>0</v>
      </c>
      <c r="AB14" s="8">
        <f t="shared" ca="1" si="6"/>
        <v>1908</v>
      </c>
      <c r="AC14" s="38">
        <f t="shared" ca="1" si="7"/>
        <v>63.6</v>
      </c>
      <c r="AD14" s="38">
        <f t="shared" ca="1" si="8"/>
        <v>6.36</v>
      </c>
      <c r="AF14" s="21">
        <f t="shared" si="9"/>
        <v>0</v>
      </c>
      <c r="AG14" s="21"/>
      <c r="AI14" s="21">
        <f t="shared" si="10"/>
        <v>0</v>
      </c>
      <c r="AJ14" s="21">
        <f t="shared" si="11"/>
        <v>0</v>
      </c>
      <c r="AL14" s="21">
        <f t="shared" si="12"/>
        <v>0</v>
      </c>
      <c r="AM14" s="21"/>
    </row>
    <row r="15" spans="1:39" x14ac:dyDescent="0.3">
      <c r="A15" t="s">
        <v>496</v>
      </c>
      <c r="B15" t="s">
        <v>315</v>
      </c>
      <c r="E15">
        <v>9630</v>
      </c>
      <c r="G15" s="45">
        <v>1</v>
      </c>
      <c r="H15">
        <v>275</v>
      </c>
      <c r="I15">
        <v>8</v>
      </c>
      <c r="J15">
        <v>5.27</v>
      </c>
      <c r="K15">
        <v>850</v>
      </c>
      <c r="M15">
        <v>96</v>
      </c>
      <c r="N15">
        <v>50</v>
      </c>
      <c r="O15">
        <v>21</v>
      </c>
      <c r="Q15" s="1">
        <v>41557</v>
      </c>
      <c r="R15" s="21">
        <v>140468900</v>
      </c>
      <c r="S15" s="21">
        <f t="shared" si="0"/>
        <v>0</v>
      </c>
      <c r="T15" s="21">
        <f t="shared" si="1"/>
        <v>140468900</v>
      </c>
      <c r="U15" s="21" t="str">
        <f t="shared" si="2"/>
        <v>NR</v>
      </c>
      <c r="V15" s="21">
        <f t="shared" si="3"/>
        <v>0</v>
      </c>
      <c r="X15" s="1">
        <f t="shared" si="4"/>
        <v>41557</v>
      </c>
      <c r="Z15" s="50">
        <f>MROUND(IFERROR((VLOOKUP(C15,Lignes!$B$5:$F$28,5,FALSE)*2)/K15+$Z$2,0),0.05)</f>
        <v>0</v>
      </c>
      <c r="AA15" s="51">
        <f t="shared" si="5"/>
        <v>0</v>
      </c>
      <c r="AB15" s="8">
        <f t="shared" ca="1" si="6"/>
        <v>1908</v>
      </c>
      <c r="AC15" s="38">
        <f t="shared" ca="1" si="7"/>
        <v>63.6</v>
      </c>
      <c r="AD15" s="38">
        <f t="shared" ca="1" si="8"/>
        <v>6.36</v>
      </c>
      <c r="AF15" s="21">
        <f t="shared" si="9"/>
        <v>0</v>
      </c>
      <c r="AG15" s="21"/>
      <c r="AI15" s="21">
        <f t="shared" si="10"/>
        <v>0</v>
      </c>
      <c r="AJ15" s="21">
        <f t="shared" si="11"/>
        <v>0</v>
      </c>
      <c r="AL15" s="21">
        <f t="shared" si="12"/>
        <v>0</v>
      </c>
      <c r="AM15" s="21"/>
    </row>
    <row r="16" spans="1:39" x14ac:dyDescent="0.3">
      <c r="A16" t="s">
        <v>497</v>
      </c>
      <c r="B16" t="s">
        <v>315</v>
      </c>
      <c r="E16">
        <v>9630</v>
      </c>
      <c r="G16" s="45">
        <v>1</v>
      </c>
      <c r="H16">
        <v>275</v>
      </c>
      <c r="I16">
        <v>8</v>
      </c>
      <c r="J16">
        <v>5.27</v>
      </c>
      <c r="K16">
        <v>850</v>
      </c>
      <c r="M16">
        <v>96</v>
      </c>
      <c r="N16">
        <v>50</v>
      </c>
      <c r="O16">
        <v>21</v>
      </c>
      <c r="Q16" s="1">
        <v>41557</v>
      </c>
      <c r="R16" s="21">
        <v>140468900</v>
      </c>
      <c r="S16" s="21">
        <f t="shared" si="0"/>
        <v>0</v>
      </c>
      <c r="T16" s="21">
        <f t="shared" si="1"/>
        <v>140468900</v>
      </c>
      <c r="U16" s="21" t="str">
        <f t="shared" si="2"/>
        <v>NR</v>
      </c>
      <c r="V16" s="21">
        <f t="shared" si="3"/>
        <v>0</v>
      </c>
      <c r="X16" s="1">
        <f t="shared" si="4"/>
        <v>41557</v>
      </c>
      <c r="Z16" s="50">
        <f>MROUND(IFERROR((VLOOKUP(C16,Lignes!$B$5:$F$28,5,FALSE)*2)/K16+$Z$2,0),0.05)</f>
        <v>0</v>
      </c>
      <c r="AA16" s="51">
        <f t="shared" si="5"/>
        <v>0</v>
      </c>
      <c r="AB16" s="8">
        <f t="shared" ca="1" si="6"/>
        <v>1908</v>
      </c>
      <c r="AC16" s="38">
        <f t="shared" ca="1" si="7"/>
        <v>63.6</v>
      </c>
      <c r="AD16" s="38">
        <f t="shared" ca="1" si="8"/>
        <v>6.36</v>
      </c>
      <c r="AF16" s="21">
        <f t="shared" si="9"/>
        <v>0</v>
      </c>
      <c r="AG16" s="21"/>
      <c r="AI16" s="21">
        <f t="shared" si="10"/>
        <v>0</v>
      </c>
      <c r="AJ16" s="21">
        <f t="shared" si="11"/>
        <v>0</v>
      </c>
      <c r="AL16" s="21">
        <f t="shared" si="12"/>
        <v>0</v>
      </c>
      <c r="AM16" s="21"/>
    </row>
    <row r="17" spans="1:39" x14ac:dyDescent="0.3">
      <c r="A17" t="s">
        <v>498</v>
      </c>
      <c r="B17" t="s">
        <v>315</v>
      </c>
      <c r="E17">
        <v>9630</v>
      </c>
      <c r="G17" s="45">
        <v>1</v>
      </c>
      <c r="H17">
        <v>275</v>
      </c>
      <c r="I17">
        <v>8</v>
      </c>
      <c r="J17">
        <v>5.27</v>
      </c>
      <c r="K17">
        <v>850</v>
      </c>
      <c r="M17">
        <v>96</v>
      </c>
      <c r="N17">
        <v>50</v>
      </c>
      <c r="O17">
        <v>21</v>
      </c>
      <c r="Q17" s="1">
        <v>41557</v>
      </c>
      <c r="R17" s="21">
        <v>140468900</v>
      </c>
      <c r="S17" s="21">
        <f t="shared" si="0"/>
        <v>0</v>
      </c>
      <c r="T17" s="21">
        <f t="shared" si="1"/>
        <v>140468900</v>
      </c>
      <c r="U17" s="21" t="str">
        <f t="shared" si="2"/>
        <v>NR</v>
      </c>
      <c r="V17" s="21">
        <f t="shared" si="3"/>
        <v>0</v>
      </c>
      <c r="X17" s="1">
        <f t="shared" si="4"/>
        <v>41557</v>
      </c>
      <c r="Z17" s="50">
        <f>MROUND(IFERROR((VLOOKUP(C17,Lignes!$B$5:$F$28,5,FALSE)*2)/K17+$Z$2,0),0.05)</f>
        <v>0</v>
      </c>
      <c r="AA17" s="51">
        <f t="shared" si="5"/>
        <v>0</v>
      </c>
      <c r="AB17" s="8">
        <f t="shared" ca="1" si="6"/>
        <v>1908</v>
      </c>
      <c r="AC17" s="38">
        <f t="shared" ca="1" si="7"/>
        <v>63.6</v>
      </c>
      <c r="AD17" s="38">
        <f t="shared" ca="1" si="8"/>
        <v>6.36</v>
      </c>
      <c r="AF17" s="21">
        <f t="shared" si="9"/>
        <v>0</v>
      </c>
      <c r="AG17" s="21"/>
      <c r="AI17" s="21">
        <f t="shared" si="10"/>
        <v>0</v>
      </c>
      <c r="AJ17" s="21">
        <f t="shared" si="11"/>
        <v>0</v>
      </c>
      <c r="AL17" s="21">
        <f t="shared" si="12"/>
        <v>0</v>
      </c>
      <c r="AM17" s="21"/>
    </row>
    <row r="18" spans="1:39" x14ac:dyDescent="0.3">
      <c r="A18" t="s">
        <v>499</v>
      </c>
      <c r="B18" t="s">
        <v>315</v>
      </c>
      <c r="E18">
        <v>9630</v>
      </c>
      <c r="G18" s="45">
        <v>1</v>
      </c>
      <c r="H18">
        <v>275</v>
      </c>
      <c r="I18">
        <v>8</v>
      </c>
      <c r="J18">
        <v>5.27</v>
      </c>
      <c r="K18">
        <v>850</v>
      </c>
      <c r="M18">
        <v>96</v>
      </c>
      <c r="N18">
        <v>50</v>
      </c>
      <c r="O18">
        <v>21</v>
      </c>
      <c r="Q18" s="1">
        <v>41557</v>
      </c>
      <c r="R18" s="21">
        <v>140468900</v>
      </c>
      <c r="S18" s="21">
        <f t="shared" si="0"/>
        <v>0</v>
      </c>
      <c r="T18" s="21">
        <f t="shared" si="1"/>
        <v>140468900</v>
      </c>
      <c r="U18" s="21" t="str">
        <f t="shared" si="2"/>
        <v>NR</v>
      </c>
      <c r="V18" s="21">
        <f t="shared" si="3"/>
        <v>0</v>
      </c>
      <c r="X18" s="1">
        <f t="shared" si="4"/>
        <v>41557</v>
      </c>
      <c r="Z18" s="50">
        <f>MROUND(IFERROR((VLOOKUP(C18,Lignes!$B$5:$F$28,5,FALSE)*2)/K18+$Z$2,0),0.05)</f>
        <v>0</v>
      </c>
      <c r="AA18" s="51">
        <f t="shared" si="5"/>
        <v>0</v>
      </c>
      <c r="AB18" s="8">
        <f t="shared" ca="1" si="6"/>
        <v>1908</v>
      </c>
      <c r="AC18" s="38">
        <f t="shared" ca="1" si="7"/>
        <v>63.6</v>
      </c>
      <c r="AD18" s="38">
        <f t="shared" ca="1" si="8"/>
        <v>6.36</v>
      </c>
      <c r="AF18" s="21">
        <f t="shared" si="9"/>
        <v>0</v>
      </c>
      <c r="AG18" s="21"/>
      <c r="AI18" s="21">
        <f t="shared" si="10"/>
        <v>0</v>
      </c>
      <c r="AJ18" s="21">
        <f t="shared" si="11"/>
        <v>0</v>
      </c>
      <c r="AL18" s="21">
        <f t="shared" si="12"/>
        <v>0</v>
      </c>
      <c r="AM18" s="21"/>
    </row>
    <row r="19" spans="1:39" x14ac:dyDescent="0.3">
      <c r="A19" t="s">
        <v>500</v>
      </c>
      <c r="B19" t="s">
        <v>315</v>
      </c>
      <c r="E19">
        <v>9630</v>
      </c>
      <c r="G19" s="45">
        <v>1</v>
      </c>
      <c r="H19">
        <v>275</v>
      </c>
      <c r="I19">
        <v>8</v>
      </c>
      <c r="J19">
        <v>5.27</v>
      </c>
      <c r="K19">
        <v>850</v>
      </c>
      <c r="M19">
        <v>96</v>
      </c>
      <c r="N19">
        <v>50</v>
      </c>
      <c r="O19">
        <v>21</v>
      </c>
      <c r="Q19" s="1">
        <v>41557</v>
      </c>
      <c r="R19" s="21">
        <v>140468900</v>
      </c>
      <c r="S19" s="21">
        <f t="shared" si="0"/>
        <v>0</v>
      </c>
      <c r="T19" s="21">
        <f t="shared" si="1"/>
        <v>140468900</v>
      </c>
      <c r="U19" s="21" t="str">
        <f t="shared" si="2"/>
        <v>NR</v>
      </c>
      <c r="V19" s="21">
        <f t="shared" si="3"/>
        <v>0</v>
      </c>
      <c r="X19" s="1">
        <f t="shared" si="4"/>
        <v>41557</v>
      </c>
      <c r="Z19" s="50">
        <f>MROUND(IFERROR((VLOOKUP(C19,Lignes!$B$5:$F$28,5,FALSE)*2)/K19+$Z$2,0),0.05)</f>
        <v>0</v>
      </c>
      <c r="AA19" s="51">
        <f t="shared" si="5"/>
        <v>0</v>
      </c>
      <c r="AB19" s="8">
        <f t="shared" ca="1" si="6"/>
        <v>1908</v>
      </c>
      <c r="AC19" s="38">
        <f t="shared" ca="1" si="7"/>
        <v>63.6</v>
      </c>
      <c r="AD19" s="38">
        <f t="shared" ca="1" si="8"/>
        <v>6.36</v>
      </c>
      <c r="AF19" s="21">
        <f t="shared" si="9"/>
        <v>0</v>
      </c>
      <c r="AG19" s="21"/>
      <c r="AI19" s="21">
        <f t="shared" si="10"/>
        <v>0</v>
      </c>
      <c r="AJ19" s="21">
        <f t="shared" si="11"/>
        <v>0</v>
      </c>
      <c r="AL19" s="21">
        <f t="shared" si="12"/>
        <v>0</v>
      </c>
      <c r="AM19" s="21"/>
    </row>
    <row r="20" spans="1:39" x14ac:dyDescent="0.3">
      <c r="A20" t="s">
        <v>501</v>
      </c>
      <c r="B20" t="s">
        <v>315</v>
      </c>
      <c r="E20">
        <v>9630</v>
      </c>
      <c r="G20" s="45">
        <v>1</v>
      </c>
      <c r="H20">
        <v>275</v>
      </c>
      <c r="I20">
        <v>8</v>
      </c>
      <c r="J20">
        <v>5.27</v>
      </c>
      <c r="K20">
        <v>850</v>
      </c>
      <c r="M20">
        <v>96</v>
      </c>
      <c r="N20">
        <v>50</v>
      </c>
      <c r="O20">
        <v>21</v>
      </c>
      <c r="Q20" s="1">
        <v>41557</v>
      </c>
      <c r="R20" s="21">
        <v>140468900</v>
      </c>
      <c r="S20" s="21">
        <f t="shared" si="0"/>
        <v>0</v>
      </c>
      <c r="T20" s="21">
        <f t="shared" si="1"/>
        <v>140468900</v>
      </c>
      <c r="U20" s="21" t="str">
        <f t="shared" si="2"/>
        <v>NR</v>
      </c>
      <c r="V20" s="21">
        <f t="shared" si="3"/>
        <v>0</v>
      </c>
      <c r="X20" s="1">
        <f t="shared" si="4"/>
        <v>41557</v>
      </c>
      <c r="Z20" s="50">
        <f>MROUND(IFERROR((VLOOKUP(C20,Lignes!$B$5:$F$28,5,FALSE)*2)/K20+$Z$2,0),0.05)</f>
        <v>0</v>
      </c>
      <c r="AA20" s="51">
        <f t="shared" si="5"/>
        <v>0</v>
      </c>
      <c r="AB20" s="8">
        <f t="shared" ca="1" si="6"/>
        <v>1908</v>
      </c>
      <c r="AC20" s="38">
        <f t="shared" ca="1" si="7"/>
        <v>63.6</v>
      </c>
      <c r="AD20" s="38">
        <f t="shared" ca="1" si="8"/>
        <v>6.36</v>
      </c>
      <c r="AF20" s="21">
        <f t="shared" si="9"/>
        <v>0</v>
      </c>
      <c r="AG20" s="21"/>
      <c r="AI20" s="21">
        <f t="shared" si="10"/>
        <v>0</v>
      </c>
      <c r="AJ20" s="21">
        <f t="shared" si="11"/>
        <v>0</v>
      </c>
      <c r="AL20" s="21">
        <f t="shared" si="12"/>
        <v>0</v>
      </c>
      <c r="AM20" s="21"/>
    </row>
    <row r="21" spans="1:39" x14ac:dyDescent="0.3">
      <c r="A21" t="s">
        <v>502</v>
      </c>
      <c r="B21" t="s">
        <v>315</v>
      </c>
      <c r="E21">
        <v>9630</v>
      </c>
      <c r="G21" s="45">
        <v>1</v>
      </c>
      <c r="H21">
        <v>275</v>
      </c>
      <c r="I21">
        <v>8</v>
      </c>
      <c r="J21">
        <v>5.27</v>
      </c>
      <c r="K21">
        <v>850</v>
      </c>
      <c r="M21">
        <v>96</v>
      </c>
      <c r="N21">
        <v>50</v>
      </c>
      <c r="O21">
        <v>21</v>
      </c>
      <c r="Q21" s="1">
        <v>41557</v>
      </c>
      <c r="R21" s="21">
        <v>140468900</v>
      </c>
      <c r="S21" s="21">
        <f t="shared" si="0"/>
        <v>0</v>
      </c>
      <c r="T21" s="21">
        <f t="shared" si="1"/>
        <v>140468900</v>
      </c>
      <c r="U21" s="21" t="str">
        <f t="shared" si="2"/>
        <v>NR</v>
      </c>
      <c r="V21" s="21">
        <f t="shared" si="3"/>
        <v>0</v>
      </c>
      <c r="X21" s="1">
        <f t="shared" si="4"/>
        <v>41557</v>
      </c>
      <c r="Z21" s="50">
        <f>MROUND(IFERROR((VLOOKUP(C21,Lignes!$B$5:$F$28,5,FALSE)*2)/K21+$Z$2,0),0.05)</f>
        <v>0</v>
      </c>
      <c r="AA21" s="51">
        <f t="shared" si="5"/>
        <v>0</v>
      </c>
      <c r="AB21" s="8">
        <f t="shared" ca="1" si="6"/>
        <v>1908</v>
      </c>
      <c r="AC21" s="38">
        <f t="shared" ca="1" si="7"/>
        <v>63.6</v>
      </c>
      <c r="AD21" s="38">
        <f t="shared" ca="1" si="8"/>
        <v>6.36</v>
      </c>
      <c r="AF21" s="21">
        <f t="shared" si="9"/>
        <v>0</v>
      </c>
      <c r="AG21" s="21"/>
      <c r="AI21" s="21">
        <f t="shared" si="10"/>
        <v>0</v>
      </c>
      <c r="AJ21" s="21">
        <f t="shared" si="11"/>
        <v>0</v>
      </c>
      <c r="AL21" s="21">
        <f t="shared" si="12"/>
        <v>0</v>
      </c>
      <c r="AM21" s="21"/>
    </row>
    <row r="22" spans="1:39" x14ac:dyDescent="0.3">
      <c r="A22" t="s">
        <v>503</v>
      </c>
      <c r="B22" t="s">
        <v>315</v>
      </c>
      <c r="E22">
        <v>9630</v>
      </c>
      <c r="G22" s="45">
        <v>1</v>
      </c>
      <c r="H22">
        <v>275</v>
      </c>
      <c r="I22">
        <v>8</v>
      </c>
      <c r="J22">
        <v>5.27</v>
      </c>
      <c r="K22">
        <v>850</v>
      </c>
      <c r="M22">
        <v>96</v>
      </c>
      <c r="N22">
        <v>50</v>
      </c>
      <c r="O22">
        <v>21</v>
      </c>
      <c r="Q22" s="1">
        <v>41557</v>
      </c>
      <c r="R22" s="21">
        <v>140468900</v>
      </c>
      <c r="S22" s="21">
        <f t="shared" si="0"/>
        <v>0</v>
      </c>
      <c r="T22" s="21">
        <f t="shared" si="1"/>
        <v>140468900</v>
      </c>
      <c r="U22" s="21" t="str">
        <f t="shared" si="2"/>
        <v>NR</v>
      </c>
      <c r="V22" s="21">
        <f t="shared" si="3"/>
        <v>0</v>
      </c>
      <c r="X22" s="1">
        <f t="shared" si="4"/>
        <v>41557</v>
      </c>
      <c r="Z22" s="50">
        <f>MROUND(IFERROR((VLOOKUP(C22,Lignes!$B$5:$F$28,5,FALSE)*2)/K22+$Z$2,0),0.05)</f>
        <v>0</v>
      </c>
      <c r="AA22" s="51">
        <f t="shared" si="5"/>
        <v>0</v>
      </c>
      <c r="AB22" s="8">
        <f t="shared" ca="1" si="6"/>
        <v>1908</v>
      </c>
      <c r="AC22" s="38">
        <f t="shared" ca="1" si="7"/>
        <v>63.6</v>
      </c>
      <c r="AD22" s="38">
        <f t="shared" ca="1" si="8"/>
        <v>6.36</v>
      </c>
      <c r="AF22" s="21">
        <f t="shared" si="9"/>
        <v>0</v>
      </c>
      <c r="AG22" s="21"/>
      <c r="AI22" s="21">
        <f t="shared" si="10"/>
        <v>0</v>
      </c>
      <c r="AJ22" s="21">
        <f t="shared" si="11"/>
        <v>0</v>
      </c>
      <c r="AL22" s="21">
        <f t="shared" si="12"/>
        <v>0</v>
      </c>
      <c r="AM22" s="21"/>
    </row>
    <row r="23" spans="1:39" x14ac:dyDescent="0.3">
      <c r="A23" t="s">
        <v>504</v>
      </c>
      <c r="B23" t="s">
        <v>315</v>
      </c>
      <c r="E23">
        <v>9630</v>
      </c>
      <c r="G23" s="45">
        <v>1</v>
      </c>
      <c r="H23">
        <v>275</v>
      </c>
      <c r="I23">
        <v>8</v>
      </c>
      <c r="J23">
        <v>5.27</v>
      </c>
      <c r="K23">
        <v>850</v>
      </c>
      <c r="M23">
        <v>96</v>
      </c>
      <c r="N23">
        <v>50</v>
      </c>
      <c r="O23">
        <v>21</v>
      </c>
      <c r="Q23" s="1">
        <v>41557</v>
      </c>
      <c r="R23" s="21">
        <v>140468900</v>
      </c>
      <c r="S23" s="21">
        <f t="shared" si="0"/>
        <v>0</v>
      </c>
      <c r="T23" s="21">
        <f t="shared" si="1"/>
        <v>140468900</v>
      </c>
      <c r="U23" s="21" t="str">
        <f t="shared" si="2"/>
        <v>NR</v>
      </c>
      <c r="V23" s="21">
        <f t="shared" si="3"/>
        <v>0</v>
      </c>
      <c r="X23" s="1">
        <f t="shared" si="4"/>
        <v>41557</v>
      </c>
      <c r="Z23" s="50">
        <f>MROUND(IFERROR((VLOOKUP(C23,Lignes!$B$5:$F$28,5,FALSE)*2)/K23+$Z$2,0),0.05)</f>
        <v>0</v>
      </c>
      <c r="AA23" s="51">
        <f t="shared" si="5"/>
        <v>0</v>
      </c>
      <c r="AB23" s="8">
        <f t="shared" ca="1" si="6"/>
        <v>1908</v>
      </c>
      <c r="AC23" s="38">
        <f t="shared" ca="1" si="7"/>
        <v>63.6</v>
      </c>
      <c r="AD23" s="38">
        <f t="shared" ca="1" si="8"/>
        <v>6.36</v>
      </c>
      <c r="AF23" s="21">
        <f t="shared" si="9"/>
        <v>0</v>
      </c>
      <c r="AG23" s="21"/>
      <c r="AI23" s="21">
        <f t="shared" si="10"/>
        <v>0</v>
      </c>
      <c r="AJ23" s="21">
        <f t="shared" si="11"/>
        <v>0</v>
      </c>
      <c r="AL23" s="21">
        <f t="shared" si="12"/>
        <v>0</v>
      </c>
      <c r="AM23" s="21"/>
    </row>
    <row r="24" spans="1:39" x14ac:dyDescent="0.3">
      <c r="A24" t="s">
        <v>505</v>
      </c>
      <c r="B24" t="s">
        <v>315</v>
      </c>
      <c r="E24">
        <v>9630</v>
      </c>
      <c r="G24" s="45">
        <v>1</v>
      </c>
      <c r="H24">
        <v>275</v>
      </c>
      <c r="I24">
        <v>8</v>
      </c>
      <c r="J24">
        <v>5.27</v>
      </c>
      <c r="K24">
        <v>850</v>
      </c>
      <c r="M24">
        <v>96</v>
      </c>
      <c r="N24">
        <v>50</v>
      </c>
      <c r="O24">
        <v>21</v>
      </c>
      <c r="Q24" s="1">
        <v>41557</v>
      </c>
      <c r="R24" s="21">
        <v>140468900</v>
      </c>
      <c r="S24" s="21">
        <f t="shared" si="0"/>
        <v>0</v>
      </c>
      <c r="T24" s="21">
        <f t="shared" si="1"/>
        <v>140468900</v>
      </c>
      <c r="U24" s="21" t="str">
        <f t="shared" si="2"/>
        <v>NR</v>
      </c>
      <c r="V24" s="21">
        <f t="shared" si="3"/>
        <v>0</v>
      </c>
      <c r="X24" s="1">
        <f t="shared" si="4"/>
        <v>41557</v>
      </c>
      <c r="Z24" s="50">
        <f>MROUND(IFERROR((VLOOKUP(C24,Lignes!$B$5:$F$28,5,FALSE)*2)/K24+$Z$2,0),0.05)</f>
        <v>0</v>
      </c>
      <c r="AA24" s="51">
        <f t="shared" si="5"/>
        <v>0</v>
      </c>
      <c r="AB24" s="8">
        <f t="shared" ca="1" si="6"/>
        <v>1908</v>
      </c>
      <c r="AC24" s="38">
        <f t="shared" ca="1" si="7"/>
        <v>63.6</v>
      </c>
      <c r="AD24" s="38">
        <f t="shared" ca="1" si="8"/>
        <v>6.36</v>
      </c>
      <c r="AF24" s="21">
        <f t="shared" si="9"/>
        <v>0</v>
      </c>
      <c r="AG24" s="21"/>
      <c r="AI24" s="21">
        <f t="shared" si="10"/>
        <v>0</v>
      </c>
      <c r="AJ24" s="21">
        <f t="shared" si="11"/>
        <v>0</v>
      </c>
      <c r="AL24" s="21">
        <f t="shared" si="12"/>
        <v>0</v>
      </c>
      <c r="AM24" s="21"/>
    </row>
    <row r="25" spans="1:39" x14ac:dyDescent="0.3">
      <c r="A25" t="s">
        <v>506</v>
      </c>
      <c r="B25" t="s">
        <v>315</v>
      </c>
      <c r="E25">
        <v>9630</v>
      </c>
      <c r="G25" s="45">
        <v>1</v>
      </c>
      <c r="H25">
        <v>275</v>
      </c>
      <c r="I25">
        <v>8</v>
      </c>
      <c r="J25">
        <v>5.27</v>
      </c>
      <c r="K25">
        <v>850</v>
      </c>
      <c r="M25">
        <v>96</v>
      </c>
      <c r="N25">
        <v>50</v>
      </c>
      <c r="O25">
        <v>21</v>
      </c>
      <c r="Q25" s="1">
        <v>41557</v>
      </c>
      <c r="R25" s="21">
        <v>140468900</v>
      </c>
      <c r="S25" s="21">
        <f t="shared" si="0"/>
        <v>0</v>
      </c>
      <c r="T25" s="21">
        <f t="shared" si="1"/>
        <v>140468900</v>
      </c>
      <c r="U25" s="21" t="str">
        <f t="shared" si="2"/>
        <v>NR</v>
      </c>
      <c r="V25" s="21">
        <f t="shared" si="3"/>
        <v>0</v>
      </c>
      <c r="X25" s="1">
        <f t="shared" si="4"/>
        <v>41557</v>
      </c>
      <c r="Z25" s="50">
        <f>MROUND(IFERROR((VLOOKUP(C25,Lignes!$B$5:$F$28,5,FALSE)*2)/K25+$Z$2,0),0.05)</f>
        <v>0</v>
      </c>
      <c r="AA25" s="51">
        <f t="shared" si="5"/>
        <v>0</v>
      </c>
      <c r="AB25" s="8">
        <f t="shared" ca="1" si="6"/>
        <v>1908</v>
      </c>
      <c r="AC25" s="38">
        <f t="shared" ca="1" si="7"/>
        <v>63.6</v>
      </c>
      <c r="AD25" s="38">
        <f t="shared" ca="1" si="8"/>
        <v>6.36</v>
      </c>
      <c r="AF25" s="21">
        <f t="shared" si="9"/>
        <v>0</v>
      </c>
      <c r="AG25" s="21"/>
      <c r="AI25" s="21">
        <f t="shared" si="10"/>
        <v>0</v>
      </c>
      <c r="AJ25" s="21">
        <f t="shared" si="11"/>
        <v>0</v>
      </c>
      <c r="AL25" s="21">
        <f t="shared" si="12"/>
        <v>0</v>
      </c>
      <c r="AM25" s="21"/>
    </row>
    <row r="26" spans="1:39" x14ac:dyDescent="0.3">
      <c r="A26" t="s">
        <v>507</v>
      </c>
      <c r="B26" t="s">
        <v>315</v>
      </c>
      <c r="E26">
        <v>9630</v>
      </c>
      <c r="G26" s="45">
        <v>1</v>
      </c>
      <c r="H26">
        <v>275</v>
      </c>
      <c r="I26">
        <v>8</v>
      </c>
      <c r="J26">
        <v>5.27</v>
      </c>
      <c r="K26">
        <v>850</v>
      </c>
      <c r="M26">
        <v>96</v>
      </c>
      <c r="N26">
        <v>50</v>
      </c>
      <c r="O26">
        <v>21</v>
      </c>
      <c r="Q26" s="1">
        <v>41557</v>
      </c>
      <c r="R26" s="21">
        <v>140468900</v>
      </c>
      <c r="S26" s="21">
        <f t="shared" si="0"/>
        <v>0</v>
      </c>
      <c r="T26" s="21">
        <f t="shared" si="1"/>
        <v>140468900</v>
      </c>
      <c r="U26" s="21" t="str">
        <f t="shared" si="2"/>
        <v>NR</v>
      </c>
      <c r="V26" s="21">
        <f t="shared" si="3"/>
        <v>0</v>
      </c>
      <c r="X26" s="1">
        <f t="shared" si="4"/>
        <v>41557</v>
      </c>
      <c r="Z26" s="50">
        <f>MROUND(IFERROR((VLOOKUP(C26,Lignes!$B$5:$F$28,5,FALSE)*2)/K26+$Z$2,0),0.05)</f>
        <v>0</v>
      </c>
      <c r="AA26" s="51">
        <f t="shared" si="5"/>
        <v>0</v>
      </c>
      <c r="AB26" s="8">
        <f t="shared" ca="1" si="6"/>
        <v>1908</v>
      </c>
      <c r="AC26" s="38">
        <f t="shared" ca="1" si="7"/>
        <v>63.6</v>
      </c>
      <c r="AD26" s="38">
        <f t="shared" ca="1" si="8"/>
        <v>6.36</v>
      </c>
      <c r="AF26" s="21">
        <f t="shared" si="9"/>
        <v>0</v>
      </c>
      <c r="AG26" s="21"/>
      <c r="AI26" s="21">
        <f t="shared" si="10"/>
        <v>0</v>
      </c>
      <c r="AJ26" s="21">
        <f t="shared" si="11"/>
        <v>0</v>
      </c>
      <c r="AL26" s="21">
        <f t="shared" si="12"/>
        <v>0</v>
      </c>
      <c r="AM26" s="21"/>
    </row>
    <row r="27" spans="1:39" x14ac:dyDescent="0.3">
      <c r="A27" t="s">
        <v>508</v>
      </c>
      <c r="B27" t="s">
        <v>315</v>
      </c>
      <c r="E27">
        <v>9630</v>
      </c>
      <c r="G27" s="45">
        <v>1</v>
      </c>
      <c r="H27">
        <v>275</v>
      </c>
      <c r="I27">
        <v>8</v>
      </c>
      <c r="J27">
        <v>5.27</v>
      </c>
      <c r="K27">
        <v>850</v>
      </c>
      <c r="M27">
        <v>96</v>
      </c>
      <c r="N27">
        <v>50</v>
      </c>
      <c r="O27">
        <v>21</v>
      </c>
      <c r="Q27" s="1">
        <v>41557</v>
      </c>
      <c r="R27" s="21">
        <v>140468900</v>
      </c>
      <c r="S27" s="21">
        <f t="shared" si="0"/>
        <v>0</v>
      </c>
      <c r="T27" s="21">
        <f t="shared" si="1"/>
        <v>140468900</v>
      </c>
      <c r="U27" s="21" t="str">
        <f t="shared" si="2"/>
        <v>NR</v>
      </c>
      <c r="V27" s="21">
        <f t="shared" si="3"/>
        <v>0</v>
      </c>
      <c r="X27" s="1">
        <f t="shared" si="4"/>
        <v>41557</v>
      </c>
      <c r="Z27" s="50">
        <f>MROUND(IFERROR((VLOOKUP(C27,Lignes!$B$5:$F$28,5,FALSE)*2)/K27+$Z$2,0),0.05)</f>
        <v>0</v>
      </c>
      <c r="AA27" s="51">
        <f t="shared" si="5"/>
        <v>0</v>
      </c>
      <c r="AB27" s="8">
        <f t="shared" ca="1" si="6"/>
        <v>1908</v>
      </c>
      <c r="AC27" s="38">
        <f t="shared" ca="1" si="7"/>
        <v>63.6</v>
      </c>
      <c r="AD27" s="38">
        <f t="shared" ca="1" si="8"/>
        <v>6.36</v>
      </c>
      <c r="AF27" s="21">
        <f t="shared" si="9"/>
        <v>0</v>
      </c>
      <c r="AG27" s="21"/>
      <c r="AI27" s="21">
        <f t="shared" si="10"/>
        <v>0</v>
      </c>
      <c r="AJ27" s="21">
        <f t="shared" si="11"/>
        <v>0</v>
      </c>
      <c r="AL27" s="21">
        <f t="shared" si="12"/>
        <v>0</v>
      </c>
      <c r="AM27" s="21"/>
    </row>
    <row r="28" spans="1:39" x14ac:dyDescent="0.3">
      <c r="A28" t="s">
        <v>509</v>
      </c>
      <c r="B28" t="s">
        <v>315</v>
      </c>
      <c r="E28">
        <v>9630</v>
      </c>
      <c r="G28" s="45">
        <v>1</v>
      </c>
      <c r="H28">
        <v>275</v>
      </c>
      <c r="I28">
        <v>8</v>
      </c>
      <c r="J28">
        <v>5.27</v>
      </c>
      <c r="K28">
        <v>850</v>
      </c>
      <c r="M28">
        <v>96</v>
      </c>
      <c r="N28">
        <v>50</v>
      </c>
      <c r="O28">
        <v>21</v>
      </c>
      <c r="Q28" s="1">
        <v>41557</v>
      </c>
      <c r="R28" s="21">
        <v>140468900</v>
      </c>
      <c r="S28" s="21">
        <f t="shared" si="0"/>
        <v>0</v>
      </c>
      <c r="T28" s="21">
        <f t="shared" si="1"/>
        <v>140468900</v>
      </c>
      <c r="U28" s="21" t="str">
        <f t="shared" si="2"/>
        <v>NR</v>
      </c>
      <c r="V28" s="21">
        <f t="shared" si="3"/>
        <v>0</v>
      </c>
      <c r="X28" s="1">
        <f t="shared" si="4"/>
        <v>41557</v>
      </c>
      <c r="Z28" s="50">
        <f>MROUND(IFERROR((VLOOKUP(C28,Lignes!$B$5:$F$28,5,FALSE)*2)/K28+$Z$2,0),0.05)</f>
        <v>0</v>
      </c>
      <c r="AA28" s="51">
        <f t="shared" si="5"/>
        <v>0</v>
      </c>
      <c r="AB28" s="8">
        <f t="shared" ca="1" si="6"/>
        <v>1908</v>
      </c>
      <c r="AC28" s="38">
        <f t="shared" ca="1" si="7"/>
        <v>63.6</v>
      </c>
      <c r="AD28" s="38">
        <f t="shared" ca="1" si="8"/>
        <v>6.36</v>
      </c>
      <c r="AF28" s="21">
        <f t="shared" si="9"/>
        <v>0</v>
      </c>
      <c r="AG28" s="21"/>
      <c r="AI28" s="21">
        <f t="shared" si="10"/>
        <v>0</v>
      </c>
      <c r="AJ28" s="21">
        <f t="shared" si="11"/>
        <v>0</v>
      </c>
      <c r="AL28" s="21">
        <f t="shared" si="12"/>
        <v>0</v>
      </c>
      <c r="AM28" s="21"/>
    </row>
    <row r="29" spans="1:39" x14ac:dyDescent="0.3">
      <c r="A29" t="s">
        <v>510</v>
      </c>
      <c r="B29" t="s">
        <v>315</v>
      </c>
      <c r="E29">
        <v>9630</v>
      </c>
      <c r="G29" s="45">
        <v>1</v>
      </c>
      <c r="H29">
        <v>275</v>
      </c>
      <c r="I29">
        <v>8</v>
      </c>
      <c r="J29">
        <v>5.27</v>
      </c>
      <c r="K29">
        <v>850</v>
      </c>
      <c r="M29">
        <v>96</v>
      </c>
      <c r="N29">
        <v>50</v>
      </c>
      <c r="O29">
        <v>21</v>
      </c>
      <c r="Q29" s="1">
        <v>41557</v>
      </c>
      <c r="R29" s="21">
        <v>140468900</v>
      </c>
      <c r="S29" s="21">
        <f t="shared" si="0"/>
        <v>0</v>
      </c>
      <c r="T29" s="21">
        <f t="shared" si="1"/>
        <v>140468900</v>
      </c>
      <c r="U29" s="21" t="str">
        <f t="shared" si="2"/>
        <v>NR</v>
      </c>
      <c r="V29" s="21">
        <f t="shared" si="3"/>
        <v>0</v>
      </c>
      <c r="X29" s="1">
        <f t="shared" si="4"/>
        <v>41557</v>
      </c>
      <c r="Z29" s="50">
        <f>MROUND(IFERROR((VLOOKUP(C29,Lignes!$B$5:$F$28,5,FALSE)*2)/K29+$Z$2,0),0.05)</f>
        <v>0</v>
      </c>
      <c r="AA29" s="51">
        <f t="shared" si="5"/>
        <v>0</v>
      </c>
      <c r="AB29" s="8">
        <f t="shared" ca="1" si="6"/>
        <v>1908</v>
      </c>
      <c r="AC29" s="38">
        <f t="shared" ca="1" si="7"/>
        <v>63.6</v>
      </c>
      <c r="AD29" s="38">
        <f t="shared" ca="1" si="8"/>
        <v>6.36</v>
      </c>
      <c r="AF29" s="21">
        <f t="shared" si="9"/>
        <v>0</v>
      </c>
      <c r="AG29" s="21"/>
      <c r="AI29" s="21">
        <f t="shared" si="10"/>
        <v>0</v>
      </c>
      <c r="AJ29" s="21">
        <f t="shared" si="11"/>
        <v>0</v>
      </c>
      <c r="AL29" s="21">
        <f t="shared" si="12"/>
        <v>0</v>
      </c>
      <c r="AM29" s="21"/>
    </row>
    <row r="30" spans="1:39" x14ac:dyDescent="0.3">
      <c r="A30" t="s">
        <v>511</v>
      </c>
      <c r="B30" t="s">
        <v>315</v>
      </c>
      <c r="E30">
        <v>9630</v>
      </c>
      <c r="G30" s="45">
        <v>1</v>
      </c>
      <c r="H30">
        <v>275</v>
      </c>
      <c r="I30">
        <v>8</v>
      </c>
      <c r="J30">
        <v>5.27</v>
      </c>
      <c r="K30">
        <v>850</v>
      </c>
      <c r="M30">
        <v>96</v>
      </c>
      <c r="N30">
        <v>50</v>
      </c>
      <c r="O30">
        <v>21</v>
      </c>
      <c r="Q30" s="1">
        <v>41557</v>
      </c>
      <c r="R30" s="21">
        <v>140468900</v>
      </c>
      <c r="S30" s="21">
        <f t="shared" si="0"/>
        <v>0</v>
      </c>
      <c r="T30" s="21">
        <f t="shared" si="1"/>
        <v>140468900</v>
      </c>
      <c r="U30" s="21" t="str">
        <f t="shared" si="2"/>
        <v>NR</v>
      </c>
      <c r="V30" s="21">
        <f t="shared" si="3"/>
        <v>0</v>
      </c>
      <c r="X30" s="1">
        <f t="shared" si="4"/>
        <v>41557</v>
      </c>
      <c r="Z30" s="50">
        <f>MROUND(IFERROR((VLOOKUP(C30,Lignes!$B$5:$F$28,5,FALSE)*2)/K30+$Z$2,0),0.05)</f>
        <v>0</v>
      </c>
      <c r="AA30" s="51">
        <f t="shared" si="5"/>
        <v>0</v>
      </c>
      <c r="AB30" s="8">
        <f t="shared" ca="1" si="6"/>
        <v>1908</v>
      </c>
      <c r="AC30" s="38">
        <f t="shared" ca="1" si="7"/>
        <v>63.6</v>
      </c>
      <c r="AD30" s="38">
        <f t="shared" ca="1" si="8"/>
        <v>6.36</v>
      </c>
      <c r="AF30" s="21">
        <f t="shared" si="9"/>
        <v>0</v>
      </c>
      <c r="AG30" s="21"/>
      <c r="AI30" s="21">
        <f t="shared" si="10"/>
        <v>0</v>
      </c>
      <c r="AJ30" s="21">
        <f t="shared" si="11"/>
        <v>0</v>
      </c>
      <c r="AL30" s="21">
        <f t="shared" si="12"/>
        <v>0</v>
      </c>
      <c r="AM30" s="21"/>
    </row>
    <row r="31" spans="1:39" x14ac:dyDescent="0.3">
      <c r="A31" t="s">
        <v>512</v>
      </c>
      <c r="B31" t="s">
        <v>315</v>
      </c>
      <c r="E31">
        <v>9630</v>
      </c>
      <c r="G31" s="45">
        <v>1</v>
      </c>
      <c r="H31">
        <v>275</v>
      </c>
      <c r="I31">
        <v>8</v>
      </c>
      <c r="J31">
        <v>5.27</v>
      </c>
      <c r="K31">
        <v>850</v>
      </c>
      <c r="M31">
        <v>96</v>
      </c>
      <c r="N31">
        <v>50</v>
      </c>
      <c r="O31">
        <v>21</v>
      </c>
      <c r="Q31" s="1">
        <v>41557</v>
      </c>
      <c r="R31" s="21">
        <v>140468900</v>
      </c>
      <c r="S31" s="21">
        <f t="shared" si="0"/>
        <v>0</v>
      </c>
      <c r="T31" s="21">
        <f t="shared" si="1"/>
        <v>140468900</v>
      </c>
      <c r="U31" s="21" t="str">
        <f t="shared" si="2"/>
        <v>NR</v>
      </c>
      <c r="V31" s="21">
        <f t="shared" si="3"/>
        <v>0</v>
      </c>
      <c r="X31" s="1">
        <f t="shared" si="4"/>
        <v>41557</v>
      </c>
      <c r="Z31" s="50">
        <f>MROUND(IFERROR((VLOOKUP(C31,Lignes!$B$5:$F$28,5,FALSE)*2)/K31+$Z$2,0),0.05)</f>
        <v>0</v>
      </c>
      <c r="AA31" s="51">
        <f t="shared" si="5"/>
        <v>0</v>
      </c>
      <c r="AB31" s="8">
        <f t="shared" ca="1" si="6"/>
        <v>1908</v>
      </c>
      <c r="AC31" s="38">
        <f t="shared" ca="1" si="7"/>
        <v>63.6</v>
      </c>
      <c r="AD31" s="38">
        <f t="shared" ca="1" si="8"/>
        <v>6.36</v>
      </c>
      <c r="AF31" s="21">
        <f t="shared" si="9"/>
        <v>0</v>
      </c>
      <c r="AG31" s="21"/>
      <c r="AI31" s="21">
        <f t="shared" si="10"/>
        <v>0</v>
      </c>
      <c r="AJ31" s="21">
        <f t="shared" si="11"/>
        <v>0</v>
      </c>
      <c r="AL31" s="21">
        <f t="shared" si="12"/>
        <v>0</v>
      </c>
      <c r="AM31" s="21"/>
    </row>
    <row r="32" spans="1:39" x14ac:dyDescent="0.3">
      <c r="A32" t="s">
        <v>513</v>
      </c>
      <c r="B32" t="s">
        <v>315</v>
      </c>
      <c r="E32">
        <v>9630</v>
      </c>
      <c r="G32" s="45">
        <v>1</v>
      </c>
      <c r="H32">
        <v>275</v>
      </c>
      <c r="I32">
        <v>8</v>
      </c>
      <c r="J32">
        <v>5.27</v>
      </c>
      <c r="K32">
        <v>850</v>
      </c>
      <c r="M32">
        <v>96</v>
      </c>
      <c r="N32">
        <v>50</v>
      </c>
      <c r="O32">
        <v>21</v>
      </c>
      <c r="Q32" s="1">
        <v>41557</v>
      </c>
      <c r="R32" s="21">
        <v>140468900</v>
      </c>
      <c r="S32" s="21">
        <f t="shared" si="0"/>
        <v>0</v>
      </c>
      <c r="T32" s="21">
        <f t="shared" si="1"/>
        <v>140468900</v>
      </c>
      <c r="U32" s="21" t="str">
        <f t="shared" si="2"/>
        <v>NR</v>
      </c>
      <c r="V32" s="21">
        <f t="shared" si="3"/>
        <v>0</v>
      </c>
      <c r="X32" s="1">
        <f t="shared" si="4"/>
        <v>41557</v>
      </c>
      <c r="Z32" s="50">
        <f>MROUND(IFERROR((VLOOKUP(C32,Lignes!$B$5:$F$28,5,FALSE)*2)/K32+$Z$2,0),0.05)</f>
        <v>0</v>
      </c>
      <c r="AA32" s="51">
        <f t="shared" si="5"/>
        <v>0</v>
      </c>
      <c r="AB32" s="8">
        <f t="shared" ca="1" si="6"/>
        <v>1908</v>
      </c>
      <c r="AC32" s="38">
        <f t="shared" ca="1" si="7"/>
        <v>63.6</v>
      </c>
      <c r="AD32" s="38">
        <f t="shared" ca="1" si="8"/>
        <v>6.36</v>
      </c>
      <c r="AF32" s="21">
        <f t="shared" si="9"/>
        <v>0</v>
      </c>
      <c r="AG32" s="21"/>
      <c r="AI32" s="21">
        <f t="shared" si="10"/>
        <v>0</v>
      </c>
      <c r="AJ32" s="21">
        <f t="shared" si="11"/>
        <v>0</v>
      </c>
      <c r="AL32" s="21">
        <f t="shared" si="12"/>
        <v>0</v>
      </c>
      <c r="AM32" s="21"/>
    </row>
    <row r="33" spans="1:39" x14ac:dyDescent="0.3">
      <c r="A33" t="s">
        <v>514</v>
      </c>
      <c r="B33" t="s">
        <v>315</v>
      </c>
      <c r="E33">
        <v>9630</v>
      </c>
      <c r="G33" s="45">
        <v>1</v>
      </c>
      <c r="H33">
        <v>275</v>
      </c>
      <c r="I33">
        <v>8</v>
      </c>
      <c r="J33">
        <v>5.27</v>
      </c>
      <c r="K33">
        <v>850</v>
      </c>
      <c r="M33">
        <v>96</v>
      </c>
      <c r="N33">
        <v>50</v>
      </c>
      <c r="O33">
        <v>21</v>
      </c>
      <c r="Q33" s="1">
        <v>41557</v>
      </c>
      <c r="R33" s="21">
        <v>140468900</v>
      </c>
      <c r="S33" s="21">
        <f t="shared" si="0"/>
        <v>0</v>
      </c>
      <c r="T33" s="21">
        <f t="shared" si="1"/>
        <v>140468900</v>
      </c>
      <c r="U33" s="21" t="str">
        <f t="shared" si="2"/>
        <v>NR</v>
      </c>
      <c r="V33" s="21">
        <f t="shared" si="3"/>
        <v>0</v>
      </c>
      <c r="X33" s="1">
        <f t="shared" si="4"/>
        <v>41557</v>
      </c>
      <c r="Z33" s="50">
        <f>MROUND(IFERROR((VLOOKUP(C33,Lignes!$B$5:$F$28,5,FALSE)*2)/K33+$Z$2,0),0.05)</f>
        <v>0</v>
      </c>
      <c r="AA33" s="51">
        <f t="shared" si="5"/>
        <v>0</v>
      </c>
      <c r="AB33" s="8">
        <f t="shared" ca="1" si="6"/>
        <v>1908</v>
      </c>
      <c r="AC33" s="38">
        <f t="shared" ca="1" si="7"/>
        <v>63.6</v>
      </c>
      <c r="AD33" s="38">
        <f t="shared" ca="1" si="8"/>
        <v>6.36</v>
      </c>
      <c r="AF33" s="21">
        <f t="shared" si="9"/>
        <v>0</v>
      </c>
      <c r="AG33" s="21"/>
      <c r="AI33" s="21">
        <f t="shared" si="10"/>
        <v>0</v>
      </c>
      <c r="AJ33" s="21">
        <f t="shared" si="11"/>
        <v>0</v>
      </c>
      <c r="AL33" s="21">
        <f t="shared" si="12"/>
        <v>0</v>
      </c>
      <c r="AM33" s="21"/>
    </row>
    <row r="34" spans="1:39" x14ac:dyDescent="0.3">
      <c r="A34" t="s">
        <v>515</v>
      </c>
      <c r="B34" t="s">
        <v>315</v>
      </c>
      <c r="E34">
        <v>9630</v>
      </c>
      <c r="G34" s="45">
        <v>1</v>
      </c>
      <c r="H34">
        <v>275</v>
      </c>
      <c r="I34">
        <v>8</v>
      </c>
      <c r="J34">
        <v>5.27</v>
      </c>
      <c r="K34">
        <v>850</v>
      </c>
      <c r="M34">
        <v>96</v>
      </c>
      <c r="N34">
        <v>50</v>
      </c>
      <c r="O34">
        <v>21</v>
      </c>
      <c r="Q34" s="1">
        <v>41557</v>
      </c>
      <c r="R34" s="21">
        <v>140468900</v>
      </c>
      <c r="S34" s="21">
        <f t="shared" si="0"/>
        <v>0</v>
      </c>
      <c r="T34" s="21">
        <f t="shared" si="1"/>
        <v>140468900</v>
      </c>
      <c r="U34" s="21" t="str">
        <f t="shared" si="2"/>
        <v>NR</v>
      </c>
      <c r="V34" s="21">
        <f t="shared" si="3"/>
        <v>0</v>
      </c>
      <c r="X34" s="1">
        <f t="shared" si="4"/>
        <v>41557</v>
      </c>
      <c r="Z34" s="50">
        <f>MROUND(IFERROR((VLOOKUP(C34,Lignes!$B$5:$F$28,5,FALSE)*2)/K34+$Z$2,0),0.05)</f>
        <v>0</v>
      </c>
      <c r="AA34" s="51">
        <f t="shared" si="5"/>
        <v>0</v>
      </c>
      <c r="AB34" s="8">
        <f t="shared" ca="1" si="6"/>
        <v>1908</v>
      </c>
      <c r="AC34" s="38">
        <f t="shared" ca="1" si="7"/>
        <v>63.6</v>
      </c>
      <c r="AD34" s="38">
        <f t="shared" ca="1" si="8"/>
        <v>6.36</v>
      </c>
      <c r="AF34" s="21">
        <f t="shared" si="9"/>
        <v>0</v>
      </c>
      <c r="AG34" s="21"/>
      <c r="AI34" s="21">
        <f t="shared" si="10"/>
        <v>0</v>
      </c>
      <c r="AJ34" s="21">
        <f t="shared" si="11"/>
        <v>0</v>
      </c>
      <c r="AL34" s="21">
        <f t="shared" si="12"/>
        <v>0</v>
      </c>
      <c r="AM34" s="21"/>
    </row>
    <row r="35" spans="1:39" x14ac:dyDescent="0.3">
      <c r="A35" t="s">
        <v>516</v>
      </c>
      <c r="B35" t="s">
        <v>315</v>
      </c>
      <c r="E35">
        <v>9630</v>
      </c>
      <c r="G35" s="45">
        <v>1</v>
      </c>
      <c r="H35">
        <v>275</v>
      </c>
      <c r="I35">
        <v>8</v>
      </c>
      <c r="J35">
        <v>5.27</v>
      </c>
      <c r="K35">
        <v>850</v>
      </c>
      <c r="M35">
        <v>96</v>
      </c>
      <c r="N35">
        <v>50</v>
      </c>
      <c r="O35">
        <v>21</v>
      </c>
      <c r="Q35" s="1">
        <v>41557</v>
      </c>
      <c r="R35" s="21">
        <v>140468900</v>
      </c>
      <c r="S35" s="21">
        <f t="shared" si="0"/>
        <v>0</v>
      </c>
      <c r="T35" s="21">
        <f t="shared" si="1"/>
        <v>140468900</v>
      </c>
      <c r="U35" s="21" t="str">
        <f t="shared" si="2"/>
        <v>NR</v>
      </c>
      <c r="V35" s="21">
        <f t="shared" si="3"/>
        <v>0</v>
      </c>
      <c r="X35" s="1">
        <f t="shared" si="4"/>
        <v>41557</v>
      </c>
      <c r="Z35" s="50">
        <f>MROUND(IFERROR((VLOOKUP(C35,Lignes!$B$5:$F$28,5,FALSE)*2)/K35+$Z$2,0),0.05)</f>
        <v>0</v>
      </c>
      <c r="AA35" s="51">
        <f t="shared" si="5"/>
        <v>0</v>
      </c>
      <c r="AB35" s="8">
        <f t="shared" ca="1" si="6"/>
        <v>1908</v>
      </c>
      <c r="AC35" s="38">
        <f t="shared" ca="1" si="7"/>
        <v>63.6</v>
      </c>
      <c r="AD35" s="38">
        <f t="shared" ca="1" si="8"/>
        <v>6.36</v>
      </c>
      <c r="AF35" s="21">
        <f t="shared" si="9"/>
        <v>0</v>
      </c>
      <c r="AG35" s="21"/>
      <c r="AI35" s="21">
        <f t="shared" si="10"/>
        <v>0</v>
      </c>
      <c r="AJ35" s="21">
        <f t="shared" si="11"/>
        <v>0</v>
      </c>
      <c r="AL35" s="21">
        <f t="shared" si="12"/>
        <v>0</v>
      </c>
      <c r="AM35" s="21"/>
    </row>
    <row r="36" spans="1:39" x14ac:dyDescent="0.3">
      <c r="A36" t="s">
        <v>517</v>
      </c>
      <c r="B36" t="s">
        <v>315</v>
      </c>
      <c r="E36">
        <v>9630</v>
      </c>
      <c r="G36" s="45">
        <v>1</v>
      </c>
      <c r="H36">
        <v>275</v>
      </c>
      <c r="I36">
        <v>8</v>
      </c>
      <c r="J36">
        <v>5.27</v>
      </c>
      <c r="K36">
        <v>850</v>
      </c>
      <c r="M36">
        <v>96</v>
      </c>
      <c r="N36">
        <v>50</v>
      </c>
      <c r="O36">
        <v>21</v>
      </c>
      <c r="Q36" s="1">
        <v>41557</v>
      </c>
      <c r="R36" s="21">
        <v>140468900</v>
      </c>
      <c r="S36" s="21">
        <f t="shared" si="0"/>
        <v>0</v>
      </c>
      <c r="T36" s="21">
        <f t="shared" si="1"/>
        <v>140468900</v>
      </c>
      <c r="U36" s="21" t="str">
        <f t="shared" si="2"/>
        <v>NR</v>
      </c>
      <c r="V36" s="21">
        <f t="shared" si="3"/>
        <v>0</v>
      </c>
      <c r="X36" s="1">
        <f t="shared" si="4"/>
        <v>41557</v>
      </c>
      <c r="Z36" s="50">
        <f>MROUND(IFERROR((VLOOKUP(C36,Lignes!$B$5:$F$28,5,FALSE)*2)/K36+$Z$2,0),0.05)</f>
        <v>0</v>
      </c>
      <c r="AA36" s="51">
        <f t="shared" si="5"/>
        <v>0</v>
      </c>
      <c r="AB36" s="8">
        <f t="shared" ca="1" si="6"/>
        <v>1908</v>
      </c>
      <c r="AC36" s="38">
        <f t="shared" ca="1" si="7"/>
        <v>63.6</v>
      </c>
      <c r="AD36" s="38">
        <f t="shared" ca="1" si="8"/>
        <v>6.36</v>
      </c>
      <c r="AF36" s="21">
        <f t="shared" si="9"/>
        <v>0</v>
      </c>
      <c r="AG36" s="21"/>
      <c r="AI36" s="21">
        <f t="shared" si="10"/>
        <v>0</v>
      </c>
      <c r="AJ36" s="21">
        <f t="shared" si="11"/>
        <v>0</v>
      </c>
      <c r="AL36" s="21">
        <f t="shared" si="12"/>
        <v>0</v>
      </c>
      <c r="AM36" s="21"/>
    </row>
    <row r="37" spans="1:39" x14ac:dyDescent="0.3">
      <c r="A37" t="s">
        <v>518</v>
      </c>
      <c r="B37" t="s">
        <v>315</v>
      </c>
      <c r="E37">
        <v>9630</v>
      </c>
      <c r="G37" s="45">
        <v>1</v>
      </c>
      <c r="H37">
        <v>275</v>
      </c>
      <c r="I37">
        <v>8</v>
      </c>
      <c r="J37">
        <v>5.27</v>
      </c>
      <c r="K37">
        <v>850</v>
      </c>
      <c r="M37">
        <v>96</v>
      </c>
      <c r="N37">
        <v>50</v>
      </c>
      <c r="O37">
        <v>21</v>
      </c>
      <c r="Q37" s="1">
        <v>41557</v>
      </c>
      <c r="R37" s="21">
        <v>140468900</v>
      </c>
      <c r="S37" s="21">
        <f t="shared" si="0"/>
        <v>0</v>
      </c>
      <c r="T37" s="21">
        <f t="shared" si="1"/>
        <v>140468900</v>
      </c>
      <c r="U37" s="21" t="str">
        <f t="shared" si="2"/>
        <v>NR</v>
      </c>
      <c r="V37" s="21">
        <f t="shared" si="3"/>
        <v>0</v>
      </c>
      <c r="X37" s="1">
        <f t="shared" si="4"/>
        <v>41557</v>
      </c>
      <c r="Z37" s="50">
        <f>MROUND(IFERROR((VLOOKUP(C37,Lignes!$B$5:$F$28,5,FALSE)*2)/K37+$Z$2,0),0.05)</f>
        <v>0</v>
      </c>
      <c r="AA37" s="51">
        <f t="shared" si="5"/>
        <v>0</v>
      </c>
      <c r="AB37" s="8">
        <f t="shared" ca="1" si="6"/>
        <v>1908</v>
      </c>
      <c r="AC37" s="38">
        <f t="shared" ca="1" si="7"/>
        <v>63.6</v>
      </c>
      <c r="AD37" s="38">
        <f t="shared" ca="1" si="8"/>
        <v>6.36</v>
      </c>
      <c r="AF37" s="21">
        <f t="shared" si="9"/>
        <v>0</v>
      </c>
      <c r="AG37" s="21"/>
      <c r="AI37" s="21">
        <f t="shared" si="10"/>
        <v>0</v>
      </c>
      <c r="AJ37" s="21">
        <f t="shared" si="11"/>
        <v>0</v>
      </c>
      <c r="AL37" s="21">
        <f t="shared" si="12"/>
        <v>0</v>
      </c>
      <c r="AM37" s="21"/>
    </row>
    <row r="38" spans="1:39" x14ac:dyDescent="0.3">
      <c r="A38" t="s">
        <v>519</v>
      </c>
      <c r="B38" t="s">
        <v>315</v>
      </c>
      <c r="E38">
        <v>9630</v>
      </c>
      <c r="G38" s="45">
        <v>1</v>
      </c>
      <c r="H38">
        <v>275</v>
      </c>
      <c r="I38">
        <v>8</v>
      </c>
      <c r="J38">
        <v>5.27</v>
      </c>
      <c r="K38">
        <v>850</v>
      </c>
      <c r="M38">
        <v>96</v>
      </c>
      <c r="N38">
        <v>50</v>
      </c>
      <c r="O38">
        <v>21</v>
      </c>
      <c r="Q38" s="1">
        <v>41557</v>
      </c>
      <c r="R38" s="21">
        <v>140468900</v>
      </c>
      <c r="S38" s="21">
        <f t="shared" si="0"/>
        <v>0</v>
      </c>
      <c r="T38" s="21">
        <f t="shared" si="1"/>
        <v>140468900</v>
      </c>
      <c r="U38" s="21" t="str">
        <f t="shared" si="2"/>
        <v>NR</v>
      </c>
      <c r="V38" s="21">
        <f t="shared" si="3"/>
        <v>0</v>
      </c>
      <c r="X38" s="1">
        <f t="shared" si="4"/>
        <v>41557</v>
      </c>
      <c r="Z38" s="50">
        <f>MROUND(IFERROR((VLOOKUP(C38,Lignes!$B$5:$F$28,5,FALSE)*2)/K38+$Z$2,0),0.05)</f>
        <v>0</v>
      </c>
      <c r="AA38" s="51">
        <f t="shared" si="5"/>
        <v>0</v>
      </c>
      <c r="AB38" s="8">
        <f t="shared" ca="1" si="6"/>
        <v>1908</v>
      </c>
      <c r="AC38" s="38">
        <f t="shared" ca="1" si="7"/>
        <v>63.6</v>
      </c>
      <c r="AD38" s="38">
        <f t="shared" ca="1" si="8"/>
        <v>6.36</v>
      </c>
      <c r="AF38" s="21">
        <f t="shared" si="9"/>
        <v>0</v>
      </c>
      <c r="AG38" s="21"/>
      <c r="AI38" s="21">
        <f t="shared" si="10"/>
        <v>0</v>
      </c>
      <c r="AJ38" s="21">
        <f t="shared" si="11"/>
        <v>0</v>
      </c>
      <c r="AL38" s="21">
        <f t="shared" si="12"/>
        <v>0</v>
      </c>
      <c r="AM38" s="21"/>
    </row>
    <row r="39" spans="1:39" x14ac:dyDescent="0.3">
      <c r="A39" t="s">
        <v>520</v>
      </c>
      <c r="B39" t="s">
        <v>315</v>
      </c>
      <c r="E39">
        <v>9630</v>
      </c>
      <c r="G39" s="45">
        <v>1</v>
      </c>
      <c r="H39">
        <v>275</v>
      </c>
      <c r="I39">
        <v>8</v>
      </c>
      <c r="J39">
        <v>5.27</v>
      </c>
      <c r="K39">
        <v>850</v>
      </c>
      <c r="M39">
        <v>96</v>
      </c>
      <c r="N39">
        <v>50</v>
      </c>
      <c r="O39">
        <v>21</v>
      </c>
      <c r="Q39" s="1">
        <v>41557</v>
      </c>
      <c r="R39" s="21">
        <v>140468900</v>
      </c>
      <c r="S39" s="21">
        <f t="shared" si="0"/>
        <v>0</v>
      </c>
      <c r="T39" s="21">
        <f t="shared" si="1"/>
        <v>140468900</v>
      </c>
      <c r="U39" s="21" t="str">
        <f t="shared" si="2"/>
        <v>NR</v>
      </c>
      <c r="V39" s="21">
        <f t="shared" si="3"/>
        <v>0</v>
      </c>
      <c r="X39" s="1">
        <f t="shared" si="4"/>
        <v>41557</v>
      </c>
      <c r="Z39" s="50">
        <f>MROUND(IFERROR((VLOOKUP(C39,Lignes!$B$5:$F$28,5,FALSE)*2)/K39+$Z$2,0),0.05)</f>
        <v>0</v>
      </c>
      <c r="AA39" s="51">
        <f t="shared" si="5"/>
        <v>0</v>
      </c>
      <c r="AB39" s="8">
        <f t="shared" ca="1" si="6"/>
        <v>1908</v>
      </c>
      <c r="AC39" s="38">
        <f t="shared" ca="1" si="7"/>
        <v>63.6</v>
      </c>
      <c r="AD39" s="38">
        <f t="shared" ca="1" si="8"/>
        <v>6.36</v>
      </c>
      <c r="AF39" s="21">
        <f t="shared" si="9"/>
        <v>0</v>
      </c>
      <c r="AG39" s="21"/>
      <c r="AI39" s="21">
        <f t="shared" si="10"/>
        <v>0</v>
      </c>
      <c r="AJ39" s="21">
        <f t="shared" si="11"/>
        <v>0</v>
      </c>
      <c r="AL39" s="21">
        <f t="shared" si="12"/>
        <v>0</v>
      </c>
      <c r="AM39" s="21"/>
    </row>
    <row r="40" spans="1:39" x14ac:dyDescent="0.3">
      <c r="A40" t="s">
        <v>521</v>
      </c>
      <c r="B40" t="s">
        <v>315</v>
      </c>
      <c r="E40">
        <v>9630</v>
      </c>
      <c r="G40" s="45">
        <v>1</v>
      </c>
      <c r="H40">
        <v>275</v>
      </c>
      <c r="I40">
        <v>8</v>
      </c>
      <c r="J40">
        <v>5.27</v>
      </c>
      <c r="K40">
        <v>850</v>
      </c>
      <c r="M40">
        <v>96</v>
      </c>
      <c r="N40">
        <v>50</v>
      </c>
      <c r="O40">
        <v>21</v>
      </c>
      <c r="Q40" s="1">
        <v>41557</v>
      </c>
      <c r="R40" s="21">
        <v>140468900</v>
      </c>
      <c r="S40" s="21">
        <f t="shared" si="0"/>
        <v>0</v>
      </c>
      <c r="T40" s="21">
        <f t="shared" si="1"/>
        <v>140468900</v>
      </c>
      <c r="U40" s="21" t="str">
        <f t="shared" si="2"/>
        <v>NR</v>
      </c>
      <c r="V40" s="21">
        <f t="shared" si="3"/>
        <v>0</v>
      </c>
      <c r="X40" s="1">
        <f t="shared" si="4"/>
        <v>41557</v>
      </c>
      <c r="Z40" s="50">
        <f>MROUND(IFERROR((VLOOKUP(C40,Lignes!$B$5:$F$28,5,FALSE)*2)/K40+$Z$2,0),0.05)</f>
        <v>0</v>
      </c>
      <c r="AA40" s="51">
        <f t="shared" si="5"/>
        <v>0</v>
      </c>
      <c r="AB40" s="8">
        <f t="shared" ca="1" si="6"/>
        <v>1908</v>
      </c>
      <c r="AC40" s="38">
        <f t="shared" ca="1" si="7"/>
        <v>63.6</v>
      </c>
      <c r="AD40" s="38">
        <f t="shared" ca="1" si="8"/>
        <v>6.36</v>
      </c>
      <c r="AF40" s="21">
        <f t="shared" si="9"/>
        <v>0</v>
      </c>
      <c r="AG40" s="21"/>
      <c r="AI40" s="21">
        <f t="shared" si="10"/>
        <v>0</v>
      </c>
      <c r="AJ40" s="21">
        <f t="shared" si="11"/>
        <v>0</v>
      </c>
      <c r="AL40" s="21">
        <f t="shared" si="12"/>
        <v>0</v>
      </c>
      <c r="AM40" s="21"/>
    </row>
    <row r="41" spans="1:39" x14ac:dyDescent="0.3">
      <c r="A41" t="s">
        <v>522</v>
      </c>
      <c r="B41" t="s">
        <v>315</v>
      </c>
      <c r="E41">
        <v>9630</v>
      </c>
      <c r="G41" s="45">
        <v>1</v>
      </c>
      <c r="H41">
        <v>275</v>
      </c>
      <c r="I41">
        <v>8</v>
      </c>
      <c r="J41">
        <v>5.27</v>
      </c>
      <c r="K41">
        <v>850</v>
      </c>
      <c r="M41">
        <v>96</v>
      </c>
      <c r="N41">
        <v>50</v>
      </c>
      <c r="O41">
        <v>21</v>
      </c>
      <c r="Q41" s="1">
        <v>41557</v>
      </c>
      <c r="R41" s="21">
        <v>140468900</v>
      </c>
      <c r="S41" s="21">
        <f t="shared" si="0"/>
        <v>0</v>
      </c>
      <c r="T41" s="21">
        <f t="shared" si="1"/>
        <v>140468900</v>
      </c>
      <c r="U41" s="21" t="str">
        <f t="shared" si="2"/>
        <v>NR</v>
      </c>
      <c r="V41" s="21">
        <f t="shared" si="3"/>
        <v>0</v>
      </c>
      <c r="X41" s="1">
        <f t="shared" si="4"/>
        <v>41557</v>
      </c>
      <c r="Z41" s="50">
        <f>MROUND(IFERROR((VLOOKUP(C41,Lignes!$B$5:$F$28,5,FALSE)*2)/K41+$Z$2,0),0.05)</f>
        <v>0</v>
      </c>
      <c r="AA41" s="51">
        <f t="shared" si="5"/>
        <v>0</v>
      </c>
      <c r="AB41" s="8">
        <f t="shared" ca="1" si="6"/>
        <v>1908</v>
      </c>
      <c r="AC41" s="38">
        <f t="shared" ca="1" si="7"/>
        <v>63.6</v>
      </c>
      <c r="AD41" s="38">
        <f t="shared" ca="1" si="8"/>
        <v>6.36</v>
      </c>
      <c r="AF41" s="21">
        <f t="shared" si="9"/>
        <v>0</v>
      </c>
      <c r="AG41" s="21"/>
      <c r="AI41" s="21">
        <f t="shared" si="10"/>
        <v>0</v>
      </c>
      <c r="AJ41" s="21">
        <f t="shared" si="11"/>
        <v>0</v>
      </c>
      <c r="AL41" s="21">
        <f t="shared" si="12"/>
        <v>0</v>
      </c>
      <c r="AM41" s="21"/>
    </row>
    <row r="42" spans="1:39" x14ac:dyDescent="0.3">
      <c r="A42" t="s">
        <v>523</v>
      </c>
      <c r="B42" t="s">
        <v>315</v>
      </c>
      <c r="E42">
        <v>9630</v>
      </c>
      <c r="G42" s="45">
        <v>1</v>
      </c>
      <c r="H42">
        <v>275</v>
      </c>
      <c r="I42">
        <v>8</v>
      </c>
      <c r="J42">
        <v>5.27</v>
      </c>
      <c r="K42">
        <v>850</v>
      </c>
      <c r="M42">
        <v>96</v>
      </c>
      <c r="N42">
        <v>50</v>
      </c>
      <c r="O42">
        <v>21</v>
      </c>
      <c r="Q42" s="1">
        <v>41557</v>
      </c>
      <c r="R42" s="21">
        <v>140468900</v>
      </c>
      <c r="S42" s="21">
        <f t="shared" si="0"/>
        <v>0</v>
      </c>
      <c r="T42" s="21">
        <f t="shared" si="1"/>
        <v>140468900</v>
      </c>
      <c r="U42" s="21" t="str">
        <f t="shared" si="2"/>
        <v>NR</v>
      </c>
      <c r="V42" s="21">
        <f t="shared" si="3"/>
        <v>0</v>
      </c>
      <c r="X42" s="1">
        <f t="shared" si="4"/>
        <v>41557</v>
      </c>
      <c r="Z42" s="50">
        <f>MROUND(IFERROR((VLOOKUP(C42,Lignes!$B$5:$F$28,5,FALSE)*2)/K42+$Z$2,0),0.05)</f>
        <v>0</v>
      </c>
      <c r="AA42" s="51">
        <f t="shared" si="5"/>
        <v>0</v>
      </c>
      <c r="AB42" s="8">
        <f t="shared" ca="1" si="6"/>
        <v>1908</v>
      </c>
      <c r="AC42" s="38">
        <f t="shared" ca="1" si="7"/>
        <v>63.6</v>
      </c>
      <c r="AD42" s="38">
        <f t="shared" ca="1" si="8"/>
        <v>6.36</v>
      </c>
      <c r="AF42" s="21">
        <f t="shared" si="9"/>
        <v>0</v>
      </c>
      <c r="AG42" s="21"/>
      <c r="AI42" s="21">
        <f t="shared" si="10"/>
        <v>0</v>
      </c>
      <c r="AJ42" s="21">
        <f t="shared" si="11"/>
        <v>0</v>
      </c>
      <c r="AL42" s="21">
        <f t="shared" si="12"/>
        <v>0</v>
      </c>
      <c r="AM42" s="21"/>
    </row>
    <row r="43" spans="1:39" x14ac:dyDescent="0.3">
      <c r="A43" t="s">
        <v>524</v>
      </c>
      <c r="B43" t="s">
        <v>315</v>
      </c>
      <c r="E43">
        <v>9630</v>
      </c>
      <c r="G43" s="45">
        <v>1</v>
      </c>
      <c r="H43">
        <v>275</v>
      </c>
      <c r="I43">
        <v>8</v>
      </c>
      <c r="J43">
        <v>5.27</v>
      </c>
      <c r="K43">
        <v>850</v>
      </c>
      <c r="M43">
        <v>96</v>
      </c>
      <c r="N43">
        <v>50</v>
      </c>
      <c r="O43">
        <v>21</v>
      </c>
      <c r="Q43" s="1">
        <v>41557</v>
      </c>
      <c r="R43" s="21">
        <v>140468900</v>
      </c>
      <c r="S43" s="21">
        <f t="shared" si="0"/>
        <v>0</v>
      </c>
      <c r="T43" s="21">
        <f t="shared" si="1"/>
        <v>140468900</v>
      </c>
      <c r="U43" s="21" t="str">
        <f t="shared" si="2"/>
        <v>NR</v>
      </c>
      <c r="V43" s="21">
        <f t="shared" si="3"/>
        <v>0</v>
      </c>
      <c r="X43" s="1">
        <f t="shared" si="4"/>
        <v>41557</v>
      </c>
      <c r="Z43" s="50">
        <f>MROUND(IFERROR((VLOOKUP(C43,Lignes!$B$5:$F$28,5,FALSE)*2)/K43+$Z$2,0),0.05)</f>
        <v>0</v>
      </c>
      <c r="AA43" s="51">
        <f t="shared" si="5"/>
        <v>0</v>
      </c>
      <c r="AB43" s="8">
        <f t="shared" ca="1" si="6"/>
        <v>1908</v>
      </c>
      <c r="AC43" s="38">
        <f t="shared" ca="1" si="7"/>
        <v>63.6</v>
      </c>
      <c r="AD43" s="38">
        <f t="shared" ca="1" si="8"/>
        <v>6.36</v>
      </c>
      <c r="AF43" s="21">
        <f t="shared" si="9"/>
        <v>0</v>
      </c>
      <c r="AG43" s="21"/>
      <c r="AI43" s="21">
        <f t="shared" si="10"/>
        <v>0</v>
      </c>
      <c r="AJ43" s="21">
        <f t="shared" si="11"/>
        <v>0</v>
      </c>
      <c r="AL43" s="21">
        <f t="shared" si="12"/>
        <v>0</v>
      </c>
      <c r="AM43" s="21"/>
    </row>
    <row r="44" spans="1:39" x14ac:dyDescent="0.3">
      <c r="A44" t="s">
        <v>525</v>
      </c>
      <c r="B44" t="s">
        <v>315</v>
      </c>
      <c r="E44">
        <v>9630</v>
      </c>
      <c r="G44" s="45">
        <v>1</v>
      </c>
      <c r="H44">
        <v>275</v>
      </c>
      <c r="I44">
        <v>8</v>
      </c>
      <c r="J44">
        <v>5.27</v>
      </c>
      <c r="K44">
        <v>850</v>
      </c>
      <c r="M44">
        <v>96</v>
      </c>
      <c r="N44">
        <v>50</v>
      </c>
      <c r="O44">
        <v>21</v>
      </c>
      <c r="Q44" s="1">
        <v>41557</v>
      </c>
      <c r="R44" s="21">
        <v>140468900</v>
      </c>
      <c r="S44" s="21">
        <f t="shared" si="0"/>
        <v>0</v>
      </c>
      <c r="T44" s="21">
        <f t="shared" si="1"/>
        <v>140468900</v>
      </c>
      <c r="U44" s="21" t="str">
        <f t="shared" si="2"/>
        <v>NR</v>
      </c>
      <c r="V44" s="21">
        <f t="shared" si="3"/>
        <v>0</v>
      </c>
      <c r="X44" s="1">
        <f t="shared" si="4"/>
        <v>41557</v>
      </c>
      <c r="Z44" s="50">
        <f>MROUND(IFERROR((VLOOKUP(C44,Lignes!$B$5:$F$28,5,FALSE)*2)/K44+$Z$2,0),0.05)</f>
        <v>0</v>
      </c>
      <c r="AA44" s="51">
        <f t="shared" si="5"/>
        <v>0</v>
      </c>
      <c r="AB44" s="8">
        <f t="shared" ca="1" si="6"/>
        <v>1908</v>
      </c>
      <c r="AC44" s="38">
        <f t="shared" ca="1" si="7"/>
        <v>63.6</v>
      </c>
      <c r="AD44" s="38">
        <f t="shared" ca="1" si="8"/>
        <v>6.36</v>
      </c>
      <c r="AF44" s="21">
        <f t="shared" si="9"/>
        <v>0</v>
      </c>
      <c r="AG44" s="21"/>
      <c r="AI44" s="21">
        <f t="shared" si="10"/>
        <v>0</v>
      </c>
      <c r="AJ44" s="21">
        <f t="shared" si="11"/>
        <v>0</v>
      </c>
      <c r="AL44" s="21">
        <f t="shared" si="12"/>
        <v>0</v>
      </c>
      <c r="AM44" s="21"/>
    </row>
    <row r="45" spans="1:39" x14ac:dyDescent="0.3">
      <c r="A45" t="s">
        <v>526</v>
      </c>
      <c r="B45" t="s">
        <v>315</v>
      </c>
      <c r="E45">
        <v>9630</v>
      </c>
      <c r="G45" s="45">
        <v>1</v>
      </c>
      <c r="H45">
        <v>275</v>
      </c>
      <c r="I45">
        <v>8</v>
      </c>
      <c r="J45">
        <v>5.27</v>
      </c>
      <c r="K45">
        <v>850</v>
      </c>
      <c r="M45">
        <v>96</v>
      </c>
      <c r="N45">
        <v>50</v>
      </c>
      <c r="O45">
        <v>21</v>
      </c>
      <c r="S45" s="21">
        <f t="shared" si="0"/>
        <v>0</v>
      </c>
      <c r="T45" s="21">
        <f t="shared" si="1"/>
        <v>0</v>
      </c>
      <c r="U45" s="21" t="str">
        <f t="shared" si="2"/>
        <v>NR</v>
      </c>
      <c r="V45" s="21">
        <f t="shared" si="3"/>
        <v>0</v>
      </c>
      <c r="X45" s="1">
        <f t="shared" si="4"/>
        <v>0</v>
      </c>
      <c r="Z45" s="50">
        <f>MROUND(IFERROR((VLOOKUP(C45,Lignes!$B$5:$F$28,5,FALSE)*2)/K45+$Z$2,0),0.05)</f>
        <v>0</v>
      </c>
      <c r="AA45" s="51">
        <f t="shared" si="5"/>
        <v>0</v>
      </c>
      <c r="AB45" s="8">
        <f t="shared" ca="1" si="6"/>
        <v>43465</v>
      </c>
      <c r="AC45" s="38">
        <f t="shared" ca="1" si="7"/>
        <v>1448.8333333333333</v>
      </c>
      <c r="AD45" s="38">
        <f t="shared" ca="1" si="8"/>
        <v>144.88333333333333</v>
      </c>
      <c r="AF45" s="21">
        <f t="shared" si="9"/>
        <v>0</v>
      </c>
      <c r="AG45" s="21"/>
      <c r="AI45" s="21">
        <f t="shared" si="10"/>
        <v>0</v>
      </c>
      <c r="AJ45" s="21">
        <f t="shared" si="11"/>
        <v>0</v>
      </c>
      <c r="AL45" s="21">
        <f t="shared" si="12"/>
        <v>0</v>
      </c>
      <c r="AM45" s="21"/>
    </row>
    <row r="46" spans="1:39" x14ac:dyDescent="0.3">
      <c r="A46" t="s">
        <v>527</v>
      </c>
      <c r="B46" t="s">
        <v>315</v>
      </c>
      <c r="E46">
        <v>9630</v>
      </c>
      <c r="G46" s="45">
        <v>1</v>
      </c>
      <c r="H46">
        <v>275</v>
      </c>
      <c r="I46">
        <v>8</v>
      </c>
      <c r="J46">
        <v>5.27</v>
      </c>
      <c r="K46">
        <v>850</v>
      </c>
      <c r="M46">
        <v>96</v>
      </c>
      <c r="N46">
        <v>50</v>
      </c>
      <c r="O46">
        <v>21</v>
      </c>
      <c r="S46" s="21">
        <f t="shared" si="0"/>
        <v>0</v>
      </c>
      <c r="T46" s="21">
        <f t="shared" si="1"/>
        <v>0</v>
      </c>
      <c r="U46" s="21" t="str">
        <f t="shared" si="2"/>
        <v>NR</v>
      </c>
      <c r="V46" s="21">
        <f t="shared" si="3"/>
        <v>0</v>
      </c>
      <c r="X46" s="1">
        <f t="shared" si="4"/>
        <v>0</v>
      </c>
      <c r="Z46" s="50">
        <f>MROUND(IFERROR((VLOOKUP(C46,Lignes!$B$5:$F$28,5,FALSE)*2)/K46+$Z$2,0),0.05)</f>
        <v>0</v>
      </c>
      <c r="AA46" s="51">
        <f t="shared" si="5"/>
        <v>0</v>
      </c>
      <c r="AB46" s="8">
        <f t="shared" ca="1" si="6"/>
        <v>43465</v>
      </c>
      <c r="AC46" s="38">
        <f t="shared" ca="1" si="7"/>
        <v>1448.8333333333333</v>
      </c>
      <c r="AD46" s="38">
        <f t="shared" ca="1" si="8"/>
        <v>144.88333333333333</v>
      </c>
      <c r="AF46" s="21">
        <f t="shared" si="9"/>
        <v>0</v>
      </c>
      <c r="AG46" s="21"/>
      <c r="AI46" s="21">
        <f t="shared" si="10"/>
        <v>0</v>
      </c>
      <c r="AJ46" s="21">
        <f t="shared" si="11"/>
        <v>0</v>
      </c>
      <c r="AL46" s="21">
        <f t="shared" si="12"/>
        <v>0</v>
      </c>
      <c r="AM46" s="21"/>
    </row>
    <row r="47" spans="1:39" x14ac:dyDescent="0.3">
      <c r="A47" t="s">
        <v>528</v>
      </c>
      <c r="B47" t="s">
        <v>315</v>
      </c>
      <c r="E47">
        <v>9630</v>
      </c>
      <c r="G47" s="45">
        <v>1</v>
      </c>
      <c r="H47">
        <v>275</v>
      </c>
      <c r="I47">
        <v>8</v>
      </c>
      <c r="J47">
        <v>5.27</v>
      </c>
      <c r="K47">
        <v>850</v>
      </c>
      <c r="M47">
        <v>96</v>
      </c>
      <c r="N47">
        <v>50</v>
      </c>
      <c r="O47">
        <v>21</v>
      </c>
      <c r="S47" s="21">
        <f t="shared" si="0"/>
        <v>0</v>
      </c>
      <c r="T47" s="21">
        <f t="shared" si="1"/>
        <v>0</v>
      </c>
      <c r="U47" s="21" t="str">
        <f t="shared" si="2"/>
        <v>NR</v>
      </c>
      <c r="V47" s="21">
        <f t="shared" si="3"/>
        <v>0</v>
      </c>
      <c r="X47" s="1">
        <f t="shared" si="4"/>
        <v>0</v>
      </c>
      <c r="Z47" s="50">
        <f>MROUND(IFERROR((VLOOKUP(C47,Lignes!$B$5:$F$28,5,FALSE)*2)/K47+$Z$2,0),0.05)</f>
        <v>0</v>
      </c>
      <c r="AA47" s="51">
        <f t="shared" si="5"/>
        <v>0</v>
      </c>
      <c r="AB47" s="8">
        <f t="shared" ca="1" si="6"/>
        <v>43465</v>
      </c>
      <c r="AC47" s="38">
        <f t="shared" ca="1" si="7"/>
        <v>1448.8333333333333</v>
      </c>
      <c r="AD47" s="38">
        <f t="shared" ca="1" si="8"/>
        <v>144.88333333333333</v>
      </c>
      <c r="AF47" s="21">
        <f t="shared" si="9"/>
        <v>0</v>
      </c>
      <c r="AG47" s="21"/>
      <c r="AI47" s="21">
        <f t="shared" si="10"/>
        <v>0</v>
      </c>
      <c r="AJ47" s="21">
        <f t="shared" si="11"/>
        <v>0</v>
      </c>
      <c r="AL47" s="21">
        <f t="shared" si="12"/>
        <v>0</v>
      </c>
      <c r="AM47" s="21"/>
    </row>
    <row r="48" spans="1:39" x14ac:dyDescent="0.3">
      <c r="A48" t="s">
        <v>529</v>
      </c>
      <c r="B48" t="s">
        <v>315</v>
      </c>
      <c r="E48">
        <v>9630</v>
      </c>
      <c r="G48" s="45">
        <v>1</v>
      </c>
      <c r="H48">
        <v>275</v>
      </c>
      <c r="I48">
        <v>8</v>
      </c>
      <c r="J48">
        <v>5.27</v>
      </c>
      <c r="K48">
        <v>850</v>
      </c>
      <c r="M48">
        <v>96</v>
      </c>
      <c r="N48">
        <v>50</v>
      </c>
      <c r="O48">
        <v>21</v>
      </c>
      <c r="S48" s="21">
        <f t="shared" si="0"/>
        <v>0</v>
      </c>
      <c r="T48" s="21">
        <f t="shared" si="1"/>
        <v>0</v>
      </c>
      <c r="U48" s="21" t="str">
        <f t="shared" si="2"/>
        <v>NR</v>
      </c>
      <c r="V48" s="21">
        <f t="shared" si="3"/>
        <v>0</v>
      </c>
      <c r="X48" s="1">
        <f t="shared" si="4"/>
        <v>0</v>
      </c>
      <c r="Z48" s="50">
        <f>MROUND(IFERROR((VLOOKUP(C48,Lignes!$B$5:$F$28,5,FALSE)*2)/K48+$Z$2,0),0.05)</f>
        <v>0</v>
      </c>
      <c r="AA48" s="51">
        <f t="shared" si="5"/>
        <v>0</v>
      </c>
      <c r="AB48" s="8">
        <f t="shared" ca="1" si="6"/>
        <v>43465</v>
      </c>
      <c r="AC48" s="38">
        <f t="shared" ca="1" si="7"/>
        <v>1448.8333333333333</v>
      </c>
      <c r="AD48" s="38">
        <f t="shared" ca="1" si="8"/>
        <v>144.88333333333333</v>
      </c>
      <c r="AF48" s="21">
        <f t="shared" si="9"/>
        <v>0</v>
      </c>
      <c r="AG48" s="21"/>
      <c r="AI48" s="21">
        <f t="shared" si="10"/>
        <v>0</v>
      </c>
      <c r="AJ48" s="21">
        <f t="shared" si="11"/>
        <v>0</v>
      </c>
      <c r="AL48" s="21">
        <f t="shared" si="12"/>
        <v>0</v>
      </c>
      <c r="AM48" s="21"/>
    </row>
    <row r="49" spans="1:39" x14ac:dyDescent="0.3">
      <c r="A49" t="s">
        <v>530</v>
      </c>
      <c r="B49" t="s">
        <v>315</v>
      </c>
      <c r="E49">
        <v>9630</v>
      </c>
      <c r="G49" s="45">
        <v>1</v>
      </c>
      <c r="H49">
        <v>275</v>
      </c>
      <c r="I49">
        <v>8</v>
      </c>
      <c r="J49">
        <v>5.27</v>
      </c>
      <c r="K49">
        <v>850</v>
      </c>
      <c r="M49">
        <v>96</v>
      </c>
      <c r="N49">
        <v>50</v>
      </c>
      <c r="O49">
        <v>21</v>
      </c>
      <c r="S49" s="21">
        <f t="shared" si="0"/>
        <v>0</v>
      </c>
      <c r="T49" s="21">
        <f t="shared" si="1"/>
        <v>0</v>
      </c>
      <c r="U49" s="21" t="str">
        <f t="shared" si="2"/>
        <v>NR</v>
      </c>
      <c r="V49" s="21">
        <f t="shared" si="3"/>
        <v>0</v>
      </c>
      <c r="X49" s="1">
        <f t="shared" si="4"/>
        <v>0</v>
      </c>
      <c r="Z49" s="50">
        <f>MROUND(IFERROR((VLOOKUP(C49,Lignes!$B$5:$F$28,5,FALSE)*2)/K49+$Z$2,0),0.05)</f>
        <v>0</v>
      </c>
      <c r="AA49" s="51">
        <f t="shared" si="5"/>
        <v>0</v>
      </c>
      <c r="AB49" s="8">
        <f t="shared" ca="1" si="6"/>
        <v>43465</v>
      </c>
      <c r="AC49" s="38">
        <f t="shared" ca="1" si="7"/>
        <v>1448.8333333333333</v>
      </c>
      <c r="AD49" s="38">
        <f t="shared" ca="1" si="8"/>
        <v>144.88333333333333</v>
      </c>
      <c r="AF49" s="21">
        <f t="shared" si="9"/>
        <v>0</v>
      </c>
      <c r="AG49" s="21"/>
      <c r="AI49" s="21">
        <f t="shared" si="10"/>
        <v>0</v>
      </c>
      <c r="AJ49" s="21">
        <f t="shared" si="11"/>
        <v>0</v>
      </c>
      <c r="AL49" s="21">
        <f t="shared" si="12"/>
        <v>0</v>
      </c>
      <c r="AM49" s="21"/>
    </row>
    <row r="50" spans="1:39" x14ac:dyDescent="0.3">
      <c r="A50" t="s">
        <v>531</v>
      </c>
      <c r="B50" t="s">
        <v>315</v>
      </c>
      <c r="E50">
        <v>9630</v>
      </c>
      <c r="G50" s="45">
        <v>1</v>
      </c>
      <c r="H50">
        <v>275</v>
      </c>
      <c r="I50">
        <v>8</v>
      </c>
      <c r="J50">
        <v>5.27</v>
      </c>
      <c r="K50">
        <v>850</v>
      </c>
      <c r="M50">
        <v>96</v>
      </c>
      <c r="N50">
        <v>50</v>
      </c>
      <c r="O50">
        <v>21</v>
      </c>
      <c r="S50" s="21">
        <f t="shared" si="0"/>
        <v>0</v>
      </c>
      <c r="T50" s="21">
        <f t="shared" si="1"/>
        <v>0</v>
      </c>
      <c r="U50" s="21" t="str">
        <f t="shared" si="2"/>
        <v>NR</v>
      </c>
      <c r="V50" s="21">
        <f t="shared" si="3"/>
        <v>0</v>
      </c>
      <c r="X50" s="1">
        <f t="shared" si="4"/>
        <v>0</v>
      </c>
      <c r="Z50" s="50">
        <f>MROUND(IFERROR((VLOOKUP(C50,Lignes!$B$5:$F$28,5,FALSE)*2)/K50+$Z$2,0),0.05)</f>
        <v>0</v>
      </c>
      <c r="AA50" s="51">
        <f t="shared" si="5"/>
        <v>0</v>
      </c>
      <c r="AB50" s="8">
        <f t="shared" ca="1" si="6"/>
        <v>43465</v>
      </c>
      <c r="AC50" s="38">
        <f t="shared" ca="1" si="7"/>
        <v>1448.8333333333333</v>
      </c>
      <c r="AD50" s="38">
        <f t="shared" ca="1" si="8"/>
        <v>144.88333333333333</v>
      </c>
      <c r="AF50" s="21">
        <f t="shared" si="9"/>
        <v>0</v>
      </c>
      <c r="AG50" s="21"/>
      <c r="AI50" s="21">
        <f t="shared" si="10"/>
        <v>0</v>
      </c>
      <c r="AJ50" s="21">
        <f t="shared" si="11"/>
        <v>0</v>
      </c>
      <c r="AL50" s="21">
        <f t="shared" si="12"/>
        <v>0</v>
      </c>
      <c r="AM50" s="21"/>
    </row>
    <row r="51" spans="1:39" x14ac:dyDescent="0.3">
      <c r="A51" t="s">
        <v>532</v>
      </c>
      <c r="B51" t="s">
        <v>315</v>
      </c>
      <c r="E51">
        <v>9630</v>
      </c>
      <c r="G51" s="45">
        <v>1</v>
      </c>
      <c r="H51">
        <v>275</v>
      </c>
      <c r="I51">
        <v>8</v>
      </c>
      <c r="J51">
        <v>5.27</v>
      </c>
      <c r="K51">
        <v>850</v>
      </c>
      <c r="M51">
        <v>96</v>
      </c>
      <c r="N51">
        <v>50</v>
      </c>
      <c r="O51">
        <v>21</v>
      </c>
      <c r="S51" s="21">
        <f t="shared" si="0"/>
        <v>0</v>
      </c>
      <c r="T51" s="21">
        <f t="shared" si="1"/>
        <v>0</v>
      </c>
      <c r="U51" s="21" t="str">
        <f t="shared" si="2"/>
        <v>NR</v>
      </c>
      <c r="V51" s="21">
        <f t="shared" si="3"/>
        <v>0</v>
      </c>
      <c r="X51" s="1">
        <f t="shared" si="4"/>
        <v>0</v>
      </c>
      <c r="Z51" s="50">
        <f>MROUND(IFERROR((VLOOKUP(C51,Lignes!$B$5:$F$28,5,FALSE)*2)/K51+$Z$2,0),0.05)</f>
        <v>0</v>
      </c>
      <c r="AA51" s="51">
        <f t="shared" si="5"/>
        <v>0</v>
      </c>
      <c r="AB51" s="8">
        <f t="shared" ca="1" si="6"/>
        <v>43465</v>
      </c>
      <c r="AC51" s="38">
        <f t="shared" ca="1" si="7"/>
        <v>1448.8333333333333</v>
      </c>
      <c r="AD51" s="38">
        <f t="shared" ca="1" si="8"/>
        <v>144.88333333333333</v>
      </c>
      <c r="AF51" s="21">
        <f t="shared" si="9"/>
        <v>0</v>
      </c>
      <c r="AG51" s="21"/>
      <c r="AI51" s="21">
        <f t="shared" si="10"/>
        <v>0</v>
      </c>
      <c r="AJ51" s="21">
        <f t="shared" si="11"/>
        <v>0</v>
      </c>
      <c r="AL51" s="21">
        <f t="shared" si="12"/>
        <v>0</v>
      </c>
      <c r="AM51" s="21"/>
    </row>
    <row r="52" spans="1:39" x14ac:dyDescent="0.3">
      <c r="A52" t="s">
        <v>533</v>
      </c>
      <c r="B52" t="s">
        <v>315</v>
      </c>
      <c r="E52">
        <v>9630</v>
      </c>
      <c r="G52" s="45">
        <v>1</v>
      </c>
      <c r="H52">
        <v>275</v>
      </c>
      <c r="I52">
        <v>8</v>
      </c>
      <c r="J52">
        <v>5.27</v>
      </c>
      <c r="K52">
        <v>850</v>
      </c>
      <c r="M52">
        <v>96</v>
      </c>
      <c r="N52">
        <v>50</v>
      </c>
      <c r="O52">
        <v>21</v>
      </c>
      <c r="S52" s="21">
        <f t="shared" si="0"/>
        <v>0</v>
      </c>
      <c r="T52" s="21">
        <f t="shared" si="1"/>
        <v>0</v>
      </c>
      <c r="U52" s="21" t="str">
        <f t="shared" si="2"/>
        <v>NR</v>
      </c>
      <c r="V52" s="21">
        <f t="shared" si="3"/>
        <v>0</v>
      </c>
      <c r="X52" s="1">
        <f t="shared" si="4"/>
        <v>0</v>
      </c>
      <c r="Z52" s="50">
        <f>MROUND(IFERROR((VLOOKUP(C52,Lignes!$B$5:$F$28,5,FALSE)*2)/K52+$Z$2,0),0.05)</f>
        <v>0</v>
      </c>
      <c r="AA52" s="51">
        <f t="shared" si="5"/>
        <v>0</v>
      </c>
      <c r="AB52" s="8">
        <f t="shared" ca="1" si="6"/>
        <v>43465</v>
      </c>
      <c r="AC52" s="38">
        <f t="shared" ca="1" si="7"/>
        <v>1448.8333333333333</v>
      </c>
      <c r="AD52" s="38">
        <f t="shared" ca="1" si="8"/>
        <v>144.88333333333333</v>
      </c>
      <c r="AF52" s="21">
        <f t="shared" si="9"/>
        <v>0</v>
      </c>
      <c r="AG52" s="21"/>
      <c r="AI52" s="21">
        <f t="shared" si="10"/>
        <v>0</v>
      </c>
      <c r="AJ52" s="21">
        <f t="shared" si="11"/>
        <v>0</v>
      </c>
      <c r="AL52" s="21">
        <f t="shared" si="12"/>
        <v>0</v>
      </c>
      <c r="AM52" s="21"/>
    </row>
    <row r="53" spans="1:39" x14ac:dyDescent="0.3">
      <c r="A53" t="s">
        <v>534</v>
      </c>
      <c r="B53" t="s">
        <v>315</v>
      </c>
      <c r="E53">
        <v>9630</v>
      </c>
      <c r="G53" s="45">
        <v>1</v>
      </c>
      <c r="H53">
        <v>275</v>
      </c>
      <c r="I53">
        <v>8</v>
      </c>
      <c r="J53">
        <v>5.27</v>
      </c>
      <c r="K53">
        <v>850</v>
      </c>
      <c r="M53">
        <v>96</v>
      </c>
      <c r="N53">
        <v>50</v>
      </c>
      <c r="O53">
        <v>21</v>
      </c>
      <c r="S53" s="21">
        <f t="shared" si="0"/>
        <v>0</v>
      </c>
      <c r="T53" s="21">
        <f t="shared" si="1"/>
        <v>0</v>
      </c>
      <c r="U53" s="21" t="str">
        <f t="shared" si="2"/>
        <v>NR</v>
      </c>
      <c r="V53" s="21">
        <f t="shared" si="3"/>
        <v>0</v>
      </c>
      <c r="X53" s="1">
        <f t="shared" si="4"/>
        <v>0</v>
      </c>
      <c r="Z53" s="50">
        <f>MROUND(IFERROR((VLOOKUP(C53,Lignes!$B$5:$F$28,5,FALSE)*2)/K53+$Z$2,0),0.05)</f>
        <v>0</v>
      </c>
      <c r="AA53" s="51">
        <f t="shared" si="5"/>
        <v>0</v>
      </c>
      <c r="AB53" s="8">
        <f t="shared" ca="1" si="6"/>
        <v>43465</v>
      </c>
      <c r="AC53" s="38">
        <f t="shared" ca="1" si="7"/>
        <v>1448.8333333333333</v>
      </c>
      <c r="AD53" s="38">
        <f t="shared" ca="1" si="8"/>
        <v>144.88333333333333</v>
      </c>
      <c r="AF53" s="21">
        <f t="shared" si="9"/>
        <v>0</v>
      </c>
      <c r="AG53" s="21"/>
      <c r="AI53" s="21">
        <f t="shared" si="10"/>
        <v>0</v>
      </c>
      <c r="AJ53" s="21">
        <f t="shared" si="11"/>
        <v>0</v>
      </c>
      <c r="AL53" s="21">
        <f t="shared" si="12"/>
        <v>0</v>
      </c>
      <c r="AM53" s="21"/>
    </row>
    <row r="54" spans="1:39" x14ac:dyDescent="0.3">
      <c r="A54" t="s">
        <v>535</v>
      </c>
      <c r="B54" t="s">
        <v>315</v>
      </c>
      <c r="E54">
        <v>9630</v>
      </c>
      <c r="G54" s="45">
        <v>1</v>
      </c>
      <c r="H54">
        <v>275</v>
      </c>
      <c r="I54">
        <v>8</v>
      </c>
      <c r="J54">
        <v>5.27</v>
      </c>
      <c r="K54">
        <v>850</v>
      </c>
      <c r="M54">
        <v>96</v>
      </c>
      <c r="N54">
        <v>50</v>
      </c>
      <c r="O54">
        <v>21</v>
      </c>
      <c r="S54" s="21">
        <f t="shared" si="0"/>
        <v>0</v>
      </c>
      <c r="T54" s="21">
        <f t="shared" si="1"/>
        <v>0</v>
      </c>
      <c r="U54" s="21" t="str">
        <f t="shared" si="2"/>
        <v>NR</v>
      </c>
      <c r="V54" s="21">
        <f t="shared" si="3"/>
        <v>0</v>
      </c>
      <c r="X54" s="1">
        <f t="shared" si="4"/>
        <v>0</v>
      </c>
      <c r="Z54" s="50">
        <f>MROUND(IFERROR((VLOOKUP(C54,Lignes!$B$5:$F$28,5,FALSE)*2)/K54+$Z$2,0),0.05)</f>
        <v>0</v>
      </c>
      <c r="AA54" s="51">
        <f t="shared" si="5"/>
        <v>0</v>
      </c>
      <c r="AB54" s="8">
        <f t="shared" ca="1" si="6"/>
        <v>43465</v>
      </c>
      <c r="AC54" s="38">
        <f t="shared" ca="1" si="7"/>
        <v>1448.8333333333333</v>
      </c>
      <c r="AD54" s="38">
        <f t="shared" ca="1" si="8"/>
        <v>144.88333333333333</v>
      </c>
      <c r="AF54" s="21">
        <f t="shared" si="9"/>
        <v>0</v>
      </c>
      <c r="AG54" s="21"/>
      <c r="AI54" s="21">
        <f t="shared" si="10"/>
        <v>0</v>
      </c>
      <c r="AJ54" s="21">
        <f t="shared" si="11"/>
        <v>0</v>
      </c>
      <c r="AL54" s="21">
        <f t="shared" si="12"/>
        <v>0</v>
      </c>
      <c r="AM54" s="21"/>
    </row>
    <row r="55" spans="1:39" x14ac:dyDescent="0.3">
      <c r="A55" t="s">
        <v>536</v>
      </c>
      <c r="B55" t="s">
        <v>315</v>
      </c>
      <c r="E55">
        <v>9630</v>
      </c>
      <c r="G55" s="45">
        <v>1</v>
      </c>
      <c r="H55">
        <v>275</v>
      </c>
      <c r="I55">
        <v>8</v>
      </c>
      <c r="J55">
        <v>5.27</v>
      </c>
      <c r="K55">
        <v>850</v>
      </c>
      <c r="M55">
        <v>96</v>
      </c>
      <c r="N55">
        <v>50</v>
      </c>
      <c r="O55">
        <v>21</v>
      </c>
      <c r="S55" s="21">
        <f t="shared" si="0"/>
        <v>0</v>
      </c>
      <c r="T55" s="21">
        <f t="shared" si="1"/>
        <v>0</v>
      </c>
      <c r="U55" s="21" t="str">
        <f t="shared" si="2"/>
        <v>NR</v>
      </c>
      <c r="V55" s="21">
        <f t="shared" si="3"/>
        <v>0</v>
      </c>
      <c r="X55" s="1">
        <f t="shared" si="4"/>
        <v>0</v>
      </c>
      <c r="Z55" s="50">
        <f>MROUND(IFERROR((VLOOKUP(C55,Lignes!$B$5:$F$28,5,FALSE)*2)/K55+$Z$2,0),0.05)</f>
        <v>0</v>
      </c>
      <c r="AA55" s="51">
        <f t="shared" si="5"/>
        <v>0</v>
      </c>
      <c r="AB55" s="8">
        <f t="shared" ca="1" si="6"/>
        <v>43465</v>
      </c>
      <c r="AC55" s="38">
        <f t="shared" ca="1" si="7"/>
        <v>1448.8333333333333</v>
      </c>
      <c r="AD55" s="38">
        <f t="shared" ca="1" si="8"/>
        <v>144.88333333333333</v>
      </c>
      <c r="AF55" s="21">
        <f t="shared" si="9"/>
        <v>0</v>
      </c>
      <c r="AG55" s="21"/>
      <c r="AI55" s="21">
        <f t="shared" si="10"/>
        <v>0</v>
      </c>
      <c r="AJ55" s="21">
        <f t="shared" si="11"/>
        <v>0</v>
      </c>
      <c r="AL55" s="21">
        <f t="shared" si="12"/>
        <v>0</v>
      </c>
      <c r="AM55" s="21"/>
    </row>
    <row r="56" spans="1:39" x14ac:dyDescent="0.3">
      <c r="A56" t="s">
        <v>537</v>
      </c>
      <c r="B56" t="s">
        <v>315</v>
      </c>
      <c r="E56">
        <v>9630</v>
      </c>
      <c r="G56" s="45">
        <v>1</v>
      </c>
      <c r="H56">
        <v>275</v>
      </c>
      <c r="I56">
        <v>8</v>
      </c>
      <c r="J56">
        <v>5.27</v>
      </c>
      <c r="K56">
        <v>850</v>
      </c>
      <c r="M56">
        <v>96</v>
      </c>
      <c r="N56">
        <v>50</v>
      </c>
      <c r="O56">
        <v>21</v>
      </c>
      <c r="S56" s="21">
        <f t="shared" si="0"/>
        <v>0</v>
      </c>
      <c r="T56" s="21">
        <f t="shared" si="1"/>
        <v>0</v>
      </c>
      <c r="U56" s="21" t="str">
        <f t="shared" si="2"/>
        <v>NR</v>
      </c>
      <c r="V56" s="21">
        <f t="shared" si="3"/>
        <v>0</v>
      </c>
      <c r="X56" s="1">
        <f t="shared" si="4"/>
        <v>0</v>
      </c>
      <c r="Z56" s="50">
        <f>MROUND(IFERROR((VLOOKUP(C56,Lignes!$B$5:$F$28,5,FALSE)*2)/K56+$Z$2,0),0.05)</f>
        <v>0</v>
      </c>
      <c r="AA56" s="51">
        <f t="shared" si="5"/>
        <v>0</v>
      </c>
      <c r="AB56" s="8">
        <f t="shared" ca="1" si="6"/>
        <v>43465</v>
      </c>
      <c r="AC56" s="38">
        <f t="shared" ca="1" si="7"/>
        <v>1448.8333333333333</v>
      </c>
      <c r="AD56" s="38">
        <f t="shared" ca="1" si="8"/>
        <v>144.88333333333333</v>
      </c>
      <c r="AF56" s="21">
        <f t="shared" si="9"/>
        <v>0</v>
      </c>
      <c r="AG56" s="21"/>
      <c r="AI56" s="21">
        <f t="shared" si="10"/>
        <v>0</v>
      </c>
      <c r="AJ56" s="21">
        <f t="shared" si="11"/>
        <v>0</v>
      </c>
      <c r="AL56" s="21">
        <f t="shared" si="12"/>
        <v>0</v>
      </c>
      <c r="AM56" s="21"/>
    </row>
    <row r="57" spans="1:39" x14ac:dyDescent="0.3">
      <c r="A57" t="s">
        <v>538</v>
      </c>
      <c r="B57" t="s">
        <v>315</v>
      </c>
      <c r="E57">
        <v>9630</v>
      </c>
      <c r="G57" s="45">
        <v>1</v>
      </c>
      <c r="H57">
        <v>275</v>
      </c>
      <c r="I57">
        <v>8</v>
      </c>
      <c r="J57">
        <v>5.27</v>
      </c>
      <c r="K57">
        <v>850</v>
      </c>
      <c r="M57">
        <v>96</v>
      </c>
      <c r="N57">
        <v>50</v>
      </c>
      <c r="O57">
        <v>21</v>
      </c>
      <c r="S57" s="21">
        <f t="shared" si="0"/>
        <v>0</v>
      </c>
      <c r="T57" s="21">
        <f t="shared" si="1"/>
        <v>0</v>
      </c>
      <c r="U57" s="21" t="str">
        <f t="shared" si="2"/>
        <v>NR</v>
      </c>
      <c r="V57" s="21">
        <f t="shared" si="3"/>
        <v>0</v>
      </c>
      <c r="X57" s="1">
        <f t="shared" si="4"/>
        <v>0</v>
      </c>
      <c r="Z57" s="50">
        <f>MROUND(IFERROR((VLOOKUP(C57,Lignes!$B$5:$F$28,5,FALSE)*2)/K57+$Z$2,0),0.05)</f>
        <v>0</v>
      </c>
      <c r="AA57" s="51">
        <f t="shared" si="5"/>
        <v>0</v>
      </c>
      <c r="AB57" s="8">
        <f t="shared" ca="1" si="6"/>
        <v>43465</v>
      </c>
      <c r="AC57" s="38">
        <f t="shared" ca="1" si="7"/>
        <v>1448.8333333333333</v>
      </c>
      <c r="AD57" s="38">
        <f t="shared" ca="1" si="8"/>
        <v>144.88333333333333</v>
      </c>
      <c r="AF57" s="21">
        <f t="shared" si="9"/>
        <v>0</v>
      </c>
      <c r="AG57" s="21"/>
      <c r="AI57" s="21">
        <f t="shared" si="10"/>
        <v>0</v>
      </c>
      <c r="AJ57" s="21">
        <f t="shared" si="11"/>
        <v>0</v>
      </c>
      <c r="AL57" s="21">
        <f t="shared" si="12"/>
        <v>0</v>
      </c>
      <c r="AM57" s="21"/>
    </row>
    <row r="58" spans="1:39" x14ac:dyDescent="0.3">
      <c r="A58" t="s">
        <v>539</v>
      </c>
      <c r="B58" t="s">
        <v>315</v>
      </c>
      <c r="E58">
        <v>9630</v>
      </c>
      <c r="G58" s="45">
        <v>1</v>
      </c>
      <c r="H58">
        <v>275</v>
      </c>
      <c r="I58">
        <v>8</v>
      </c>
      <c r="J58">
        <v>5.27</v>
      </c>
      <c r="K58">
        <v>850</v>
      </c>
      <c r="M58">
        <v>96</v>
      </c>
      <c r="N58">
        <v>50</v>
      </c>
      <c r="O58">
        <v>21</v>
      </c>
      <c r="S58" s="21">
        <f t="shared" si="0"/>
        <v>0</v>
      </c>
      <c r="T58" s="21">
        <f t="shared" si="1"/>
        <v>0</v>
      </c>
      <c r="U58" s="21" t="str">
        <f t="shared" si="2"/>
        <v>NR</v>
      </c>
      <c r="V58" s="21">
        <f t="shared" si="3"/>
        <v>0</v>
      </c>
      <c r="X58" s="1">
        <f t="shared" si="4"/>
        <v>0</v>
      </c>
      <c r="Z58" s="50">
        <f>MROUND(IFERROR((VLOOKUP(C58,Lignes!$B$5:$F$28,5,FALSE)*2)/K58+$Z$2,0),0.05)</f>
        <v>0</v>
      </c>
      <c r="AA58" s="51">
        <f t="shared" si="5"/>
        <v>0</v>
      </c>
      <c r="AB58" s="8">
        <f t="shared" ca="1" si="6"/>
        <v>43465</v>
      </c>
      <c r="AC58" s="38">
        <f t="shared" ca="1" si="7"/>
        <v>1448.8333333333333</v>
      </c>
      <c r="AD58" s="38">
        <f t="shared" ca="1" si="8"/>
        <v>144.88333333333333</v>
      </c>
      <c r="AF58" s="21">
        <f t="shared" si="9"/>
        <v>0</v>
      </c>
      <c r="AG58" s="21"/>
      <c r="AI58" s="21">
        <f t="shared" si="10"/>
        <v>0</v>
      </c>
      <c r="AJ58" s="21">
        <f t="shared" si="11"/>
        <v>0</v>
      </c>
      <c r="AL58" s="21">
        <f t="shared" si="12"/>
        <v>0</v>
      </c>
      <c r="AM58" s="21"/>
    </row>
    <row r="59" spans="1:39" x14ac:dyDescent="0.3">
      <c r="A59" t="s">
        <v>540</v>
      </c>
      <c r="B59" t="s">
        <v>315</v>
      </c>
      <c r="E59">
        <v>9630</v>
      </c>
      <c r="G59" s="45">
        <v>1</v>
      </c>
      <c r="H59">
        <v>275</v>
      </c>
      <c r="I59">
        <v>8</v>
      </c>
      <c r="J59">
        <v>5.27</v>
      </c>
      <c r="K59">
        <v>850</v>
      </c>
      <c r="M59">
        <v>96</v>
      </c>
      <c r="N59">
        <v>50</v>
      </c>
      <c r="O59">
        <v>21</v>
      </c>
      <c r="S59" s="21">
        <f t="shared" si="0"/>
        <v>0</v>
      </c>
      <c r="T59" s="21">
        <f t="shared" si="1"/>
        <v>0</v>
      </c>
      <c r="U59" s="21" t="str">
        <f t="shared" si="2"/>
        <v>NR</v>
      </c>
      <c r="V59" s="21">
        <f t="shared" si="3"/>
        <v>0</v>
      </c>
      <c r="X59" s="1">
        <f t="shared" si="4"/>
        <v>0</v>
      </c>
      <c r="Z59" s="50">
        <f>MROUND(IFERROR((VLOOKUP(C59,Lignes!$B$5:$F$28,5,FALSE)*2)/K59+$Z$2,0),0.05)</f>
        <v>0</v>
      </c>
      <c r="AA59" s="51">
        <f t="shared" si="5"/>
        <v>0</v>
      </c>
      <c r="AB59" s="8">
        <f t="shared" ca="1" si="6"/>
        <v>43465</v>
      </c>
      <c r="AC59" s="38">
        <f t="shared" ca="1" si="7"/>
        <v>1448.8333333333333</v>
      </c>
      <c r="AD59" s="38">
        <f t="shared" ca="1" si="8"/>
        <v>144.88333333333333</v>
      </c>
      <c r="AF59" s="21">
        <f t="shared" si="9"/>
        <v>0</v>
      </c>
      <c r="AG59" s="21"/>
      <c r="AI59" s="21">
        <f t="shared" si="10"/>
        <v>0</v>
      </c>
      <c r="AJ59" s="21">
        <f t="shared" si="11"/>
        <v>0</v>
      </c>
      <c r="AL59" s="21">
        <f t="shared" si="12"/>
        <v>0</v>
      </c>
      <c r="AM59" s="21"/>
    </row>
    <row r="60" spans="1:39" x14ac:dyDescent="0.3">
      <c r="A60" t="s">
        <v>541</v>
      </c>
      <c r="B60" t="s">
        <v>315</v>
      </c>
      <c r="E60">
        <v>9630</v>
      </c>
      <c r="G60" s="45">
        <v>1</v>
      </c>
      <c r="H60">
        <v>275</v>
      </c>
      <c r="I60">
        <v>8</v>
      </c>
      <c r="J60">
        <v>5.27</v>
      </c>
      <c r="K60">
        <v>850</v>
      </c>
      <c r="M60">
        <v>96</v>
      </c>
      <c r="N60">
        <v>50</v>
      </c>
      <c r="O60">
        <v>21</v>
      </c>
      <c r="S60" s="21">
        <f t="shared" si="0"/>
        <v>0</v>
      </c>
      <c r="T60" s="21">
        <f t="shared" si="1"/>
        <v>0</v>
      </c>
      <c r="U60" s="21" t="str">
        <f t="shared" si="2"/>
        <v>NR</v>
      </c>
      <c r="V60" s="21">
        <f t="shared" si="3"/>
        <v>0</v>
      </c>
      <c r="X60" s="1">
        <f t="shared" si="4"/>
        <v>0</v>
      </c>
      <c r="Z60" s="50">
        <f>MROUND(IFERROR((VLOOKUP(C60,Lignes!$B$5:$F$28,5,FALSE)*2)/K60+$Z$2,0),0.05)</f>
        <v>0</v>
      </c>
      <c r="AA60" s="51">
        <f t="shared" si="5"/>
        <v>0</v>
      </c>
      <c r="AB60" s="8">
        <f t="shared" ca="1" si="6"/>
        <v>43465</v>
      </c>
      <c r="AC60" s="38">
        <f t="shared" ca="1" si="7"/>
        <v>1448.8333333333333</v>
      </c>
      <c r="AD60" s="38">
        <f t="shared" ca="1" si="8"/>
        <v>144.88333333333333</v>
      </c>
      <c r="AF60" s="21">
        <f t="shared" si="9"/>
        <v>0</v>
      </c>
      <c r="AG60" s="21"/>
      <c r="AI60" s="21">
        <f t="shared" si="10"/>
        <v>0</v>
      </c>
      <c r="AJ60" s="21">
        <f t="shared" si="11"/>
        <v>0</v>
      </c>
      <c r="AL60" s="21">
        <f t="shared" si="12"/>
        <v>0</v>
      </c>
      <c r="AM60" s="21"/>
    </row>
    <row r="61" spans="1:39" x14ac:dyDescent="0.3">
      <c r="A61" t="s">
        <v>542</v>
      </c>
      <c r="B61" t="s">
        <v>315</v>
      </c>
      <c r="E61">
        <v>9630</v>
      </c>
      <c r="G61" s="45">
        <v>1</v>
      </c>
      <c r="H61">
        <v>275</v>
      </c>
      <c r="I61">
        <v>8</v>
      </c>
      <c r="J61">
        <v>5.27</v>
      </c>
      <c r="K61">
        <v>850</v>
      </c>
      <c r="M61">
        <v>96</v>
      </c>
      <c r="N61">
        <v>50</v>
      </c>
      <c r="O61">
        <v>21</v>
      </c>
      <c r="S61" s="21">
        <f t="shared" si="0"/>
        <v>0</v>
      </c>
      <c r="T61" s="21">
        <f t="shared" si="1"/>
        <v>0</v>
      </c>
      <c r="U61" s="21" t="str">
        <f t="shared" si="2"/>
        <v>NR</v>
      </c>
      <c r="V61" s="21">
        <f t="shared" si="3"/>
        <v>0</v>
      </c>
      <c r="X61" s="1">
        <f t="shared" si="4"/>
        <v>0</v>
      </c>
      <c r="Z61" s="50">
        <f>MROUND(IFERROR((VLOOKUP(C61,Lignes!$B$5:$F$28,5,FALSE)*2)/K61+$Z$2,0),0.05)</f>
        <v>0</v>
      </c>
      <c r="AA61" s="51">
        <f t="shared" si="5"/>
        <v>0</v>
      </c>
      <c r="AB61" s="8">
        <f t="shared" ca="1" si="6"/>
        <v>43465</v>
      </c>
      <c r="AC61" s="38">
        <f t="shared" ca="1" si="7"/>
        <v>1448.8333333333333</v>
      </c>
      <c r="AD61" s="38">
        <f t="shared" ca="1" si="8"/>
        <v>144.88333333333333</v>
      </c>
      <c r="AF61" s="21">
        <f t="shared" si="9"/>
        <v>0</v>
      </c>
      <c r="AG61" s="21"/>
      <c r="AI61" s="21">
        <f t="shared" si="10"/>
        <v>0</v>
      </c>
      <c r="AJ61" s="21">
        <f t="shared" si="11"/>
        <v>0</v>
      </c>
      <c r="AL61" s="21">
        <f t="shared" si="12"/>
        <v>0</v>
      </c>
      <c r="AM61" s="21"/>
    </row>
    <row r="62" spans="1:39" x14ac:dyDescent="0.3">
      <c r="A62" t="s">
        <v>543</v>
      </c>
      <c r="B62" t="s">
        <v>315</v>
      </c>
      <c r="E62">
        <v>9630</v>
      </c>
      <c r="G62" s="45">
        <v>1</v>
      </c>
      <c r="H62">
        <v>275</v>
      </c>
      <c r="I62">
        <v>8</v>
      </c>
      <c r="J62">
        <v>5.27</v>
      </c>
      <c r="K62">
        <v>850</v>
      </c>
      <c r="M62">
        <v>96</v>
      </c>
      <c r="N62">
        <v>50</v>
      </c>
      <c r="O62">
        <v>21</v>
      </c>
      <c r="S62" s="21">
        <f t="shared" si="0"/>
        <v>0</v>
      </c>
      <c r="T62" s="21">
        <f t="shared" si="1"/>
        <v>0</v>
      </c>
      <c r="U62" s="21" t="str">
        <f t="shared" si="2"/>
        <v>NR</v>
      </c>
      <c r="V62" s="21">
        <f t="shared" si="3"/>
        <v>0</v>
      </c>
      <c r="X62" s="1">
        <f t="shared" si="4"/>
        <v>0</v>
      </c>
      <c r="Z62" s="50">
        <f>MROUND(IFERROR((VLOOKUP(C62,Lignes!$B$5:$F$28,5,FALSE)*2)/K62+$Z$2,0),0.05)</f>
        <v>0</v>
      </c>
      <c r="AA62" s="51">
        <f t="shared" si="5"/>
        <v>0</v>
      </c>
      <c r="AB62" s="8">
        <f t="shared" ca="1" si="6"/>
        <v>43465</v>
      </c>
      <c r="AC62" s="38">
        <f t="shared" ca="1" si="7"/>
        <v>1448.8333333333333</v>
      </c>
      <c r="AD62" s="38">
        <f t="shared" ca="1" si="8"/>
        <v>144.88333333333333</v>
      </c>
      <c r="AF62" s="21">
        <f t="shared" si="9"/>
        <v>0</v>
      </c>
      <c r="AG62" s="21"/>
      <c r="AI62" s="21">
        <f t="shared" si="10"/>
        <v>0</v>
      </c>
      <c r="AJ62" s="21">
        <f t="shared" si="11"/>
        <v>0</v>
      </c>
      <c r="AL62" s="21">
        <f t="shared" si="12"/>
        <v>0</v>
      </c>
      <c r="AM62" s="21"/>
    </row>
    <row r="63" spans="1:39" x14ac:dyDescent="0.3">
      <c r="A63" t="s">
        <v>544</v>
      </c>
      <c r="B63" t="s">
        <v>315</v>
      </c>
      <c r="E63">
        <v>9630</v>
      </c>
      <c r="G63" s="45">
        <v>1</v>
      </c>
      <c r="H63">
        <v>275</v>
      </c>
      <c r="I63">
        <v>8</v>
      </c>
      <c r="J63">
        <v>5.27</v>
      </c>
      <c r="K63">
        <v>850</v>
      </c>
      <c r="M63">
        <v>96</v>
      </c>
      <c r="N63">
        <v>50</v>
      </c>
      <c r="O63">
        <v>21</v>
      </c>
      <c r="S63" s="21">
        <f t="shared" si="0"/>
        <v>0</v>
      </c>
      <c r="T63" s="21">
        <f t="shared" si="1"/>
        <v>0</v>
      </c>
      <c r="U63" s="21" t="str">
        <f t="shared" si="2"/>
        <v>NR</v>
      </c>
      <c r="V63" s="21">
        <f t="shared" si="3"/>
        <v>0</v>
      </c>
      <c r="X63" s="1">
        <f t="shared" si="4"/>
        <v>0</v>
      </c>
      <c r="Z63" s="50">
        <f>MROUND(IFERROR((VLOOKUP(C63,Lignes!$B$5:$F$28,5,FALSE)*2)/K63+$Z$2,0),0.05)</f>
        <v>0</v>
      </c>
      <c r="AA63" s="51">
        <f t="shared" si="5"/>
        <v>0</v>
      </c>
      <c r="AB63" s="8">
        <f t="shared" ca="1" si="6"/>
        <v>43465</v>
      </c>
      <c r="AC63" s="38">
        <f t="shared" ca="1" si="7"/>
        <v>1448.8333333333333</v>
      </c>
      <c r="AD63" s="38">
        <f t="shared" ca="1" si="8"/>
        <v>144.88333333333333</v>
      </c>
      <c r="AF63" s="21">
        <f t="shared" si="9"/>
        <v>0</v>
      </c>
      <c r="AG63" s="21"/>
      <c r="AI63" s="21">
        <f t="shared" si="10"/>
        <v>0</v>
      </c>
      <c r="AJ63" s="21">
        <f t="shared" si="11"/>
        <v>0</v>
      </c>
      <c r="AL63" s="21">
        <f t="shared" si="12"/>
        <v>0</v>
      </c>
      <c r="AM63" s="21"/>
    </row>
    <row r="64" spans="1:39" x14ac:dyDescent="0.3">
      <c r="A64" t="s">
        <v>545</v>
      </c>
      <c r="B64" t="s">
        <v>315</v>
      </c>
      <c r="E64">
        <v>9630</v>
      </c>
      <c r="G64" s="45">
        <v>1</v>
      </c>
      <c r="H64">
        <v>275</v>
      </c>
      <c r="I64">
        <v>8</v>
      </c>
      <c r="J64">
        <v>5.27</v>
      </c>
      <c r="K64">
        <v>850</v>
      </c>
      <c r="M64">
        <v>96</v>
      </c>
      <c r="N64">
        <v>50</v>
      </c>
      <c r="O64">
        <v>21</v>
      </c>
      <c r="S64" s="21">
        <f t="shared" si="0"/>
        <v>0</v>
      </c>
      <c r="T64" s="21">
        <f t="shared" si="1"/>
        <v>0</v>
      </c>
      <c r="U64" s="21" t="str">
        <f t="shared" si="2"/>
        <v>NR</v>
      </c>
      <c r="V64" s="21">
        <f t="shared" si="3"/>
        <v>0</v>
      </c>
      <c r="X64" s="1">
        <f t="shared" si="4"/>
        <v>0</v>
      </c>
      <c r="Z64" s="50">
        <f>MROUND(IFERROR((VLOOKUP(C64,Lignes!$B$5:$F$28,5,FALSE)*2)/K64+$Z$2,0),0.05)</f>
        <v>0</v>
      </c>
      <c r="AA64" s="51">
        <f t="shared" si="5"/>
        <v>0</v>
      </c>
      <c r="AB64" s="8">
        <f t="shared" ca="1" si="6"/>
        <v>43465</v>
      </c>
      <c r="AC64" s="38">
        <f t="shared" ca="1" si="7"/>
        <v>1448.8333333333333</v>
      </c>
      <c r="AD64" s="38">
        <f t="shared" ca="1" si="8"/>
        <v>144.88333333333333</v>
      </c>
      <c r="AF64" s="21">
        <f t="shared" si="9"/>
        <v>0</v>
      </c>
      <c r="AG64" s="21"/>
      <c r="AI64" s="21">
        <f t="shared" si="10"/>
        <v>0</v>
      </c>
      <c r="AJ64" s="21">
        <f t="shared" si="11"/>
        <v>0</v>
      </c>
      <c r="AL64" s="21">
        <f t="shared" si="12"/>
        <v>0</v>
      </c>
      <c r="AM64" s="21"/>
    </row>
    <row r="65" spans="1:39" x14ac:dyDescent="0.3">
      <c r="A65" t="s">
        <v>546</v>
      </c>
      <c r="B65" t="s">
        <v>315</v>
      </c>
      <c r="E65">
        <v>9630</v>
      </c>
      <c r="G65" s="45">
        <v>1</v>
      </c>
      <c r="H65">
        <v>275</v>
      </c>
      <c r="I65">
        <v>8</v>
      </c>
      <c r="J65">
        <v>5.27</v>
      </c>
      <c r="K65">
        <v>850</v>
      </c>
      <c r="M65">
        <v>96</v>
      </c>
      <c r="N65">
        <v>50</v>
      </c>
      <c r="O65">
        <v>21</v>
      </c>
      <c r="S65" s="21">
        <f t="shared" si="0"/>
        <v>0</v>
      </c>
      <c r="T65" s="21">
        <f t="shared" si="1"/>
        <v>0</v>
      </c>
      <c r="U65" s="21" t="str">
        <f t="shared" si="2"/>
        <v>NR</v>
      </c>
      <c r="V65" s="21">
        <f t="shared" si="3"/>
        <v>0</v>
      </c>
      <c r="X65" s="1">
        <f t="shared" si="4"/>
        <v>0</v>
      </c>
      <c r="Z65" s="50">
        <f>MROUND(IFERROR((VLOOKUP(C65,Lignes!$B$5:$F$28,5,FALSE)*2)/K65+$Z$2,0),0.05)</f>
        <v>0</v>
      </c>
      <c r="AA65" s="51">
        <f t="shared" si="5"/>
        <v>0</v>
      </c>
      <c r="AB65" s="8">
        <f t="shared" ca="1" si="6"/>
        <v>43465</v>
      </c>
      <c r="AC65" s="38">
        <f t="shared" ca="1" si="7"/>
        <v>1448.8333333333333</v>
      </c>
      <c r="AD65" s="38">
        <f t="shared" ca="1" si="8"/>
        <v>144.88333333333333</v>
      </c>
      <c r="AF65" s="21">
        <f t="shared" si="9"/>
        <v>0</v>
      </c>
      <c r="AG65" s="21"/>
      <c r="AI65" s="21">
        <f t="shared" si="10"/>
        <v>0</v>
      </c>
      <c r="AJ65" s="21">
        <f t="shared" si="11"/>
        <v>0</v>
      </c>
      <c r="AL65" s="21">
        <f t="shared" si="12"/>
        <v>0</v>
      </c>
      <c r="AM65" s="21"/>
    </row>
    <row r="66" spans="1:39" x14ac:dyDescent="0.3">
      <c r="A66" t="s">
        <v>547</v>
      </c>
      <c r="B66" t="s">
        <v>315</v>
      </c>
      <c r="E66">
        <v>9630</v>
      </c>
      <c r="G66" s="45">
        <v>1</v>
      </c>
      <c r="H66">
        <v>275</v>
      </c>
      <c r="I66">
        <v>8</v>
      </c>
      <c r="J66">
        <v>5.27</v>
      </c>
      <c r="K66">
        <v>850</v>
      </c>
      <c r="M66">
        <v>96</v>
      </c>
      <c r="N66">
        <v>50</v>
      </c>
      <c r="O66">
        <v>21</v>
      </c>
      <c r="S66" s="21">
        <f t="shared" si="0"/>
        <v>0</v>
      </c>
      <c r="T66" s="21">
        <f t="shared" si="1"/>
        <v>0</v>
      </c>
      <c r="U66" s="21" t="str">
        <f t="shared" si="2"/>
        <v>NR</v>
      </c>
      <c r="V66" s="21">
        <f t="shared" si="3"/>
        <v>0</v>
      </c>
      <c r="X66" s="1">
        <f t="shared" si="4"/>
        <v>0</v>
      </c>
      <c r="Z66" s="50">
        <f>MROUND(IFERROR((VLOOKUP(C66,Lignes!$B$5:$F$28,5,FALSE)*2)/K66+$Z$2,0),0.05)</f>
        <v>0</v>
      </c>
      <c r="AA66" s="51">
        <f t="shared" si="5"/>
        <v>0</v>
      </c>
      <c r="AB66" s="8">
        <f t="shared" ca="1" si="6"/>
        <v>43465</v>
      </c>
      <c r="AC66" s="38">
        <f t="shared" ca="1" si="7"/>
        <v>1448.8333333333333</v>
      </c>
      <c r="AD66" s="38">
        <f t="shared" ca="1" si="8"/>
        <v>144.88333333333333</v>
      </c>
      <c r="AF66" s="21">
        <f t="shared" si="9"/>
        <v>0</v>
      </c>
      <c r="AG66" s="21"/>
      <c r="AI66" s="21">
        <f t="shared" si="10"/>
        <v>0</v>
      </c>
      <c r="AJ66" s="21">
        <f t="shared" si="11"/>
        <v>0</v>
      </c>
      <c r="AL66" s="21">
        <f t="shared" si="12"/>
        <v>0</v>
      </c>
      <c r="AM66" s="21"/>
    </row>
    <row r="67" spans="1:39" x14ac:dyDescent="0.3">
      <c r="A67" t="s">
        <v>548</v>
      </c>
      <c r="B67" t="s">
        <v>315</v>
      </c>
      <c r="E67">
        <v>9630</v>
      </c>
      <c r="G67" s="45">
        <v>1</v>
      </c>
      <c r="H67">
        <v>275</v>
      </c>
      <c r="I67">
        <v>8</v>
      </c>
      <c r="J67">
        <v>5.27</v>
      </c>
      <c r="K67">
        <v>850</v>
      </c>
      <c r="M67">
        <v>96</v>
      </c>
      <c r="N67">
        <v>50</v>
      </c>
      <c r="O67">
        <v>21</v>
      </c>
      <c r="S67" s="21">
        <f t="shared" si="0"/>
        <v>0</v>
      </c>
      <c r="T67" s="21">
        <f t="shared" si="1"/>
        <v>0</v>
      </c>
      <c r="U67" s="21" t="str">
        <f t="shared" si="2"/>
        <v>NR</v>
      </c>
      <c r="V67" s="21">
        <f t="shared" si="3"/>
        <v>0</v>
      </c>
      <c r="X67" s="1">
        <f t="shared" si="4"/>
        <v>0</v>
      </c>
      <c r="Z67" s="50">
        <f>MROUND(IFERROR((VLOOKUP(C67,Lignes!$B$5:$F$28,5,FALSE)*2)/K67+$Z$2,0),0.05)</f>
        <v>0</v>
      </c>
      <c r="AA67" s="51">
        <f t="shared" si="5"/>
        <v>0</v>
      </c>
      <c r="AB67" s="8">
        <f t="shared" ca="1" si="6"/>
        <v>43465</v>
      </c>
      <c r="AC67" s="38">
        <f t="shared" ca="1" si="7"/>
        <v>1448.8333333333333</v>
      </c>
      <c r="AD67" s="38">
        <f t="shared" ca="1" si="8"/>
        <v>144.88333333333333</v>
      </c>
      <c r="AF67" s="21">
        <f t="shared" si="9"/>
        <v>0</v>
      </c>
      <c r="AG67" s="21"/>
      <c r="AI67" s="21">
        <f t="shared" si="10"/>
        <v>0</v>
      </c>
      <c r="AJ67" s="21">
        <f t="shared" si="11"/>
        <v>0</v>
      </c>
      <c r="AL67" s="21">
        <f t="shared" si="12"/>
        <v>0</v>
      </c>
      <c r="AM67" s="21"/>
    </row>
    <row r="68" spans="1:39" x14ac:dyDescent="0.3">
      <c r="A68" t="s">
        <v>549</v>
      </c>
      <c r="B68" t="s">
        <v>315</v>
      </c>
      <c r="E68">
        <v>9630</v>
      </c>
      <c r="G68" s="45">
        <v>1</v>
      </c>
      <c r="H68">
        <v>275</v>
      </c>
      <c r="I68">
        <v>8</v>
      </c>
      <c r="J68">
        <v>5.27</v>
      </c>
      <c r="K68">
        <v>850</v>
      </c>
      <c r="M68">
        <v>96</v>
      </c>
      <c r="N68">
        <v>50</v>
      </c>
      <c r="O68">
        <v>21</v>
      </c>
      <c r="S68" s="21">
        <f t="shared" si="0"/>
        <v>0</v>
      </c>
      <c r="T68" s="21">
        <f t="shared" si="1"/>
        <v>0</v>
      </c>
      <c r="U68" s="21" t="str">
        <f t="shared" si="2"/>
        <v>NR</v>
      </c>
      <c r="V68" s="21">
        <f t="shared" si="3"/>
        <v>0</v>
      </c>
      <c r="X68" s="21">
        <f>ROUND(Q68+V68,0)</f>
        <v>0</v>
      </c>
      <c r="Z68" s="50">
        <f>MROUND(IFERROR((VLOOKUP(C68,Lignes!$B$5:$F$28,5,FALSE)*2)/K68+$Z$2,0),0.05)</f>
        <v>0</v>
      </c>
      <c r="AA68" s="51">
        <f t="shared" si="5"/>
        <v>0</v>
      </c>
      <c r="AB68" s="8">
        <f t="shared" ca="1" si="6"/>
        <v>43465</v>
      </c>
      <c r="AC68" s="38">
        <f t="shared" ca="1" si="7"/>
        <v>1448.8333333333333</v>
      </c>
      <c r="AD68" s="38">
        <f t="shared" ca="1" si="8"/>
        <v>144.88333333333333</v>
      </c>
      <c r="AF68" s="21">
        <f t="shared" si="9"/>
        <v>0</v>
      </c>
      <c r="AG68" s="21"/>
      <c r="AI68" s="21">
        <f t="shared" si="10"/>
        <v>0</v>
      </c>
      <c r="AJ68" s="21">
        <f t="shared" si="11"/>
        <v>0</v>
      </c>
      <c r="AL68" s="21">
        <f t="shared" si="12"/>
        <v>0</v>
      </c>
      <c r="AM68" s="21"/>
    </row>
    <row r="69" spans="1:39" x14ac:dyDescent="0.3">
      <c r="A69" t="s">
        <v>550</v>
      </c>
      <c r="B69" t="s">
        <v>315</v>
      </c>
      <c r="E69">
        <v>9630</v>
      </c>
      <c r="G69" s="45">
        <v>1</v>
      </c>
      <c r="H69">
        <v>275</v>
      </c>
      <c r="I69">
        <v>8</v>
      </c>
      <c r="J69">
        <v>5.27</v>
      </c>
      <c r="K69">
        <v>850</v>
      </c>
      <c r="M69">
        <v>96</v>
      </c>
      <c r="N69">
        <v>50</v>
      </c>
      <c r="O69">
        <v>21</v>
      </c>
      <c r="S69" s="21">
        <f t="shared" si="0"/>
        <v>0</v>
      </c>
      <c r="T69" s="21">
        <f t="shared" si="1"/>
        <v>0</v>
      </c>
      <c r="U69" s="21" t="str">
        <f t="shared" si="2"/>
        <v>NR</v>
      </c>
      <c r="V69" s="21">
        <f t="shared" si="3"/>
        <v>0</v>
      </c>
      <c r="X69" s="1">
        <f t="shared" si="4"/>
        <v>0</v>
      </c>
      <c r="Z69" s="50">
        <f>MROUND(IFERROR((VLOOKUP(C69,Lignes!$B$5:$F$28,5,FALSE)*2)/K69+$Z$2,0),0.05)</f>
        <v>0</v>
      </c>
      <c r="AA69" s="51">
        <f t="shared" si="5"/>
        <v>0</v>
      </c>
      <c r="AB69" s="8">
        <f t="shared" ca="1" si="6"/>
        <v>43465</v>
      </c>
      <c r="AC69" s="38">
        <f t="shared" ca="1" si="7"/>
        <v>1448.8333333333333</v>
      </c>
      <c r="AD69" s="38">
        <f t="shared" ca="1" si="8"/>
        <v>144.88333333333333</v>
      </c>
      <c r="AF69" s="21">
        <f t="shared" si="9"/>
        <v>0</v>
      </c>
      <c r="AG69" s="21"/>
      <c r="AI69" s="21">
        <f t="shared" si="10"/>
        <v>0</v>
      </c>
      <c r="AJ69" s="21">
        <f t="shared" si="11"/>
        <v>0</v>
      </c>
      <c r="AL69" s="21">
        <f t="shared" si="12"/>
        <v>0</v>
      </c>
      <c r="AM69" s="21"/>
    </row>
    <row r="70" spans="1:39" x14ac:dyDescent="0.3">
      <c r="A70" t="s">
        <v>551</v>
      </c>
      <c r="B70" t="s">
        <v>315</v>
      </c>
      <c r="E70">
        <v>9630</v>
      </c>
      <c r="G70" s="45">
        <v>1</v>
      </c>
      <c r="H70">
        <v>275</v>
      </c>
      <c r="I70">
        <v>8</v>
      </c>
      <c r="J70">
        <v>5.27</v>
      </c>
      <c r="K70">
        <v>850</v>
      </c>
      <c r="M70">
        <v>96</v>
      </c>
      <c r="N70">
        <v>50</v>
      </c>
      <c r="O70">
        <v>21</v>
      </c>
      <c r="S70" s="21">
        <f>AI70</f>
        <v>0</v>
      </c>
      <c r="T70" s="21">
        <f>IF(R70-S70&lt;0,"Rentabilisé",R70-S70)</f>
        <v>0</v>
      </c>
      <c r="U70" s="21" t="str">
        <f>IF(S70&gt;R70,S70-R70,"NR")</f>
        <v>NR</v>
      </c>
      <c r="V70" s="21">
        <f>IFERROR(R70/AJ70,0)</f>
        <v>0</v>
      </c>
      <c r="X70" s="1">
        <f>ROUND(Q70+V70,0)</f>
        <v>0</v>
      </c>
      <c r="Z70" s="50">
        <f>MROUND(IFERROR((VLOOKUP(C70,Lignes!$B$5:$F$28,5,FALSE)*2)/K70+$Z$2,0),0.05)</f>
        <v>0</v>
      </c>
      <c r="AA70" s="51">
        <f>MROUND(Z70*W70-Z70,2)</f>
        <v>0</v>
      </c>
      <c r="AB70" s="8">
        <f ca="1">ROUND(NOW(),0)-Q70</f>
        <v>43465</v>
      </c>
      <c r="AC70" s="38">
        <f ca="1">(ROUND(AB70,0)/30)</f>
        <v>1448.8333333333333</v>
      </c>
      <c r="AD70" s="38">
        <f ca="1">AC70/10</f>
        <v>144.88333333333333</v>
      </c>
      <c r="AF70" s="21">
        <f>AG70*W70</f>
        <v>0</v>
      </c>
      <c r="AG70" s="21"/>
      <c r="AI70" s="21">
        <f>AJ70*W70</f>
        <v>0</v>
      </c>
      <c r="AJ70" s="21">
        <f>AG70-AM70</f>
        <v>0</v>
      </c>
      <c r="AL70" s="21">
        <f>AM70*W70</f>
        <v>0</v>
      </c>
      <c r="AM70" s="21"/>
    </row>
    <row r="71" spans="1:39" x14ac:dyDescent="0.3">
      <c r="A71" t="s">
        <v>552</v>
      </c>
      <c r="B71" t="s">
        <v>315</v>
      </c>
      <c r="E71">
        <v>9630</v>
      </c>
      <c r="G71" s="45">
        <v>1</v>
      </c>
      <c r="H71">
        <v>275</v>
      </c>
      <c r="I71">
        <v>8</v>
      </c>
      <c r="J71">
        <v>5.27</v>
      </c>
      <c r="K71">
        <v>850</v>
      </c>
      <c r="M71">
        <v>96</v>
      </c>
      <c r="N71">
        <v>50</v>
      </c>
      <c r="O71">
        <v>21</v>
      </c>
      <c r="S71" s="21">
        <f>AI71</f>
        <v>0</v>
      </c>
      <c r="T71" s="21">
        <f>IF(R71-S71&lt;0,"Rentabilisé",R71-S71)</f>
        <v>0</v>
      </c>
      <c r="U71" s="21" t="str">
        <f>IF(S71&gt;R71,S71-R71,"NR")</f>
        <v>NR</v>
      </c>
      <c r="V71" s="21">
        <f>IFERROR(R71/AJ71,0)</f>
        <v>0</v>
      </c>
      <c r="X71" s="1">
        <f>ROUND(Q71+V71,0)</f>
        <v>0</v>
      </c>
      <c r="Z71" s="50">
        <f>MROUND(IFERROR((VLOOKUP(C71,Lignes!$B$5:$F$28,5,FALSE)*2)/K71+$Z$2,0),0.05)</f>
        <v>0</v>
      </c>
      <c r="AA71" s="51">
        <f>MROUND(Z71*W71-Z71,2)</f>
        <v>0</v>
      </c>
      <c r="AB71" s="8">
        <f ca="1">ROUND(NOW(),0)-Q71</f>
        <v>43465</v>
      </c>
      <c r="AC71" s="38">
        <f ca="1">(ROUND(AB71,0)/30)</f>
        <v>1448.8333333333333</v>
      </c>
      <c r="AD71" s="38">
        <f ca="1">AC71/10</f>
        <v>144.88333333333333</v>
      </c>
      <c r="AF71" s="21">
        <f>AG71*W71</f>
        <v>0</v>
      </c>
      <c r="AG71" s="21"/>
      <c r="AI71" s="21">
        <f>AJ71*W71</f>
        <v>0</v>
      </c>
      <c r="AJ71" s="21">
        <f>AG71-AM71</f>
        <v>0</v>
      </c>
      <c r="AL71" s="21">
        <f>AM71*W71</f>
        <v>0</v>
      </c>
      <c r="AM71" s="21"/>
    </row>
    <row r="72" spans="1:39" x14ac:dyDescent="0.3">
      <c r="A72" t="s">
        <v>553</v>
      </c>
      <c r="B72" t="s">
        <v>315</v>
      </c>
      <c r="E72">
        <v>9630</v>
      </c>
      <c r="G72" s="45">
        <v>1</v>
      </c>
      <c r="H72">
        <v>275</v>
      </c>
      <c r="I72">
        <v>8</v>
      </c>
      <c r="J72">
        <v>5.27</v>
      </c>
      <c r="K72">
        <v>850</v>
      </c>
      <c r="M72">
        <v>96</v>
      </c>
      <c r="N72">
        <v>50</v>
      </c>
      <c r="O72">
        <v>21</v>
      </c>
      <c r="S72" s="21">
        <f>AI72</f>
        <v>0</v>
      </c>
      <c r="T72" s="21">
        <f>IF(R72-S72&lt;0,"Rentabilisé",R72-S72)</f>
        <v>0</v>
      </c>
      <c r="U72" s="21" t="str">
        <f>IF(S72&gt;R72,S72-R72,"NR")</f>
        <v>NR</v>
      </c>
      <c r="V72" s="21">
        <f>IFERROR(R72/AJ72,0)</f>
        <v>0</v>
      </c>
      <c r="X72" s="1">
        <f>ROUND(Q72+V72,0)</f>
        <v>0</v>
      </c>
      <c r="Z72" s="50">
        <f>MROUND(IFERROR((VLOOKUP(C72,Lignes!$B$5:$F$28,5,FALSE)*2)/K72+$Z$2,0),0.05)</f>
        <v>0</v>
      </c>
      <c r="AA72" s="51">
        <f>MROUND(Z72*W72-Z72,2)</f>
        <v>0</v>
      </c>
      <c r="AB72" s="8">
        <f ca="1">ROUND(NOW(),0)-Q72</f>
        <v>43465</v>
      </c>
      <c r="AC72" s="38">
        <f ca="1">(ROUND(AB72,0)/30)</f>
        <v>1448.8333333333333</v>
      </c>
      <c r="AD72" s="38">
        <f ca="1">AC72/10</f>
        <v>144.88333333333333</v>
      </c>
      <c r="AF72" s="21">
        <f>AG72*W72</f>
        <v>0</v>
      </c>
      <c r="AG72" s="21"/>
      <c r="AI72" s="21">
        <f>AJ72*W72</f>
        <v>0</v>
      </c>
      <c r="AJ72" s="21">
        <f>AG72-AM72</f>
        <v>0</v>
      </c>
      <c r="AL72" s="21">
        <f>AM72*W72</f>
        <v>0</v>
      </c>
      <c r="AM72" s="21"/>
    </row>
    <row r="73" spans="1:39" x14ac:dyDescent="0.3">
      <c r="A73" t="s">
        <v>554</v>
      </c>
      <c r="B73" t="s">
        <v>315</v>
      </c>
      <c r="E73">
        <v>9630</v>
      </c>
      <c r="G73" s="45">
        <v>1</v>
      </c>
      <c r="H73">
        <v>275</v>
      </c>
      <c r="I73">
        <v>8</v>
      </c>
      <c r="J73">
        <v>5.27</v>
      </c>
      <c r="K73">
        <v>850</v>
      </c>
      <c r="M73">
        <v>96</v>
      </c>
      <c r="N73">
        <v>50</v>
      </c>
      <c r="O73">
        <v>21</v>
      </c>
      <c r="S73" s="21">
        <f>AI73</f>
        <v>0</v>
      </c>
      <c r="T73" s="21">
        <f>IF(R73-S73&lt;0,"Rentabilisé",R73-S73)</f>
        <v>0</v>
      </c>
      <c r="U73" s="21" t="str">
        <f>IF(S73&gt;R73,S73-R73,"NR")</f>
        <v>NR</v>
      </c>
      <c r="V73" s="21">
        <f>IFERROR(R73/AJ73,0)</f>
        <v>0</v>
      </c>
      <c r="X73" s="1">
        <f>ROUND(Q73+V73,0)</f>
        <v>0</v>
      </c>
      <c r="Z73" s="50">
        <f>MROUND(IFERROR((VLOOKUP(C73,Lignes!$B$5:$F$28,5,FALSE)*2)/K73+$Z$2,0),0.05)</f>
        <v>0</v>
      </c>
      <c r="AA73" s="51">
        <f>MROUND(Z73*W73-Z73,2)</f>
        <v>0</v>
      </c>
      <c r="AB73" s="8">
        <f ca="1">ROUND(NOW(),0)-Q73</f>
        <v>43465</v>
      </c>
      <c r="AC73" s="38">
        <f ca="1">(ROUND(AB73,0)/30)</f>
        <v>1448.8333333333333</v>
      </c>
      <c r="AD73" s="38">
        <f ca="1">AC73/10</f>
        <v>144.88333333333333</v>
      </c>
      <c r="AF73" s="21">
        <f>AG73*W73</f>
        <v>0</v>
      </c>
      <c r="AG73" s="21"/>
      <c r="AI73" s="21">
        <f>AJ73*W73</f>
        <v>0</v>
      </c>
      <c r="AJ73" s="21">
        <f>AG73-AM73</f>
        <v>0</v>
      </c>
      <c r="AL73" s="21">
        <f>AM73*W73</f>
        <v>0</v>
      </c>
      <c r="AM73" s="21"/>
    </row>
    <row r="74" spans="1:39" x14ac:dyDescent="0.3">
      <c r="A74" t="s">
        <v>555</v>
      </c>
      <c r="B74" t="s">
        <v>556</v>
      </c>
      <c r="C74" t="s">
        <v>342</v>
      </c>
      <c r="E74">
        <v>9630</v>
      </c>
      <c r="F74" s="45">
        <v>0.83</v>
      </c>
      <c r="G74" s="45">
        <v>1</v>
      </c>
      <c r="H74">
        <v>275</v>
      </c>
      <c r="I74">
        <v>8</v>
      </c>
      <c r="J74">
        <v>5.27</v>
      </c>
      <c r="K74">
        <v>850</v>
      </c>
      <c r="M74">
        <v>96</v>
      </c>
      <c r="N74">
        <v>50</v>
      </c>
      <c r="O74">
        <v>21</v>
      </c>
      <c r="Q74" s="1">
        <v>41732</v>
      </c>
      <c r="R74">
        <v>133075800</v>
      </c>
      <c r="S74" s="21">
        <f t="shared" ref="S74:S85" si="13">AI74</f>
        <v>41323817</v>
      </c>
      <c r="T74" s="21">
        <f t="shared" ref="T74:T85" si="14">IF(R74-S74&lt;0,"Rentabilisé",R74-S74)</f>
        <v>91751983</v>
      </c>
      <c r="U74" s="21" t="str">
        <f t="shared" ref="U74:U85" si="15">IF(S74&gt;R74,S74-R74,"NR")</f>
        <v>NR</v>
      </c>
      <c r="V74" s="21">
        <f t="shared" ref="V74:V85" si="16">IFERROR(R74/AJ74,0)</f>
        <v>138.47364099981374</v>
      </c>
      <c r="W74">
        <v>43</v>
      </c>
      <c r="X74" s="1">
        <f t="shared" ref="X74:X85" si="17">ROUND(Q74+V74,0)</f>
        <v>41870</v>
      </c>
      <c r="Z74" s="50">
        <f>MROUND(IFERROR((VLOOKUP(C74,Lignes!$B$5:$F$28,5,FALSE)*2)/K74+$Z$2,0),0.05)</f>
        <v>0</v>
      </c>
      <c r="AA74" s="51">
        <f t="shared" ref="AA74:AA85" si="18">MROUND(Z74*W74-Z74,2)</f>
        <v>0</v>
      </c>
      <c r="AB74" s="8">
        <f t="shared" ref="AB74:AB85" ca="1" si="19">ROUND(NOW(),0)-Q74</f>
        <v>1733</v>
      </c>
      <c r="AC74" s="38">
        <f t="shared" ref="AC74:AC85" ca="1" si="20">(ROUND(AB74,0)/30)</f>
        <v>57.766666666666666</v>
      </c>
      <c r="AD74" s="38">
        <f t="shared" ref="AD74:AD85" ca="1" si="21">AC74/10</f>
        <v>5.7766666666666664</v>
      </c>
      <c r="AF74" s="21">
        <f t="shared" ref="AF74:AF85" si="22">AG74*W74</f>
        <v>59505679</v>
      </c>
      <c r="AG74" s="21">
        <v>1383853</v>
      </c>
      <c r="AI74" s="21">
        <f t="shared" ref="AI74:AI85" si="23">AJ74*W74</f>
        <v>41323817</v>
      </c>
      <c r="AJ74" s="21">
        <f t="shared" ref="AJ74:AJ85" si="24">AG74-AM74</f>
        <v>961019</v>
      </c>
      <c r="AL74" s="21">
        <f t="shared" ref="AL74:AL85" si="25">AM74*W74</f>
        <v>18181862</v>
      </c>
      <c r="AM74" s="21">
        <v>422834</v>
      </c>
    </row>
    <row r="75" spans="1:39" x14ac:dyDescent="0.3">
      <c r="A75" t="s">
        <v>557</v>
      </c>
      <c r="B75" t="s">
        <v>556</v>
      </c>
      <c r="C75" t="s">
        <v>342</v>
      </c>
      <c r="E75">
        <v>9630</v>
      </c>
      <c r="F75" s="45">
        <v>0.83</v>
      </c>
      <c r="G75" s="45">
        <v>1</v>
      </c>
      <c r="H75">
        <v>275</v>
      </c>
      <c r="I75">
        <v>8</v>
      </c>
      <c r="J75">
        <v>5.27</v>
      </c>
      <c r="K75">
        <v>850</v>
      </c>
      <c r="M75">
        <v>96</v>
      </c>
      <c r="N75">
        <v>50</v>
      </c>
      <c r="O75">
        <v>21</v>
      </c>
      <c r="Q75" s="1">
        <v>41732</v>
      </c>
      <c r="R75">
        <v>133075800</v>
      </c>
      <c r="S75" s="21">
        <f t="shared" si="13"/>
        <v>40453841</v>
      </c>
      <c r="T75" s="21">
        <f t="shared" si="14"/>
        <v>92621959</v>
      </c>
      <c r="U75" s="21" t="str">
        <f t="shared" si="15"/>
        <v>NR</v>
      </c>
      <c r="V75" s="21">
        <f t="shared" si="16"/>
        <v>141.4515719286087</v>
      </c>
      <c r="W75">
        <v>43</v>
      </c>
      <c r="X75" s="1">
        <f t="shared" si="17"/>
        <v>41873</v>
      </c>
      <c r="Z75" s="50">
        <f>MROUND(IFERROR((VLOOKUP(C75,Lignes!$B$5:$F$28,5,FALSE)*2)/K75+$Z$2,0),0.05)</f>
        <v>0</v>
      </c>
      <c r="AA75" s="51">
        <f t="shared" si="18"/>
        <v>0</v>
      </c>
      <c r="AB75" s="8">
        <f t="shared" ca="1" si="19"/>
        <v>1733</v>
      </c>
      <c r="AC75" s="38">
        <f t="shared" ca="1" si="20"/>
        <v>57.766666666666666</v>
      </c>
      <c r="AD75" s="38">
        <f t="shared" ca="1" si="21"/>
        <v>5.7766666666666664</v>
      </c>
      <c r="AF75" s="21">
        <f t="shared" si="22"/>
        <v>58277728</v>
      </c>
      <c r="AG75" s="21">
        <v>1355296</v>
      </c>
      <c r="AI75" s="21">
        <f t="shared" si="23"/>
        <v>40453841</v>
      </c>
      <c r="AJ75" s="21">
        <f t="shared" si="24"/>
        <v>940787</v>
      </c>
      <c r="AL75" s="21">
        <f t="shared" si="25"/>
        <v>17823887</v>
      </c>
      <c r="AM75" s="21">
        <v>414509</v>
      </c>
    </row>
    <row r="76" spans="1:39" x14ac:dyDescent="0.3">
      <c r="A76" t="s">
        <v>558</v>
      </c>
      <c r="B76" t="s">
        <v>556</v>
      </c>
      <c r="C76" t="s">
        <v>342</v>
      </c>
      <c r="E76">
        <v>9630</v>
      </c>
      <c r="F76" s="45">
        <v>0.83</v>
      </c>
      <c r="G76" s="45">
        <v>1</v>
      </c>
      <c r="H76">
        <v>275</v>
      </c>
      <c r="I76">
        <v>8</v>
      </c>
      <c r="J76">
        <v>5.27</v>
      </c>
      <c r="K76">
        <v>850</v>
      </c>
      <c r="M76">
        <v>96</v>
      </c>
      <c r="N76">
        <v>50</v>
      </c>
      <c r="O76">
        <v>21</v>
      </c>
      <c r="Q76" s="1">
        <v>41732</v>
      </c>
      <c r="R76">
        <v>133075800</v>
      </c>
      <c r="S76" s="21">
        <f t="shared" si="13"/>
        <v>38479109</v>
      </c>
      <c r="T76" s="21">
        <f t="shared" si="14"/>
        <v>94596691</v>
      </c>
      <c r="U76" s="21" t="str">
        <f t="shared" si="15"/>
        <v>NR</v>
      </c>
      <c r="V76" s="21">
        <f t="shared" si="16"/>
        <v>148.71080824662545</v>
      </c>
      <c r="W76">
        <v>43</v>
      </c>
      <c r="X76" s="1">
        <f t="shared" si="17"/>
        <v>41881</v>
      </c>
      <c r="Z76" s="50">
        <f>MROUND(IFERROR((VLOOKUP(C76,Lignes!$B$5:$F$28,5,FALSE)*2)/K76+$Z$2,0),0.05)</f>
        <v>0</v>
      </c>
      <c r="AA76" s="51">
        <f t="shared" si="18"/>
        <v>0</v>
      </c>
      <c r="AB76" s="8">
        <f t="shared" ca="1" si="19"/>
        <v>1733</v>
      </c>
      <c r="AC76" s="38">
        <f t="shared" ca="1" si="20"/>
        <v>57.766666666666666</v>
      </c>
      <c r="AD76" s="38">
        <f t="shared" ca="1" si="21"/>
        <v>5.7766666666666664</v>
      </c>
      <c r="AF76" s="21">
        <f t="shared" si="22"/>
        <v>56024571</v>
      </c>
      <c r="AG76" s="21">
        <v>1302897</v>
      </c>
      <c r="AI76" s="21">
        <f t="shared" si="23"/>
        <v>38479109</v>
      </c>
      <c r="AJ76" s="21">
        <f t="shared" si="24"/>
        <v>894863</v>
      </c>
      <c r="AL76" s="21">
        <f t="shared" si="25"/>
        <v>17545462</v>
      </c>
      <c r="AM76" s="21">
        <v>408034</v>
      </c>
    </row>
    <row r="77" spans="1:39" x14ac:dyDescent="0.3">
      <c r="A77" t="s">
        <v>559</v>
      </c>
      <c r="B77" t="s">
        <v>556</v>
      </c>
      <c r="C77" t="s">
        <v>343</v>
      </c>
      <c r="E77">
        <v>9630</v>
      </c>
      <c r="F77" s="45">
        <v>0.82</v>
      </c>
      <c r="G77" s="45">
        <v>1</v>
      </c>
      <c r="H77">
        <v>275</v>
      </c>
      <c r="I77">
        <v>8</v>
      </c>
      <c r="J77">
        <v>5.27</v>
      </c>
      <c r="K77">
        <v>850</v>
      </c>
      <c r="M77">
        <v>96</v>
      </c>
      <c r="N77">
        <v>50</v>
      </c>
      <c r="O77">
        <v>21</v>
      </c>
      <c r="Q77" s="1">
        <v>41732</v>
      </c>
      <c r="R77">
        <v>133075800</v>
      </c>
      <c r="S77" s="21">
        <f t="shared" si="13"/>
        <v>41948984</v>
      </c>
      <c r="T77" s="21">
        <f t="shared" si="14"/>
        <v>91126816</v>
      </c>
      <c r="U77" s="21" t="str">
        <f t="shared" si="15"/>
        <v>NR</v>
      </c>
      <c r="V77" s="21">
        <f t="shared" si="16"/>
        <v>139.58228881061817</v>
      </c>
      <c r="W77">
        <v>44</v>
      </c>
      <c r="X77" s="1">
        <f t="shared" si="17"/>
        <v>41872</v>
      </c>
      <c r="Z77" s="50">
        <f>MROUND(IFERROR((VLOOKUP(C77,Lignes!$B$5:$F$28,5,FALSE)*2)/K77+$Z$2,0),0.05)</f>
        <v>0</v>
      </c>
      <c r="AA77" s="51">
        <f t="shared" si="18"/>
        <v>0</v>
      </c>
      <c r="AB77" s="8">
        <f t="shared" ca="1" si="19"/>
        <v>1733</v>
      </c>
      <c r="AC77" s="38">
        <f t="shared" ca="1" si="20"/>
        <v>57.766666666666666</v>
      </c>
      <c r="AD77" s="38">
        <f t="shared" ca="1" si="21"/>
        <v>5.7766666666666664</v>
      </c>
      <c r="AF77" s="21">
        <f t="shared" si="22"/>
        <v>60265480</v>
      </c>
      <c r="AG77" s="21">
        <v>1369670</v>
      </c>
      <c r="AI77" s="21">
        <f t="shared" si="23"/>
        <v>41948984</v>
      </c>
      <c r="AJ77" s="21">
        <f t="shared" si="24"/>
        <v>953386</v>
      </c>
      <c r="AL77" s="21">
        <f t="shared" si="25"/>
        <v>18316496</v>
      </c>
      <c r="AM77" s="21">
        <v>416284</v>
      </c>
    </row>
    <row r="78" spans="1:39" x14ac:dyDescent="0.3">
      <c r="A78" t="s">
        <v>560</v>
      </c>
      <c r="B78" t="s">
        <v>556</v>
      </c>
      <c r="C78" t="s">
        <v>343</v>
      </c>
      <c r="E78">
        <v>9630</v>
      </c>
      <c r="F78" s="45">
        <v>0.82</v>
      </c>
      <c r="G78" s="45">
        <v>1</v>
      </c>
      <c r="H78">
        <v>275</v>
      </c>
      <c r="I78">
        <v>8</v>
      </c>
      <c r="J78">
        <v>5.27</v>
      </c>
      <c r="K78">
        <v>850</v>
      </c>
      <c r="M78">
        <v>96</v>
      </c>
      <c r="N78">
        <v>50</v>
      </c>
      <c r="O78">
        <v>21</v>
      </c>
      <c r="Q78" s="1">
        <v>41732</v>
      </c>
      <c r="R78">
        <v>133075800</v>
      </c>
      <c r="S78" s="21">
        <f t="shared" si="13"/>
        <v>38099462</v>
      </c>
      <c r="T78" s="21">
        <f t="shared" si="14"/>
        <v>94976338</v>
      </c>
      <c r="U78" s="21" t="str">
        <f t="shared" si="15"/>
        <v>NR</v>
      </c>
      <c r="V78" s="21">
        <f t="shared" si="16"/>
        <v>150.19265626375511</v>
      </c>
      <c r="W78">
        <v>43</v>
      </c>
      <c r="X78" s="1">
        <f t="shared" si="17"/>
        <v>41882</v>
      </c>
      <c r="Z78" s="50">
        <f>MROUND(IFERROR((VLOOKUP(C78,Lignes!$B$5:$F$28,5,FALSE)*2)/K78+$Z$2,0),0.05)</f>
        <v>0</v>
      </c>
      <c r="AA78" s="51">
        <f t="shared" si="18"/>
        <v>0</v>
      </c>
      <c r="AB78" s="8">
        <f t="shared" ca="1" si="19"/>
        <v>1733</v>
      </c>
      <c r="AC78" s="38">
        <f t="shared" ca="1" si="20"/>
        <v>57.766666666666666</v>
      </c>
      <c r="AD78" s="38">
        <f t="shared" ca="1" si="21"/>
        <v>5.7766666666666664</v>
      </c>
      <c r="AF78" s="21">
        <f t="shared" si="22"/>
        <v>55368606</v>
      </c>
      <c r="AG78" s="21">
        <v>1287642</v>
      </c>
      <c r="AI78" s="21">
        <f t="shared" si="23"/>
        <v>38099462</v>
      </c>
      <c r="AJ78" s="21">
        <f t="shared" si="24"/>
        <v>886034</v>
      </c>
      <c r="AL78" s="21">
        <f t="shared" si="25"/>
        <v>17269144</v>
      </c>
      <c r="AM78" s="21">
        <v>401608</v>
      </c>
    </row>
    <row r="79" spans="1:39" x14ac:dyDescent="0.3">
      <c r="A79" t="s">
        <v>561</v>
      </c>
      <c r="B79" t="s">
        <v>556</v>
      </c>
      <c r="C79" t="s">
        <v>343</v>
      </c>
      <c r="E79">
        <v>9630</v>
      </c>
      <c r="F79" s="45">
        <v>0.82</v>
      </c>
      <c r="G79" s="45">
        <v>1</v>
      </c>
      <c r="H79">
        <v>275</v>
      </c>
      <c r="I79">
        <v>8</v>
      </c>
      <c r="J79">
        <v>5.27</v>
      </c>
      <c r="K79">
        <v>850</v>
      </c>
      <c r="M79">
        <v>96</v>
      </c>
      <c r="N79">
        <v>50</v>
      </c>
      <c r="O79">
        <v>21</v>
      </c>
      <c r="Q79" s="1">
        <v>41732</v>
      </c>
      <c r="R79">
        <v>133075800</v>
      </c>
      <c r="S79" s="21">
        <f t="shared" si="13"/>
        <v>40090491</v>
      </c>
      <c r="T79" s="21">
        <f t="shared" si="14"/>
        <v>92985309</v>
      </c>
      <c r="U79" s="21" t="str">
        <f t="shared" si="15"/>
        <v>NR</v>
      </c>
      <c r="V79" s="21">
        <f t="shared" si="16"/>
        <v>142.73358238491016</v>
      </c>
      <c r="W79">
        <v>43</v>
      </c>
      <c r="X79" s="1">
        <f t="shared" si="17"/>
        <v>41875</v>
      </c>
      <c r="Z79" s="50">
        <f>MROUND(IFERROR((VLOOKUP(C79,Lignes!$B$5:$F$28,5,FALSE)*2)/K79+$Z$2,0),0.05)</f>
        <v>0</v>
      </c>
      <c r="AA79" s="51">
        <f t="shared" si="18"/>
        <v>0</v>
      </c>
      <c r="AB79" s="8">
        <f t="shared" ca="1" si="19"/>
        <v>1733</v>
      </c>
      <c r="AC79" s="38">
        <f t="shared" ca="1" si="20"/>
        <v>57.766666666666666</v>
      </c>
      <c r="AD79" s="38">
        <f t="shared" ca="1" si="21"/>
        <v>5.7766666666666664</v>
      </c>
      <c r="AF79" s="21">
        <f t="shared" si="22"/>
        <v>57635738</v>
      </c>
      <c r="AG79" s="21">
        <v>1340366</v>
      </c>
      <c r="AI79" s="21">
        <f t="shared" si="23"/>
        <v>40090491</v>
      </c>
      <c r="AJ79" s="21">
        <f t="shared" si="24"/>
        <v>932337</v>
      </c>
      <c r="AL79" s="21">
        <f t="shared" si="25"/>
        <v>17545247</v>
      </c>
      <c r="AM79" s="21">
        <v>408029</v>
      </c>
    </row>
    <row r="80" spans="1:39" x14ac:dyDescent="0.3">
      <c r="A80" t="s">
        <v>562</v>
      </c>
      <c r="B80" t="s">
        <v>556</v>
      </c>
      <c r="C80" t="s">
        <v>344</v>
      </c>
      <c r="E80">
        <v>9630</v>
      </c>
      <c r="F80" s="45">
        <v>0.82</v>
      </c>
      <c r="G80" s="45">
        <v>1</v>
      </c>
      <c r="H80">
        <v>275</v>
      </c>
      <c r="I80">
        <v>8</v>
      </c>
      <c r="J80">
        <v>5.27</v>
      </c>
      <c r="K80">
        <v>850</v>
      </c>
      <c r="M80">
        <v>96</v>
      </c>
      <c r="N80">
        <v>50</v>
      </c>
      <c r="O80">
        <v>21</v>
      </c>
      <c r="Q80" s="1">
        <v>41732</v>
      </c>
      <c r="R80">
        <v>133075800</v>
      </c>
      <c r="S80" s="21">
        <f t="shared" si="13"/>
        <v>41748828</v>
      </c>
      <c r="T80" s="21">
        <f t="shared" si="14"/>
        <v>91326972</v>
      </c>
      <c r="U80" s="21" t="str">
        <f t="shared" si="15"/>
        <v>NR</v>
      </c>
      <c r="V80" s="21">
        <f t="shared" si="16"/>
        <v>140.25148682018093</v>
      </c>
      <c r="W80">
        <v>44</v>
      </c>
      <c r="X80" s="1">
        <f t="shared" si="17"/>
        <v>41872</v>
      </c>
      <c r="Z80" s="50">
        <f>MROUND(IFERROR((VLOOKUP(C80,Lignes!$B$5:$F$28,5,FALSE)*2)/K80+$Z$2,0),0.05)</f>
        <v>0</v>
      </c>
      <c r="AA80" s="51">
        <f t="shared" si="18"/>
        <v>0</v>
      </c>
      <c r="AB80" s="8">
        <f t="shared" ca="1" si="19"/>
        <v>1733</v>
      </c>
      <c r="AC80" s="38">
        <f t="shared" ca="1" si="20"/>
        <v>57.766666666666666</v>
      </c>
      <c r="AD80" s="38">
        <f t="shared" ca="1" si="21"/>
        <v>5.7766666666666664</v>
      </c>
      <c r="AF80" s="21">
        <f t="shared" si="22"/>
        <v>59828340</v>
      </c>
      <c r="AG80" s="21">
        <v>1359735</v>
      </c>
      <c r="AI80" s="21">
        <f t="shared" si="23"/>
        <v>41748828</v>
      </c>
      <c r="AJ80" s="21">
        <f t="shared" si="24"/>
        <v>948837</v>
      </c>
      <c r="AL80" s="21">
        <f t="shared" si="25"/>
        <v>18079512</v>
      </c>
      <c r="AM80" s="21">
        <v>410898</v>
      </c>
    </row>
    <row r="81" spans="1:39" x14ac:dyDescent="0.3">
      <c r="A81" t="s">
        <v>563</v>
      </c>
      <c r="B81" t="s">
        <v>556</v>
      </c>
      <c r="C81" t="s">
        <v>344</v>
      </c>
      <c r="E81">
        <v>9630</v>
      </c>
      <c r="F81" s="45">
        <v>0.82</v>
      </c>
      <c r="G81" s="45">
        <v>1</v>
      </c>
      <c r="H81">
        <v>275</v>
      </c>
      <c r="I81">
        <v>8</v>
      </c>
      <c r="J81">
        <v>5.27</v>
      </c>
      <c r="K81">
        <v>850</v>
      </c>
      <c r="M81">
        <v>96</v>
      </c>
      <c r="N81">
        <v>50</v>
      </c>
      <c r="O81">
        <v>21</v>
      </c>
      <c r="Q81" s="1">
        <v>41732</v>
      </c>
      <c r="R81">
        <v>133075800</v>
      </c>
      <c r="S81" s="21">
        <f t="shared" si="13"/>
        <v>39726023</v>
      </c>
      <c r="T81" s="21">
        <f t="shared" si="14"/>
        <v>93349777</v>
      </c>
      <c r="U81" s="21" t="str">
        <f t="shared" si="15"/>
        <v>NR</v>
      </c>
      <c r="V81" s="21">
        <f t="shared" si="16"/>
        <v>144.04309739235663</v>
      </c>
      <c r="W81">
        <v>43</v>
      </c>
      <c r="X81" s="1">
        <f t="shared" si="17"/>
        <v>41876</v>
      </c>
      <c r="Z81" s="50">
        <f>MROUND(IFERROR((VLOOKUP(C81,Lignes!$B$5:$F$28,5,FALSE)*2)/K81+$Z$2,0),0.05)</f>
        <v>0</v>
      </c>
      <c r="AA81" s="51">
        <f t="shared" si="18"/>
        <v>0</v>
      </c>
      <c r="AB81" s="8">
        <f t="shared" ca="1" si="19"/>
        <v>1733</v>
      </c>
      <c r="AC81" s="38">
        <f t="shared" ca="1" si="20"/>
        <v>57.766666666666666</v>
      </c>
      <c r="AD81" s="38">
        <f t="shared" ca="1" si="21"/>
        <v>5.7766666666666664</v>
      </c>
      <c r="AF81" s="21">
        <f t="shared" si="22"/>
        <v>56959735</v>
      </c>
      <c r="AG81" s="21">
        <v>1324645</v>
      </c>
      <c r="AI81" s="21">
        <f t="shared" si="23"/>
        <v>39726023</v>
      </c>
      <c r="AJ81" s="21">
        <f t="shared" si="24"/>
        <v>923861</v>
      </c>
      <c r="AL81" s="21">
        <f t="shared" si="25"/>
        <v>17233712</v>
      </c>
      <c r="AM81" s="21">
        <v>400784</v>
      </c>
    </row>
    <row r="82" spans="1:39" x14ac:dyDescent="0.3">
      <c r="A82" t="s">
        <v>564</v>
      </c>
      <c r="B82" t="s">
        <v>556</v>
      </c>
      <c r="C82" t="s">
        <v>344</v>
      </c>
      <c r="E82">
        <v>9630</v>
      </c>
      <c r="F82" s="45">
        <v>0.82</v>
      </c>
      <c r="G82" s="45">
        <v>1</v>
      </c>
      <c r="H82">
        <v>275</v>
      </c>
      <c r="I82">
        <v>8</v>
      </c>
      <c r="J82">
        <v>5.27</v>
      </c>
      <c r="K82">
        <v>850</v>
      </c>
      <c r="M82">
        <v>96</v>
      </c>
      <c r="N82">
        <v>50</v>
      </c>
      <c r="O82">
        <v>21</v>
      </c>
      <c r="Q82" s="1">
        <v>41732</v>
      </c>
      <c r="R82">
        <v>133075800</v>
      </c>
      <c r="S82" s="21">
        <f t="shared" si="13"/>
        <v>37947500</v>
      </c>
      <c r="T82" s="21">
        <f t="shared" si="14"/>
        <v>95128300</v>
      </c>
      <c r="U82" s="21" t="str">
        <f t="shared" si="15"/>
        <v>NR</v>
      </c>
      <c r="V82" s="21">
        <f t="shared" si="16"/>
        <v>150.7941076487252</v>
      </c>
      <c r="W82">
        <v>43</v>
      </c>
      <c r="X82" s="1">
        <f t="shared" si="17"/>
        <v>41883</v>
      </c>
      <c r="Z82" s="50">
        <f>MROUND(IFERROR((VLOOKUP(C82,Lignes!$B$5:$F$28,5,FALSE)*2)/K82+$Z$2,0),0.05)</f>
        <v>0</v>
      </c>
      <c r="AA82" s="51">
        <f t="shared" si="18"/>
        <v>0</v>
      </c>
      <c r="AB82" s="8">
        <f t="shared" ca="1" si="19"/>
        <v>1733</v>
      </c>
      <c r="AC82" s="38">
        <f t="shared" ca="1" si="20"/>
        <v>57.766666666666666</v>
      </c>
      <c r="AD82" s="38">
        <f t="shared" ca="1" si="21"/>
        <v>5.7766666666666664</v>
      </c>
      <c r="AF82" s="21">
        <f t="shared" si="22"/>
        <v>54983541</v>
      </c>
      <c r="AG82" s="21">
        <v>1278687</v>
      </c>
      <c r="AI82" s="21">
        <f t="shared" si="23"/>
        <v>37947500</v>
      </c>
      <c r="AJ82" s="21">
        <f t="shared" si="24"/>
        <v>882500</v>
      </c>
      <c r="AL82" s="21">
        <f t="shared" si="25"/>
        <v>17036041</v>
      </c>
      <c r="AM82" s="21">
        <v>396187</v>
      </c>
    </row>
    <row r="83" spans="1:39" x14ac:dyDescent="0.3">
      <c r="A83" t="s">
        <v>565</v>
      </c>
      <c r="B83" t="s">
        <v>556</v>
      </c>
      <c r="C83" t="s">
        <v>345</v>
      </c>
      <c r="E83">
        <v>9630</v>
      </c>
      <c r="F83" s="45">
        <v>0.76</v>
      </c>
      <c r="G83" s="45">
        <v>1</v>
      </c>
      <c r="H83">
        <v>275</v>
      </c>
      <c r="I83">
        <v>8</v>
      </c>
      <c r="J83">
        <v>5.27</v>
      </c>
      <c r="K83">
        <v>850</v>
      </c>
      <c r="M83">
        <v>96</v>
      </c>
      <c r="N83">
        <v>50</v>
      </c>
      <c r="O83">
        <v>21</v>
      </c>
      <c r="Q83" s="1">
        <v>41732</v>
      </c>
      <c r="R83">
        <v>133075800</v>
      </c>
      <c r="S83" s="21">
        <f t="shared" si="13"/>
        <v>38324132</v>
      </c>
      <c r="T83" s="21">
        <f t="shared" si="14"/>
        <v>94751668</v>
      </c>
      <c r="U83" s="21" t="str">
        <f t="shared" si="15"/>
        <v>NR</v>
      </c>
      <c r="V83" s="21">
        <f t="shared" si="16"/>
        <v>152.7845483884671</v>
      </c>
      <c r="W83">
        <v>44</v>
      </c>
      <c r="X83" s="1">
        <f t="shared" si="17"/>
        <v>41885</v>
      </c>
      <c r="Z83" s="50">
        <f>MROUND(IFERROR((VLOOKUP(C83,Lignes!$B$5:$F$28,5,FALSE)*2)/K83+$Z$2,0),0.05)</f>
        <v>0</v>
      </c>
      <c r="AA83" s="51">
        <f t="shared" si="18"/>
        <v>0</v>
      </c>
      <c r="AB83" s="8">
        <f t="shared" ca="1" si="19"/>
        <v>1733</v>
      </c>
      <c r="AC83" s="38">
        <f t="shared" ca="1" si="20"/>
        <v>57.766666666666666</v>
      </c>
      <c r="AD83" s="38">
        <f t="shared" ca="1" si="21"/>
        <v>5.7766666666666664</v>
      </c>
      <c r="AF83" s="21">
        <f t="shared" si="22"/>
        <v>55151404</v>
      </c>
      <c r="AG83" s="21">
        <v>1253441</v>
      </c>
      <c r="AI83" s="21">
        <f t="shared" si="23"/>
        <v>38324132</v>
      </c>
      <c r="AJ83" s="21">
        <f t="shared" si="24"/>
        <v>871003</v>
      </c>
      <c r="AL83" s="21">
        <f t="shared" si="25"/>
        <v>16827272</v>
      </c>
      <c r="AM83" s="21">
        <v>382438</v>
      </c>
    </row>
    <row r="84" spans="1:39" x14ac:dyDescent="0.3">
      <c r="A84" t="s">
        <v>566</v>
      </c>
      <c r="B84" t="s">
        <v>556</v>
      </c>
      <c r="C84" t="s">
        <v>345</v>
      </c>
      <c r="E84">
        <v>9630</v>
      </c>
      <c r="F84" s="45">
        <v>0.76</v>
      </c>
      <c r="G84" s="45">
        <v>1</v>
      </c>
      <c r="H84">
        <v>275</v>
      </c>
      <c r="I84">
        <v>8</v>
      </c>
      <c r="J84">
        <v>5.27</v>
      </c>
      <c r="K84">
        <v>850</v>
      </c>
      <c r="M84">
        <v>96</v>
      </c>
      <c r="N84">
        <v>50</v>
      </c>
      <c r="O84">
        <v>21</v>
      </c>
      <c r="Q84" s="1">
        <v>41732</v>
      </c>
      <c r="R84">
        <v>133075800</v>
      </c>
      <c r="S84" s="21">
        <f t="shared" si="13"/>
        <v>0</v>
      </c>
      <c r="T84" s="21">
        <f t="shared" si="14"/>
        <v>133075800</v>
      </c>
      <c r="U84" s="21" t="str">
        <f t="shared" si="15"/>
        <v>NR</v>
      </c>
      <c r="V84" s="21">
        <f t="shared" si="16"/>
        <v>0</v>
      </c>
      <c r="X84" s="1">
        <f t="shared" si="17"/>
        <v>41732</v>
      </c>
      <c r="Z84" s="50">
        <f>MROUND(IFERROR((VLOOKUP(C84,Lignes!$B$5:$F$28,5,FALSE)*2)/K84+$Z$2,0),0.05)</f>
        <v>0</v>
      </c>
      <c r="AA84" s="51">
        <f t="shared" si="18"/>
        <v>0</v>
      </c>
      <c r="AB84" s="8">
        <f t="shared" ca="1" si="19"/>
        <v>1733</v>
      </c>
      <c r="AC84" s="38">
        <f t="shared" ca="1" si="20"/>
        <v>57.766666666666666</v>
      </c>
      <c r="AD84" s="38">
        <f t="shared" ca="1" si="21"/>
        <v>5.7766666666666664</v>
      </c>
      <c r="AF84" s="21">
        <f t="shared" si="22"/>
        <v>0</v>
      </c>
      <c r="AG84" s="21"/>
      <c r="AI84" s="21">
        <f t="shared" si="23"/>
        <v>0</v>
      </c>
      <c r="AJ84" s="21">
        <f t="shared" si="24"/>
        <v>0</v>
      </c>
      <c r="AL84" s="21">
        <f t="shared" si="25"/>
        <v>0</v>
      </c>
      <c r="AM84" s="21"/>
    </row>
    <row r="85" spans="1:39" x14ac:dyDescent="0.3">
      <c r="A85" t="s">
        <v>567</v>
      </c>
      <c r="B85" t="s">
        <v>556</v>
      </c>
      <c r="C85" t="s">
        <v>345</v>
      </c>
      <c r="E85">
        <v>9630</v>
      </c>
      <c r="F85" s="45">
        <v>0.76</v>
      </c>
      <c r="G85" s="45">
        <v>1</v>
      </c>
      <c r="H85">
        <v>275</v>
      </c>
      <c r="I85">
        <v>8</v>
      </c>
      <c r="J85">
        <v>5.27</v>
      </c>
      <c r="K85">
        <v>850</v>
      </c>
      <c r="M85">
        <v>96</v>
      </c>
      <c r="N85">
        <v>50</v>
      </c>
      <c r="O85">
        <v>21</v>
      </c>
      <c r="Q85" s="1">
        <v>41732</v>
      </c>
      <c r="R85">
        <v>133075800</v>
      </c>
      <c r="S85" s="21">
        <f t="shared" si="13"/>
        <v>0</v>
      </c>
      <c r="T85" s="21">
        <f t="shared" si="14"/>
        <v>133075800</v>
      </c>
      <c r="U85" s="21" t="str">
        <f t="shared" si="15"/>
        <v>NR</v>
      </c>
      <c r="V85" s="21">
        <f t="shared" si="16"/>
        <v>0</v>
      </c>
      <c r="X85" s="1">
        <f t="shared" si="17"/>
        <v>41732</v>
      </c>
      <c r="Z85" s="50">
        <f>MROUND(IFERROR((VLOOKUP(C85,Lignes!$B$5:$F$28,5,FALSE)*2)/K85+$Z$2,0),0.05)</f>
        <v>0</v>
      </c>
      <c r="AA85" s="51">
        <f t="shared" si="18"/>
        <v>0</v>
      </c>
      <c r="AB85" s="8">
        <f t="shared" ca="1" si="19"/>
        <v>1733</v>
      </c>
      <c r="AC85" s="38">
        <f t="shared" ca="1" si="20"/>
        <v>57.766666666666666</v>
      </c>
      <c r="AD85" s="38">
        <f t="shared" ca="1" si="21"/>
        <v>5.7766666666666664</v>
      </c>
      <c r="AF85" s="21">
        <f t="shared" si="22"/>
        <v>0</v>
      </c>
      <c r="AG85" s="21"/>
      <c r="AI85" s="21">
        <f t="shared" si="23"/>
        <v>0</v>
      </c>
      <c r="AJ85" s="21">
        <f t="shared" si="24"/>
        <v>0</v>
      </c>
      <c r="AL85" s="21">
        <f t="shared" si="25"/>
        <v>0</v>
      </c>
      <c r="AM85" s="21"/>
    </row>
    <row r="86" spans="1:39" x14ac:dyDescent="0.3">
      <c r="A86" t="s">
        <v>568</v>
      </c>
      <c r="F86" s="45"/>
      <c r="G86" s="45"/>
      <c r="Q86" s="1"/>
      <c r="R86">
        <v>137322900</v>
      </c>
      <c r="S86" s="21"/>
      <c r="T86" s="21"/>
      <c r="U86" s="21"/>
      <c r="V86" s="21"/>
      <c r="X86" s="1"/>
      <c r="Z86" s="50"/>
      <c r="AA86" s="51"/>
      <c r="AB86" s="8"/>
      <c r="AC86" s="38"/>
      <c r="AD86" s="38"/>
      <c r="AF86" s="21"/>
      <c r="AG86" s="21"/>
      <c r="AI86" s="21"/>
      <c r="AJ86" s="21"/>
      <c r="AL86" s="21"/>
      <c r="AM86" s="21"/>
    </row>
    <row r="87" spans="1:39" x14ac:dyDescent="0.3">
      <c r="A87" t="s">
        <v>569</v>
      </c>
      <c r="F87" s="45"/>
      <c r="G87" s="45"/>
      <c r="Q87" s="1"/>
      <c r="R87">
        <v>137322900</v>
      </c>
      <c r="S87" s="21"/>
      <c r="T87" s="21"/>
      <c r="U87" s="21"/>
      <c r="V87" s="21"/>
      <c r="X87" s="1"/>
      <c r="Z87" s="50"/>
      <c r="AA87" s="51"/>
      <c r="AB87" s="8"/>
      <c r="AC87" s="38"/>
      <c r="AD87" s="38"/>
      <c r="AF87" s="21"/>
      <c r="AG87" s="21"/>
      <c r="AI87" s="21"/>
      <c r="AJ87" s="21"/>
      <c r="AL87" s="21"/>
      <c r="AM87" s="21"/>
    </row>
    <row r="88" spans="1:39" x14ac:dyDescent="0.3">
      <c r="A88" t="s">
        <v>570</v>
      </c>
      <c r="F88" s="45"/>
      <c r="G88" s="45"/>
      <c r="Q88" s="1"/>
      <c r="R88">
        <v>137322900</v>
      </c>
      <c r="S88" s="21"/>
      <c r="T88" s="21"/>
      <c r="U88" s="21"/>
      <c r="V88" s="21"/>
      <c r="X88" s="1"/>
      <c r="Z88" s="50"/>
      <c r="AA88" s="51"/>
      <c r="AB88" s="8"/>
      <c r="AC88" s="38"/>
      <c r="AD88" s="38"/>
      <c r="AF88" s="21"/>
      <c r="AG88" s="21"/>
      <c r="AI88" s="21"/>
      <c r="AJ88" s="21"/>
      <c r="AL88" s="21"/>
      <c r="AM88" s="21"/>
    </row>
    <row r="89" spans="1:39" x14ac:dyDescent="0.3">
      <c r="A89" t="s">
        <v>571</v>
      </c>
      <c r="F89" s="45"/>
      <c r="G89" s="45"/>
      <c r="Q89" s="1"/>
      <c r="R89">
        <v>137322900</v>
      </c>
      <c r="S89" s="21"/>
      <c r="T89" s="21"/>
      <c r="U89" s="21"/>
      <c r="V89" s="21"/>
      <c r="X89" s="1"/>
      <c r="Z89" s="50"/>
      <c r="AA89" s="51"/>
      <c r="AB89" s="8"/>
      <c r="AC89" s="38"/>
      <c r="AD89" s="38"/>
      <c r="AF89" s="21"/>
      <c r="AG89" s="21"/>
      <c r="AI89" s="21"/>
      <c r="AJ89" s="21"/>
      <c r="AL89" s="21"/>
      <c r="AM89" s="21"/>
    </row>
    <row r="90" spans="1:39" x14ac:dyDescent="0.3">
      <c r="A90" t="s">
        <v>572</v>
      </c>
      <c r="F90" s="45"/>
      <c r="G90" s="45"/>
      <c r="Q90" s="1"/>
      <c r="R90">
        <v>137322900</v>
      </c>
      <c r="S90" s="21"/>
      <c r="T90" s="21"/>
      <c r="U90" s="21"/>
      <c r="V90" s="21"/>
      <c r="X90" s="1"/>
      <c r="Z90" s="50"/>
      <c r="AA90" s="51"/>
      <c r="AB90" s="8"/>
      <c r="AC90" s="38"/>
      <c r="AD90" s="38"/>
      <c r="AF90" s="21"/>
      <c r="AG90" s="21"/>
      <c r="AI90" s="21"/>
      <c r="AJ90" s="21"/>
      <c r="AL90" s="21"/>
      <c r="AM90" s="21"/>
    </row>
    <row r="91" spans="1:39" x14ac:dyDescent="0.3">
      <c r="A91" t="s">
        <v>573</v>
      </c>
      <c r="F91" s="45"/>
      <c r="G91" s="45"/>
      <c r="Q91" s="1"/>
      <c r="R91">
        <v>137322900</v>
      </c>
      <c r="S91" s="21"/>
      <c r="T91" s="21"/>
      <c r="U91" s="21"/>
      <c r="V91" s="21"/>
      <c r="X91" s="1"/>
      <c r="Z91" s="50"/>
      <c r="AA91" s="51"/>
      <c r="AB91" s="8"/>
      <c r="AC91" s="38"/>
      <c r="AD91" s="38"/>
      <c r="AF91" s="21"/>
      <c r="AG91" s="21"/>
      <c r="AI91" s="21"/>
      <c r="AJ91" s="21"/>
      <c r="AL91" s="21"/>
      <c r="AM91" s="21"/>
    </row>
    <row r="92" spans="1:39" x14ac:dyDescent="0.3">
      <c r="A92" t="s">
        <v>574</v>
      </c>
      <c r="F92" s="45"/>
      <c r="G92" s="45"/>
      <c r="Q92" s="1"/>
      <c r="R92">
        <v>137322900</v>
      </c>
      <c r="S92" s="21"/>
      <c r="T92" s="21"/>
      <c r="U92" s="21"/>
      <c r="V92" s="21"/>
      <c r="X92" s="1"/>
      <c r="Z92" s="50"/>
      <c r="AA92" s="51"/>
      <c r="AB92" s="8"/>
      <c r="AC92" s="38"/>
      <c r="AD92" s="38"/>
      <c r="AF92" s="21"/>
      <c r="AG92" s="21"/>
      <c r="AI92" s="21"/>
      <c r="AJ92" s="21"/>
      <c r="AL92" s="21"/>
      <c r="AM92" s="21"/>
    </row>
    <row r="93" spans="1:39" x14ac:dyDescent="0.3">
      <c r="A93" t="s">
        <v>575</v>
      </c>
      <c r="F93" s="45"/>
      <c r="G93" s="45"/>
      <c r="Q93" s="1"/>
      <c r="R93">
        <v>137322900</v>
      </c>
      <c r="S93" s="21"/>
      <c r="T93" s="21"/>
      <c r="U93" s="21"/>
      <c r="V93" s="21"/>
      <c r="X93" s="1"/>
      <c r="Z93" s="50"/>
      <c r="AA93" s="51"/>
      <c r="AB93" s="8"/>
      <c r="AC93" s="38"/>
      <c r="AD93" s="38"/>
      <c r="AF93" s="21"/>
      <c r="AG93" s="21"/>
      <c r="AI93" s="21"/>
      <c r="AJ93" s="21"/>
      <c r="AL93" s="21"/>
      <c r="AM93" s="21"/>
    </row>
    <row r="94" spans="1:39" x14ac:dyDescent="0.3">
      <c r="A94" t="s">
        <v>576</v>
      </c>
      <c r="F94" s="45"/>
      <c r="G94" s="45"/>
      <c r="Q94" s="1"/>
      <c r="R94">
        <v>137322900</v>
      </c>
      <c r="S94" s="21"/>
      <c r="T94" s="21"/>
      <c r="U94" s="21"/>
      <c r="V94" s="21"/>
      <c r="X94" s="1"/>
      <c r="Z94" s="50"/>
      <c r="AA94" s="51"/>
      <c r="AB94" s="8"/>
      <c r="AC94" s="38"/>
      <c r="AD94" s="38"/>
      <c r="AF94" s="21"/>
      <c r="AG94" s="21"/>
      <c r="AI94" s="21"/>
      <c r="AJ94" s="21"/>
      <c r="AL94" s="21"/>
      <c r="AM94" s="21"/>
    </row>
    <row r="95" spans="1:39" x14ac:dyDescent="0.3">
      <c r="A95" t="s">
        <v>577</v>
      </c>
      <c r="F95" s="45"/>
      <c r="G95" s="45"/>
      <c r="Q95" s="1"/>
      <c r="R95">
        <v>137322900</v>
      </c>
      <c r="S95" s="21"/>
      <c r="T95" s="21"/>
      <c r="U95" s="21"/>
      <c r="V95" s="21"/>
      <c r="X95" s="1"/>
      <c r="Z95" s="50"/>
      <c r="AA95" s="51"/>
      <c r="AB95" s="8"/>
      <c r="AC95" s="38"/>
      <c r="AD95" s="38"/>
      <c r="AF95" s="21"/>
      <c r="AG95" s="21"/>
      <c r="AI95" s="21"/>
      <c r="AJ95" s="21"/>
      <c r="AL95" s="21"/>
      <c r="AM95" s="21"/>
    </row>
    <row r="96" spans="1:39" x14ac:dyDescent="0.3">
      <c r="A96" t="s">
        <v>578</v>
      </c>
      <c r="F96" s="45"/>
      <c r="G96" s="45"/>
      <c r="Q96" s="1"/>
      <c r="R96">
        <v>137322900</v>
      </c>
      <c r="S96" s="21"/>
      <c r="T96" s="21"/>
      <c r="U96" s="21"/>
      <c r="V96" s="21"/>
      <c r="X96" s="1"/>
      <c r="Z96" s="50"/>
      <c r="AA96" s="51"/>
      <c r="AB96" s="8"/>
      <c r="AC96" s="38"/>
      <c r="AD96" s="38"/>
      <c r="AF96" s="21"/>
      <c r="AG96" s="21"/>
      <c r="AI96" s="21"/>
      <c r="AJ96" s="21"/>
      <c r="AL96" s="21"/>
      <c r="AM96" s="21"/>
    </row>
    <row r="97" spans="1:39" x14ac:dyDescent="0.3">
      <c r="A97" t="s">
        <v>579</v>
      </c>
      <c r="F97" s="45"/>
      <c r="G97" s="45"/>
      <c r="Q97" s="1"/>
      <c r="R97">
        <v>137322900</v>
      </c>
      <c r="S97" s="21"/>
      <c r="T97" s="21"/>
      <c r="U97" s="21"/>
      <c r="V97" s="21"/>
      <c r="X97" s="1"/>
      <c r="Z97" s="50"/>
      <c r="AA97" s="51"/>
      <c r="AB97" s="8"/>
      <c r="AC97" s="38"/>
      <c r="AD97" s="38"/>
      <c r="AF97" s="21"/>
      <c r="AG97" s="21"/>
      <c r="AI97" s="21"/>
      <c r="AJ97" s="21"/>
      <c r="AL97" s="21"/>
      <c r="AM97" s="21"/>
    </row>
    <row r="98" spans="1:39" x14ac:dyDescent="0.3">
      <c r="A98" t="s">
        <v>580</v>
      </c>
      <c r="F98" s="45"/>
      <c r="G98" s="45"/>
      <c r="Q98" s="1"/>
      <c r="R98">
        <v>137322900</v>
      </c>
      <c r="S98" s="21"/>
      <c r="T98" s="21"/>
      <c r="U98" s="21"/>
      <c r="V98" s="21"/>
      <c r="X98" s="1"/>
      <c r="Z98" s="50"/>
      <c r="AA98" s="51"/>
      <c r="AB98" s="8"/>
      <c r="AC98" s="38"/>
      <c r="AD98" s="38"/>
      <c r="AF98" s="21"/>
      <c r="AG98" s="21"/>
      <c r="AI98" s="21"/>
      <c r="AJ98" s="21"/>
      <c r="AL98" s="21"/>
      <c r="AM98" s="21"/>
    </row>
    <row r="99" spans="1:39" x14ac:dyDescent="0.3">
      <c r="A99" t="s">
        <v>581</v>
      </c>
      <c r="F99" s="45"/>
      <c r="G99" s="45"/>
      <c r="Q99" s="1"/>
      <c r="R99">
        <v>137322900</v>
      </c>
      <c r="S99" s="21"/>
      <c r="T99" s="21"/>
      <c r="U99" s="21"/>
      <c r="V99" s="21"/>
      <c r="X99" s="1"/>
      <c r="Z99" s="50"/>
      <c r="AA99" s="51"/>
      <c r="AB99" s="8"/>
      <c r="AC99" s="38"/>
      <c r="AD99" s="38"/>
      <c r="AF99" s="21"/>
      <c r="AG99" s="21"/>
      <c r="AI99" s="21"/>
      <c r="AJ99" s="21"/>
      <c r="AL99" s="21"/>
      <c r="AM99" s="21"/>
    </row>
    <row r="100" spans="1:39" x14ac:dyDescent="0.3">
      <c r="A100" t="s">
        <v>582</v>
      </c>
      <c r="F100" s="45"/>
      <c r="G100" s="45"/>
      <c r="Q100" s="1"/>
      <c r="R100">
        <v>137322900</v>
      </c>
      <c r="S100" s="21"/>
      <c r="T100" s="21"/>
      <c r="U100" s="21"/>
      <c r="V100" s="21"/>
      <c r="X100" s="1"/>
      <c r="Z100" s="50"/>
      <c r="AA100" s="51"/>
      <c r="AB100" s="8"/>
      <c r="AC100" s="38"/>
      <c r="AD100" s="38"/>
      <c r="AF100" s="21"/>
      <c r="AG100" s="21"/>
      <c r="AI100" s="21"/>
      <c r="AJ100" s="21"/>
      <c r="AL100" s="21"/>
      <c r="AM100" s="21"/>
    </row>
    <row r="101" spans="1:39" x14ac:dyDescent="0.3">
      <c r="A101" t="s">
        <v>583</v>
      </c>
      <c r="F101" s="45"/>
      <c r="G101" s="45"/>
      <c r="Q101" s="1"/>
      <c r="R101">
        <v>137322900</v>
      </c>
      <c r="S101" s="21"/>
      <c r="T101" s="21"/>
      <c r="U101" s="21"/>
      <c r="V101" s="21"/>
      <c r="X101" s="1"/>
      <c r="Z101" s="50"/>
      <c r="AA101" s="51"/>
      <c r="AB101" s="8"/>
      <c r="AC101" s="38"/>
      <c r="AD101" s="38"/>
      <c r="AF101" s="21"/>
      <c r="AG101" s="21"/>
      <c r="AI101" s="21"/>
      <c r="AJ101" s="21"/>
      <c r="AL101" s="21"/>
      <c r="AM101" s="21"/>
    </row>
    <row r="102" spans="1:39" x14ac:dyDescent="0.3">
      <c r="A102" t="s">
        <v>584</v>
      </c>
      <c r="F102" s="45"/>
      <c r="G102" s="45"/>
      <c r="Q102" s="1"/>
      <c r="R102">
        <v>137322900</v>
      </c>
      <c r="S102" s="21"/>
      <c r="T102" s="21"/>
      <c r="U102" s="21"/>
      <c r="V102" s="21"/>
      <c r="X102" s="1"/>
      <c r="Z102" s="50"/>
      <c r="AA102" s="51"/>
      <c r="AB102" s="8"/>
      <c r="AC102" s="38"/>
      <c r="AD102" s="38"/>
      <c r="AF102" s="21"/>
      <c r="AG102" s="21"/>
      <c r="AI102" s="21"/>
      <c r="AJ102" s="21"/>
      <c r="AL102" s="21"/>
      <c r="AM102" s="21"/>
    </row>
    <row r="103" spans="1:39" x14ac:dyDescent="0.3">
      <c r="A103" s="54"/>
      <c r="B103" s="54"/>
      <c r="C103" s="54"/>
      <c r="D103" s="54"/>
      <c r="E103" s="54"/>
      <c r="F103" s="54"/>
      <c r="G103" s="54"/>
      <c r="H103" s="55">
        <f>SUM(H5:H73)</f>
        <v>18975</v>
      </c>
      <c r="I103" s="55">
        <f>SUM(I5:I73)</f>
        <v>552</v>
      </c>
      <c r="J103" s="54"/>
      <c r="K103" s="54"/>
      <c r="L103" s="54"/>
      <c r="M103" s="55">
        <f>SUM(M5:M73)</f>
        <v>6615</v>
      </c>
      <c r="N103" s="55">
        <f>SUM(N5:N73)</f>
        <v>3445.5</v>
      </c>
      <c r="O103" s="55">
        <f>SUM(O5:O73)</f>
        <v>1447.5</v>
      </c>
      <c r="P103" s="54"/>
      <c r="Q103" s="54"/>
      <c r="R103" s="55">
        <f>SUM(R5:R102)</f>
        <v>9550154900</v>
      </c>
      <c r="S103" s="55">
        <f ca="1">SUM(S5:S73)</f>
        <v>2893653258</v>
      </c>
      <c r="T103" s="55">
        <f ca="1">SUM(T5:T73)</f>
        <v>4498564428</v>
      </c>
      <c r="U103" s="55">
        <f ca="1">SUM(U5:U73)</f>
        <v>1773461686</v>
      </c>
      <c r="V103" s="54"/>
      <c r="W103" s="55">
        <f ca="1">SUM(W5:W73)</f>
        <v>3078</v>
      </c>
      <c r="X103" s="54"/>
      <c r="Y103" s="54"/>
      <c r="Z103" s="54"/>
      <c r="AA103" s="54"/>
      <c r="AB103" s="54"/>
      <c r="AC103" s="54"/>
      <c r="AD103" s="54"/>
      <c r="AE103" s="54"/>
      <c r="AF103" s="55">
        <f ca="1">SUM(AF5:AF73)</f>
        <v>4499324858</v>
      </c>
      <c r="AG103" s="55">
        <f>SUM(AG5:AG73)</f>
        <v>11767558</v>
      </c>
      <c r="AH103" s="54"/>
      <c r="AI103" s="55">
        <f ca="1">SUM(AI5:AI73)</f>
        <v>2893653258</v>
      </c>
      <c r="AJ103" s="55">
        <f>SUM(AJ5:AJ73)</f>
        <v>7811510</v>
      </c>
      <c r="AK103" s="54"/>
      <c r="AL103" s="55">
        <f ca="1">SUM(AL5:AL73)</f>
        <v>1605671600</v>
      </c>
      <c r="AM103" s="55">
        <f>SUM(AM5:AM73)</f>
        <v>3956048</v>
      </c>
    </row>
  </sheetData>
  <mergeCells count="8">
    <mergeCell ref="AL3:AM3"/>
    <mergeCell ref="Z3:AD3"/>
    <mergeCell ref="M3:O3"/>
    <mergeCell ref="B3:C3"/>
    <mergeCell ref="E3:K3"/>
    <mergeCell ref="Q3:X3"/>
    <mergeCell ref="AF3:AG3"/>
    <mergeCell ref="AI3:AJ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A1:F149"/>
  <sheetViews>
    <sheetView topLeftCell="A166" workbookViewId="0">
      <selection activeCell="I14" sqref="I14"/>
    </sheetView>
  </sheetViews>
  <sheetFormatPr baseColWidth="10" defaultColWidth="11.44140625" defaultRowHeight="14.4" x14ac:dyDescent="0.3"/>
  <cols>
    <col min="1" max="1" width="17.44140625" bestFit="1" customWidth="1"/>
    <col min="2" max="2" width="16.33203125" bestFit="1" customWidth="1"/>
    <col min="3" max="3" width="8.6640625" bestFit="1" customWidth="1"/>
    <col min="4" max="4" width="15.109375" bestFit="1" customWidth="1"/>
    <col min="5" max="5" width="24.109375" bestFit="1" customWidth="1"/>
    <col min="6" max="6" width="16.33203125" bestFit="1" customWidth="1"/>
  </cols>
  <sheetData>
    <row r="1" spans="1:6" ht="15" thickBot="1" x14ac:dyDescent="0.35">
      <c r="A1" s="105" t="s">
        <v>585</v>
      </c>
      <c r="B1" s="105" t="s">
        <v>586</v>
      </c>
      <c r="C1" s="105" t="s">
        <v>587</v>
      </c>
      <c r="D1" s="105" t="s">
        <v>588</v>
      </c>
      <c r="E1" s="105" t="s">
        <v>589</v>
      </c>
    </row>
    <row r="2" spans="1:6" x14ac:dyDescent="0.3">
      <c r="A2" s="101" t="s">
        <v>590</v>
      </c>
      <c r="B2" s="106">
        <f>SUM(B3:B4)</f>
        <v>955929113</v>
      </c>
      <c r="C2" s="107"/>
      <c r="D2" s="106">
        <f>SUM(D3:D4)</f>
        <v>124686406.04347825</v>
      </c>
      <c r="E2" s="106">
        <f>SUM(E3:E4)</f>
        <v>831242706.95652175</v>
      </c>
      <c r="F2" t="s">
        <v>97</v>
      </c>
    </row>
    <row r="3" spans="1:6" x14ac:dyDescent="0.3">
      <c r="A3" s="102" t="s">
        <v>315</v>
      </c>
      <c r="B3" s="100">
        <v>0</v>
      </c>
      <c r="C3" s="103">
        <v>0.15</v>
      </c>
      <c r="D3" s="100">
        <v>0</v>
      </c>
      <c r="E3" s="100">
        <v>0</v>
      </c>
      <c r="F3" s="21">
        <f>E2+E5+E8+E63</f>
        <v>26906494913.457577</v>
      </c>
    </row>
    <row r="4" spans="1:6" x14ac:dyDescent="0.3">
      <c r="A4" s="102" t="s">
        <v>341</v>
      </c>
      <c r="B4" s="100">
        <v>955929113</v>
      </c>
      <c r="C4" s="103">
        <v>0.15</v>
      </c>
      <c r="D4" s="100">
        <f t="shared" ref="D4" si="0">B4-E4</f>
        <v>124686406.04347825</v>
      </c>
      <c r="E4" s="100">
        <f t="shared" ref="E4" si="1">B4/(1+C4)</f>
        <v>831242706.95652175</v>
      </c>
    </row>
    <row r="5" spans="1:6" x14ac:dyDescent="0.3">
      <c r="A5" s="104" t="s">
        <v>591</v>
      </c>
      <c r="B5" s="108">
        <f>SUM(B6:B7)</f>
        <v>6131666027</v>
      </c>
      <c r="C5" s="109"/>
      <c r="D5" s="108">
        <f>SUM(D6:D7)</f>
        <v>799782525.26086926</v>
      </c>
      <c r="E5" s="108">
        <f>SUM(E6:E7)</f>
        <v>5331883501.739131</v>
      </c>
    </row>
    <row r="6" spans="1:6" x14ac:dyDescent="0.3">
      <c r="A6" s="102" t="s">
        <v>315</v>
      </c>
      <c r="B6" s="100">
        <v>3770797246</v>
      </c>
      <c r="C6" s="103">
        <v>0.15</v>
      </c>
      <c r="D6" s="100">
        <f t="shared" ref="D6:D62" si="2">B6-E6</f>
        <v>491843119.04347801</v>
      </c>
      <c r="E6" s="100">
        <f t="shared" ref="E6:E62" si="3">B6/(1+C6)</f>
        <v>3278954126.956522</v>
      </c>
    </row>
    <row r="7" spans="1:6" x14ac:dyDescent="0.3">
      <c r="A7" s="102" t="s">
        <v>341</v>
      </c>
      <c r="B7" s="100">
        <v>2360868781</v>
      </c>
      <c r="C7" s="103">
        <v>0.15</v>
      </c>
      <c r="D7" s="100">
        <f t="shared" si="2"/>
        <v>307939406.21739125</v>
      </c>
      <c r="E7" s="100">
        <f t="shared" si="3"/>
        <v>2052929374.7826087</v>
      </c>
    </row>
    <row r="8" spans="1:6" x14ac:dyDescent="0.3">
      <c r="A8" s="104" t="s">
        <v>592</v>
      </c>
      <c r="B8" s="108">
        <f>SUM(B9:B62)</f>
        <v>9775854164</v>
      </c>
      <c r="C8" s="109"/>
      <c r="D8" s="108">
        <f t="shared" si="2"/>
        <v>465516864.95237541</v>
      </c>
      <c r="E8" s="108">
        <f>SUM(E9:E62)</f>
        <v>9310337299.0476246</v>
      </c>
    </row>
    <row r="9" spans="1:6" x14ac:dyDescent="0.3">
      <c r="A9" s="110" t="s">
        <v>593</v>
      </c>
      <c r="B9" s="100">
        <v>190966274</v>
      </c>
      <c r="C9" s="103">
        <v>0.05</v>
      </c>
      <c r="D9" s="100">
        <f t="shared" si="2"/>
        <v>9093632.0952380896</v>
      </c>
      <c r="E9" s="100">
        <f t="shared" si="3"/>
        <v>181872641.90476191</v>
      </c>
    </row>
    <row r="10" spans="1:6" x14ac:dyDescent="0.3">
      <c r="A10" s="71" t="s">
        <v>594</v>
      </c>
      <c r="B10" s="100">
        <v>194490000</v>
      </c>
      <c r="C10" s="103">
        <v>0.05</v>
      </c>
      <c r="D10" s="100">
        <f t="shared" si="2"/>
        <v>9261428.5714285672</v>
      </c>
      <c r="E10" s="100">
        <f t="shared" si="3"/>
        <v>185228571.42857143</v>
      </c>
    </row>
    <row r="11" spans="1:6" x14ac:dyDescent="0.3">
      <c r="A11" s="71" t="s">
        <v>555</v>
      </c>
      <c r="B11" s="100">
        <v>133075800</v>
      </c>
      <c r="C11" s="103">
        <v>0.05</v>
      </c>
      <c r="D11" s="100">
        <f t="shared" si="2"/>
        <v>6336942.8571428657</v>
      </c>
      <c r="E11" s="100">
        <f t="shared" si="3"/>
        <v>126738857.14285713</v>
      </c>
    </row>
    <row r="12" spans="1:6" x14ac:dyDescent="0.3">
      <c r="A12" s="71" t="s">
        <v>566</v>
      </c>
      <c r="B12" s="100">
        <v>133075800</v>
      </c>
      <c r="C12" s="103">
        <v>0.05</v>
      </c>
      <c r="D12" s="100">
        <f t="shared" si="2"/>
        <v>6336942.8571428657</v>
      </c>
      <c r="E12" s="100">
        <f t="shared" si="3"/>
        <v>126738857.14285713</v>
      </c>
    </row>
    <row r="13" spans="1:6" x14ac:dyDescent="0.3">
      <c r="A13" s="71" t="s">
        <v>563</v>
      </c>
      <c r="B13" s="100">
        <v>133075800</v>
      </c>
      <c r="C13" s="103">
        <v>0.05</v>
      </c>
      <c r="D13" s="100">
        <f t="shared" si="2"/>
        <v>6336942.8571428657</v>
      </c>
      <c r="E13" s="100">
        <f t="shared" si="3"/>
        <v>126738857.14285713</v>
      </c>
    </row>
    <row r="14" spans="1:6" x14ac:dyDescent="0.3">
      <c r="A14" s="71" t="s">
        <v>595</v>
      </c>
      <c r="B14" s="100">
        <v>204128060</v>
      </c>
      <c r="C14" s="103">
        <v>0.05</v>
      </c>
      <c r="D14" s="100">
        <f t="shared" si="2"/>
        <v>9720383.8095238209</v>
      </c>
      <c r="E14" s="100">
        <f t="shared" si="3"/>
        <v>194407676.19047618</v>
      </c>
    </row>
    <row r="15" spans="1:6" x14ac:dyDescent="0.3">
      <c r="A15" s="71" t="s">
        <v>596</v>
      </c>
      <c r="B15" s="100">
        <v>204128060</v>
      </c>
      <c r="C15" s="103">
        <v>0.05</v>
      </c>
      <c r="D15" s="100">
        <f t="shared" si="2"/>
        <v>9720383.8095238209</v>
      </c>
      <c r="E15" s="100">
        <f t="shared" si="3"/>
        <v>194407676.19047618</v>
      </c>
    </row>
    <row r="16" spans="1:6" x14ac:dyDescent="0.3">
      <c r="A16" s="71" t="s">
        <v>564</v>
      </c>
      <c r="B16" s="100">
        <v>133075800</v>
      </c>
      <c r="C16" s="103">
        <v>0.05</v>
      </c>
      <c r="D16" s="100">
        <f t="shared" si="2"/>
        <v>6336942.8571428657</v>
      </c>
      <c r="E16" s="100">
        <f t="shared" si="3"/>
        <v>126738857.14285713</v>
      </c>
    </row>
    <row r="17" spans="1:5" x14ac:dyDescent="0.3">
      <c r="A17" s="71" t="s">
        <v>561</v>
      </c>
      <c r="B17" s="100">
        <v>133075800</v>
      </c>
      <c r="C17" s="103">
        <v>0.05</v>
      </c>
      <c r="D17" s="100">
        <f t="shared" si="2"/>
        <v>6336942.8571428657</v>
      </c>
      <c r="E17" s="100">
        <f t="shared" si="3"/>
        <v>126738857.14285713</v>
      </c>
    </row>
    <row r="18" spans="1:5" x14ac:dyDescent="0.3">
      <c r="A18" s="71" t="s">
        <v>597</v>
      </c>
      <c r="B18" s="100">
        <v>204128060</v>
      </c>
      <c r="C18" s="103">
        <v>0.05</v>
      </c>
      <c r="D18" s="100">
        <f t="shared" si="2"/>
        <v>9720383.8095238209</v>
      </c>
      <c r="E18" s="100">
        <f t="shared" si="3"/>
        <v>194407676.19047618</v>
      </c>
    </row>
    <row r="19" spans="1:5" x14ac:dyDescent="0.3">
      <c r="A19" s="71" t="s">
        <v>598</v>
      </c>
      <c r="B19" s="100">
        <v>190966274</v>
      </c>
      <c r="C19" s="103">
        <v>0.05</v>
      </c>
      <c r="D19" s="100">
        <f t="shared" si="2"/>
        <v>9093632.0952380896</v>
      </c>
      <c r="E19" s="100">
        <f t="shared" si="3"/>
        <v>181872641.90476191</v>
      </c>
    </row>
    <row r="20" spans="1:5" x14ac:dyDescent="0.3">
      <c r="A20" s="71" t="s">
        <v>599</v>
      </c>
      <c r="B20" s="100">
        <v>194490000</v>
      </c>
      <c r="C20" s="103">
        <v>0.05</v>
      </c>
      <c r="D20" s="100">
        <f t="shared" si="2"/>
        <v>9261428.5714285672</v>
      </c>
      <c r="E20" s="100">
        <f t="shared" si="3"/>
        <v>185228571.42857143</v>
      </c>
    </row>
    <row r="21" spans="1:5" x14ac:dyDescent="0.3">
      <c r="A21" s="71" t="s">
        <v>600</v>
      </c>
      <c r="B21" s="100">
        <v>190966274</v>
      </c>
      <c r="C21" s="103">
        <v>0.05</v>
      </c>
      <c r="D21" s="100">
        <f t="shared" si="2"/>
        <v>9093632.0952380896</v>
      </c>
      <c r="E21" s="100">
        <f t="shared" si="3"/>
        <v>181872641.90476191</v>
      </c>
    </row>
    <row r="22" spans="1:5" x14ac:dyDescent="0.3">
      <c r="A22" s="71" t="s">
        <v>601</v>
      </c>
      <c r="B22" s="100">
        <v>190966274</v>
      </c>
      <c r="C22" s="103">
        <v>0.05</v>
      </c>
      <c r="D22" s="100">
        <f t="shared" si="2"/>
        <v>9093632.0952380896</v>
      </c>
      <c r="E22" s="100">
        <f t="shared" si="3"/>
        <v>181872641.90476191</v>
      </c>
    </row>
    <row r="23" spans="1:5" x14ac:dyDescent="0.3">
      <c r="A23" s="71" t="s">
        <v>602</v>
      </c>
      <c r="B23" s="100">
        <v>190966274</v>
      </c>
      <c r="C23" s="103">
        <v>0.05</v>
      </c>
      <c r="D23" s="100">
        <f t="shared" si="2"/>
        <v>9093632.0952380896</v>
      </c>
      <c r="E23" s="100">
        <f t="shared" si="3"/>
        <v>181872641.90476191</v>
      </c>
    </row>
    <row r="24" spans="1:5" x14ac:dyDescent="0.3">
      <c r="A24" s="71" t="s">
        <v>603</v>
      </c>
      <c r="B24" s="100">
        <v>204128060</v>
      </c>
      <c r="C24" s="103">
        <v>0.05</v>
      </c>
      <c r="D24" s="100">
        <f t="shared" si="2"/>
        <v>9720383.8095238209</v>
      </c>
      <c r="E24" s="100">
        <f t="shared" si="3"/>
        <v>194407676.19047618</v>
      </c>
    </row>
    <row r="25" spans="1:5" x14ac:dyDescent="0.3">
      <c r="A25" s="71" t="s">
        <v>604</v>
      </c>
      <c r="B25" s="100">
        <v>194490000</v>
      </c>
      <c r="C25" s="103">
        <v>0.05</v>
      </c>
      <c r="D25" s="100">
        <f t="shared" si="2"/>
        <v>9261428.5714285672</v>
      </c>
      <c r="E25" s="100">
        <f t="shared" si="3"/>
        <v>185228571.42857143</v>
      </c>
    </row>
    <row r="26" spans="1:5" x14ac:dyDescent="0.3">
      <c r="A26" s="71">
        <v>6</v>
      </c>
      <c r="B26" s="100">
        <v>196478120</v>
      </c>
      <c r="C26" s="103">
        <v>0.05</v>
      </c>
      <c r="D26" s="100">
        <f t="shared" si="2"/>
        <v>9356100.9523809552</v>
      </c>
      <c r="E26" s="100">
        <f t="shared" si="3"/>
        <v>187122019.04761904</v>
      </c>
    </row>
    <row r="27" spans="1:5" x14ac:dyDescent="0.3">
      <c r="A27" s="71" t="s">
        <v>605</v>
      </c>
      <c r="B27" s="100">
        <v>204128060</v>
      </c>
      <c r="C27" s="103">
        <v>0.05</v>
      </c>
      <c r="D27" s="100">
        <f t="shared" si="2"/>
        <v>9720383.8095238209</v>
      </c>
      <c r="E27" s="100">
        <f t="shared" si="3"/>
        <v>194407676.19047618</v>
      </c>
    </row>
    <row r="28" spans="1:5" x14ac:dyDescent="0.3">
      <c r="A28" s="71" t="s">
        <v>606</v>
      </c>
      <c r="B28" s="100">
        <v>190966274</v>
      </c>
      <c r="C28" s="103">
        <v>0.05</v>
      </c>
      <c r="D28" s="100">
        <f t="shared" si="2"/>
        <v>9093632.0952380896</v>
      </c>
      <c r="E28" s="100">
        <f t="shared" si="3"/>
        <v>181872641.90476191</v>
      </c>
    </row>
    <row r="29" spans="1:5" x14ac:dyDescent="0.3">
      <c r="A29" s="71" t="s">
        <v>607</v>
      </c>
      <c r="B29" s="100">
        <v>194490000</v>
      </c>
      <c r="C29" s="103">
        <v>0.05</v>
      </c>
      <c r="D29" s="100">
        <f t="shared" si="2"/>
        <v>9261428.5714285672</v>
      </c>
      <c r="E29" s="100">
        <f t="shared" si="3"/>
        <v>185228571.42857143</v>
      </c>
    </row>
    <row r="30" spans="1:5" x14ac:dyDescent="0.3">
      <c r="A30" s="71" t="s">
        <v>608</v>
      </c>
      <c r="B30" s="100">
        <v>194490000</v>
      </c>
      <c r="C30" s="103">
        <v>0.05</v>
      </c>
      <c r="D30" s="100">
        <f t="shared" si="2"/>
        <v>9261428.5714285672</v>
      </c>
      <c r="E30" s="100">
        <f t="shared" si="3"/>
        <v>185228571.42857143</v>
      </c>
    </row>
    <row r="31" spans="1:5" x14ac:dyDescent="0.3">
      <c r="A31" s="71" t="s">
        <v>609</v>
      </c>
      <c r="B31" s="100">
        <v>186759861</v>
      </c>
      <c r="C31" s="103">
        <v>0.05</v>
      </c>
      <c r="D31" s="100">
        <f t="shared" si="2"/>
        <v>8893326.7142857313</v>
      </c>
      <c r="E31" s="100">
        <f t="shared" si="3"/>
        <v>177866534.28571427</v>
      </c>
    </row>
    <row r="32" spans="1:5" x14ac:dyDescent="0.3">
      <c r="A32" s="71" t="s">
        <v>557</v>
      </c>
      <c r="B32" s="100">
        <v>133075800</v>
      </c>
      <c r="C32" s="103">
        <v>0.05</v>
      </c>
      <c r="D32" s="100">
        <f t="shared" si="2"/>
        <v>6336942.8571428657</v>
      </c>
      <c r="E32" s="100">
        <f t="shared" si="3"/>
        <v>126738857.14285713</v>
      </c>
    </row>
    <row r="33" spans="1:5" x14ac:dyDescent="0.3">
      <c r="A33" s="71" t="s">
        <v>560</v>
      </c>
      <c r="B33" s="100">
        <v>133075800</v>
      </c>
      <c r="C33" s="103">
        <v>0.05</v>
      </c>
      <c r="D33" s="100">
        <f t="shared" si="2"/>
        <v>6336942.8571428657</v>
      </c>
      <c r="E33" s="100">
        <f t="shared" si="3"/>
        <v>126738857.14285713</v>
      </c>
    </row>
    <row r="34" spans="1:5" x14ac:dyDescent="0.3">
      <c r="A34" s="71" t="s">
        <v>567</v>
      </c>
      <c r="B34" s="100">
        <v>133075800</v>
      </c>
      <c r="C34" s="103">
        <v>0.05</v>
      </c>
      <c r="D34" s="100">
        <f t="shared" si="2"/>
        <v>6336942.8571428657</v>
      </c>
      <c r="E34" s="100">
        <f t="shared" si="3"/>
        <v>126738857.14285713</v>
      </c>
    </row>
    <row r="35" spans="1:5" x14ac:dyDescent="0.3">
      <c r="A35" s="71" t="s">
        <v>610</v>
      </c>
      <c r="B35" s="100">
        <v>194490000</v>
      </c>
      <c r="C35" s="103">
        <v>0.05</v>
      </c>
      <c r="D35" s="100">
        <f t="shared" si="2"/>
        <v>9261428.5714285672</v>
      </c>
      <c r="E35" s="100">
        <f t="shared" si="3"/>
        <v>185228571.42857143</v>
      </c>
    </row>
    <row r="36" spans="1:5" x14ac:dyDescent="0.3">
      <c r="A36" s="71" t="s">
        <v>611</v>
      </c>
      <c r="B36" s="100">
        <v>194490000</v>
      </c>
      <c r="C36" s="103">
        <v>0.05</v>
      </c>
      <c r="D36" s="100">
        <f t="shared" si="2"/>
        <v>9261428.5714285672</v>
      </c>
      <c r="E36" s="100">
        <f t="shared" si="3"/>
        <v>185228571.42857143</v>
      </c>
    </row>
    <row r="37" spans="1:5" x14ac:dyDescent="0.3">
      <c r="A37" s="71" t="s">
        <v>612</v>
      </c>
      <c r="B37" s="100">
        <v>194490000</v>
      </c>
      <c r="C37" s="103">
        <v>0.05</v>
      </c>
      <c r="D37" s="100">
        <f t="shared" si="2"/>
        <v>9261428.5714285672</v>
      </c>
      <c r="E37" s="100">
        <f t="shared" si="3"/>
        <v>185228571.42857143</v>
      </c>
    </row>
    <row r="38" spans="1:5" x14ac:dyDescent="0.3">
      <c r="A38" s="71" t="s">
        <v>562</v>
      </c>
      <c r="B38" s="100">
        <v>133075800</v>
      </c>
      <c r="C38" s="103">
        <v>0.05</v>
      </c>
      <c r="D38" s="100">
        <f t="shared" si="2"/>
        <v>6336942.8571428657</v>
      </c>
      <c r="E38" s="100">
        <f t="shared" si="3"/>
        <v>126738857.14285713</v>
      </c>
    </row>
    <row r="39" spans="1:5" x14ac:dyDescent="0.3">
      <c r="A39" s="71" t="s">
        <v>565</v>
      </c>
      <c r="B39" s="100">
        <v>133075800</v>
      </c>
      <c r="C39" s="103">
        <v>0.05</v>
      </c>
      <c r="D39" s="100">
        <f t="shared" si="2"/>
        <v>6336942.8571428657</v>
      </c>
      <c r="E39" s="100">
        <f t="shared" si="3"/>
        <v>126738857.14285713</v>
      </c>
    </row>
    <row r="40" spans="1:5" x14ac:dyDescent="0.3">
      <c r="A40" s="71" t="s">
        <v>613</v>
      </c>
      <c r="B40" s="100">
        <v>186756861</v>
      </c>
      <c r="C40" s="103">
        <v>0.05</v>
      </c>
      <c r="D40" s="100">
        <f t="shared" si="2"/>
        <v>8893183.8571428657</v>
      </c>
      <c r="E40" s="100">
        <f t="shared" si="3"/>
        <v>177863677.14285713</v>
      </c>
    </row>
    <row r="41" spans="1:5" x14ac:dyDescent="0.3">
      <c r="A41" s="71" t="s">
        <v>559</v>
      </c>
      <c r="B41" s="100">
        <v>133075800</v>
      </c>
      <c r="C41" s="103">
        <v>0.05</v>
      </c>
      <c r="D41" s="100">
        <f t="shared" si="2"/>
        <v>6336942.8571428657</v>
      </c>
      <c r="E41" s="100">
        <f t="shared" si="3"/>
        <v>126738857.14285713</v>
      </c>
    </row>
    <row r="42" spans="1:5" x14ac:dyDescent="0.3">
      <c r="A42" s="71" t="s">
        <v>614</v>
      </c>
      <c r="B42" s="100">
        <v>186756861</v>
      </c>
      <c r="C42" s="103">
        <v>0.05</v>
      </c>
      <c r="D42" s="100">
        <f t="shared" si="2"/>
        <v>8893183.8571428657</v>
      </c>
      <c r="E42" s="100">
        <f t="shared" si="3"/>
        <v>177863677.14285713</v>
      </c>
    </row>
    <row r="43" spans="1:5" x14ac:dyDescent="0.3">
      <c r="A43" s="71" t="s">
        <v>615</v>
      </c>
      <c r="B43" s="100">
        <v>194490000</v>
      </c>
      <c r="C43" s="103">
        <v>0.05</v>
      </c>
      <c r="D43" s="100">
        <f t="shared" si="2"/>
        <v>9261428.5714285672</v>
      </c>
      <c r="E43" s="100">
        <f t="shared" si="3"/>
        <v>185228571.42857143</v>
      </c>
    </row>
    <row r="44" spans="1:5" x14ac:dyDescent="0.3">
      <c r="A44" s="71" t="s">
        <v>616</v>
      </c>
      <c r="B44" s="100">
        <v>194490000</v>
      </c>
      <c r="C44" s="103">
        <v>0.05</v>
      </c>
      <c r="D44" s="100">
        <f t="shared" si="2"/>
        <v>9261428.5714285672</v>
      </c>
      <c r="E44" s="100">
        <f t="shared" si="3"/>
        <v>185228571.42857143</v>
      </c>
    </row>
    <row r="45" spans="1:5" x14ac:dyDescent="0.3">
      <c r="A45" s="71" t="s">
        <v>617</v>
      </c>
      <c r="B45" s="100">
        <v>190966274</v>
      </c>
      <c r="C45" s="103">
        <v>0.05</v>
      </c>
      <c r="D45" s="100">
        <f t="shared" si="2"/>
        <v>9093632.0952380896</v>
      </c>
      <c r="E45" s="100">
        <f t="shared" si="3"/>
        <v>181872641.90476191</v>
      </c>
    </row>
    <row r="46" spans="1:5" x14ac:dyDescent="0.3">
      <c r="A46" s="71" t="s">
        <v>618</v>
      </c>
      <c r="B46" s="100">
        <v>186756861</v>
      </c>
      <c r="C46" s="103">
        <v>0.05</v>
      </c>
      <c r="D46" s="100">
        <f t="shared" si="2"/>
        <v>8893183.8571428657</v>
      </c>
      <c r="E46" s="100">
        <f t="shared" si="3"/>
        <v>177863677.14285713</v>
      </c>
    </row>
    <row r="47" spans="1:5" x14ac:dyDescent="0.3">
      <c r="A47" s="71" t="s">
        <v>619</v>
      </c>
      <c r="B47" s="100">
        <v>194490000</v>
      </c>
      <c r="C47" s="103">
        <v>0.05</v>
      </c>
      <c r="D47" s="100">
        <f t="shared" si="2"/>
        <v>9261428.5714285672</v>
      </c>
      <c r="E47" s="100">
        <f t="shared" si="3"/>
        <v>185228571.42857143</v>
      </c>
    </row>
    <row r="48" spans="1:5" x14ac:dyDescent="0.3">
      <c r="A48" s="71" t="s">
        <v>620</v>
      </c>
      <c r="B48" s="100">
        <v>194490000</v>
      </c>
      <c r="C48" s="103">
        <v>0.05</v>
      </c>
      <c r="D48" s="100">
        <f t="shared" si="2"/>
        <v>9261428.5714285672</v>
      </c>
      <c r="E48" s="100">
        <f t="shared" si="3"/>
        <v>185228571.42857143</v>
      </c>
    </row>
    <row r="49" spans="1:5" x14ac:dyDescent="0.3">
      <c r="A49" s="71" t="s">
        <v>621</v>
      </c>
      <c r="B49" s="100">
        <v>194490000</v>
      </c>
      <c r="C49" s="103">
        <v>0.05</v>
      </c>
      <c r="D49" s="100">
        <f t="shared" si="2"/>
        <v>9261428.5714285672</v>
      </c>
      <c r="E49" s="100">
        <f t="shared" si="3"/>
        <v>185228571.42857143</v>
      </c>
    </row>
    <row r="50" spans="1:5" x14ac:dyDescent="0.3">
      <c r="A50" s="71" t="s">
        <v>622</v>
      </c>
      <c r="B50" s="100">
        <v>194490000</v>
      </c>
      <c r="C50" s="103">
        <v>0.05</v>
      </c>
      <c r="D50" s="100">
        <f t="shared" si="2"/>
        <v>9261428.5714285672</v>
      </c>
      <c r="E50" s="100">
        <f t="shared" si="3"/>
        <v>185228571.42857143</v>
      </c>
    </row>
    <row r="51" spans="1:5" x14ac:dyDescent="0.3">
      <c r="A51" s="71" t="s">
        <v>558</v>
      </c>
      <c r="B51" s="100">
        <v>133075800</v>
      </c>
      <c r="C51" s="103">
        <v>0.05</v>
      </c>
      <c r="D51" s="100">
        <f t="shared" si="2"/>
        <v>6336942.8571428657</v>
      </c>
      <c r="E51" s="100">
        <f t="shared" si="3"/>
        <v>126738857.14285713</v>
      </c>
    </row>
    <row r="52" spans="1:5" x14ac:dyDescent="0.3">
      <c r="A52" s="71" t="s">
        <v>623</v>
      </c>
      <c r="B52" s="100">
        <v>204128060</v>
      </c>
      <c r="C52" s="103">
        <v>0.05</v>
      </c>
      <c r="D52" s="100">
        <f t="shared" si="2"/>
        <v>9720383.8095238209</v>
      </c>
      <c r="E52" s="100">
        <f t="shared" si="3"/>
        <v>194407676.19047618</v>
      </c>
    </row>
    <row r="53" spans="1:5" x14ac:dyDescent="0.3">
      <c r="A53" s="71" t="s">
        <v>624</v>
      </c>
      <c r="B53" s="100">
        <v>194490000</v>
      </c>
      <c r="C53" s="103">
        <v>0.05</v>
      </c>
      <c r="D53" s="100">
        <f t="shared" si="2"/>
        <v>9261428.5714285672</v>
      </c>
      <c r="E53" s="100">
        <f t="shared" si="3"/>
        <v>185228571.42857143</v>
      </c>
    </row>
    <row r="54" spans="1:5" x14ac:dyDescent="0.3">
      <c r="A54" s="71" t="s">
        <v>625</v>
      </c>
      <c r="B54" s="100">
        <v>194490000</v>
      </c>
      <c r="C54" s="103">
        <v>0.05</v>
      </c>
      <c r="D54" s="100">
        <f t="shared" si="2"/>
        <v>9261428.5714285672</v>
      </c>
      <c r="E54" s="100">
        <f t="shared" si="3"/>
        <v>185228571.42857143</v>
      </c>
    </row>
    <row r="55" spans="1:5" x14ac:dyDescent="0.3">
      <c r="A55" s="71" t="s">
        <v>626</v>
      </c>
      <c r="B55" s="100">
        <v>186756861</v>
      </c>
      <c r="C55" s="103">
        <v>0.05</v>
      </c>
      <c r="D55" s="100">
        <f t="shared" si="2"/>
        <v>8893183.8571428657</v>
      </c>
      <c r="E55" s="100">
        <f t="shared" si="3"/>
        <v>177863677.14285713</v>
      </c>
    </row>
    <row r="56" spans="1:5" x14ac:dyDescent="0.3">
      <c r="A56" s="71" t="s">
        <v>627</v>
      </c>
      <c r="B56" s="100">
        <v>194490000</v>
      </c>
      <c r="C56" s="103">
        <v>0.05</v>
      </c>
      <c r="D56" s="100">
        <f t="shared" si="2"/>
        <v>9261428.5714285672</v>
      </c>
      <c r="E56" s="100">
        <f t="shared" si="3"/>
        <v>185228571.42857143</v>
      </c>
    </row>
    <row r="57" spans="1:5" x14ac:dyDescent="0.3">
      <c r="A57" s="71" t="s">
        <v>628</v>
      </c>
      <c r="B57" s="100">
        <v>194490000</v>
      </c>
      <c r="C57" s="103">
        <v>0.05</v>
      </c>
      <c r="D57" s="100">
        <f t="shared" si="2"/>
        <v>9261428.5714285672</v>
      </c>
      <c r="E57" s="100">
        <f t="shared" si="3"/>
        <v>185228571.42857143</v>
      </c>
    </row>
    <row r="58" spans="1:5" x14ac:dyDescent="0.3">
      <c r="A58" s="71" t="s">
        <v>629</v>
      </c>
      <c r="B58" s="100">
        <v>194490000</v>
      </c>
      <c r="C58" s="103">
        <v>0.05</v>
      </c>
      <c r="D58" s="100">
        <f t="shared" si="2"/>
        <v>9261428.5714285672</v>
      </c>
      <c r="E58" s="100">
        <f t="shared" si="3"/>
        <v>185228571.42857143</v>
      </c>
    </row>
    <row r="59" spans="1:5" x14ac:dyDescent="0.3">
      <c r="A59" s="71" t="s">
        <v>630</v>
      </c>
      <c r="B59" s="100">
        <v>194490000</v>
      </c>
      <c r="C59" s="103">
        <v>0.05</v>
      </c>
      <c r="D59" s="100">
        <f t="shared" si="2"/>
        <v>9261428.5714285672</v>
      </c>
      <c r="E59" s="100">
        <f t="shared" si="3"/>
        <v>185228571.42857143</v>
      </c>
    </row>
    <row r="60" spans="1:5" x14ac:dyDescent="0.3">
      <c r="A60" s="71" t="s">
        <v>631</v>
      </c>
      <c r="B60" s="100">
        <v>186756861</v>
      </c>
      <c r="C60" s="103">
        <v>0.05</v>
      </c>
      <c r="D60" s="100">
        <f t="shared" si="2"/>
        <v>8893183.8571428657</v>
      </c>
      <c r="E60" s="100">
        <f t="shared" si="3"/>
        <v>177863677.14285713</v>
      </c>
    </row>
    <row r="61" spans="1:5" x14ac:dyDescent="0.3">
      <c r="A61" s="71" t="s">
        <v>632</v>
      </c>
      <c r="B61" s="100">
        <v>216100000</v>
      </c>
      <c r="C61" s="103">
        <v>0.05</v>
      </c>
      <c r="D61" s="100">
        <f t="shared" si="2"/>
        <v>10290476.190476209</v>
      </c>
      <c r="E61" s="100">
        <f t="shared" si="3"/>
        <v>205809523.80952379</v>
      </c>
    </row>
    <row r="62" spans="1:5" x14ac:dyDescent="0.3">
      <c r="A62" s="71" t="s">
        <v>633</v>
      </c>
      <c r="B62" s="100">
        <v>194490000</v>
      </c>
      <c r="C62" s="103">
        <v>0.05</v>
      </c>
      <c r="D62" s="100">
        <f t="shared" si="2"/>
        <v>9261428.5714285672</v>
      </c>
      <c r="E62" s="100">
        <f t="shared" si="3"/>
        <v>185228571.42857143</v>
      </c>
    </row>
    <row r="63" spans="1:5" x14ac:dyDescent="0.3">
      <c r="A63" s="104" t="s">
        <v>634</v>
      </c>
      <c r="B63" s="108">
        <f>SUM(B64:B149)</f>
        <v>12004682976</v>
      </c>
      <c r="C63" s="109"/>
      <c r="D63" s="108">
        <f>SUM(D64:D149)</f>
        <v>571651570.28571451</v>
      </c>
      <c r="E63" s="108">
        <f>SUM(E64:E149)</f>
        <v>11433031405.714298</v>
      </c>
    </row>
    <row r="64" spans="1:5" x14ac:dyDescent="0.3">
      <c r="A64" s="110" t="s">
        <v>635</v>
      </c>
      <c r="B64" s="100">
        <v>137794800</v>
      </c>
      <c r="C64" s="103">
        <v>0.05</v>
      </c>
      <c r="D64" s="100">
        <f t="shared" ref="D64:D117" si="4">B64-E64</f>
        <v>6561657.1428571492</v>
      </c>
      <c r="E64" s="100">
        <f t="shared" ref="E64:E117" si="5">B64/(1+C64)</f>
        <v>131233142.85714285</v>
      </c>
    </row>
    <row r="65" spans="1:5" x14ac:dyDescent="0.3">
      <c r="A65" s="71" t="s">
        <v>491</v>
      </c>
      <c r="B65" s="100">
        <v>140468900</v>
      </c>
      <c r="C65" s="103">
        <v>0.05</v>
      </c>
      <c r="D65" s="100">
        <f t="shared" si="4"/>
        <v>6688995.2380952388</v>
      </c>
      <c r="E65" s="100">
        <f t="shared" si="5"/>
        <v>133779904.76190476</v>
      </c>
    </row>
    <row r="66" spans="1:5" x14ac:dyDescent="0.3">
      <c r="A66" s="71" t="s">
        <v>636</v>
      </c>
      <c r="B66" s="100">
        <v>140468900</v>
      </c>
      <c r="C66" s="103">
        <v>0.05</v>
      </c>
      <c r="D66" s="100">
        <f t="shared" si="4"/>
        <v>6688995.2380952388</v>
      </c>
      <c r="E66" s="100">
        <f t="shared" si="5"/>
        <v>133779904.76190476</v>
      </c>
    </row>
    <row r="67" spans="1:5" x14ac:dyDescent="0.3">
      <c r="A67" s="71" t="s">
        <v>637</v>
      </c>
      <c r="B67" s="100">
        <v>140468900</v>
      </c>
      <c r="C67" s="103">
        <v>0.05</v>
      </c>
      <c r="D67" s="100">
        <f t="shared" si="4"/>
        <v>6688995.2380952388</v>
      </c>
      <c r="E67" s="100">
        <f t="shared" si="5"/>
        <v>133779904.76190476</v>
      </c>
    </row>
    <row r="68" spans="1:5" x14ac:dyDescent="0.3">
      <c r="A68" s="71" t="s">
        <v>487</v>
      </c>
      <c r="B68" s="100">
        <v>140468900</v>
      </c>
      <c r="C68" s="103">
        <v>0.05</v>
      </c>
      <c r="D68" s="100">
        <f t="shared" si="4"/>
        <v>6688995.2380952388</v>
      </c>
      <c r="E68" s="100">
        <f t="shared" si="5"/>
        <v>133779904.76190476</v>
      </c>
    </row>
    <row r="69" spans="1:5" x14ac:dyDescent="0.3">
      <c r="A69" s="71" t="s">
        <v>493</v>
      </c>
      <c r="B69" s="100">
        <v>140468900</v>
      </c>
      <c r="C69" s="103">
        <v>0.05</v>
      </c>
      <c r="D69" s="100">
        <f t="shared" si="4"/>
        <v>6688995.2380952388</v>
      </c>
      <c r="E69" s="100">
        <f t="shared" si="5"/>
        <v>133779904.76190476</v>
      </c>
    </row>
    <row r="70" spans="1:5" x14ac:dyDescent="0.3">
      <c r="A70" s="71" t="s">
        <v>638</v>
      </c>
      <c r="B70" s="100">
        <v>140468900</v>
      </c>
      <c r="C70" s="103">
        <v>0.05</v>
      </c>
      <c r="D70" s="100">
        <f t="shared" si="4"/>
        <v>6688995.2380952388</v>
      </c>
      <c r="E70" s="100">
        <f t="shared" si="5"/>
        <v>133779904.76190476</v>
      </c>
    </row>
    <row r="71" spans="1:5" x14ac:dyDescent="0.3">
      <c r="A71" s="71" t="s">
        <v>639</v>
      </c>
      <c r="B71" s="100">
        <v>140468900</v>
      </c>
      <c r="C71" s="103">
        <v>0.05</v>
      </c>
      <c r="D71" s="100">
        <f t="shared" si="4"/>
        <v>6688995.2380952388</v>
      </c>
      <c r="E71" s="100">
        <f t="shared" si="5"/>
        <v>133779904.76190476</v>
      </c>
    </row>
    <row r="72" spans="1:5" x14ac:dyDescent="0.3">
      <c r="A72" s="71" t="s">
        <v>640</v>
      </c>
      <c r="B72" s="100">
        <v>137794800</v>
      </c>
      <c r="C72" s="103">
        <v>0.05</v>
      </c>
      <c r="D72" s="100">
        <f t="shared" si="4"/>
        <v>6561657.1428571492</v>
      </c>
      <c r="E72" s="100">
        <f t="shared" si="5"/>
        <v>131233142.85714285</v>
      </c>
    </row>
    <row r="73" spans="1:5" x14ac:dyDescent="0.3">
      <c r="A73" s="71" t="s">
        <v>215</v>
      </c>
      <c r="B73" s="100">
        <v>143929500</v>
      </c>
      <c r="C73" s="103">
        <v>0.05</v>
      </c>
      <c r="D73" s="100">
        <f t="shared" si="4"/>
        <v>6853785.7142857313</v>
      </c>
      <c r="E73" s="100">
        <f t="shared" si="5"/>
        <v>137075714.28571427</v>
      </c>
    </row>
    <row r="74" spans="1:5" x14ac:dyDescent="0.3">
      <c r="A74" s="71" t="s">
        <v>641</v>
      </c>
      <c r="B74" s="100">
        <v>146068780</v>
      </c>
      <c r="C74" s="103">
        <v>0.05</v>
      </c>
      <c r="D74" s="100">
        <f t="shared" si="4"/>
        <v>6955656.1904762089</v>
      </c>
      <c r="E74" s="100">
        <f t="shared" si="5"/>
        <v>139113123.80952379</v>
      </c>
    </row>
    <row r="75" spans="1:5" x14ac:dyDescent="0.3">
      <c r="A75" s="71" t="s">
        <v>642</v>
      </c>
      <c r="B75" s="100">
        <v>137322900</v>
      </c>
      <c r="C75" s="103">
        <v>0.05</v>
      </c>
      <c r="D75" s="100">
        <f t="shared" si="4"/>
        <v>6539185.7142857164</v>
      </c>
      <c r="E75" s="100">
        <f t="shared" si="5"/>
        <v>130783714.28571428</v>
      </c>
    </row>
    <row r="76" spans="1:5" x14ac:dyDescent="0.3">
      <c r="A76" s="71" t="s">
        <v>643</v>
      </c>
      <c r="B76" s="100">
        <v>140468900</v>
      </c>
      <c r="C76" s="103">
        <v>0.05</v>
      </c>
      <c r="D76" s="100">
        <f t="shared" si="4"/>
        <v>6688995.2380952388</v>
      </c>
      <c r="E76" s="100">
        <f t="shared" si="5"/>
        <v>133779904.76190476</v>
      </c>
    </row>
    <row r="77" spans="1:5" x14ac:dyDescent="0.3">
      <c r="A77" s="71" t="s">
        <v>644</v>
      </c>
      <c r="B77" s="100">
        <v>140468900</v>
      </c>
      <c r="C77" s="103">
        <v>0.05</v>
      </c>
      <c r="D77" s="100">
        <f t="shared" si="4"/>
        <v>6688995.2380952388</v>
      </c>
      <c r="E77" s="100">
        <f t="shared" si="5"/>
        <v>133779904.76190476</v>
      </c>
    </row>
    <row r="78" spans="1:5" x14ac:dyDescent="0.3">
      <c r="A78" s="71" t="s">
        <v>645</v>
      </c>
      <c r="B78" s="100">
        <v>137322900</v>
      </c>
      <c r="C78" s="103">
        <v>0.05</v>
      </c>
      <c r="D78" s="100">
        <f t="shared" si="4"/>
        <v>6539185.7142857164</v>
      </c>
      <c r="E78" s="100">
        <f t="shared" si="5"/>
        <v>130783714.28571428</v>
      </c>
    </row>
    <row r="79" spans="1:5" x14ac:dyDescent="0.3">
      <c r="A79" s="71" t="s">
        <v>646</v>
      </c>
      <c r="B79" s="100">
        <v>140468900</v>
      </c>
      <c r="C79" s="103">
        <v>0.05</v>
      </c>
      <c r="D79" s="100">
        <f t="shared" si="4"/>
        <v>6688995.2380952388</v>
      </c>
      <c r="E79" s="100">
        <f t="shared" si="5"/>
        <v>133779904.76190476</v>
      </c>
    </row>
    <row r="80" spans="1:5" x14ac:dyDescent="0.3">
      <c r="A80" s="71" t="s">
        <v>647</v>
      </c>
      <c r="B80" s="100">
        <v>140468900</v>
      </c>
      <c r="C80" s="103">
        <v>0.05</v>
      </c>
      <c r="D80" s="100">
        <f t="shared" si="4"/>
        <v>6688995.2380952388</v>
      </c>
      <c r="E80" s="100">
        <f t="shared" si="5"/>
        <v>133779904.76190476</v>
      </c>
    </row>
    <row r="81" spans="1:5" x14ac:dyDescent="0.3">
      <c r="A81" s="71" t="s">
        <v>648</v>
      </c>
      <c r="B81" s="100">
        <v>137322900</v>
      </c>
      <c r="C81" s="103">
        <v>0.05</v>
      </c>
      <c r="D81" s="100">
        <f t="shared" si="4"/>
        <v>6539185.7142857164</v>
      </c>
      <c r="E81" s="100">
        <f t="shared" si="5"/>
        <v>130783714.28571428</v>
      </c>
    </row>
    <row r="82" spans="1:5" x14ac:dyDescent="0.3">
      <c r="A82" s="71" t="s">
        <v>649</v>
      </c>
      <c r="B82" s="100">
        <v>140468900</v>
      </c>
      <c r="C82" s="103">
        <v>0.05</v>
      </c>
      <c r="D82" s="100">
        <f t="shared" si="4"/>
        <v>6688995.2380952388</v>
      </c>
      <c r="E82" s="100">
        <f t="shared" si="5"/>
        <v>133779904.76190476</v>
      </c>
    </row>
    <row r="83" spans="1:5" x14ac:dyDescent="0.3">
      <c r="A83" s="71" t="s">
        <v>650</v>
      </c>
      <c r="B83" s="100">
        <v>137794800</v>
      </c>
      <c r="C83" s="103">
        <v>0.05</v>
      </c>
      <c r="D83" s="100">
        <f t="shared" si="4"/>
        <v>6561657.1428571492</v>
      </c>
      <c r="E83" s="100">
        <f t="shared" si="5"/>
        <v>131233142.85714285</v>
      </c>
    </row>
    <row r="84" spans="1:5" x14ac:dyDescent="0.3">
      <c r="A84" s="71" t="s">
        <v>651</v>
      </c>
      <c r="B84" s="100">
        <v>137794800</v>
      </c>
      <c r="C84" s="103">
        <v>0.05</v>
      </c>
      <c r="D84" s="100">
        <f t="shared" si="4"/>
        <v>6561657.1428571492</v>
      </c>
      <c r="E84" s="100">
        <f t="shared" si="5"/>
        <v>131233142.85714285</v>
      </c>
    </row>
    <row r="85" spans="1:5" x14ac:dyDescent="0.3">
      <c r="A85" s="71" t="s">
        <v>215</v>
      </c>
      <c r="B85" s="100">
        <v>143929500</v>
      </c>
      <c r="C85" s="103">
        <v>0.05</v>
      </c>
      <c r="D85" s="100">
        <f t="shared" si="4"/>
        <v>6853785.7142857313</v>
      </c>
      <c r="E85" s="100">
        <f t="shared" si="5"/>
        <v>137075714.28571427</v>
      </c>
    </row>
    <row r="86" spans="1:5" x14ac:dyDescent="0.3">
      <c r="A86" s="71" t="s">
        <v>652</v>
      </c>
      <c r="B86" s="100">
        <v>138018166</v>
      </c>
      <c r="C86" s="103">
        <v>0.05</v>
      </c>
      <c r="D86" s="100">
        <f t="shared" si="4"/>
        <v>6572293.6190476269</v>
      </c>
      <c r="E86" s="100">
        <f t="shared" si="5"/>
        <v>131445872.38095237</v>
      </c>
    </row>
    <row r="87" spans="1:5" x14ac:dyDescent="0.3">
      <c r="A87" s="71" t="s">
        <v>653</v>
      </c>
      <c r="B87" s="100">
        <v>137322900</v>
      </c>
      <c r="C87" s="103">
        <v>0.05</v>
      </c>
      <c r="D87" s="100">
        <f t="shared" si="4"/>
        <v>6539185.7142857164</v>
      </c>
      <c r="E87" s="100">
        <f t="shared" si="5"/>
        <v>130783714.28571428</v>
      </c>
    </row>
    <row r="88" spans="1:5" x14ac:dyDescent="0.3">
      <c r="A88" s="71" t="s">
        <v>654</v>
      </c>
      <c r="B88" s="100">
        <v>137322900</v>
      </c>
      <c r="C88" s="103">
        <v>0.05</v>
      </c>
      <c r="D88" s="100">
        <f t="shared" si="4"/>
        <v>6539185.7142857164</v>
      </c>
      <c r="E88" s="100">
        <f t="shared" si="5"/>
        <v>130783714.28571428</v>
      </c>
    </row>
    <row r="89" spans="1:5" x14ac:dyDescent="0.3">
      <c r="A89" s="71" t="s">
        <v>655</v>
      </c>
      <c r="B89" s="100">
        <v>141570000</v>
      </c>
      <c r="C89" s="103">
        <v>0.05</v>
      </c>
      <c r="D89" s="100">
        <f t="shared" si="4"/>
        <v>6741428.5714285672</v>
      </c>
      <c r="E89" s="100">
        <f t="shared" si="5"/>
        <v>134828571.42857143</v>
      </c>
    </row>
    <row r="90" spans="1:5" x14ac:dyDescent="0.3">
      <c r="A90" s="71" t="s">
        <v>656</v>
      </c>
      <c r="B90" s="100">
        <v>138018166</v>
      </c>
      <c r="C90" s="103">
        <v>0.05</v>
      </c>
      <c r="D90" s="100">
        <f t="shared" si="4"/>
        <v>6572293.6190476269</v>
      </c>
      <c r="E90" s="100">
        <f t="shared" si="5"/>
        <v>131445872.38095237</v>
      </c>
    </row>
    <row r="91" spans="1:5" x14ac:dyDescent="0.3">
      <c r="A91" s="71" t="s">
        <v>657</v>
      </c>
      <c r="B91" s="100">
        <v>137794800</v>
      </c>
      <c r="C91" s="103">
        <v>0.05</v>
      </c>
      <c r="D91" s="100">
        <f t="shared" si="4"/>
        <v>6561657.1428571492</v>
      </c>
      <c r="E91" s="100">
        <f t="shared" si="5"/>
        <v>131233142.85714285</v>
      </c>
    </row>
    <row r="92" spans="1:5" x14ac:dyDescent="0.3">
      <c r="A92" s="71" t="s">
        <v>658</v>
      </c>
      <c r="B92" s="100">
        <v>140468900</v>
      </c>
      <c r="C92" s="103">
        <v>0.05</v>
      </c>
      <c r="D92" s="100">
        <f t="shared" si="4"/>
        <v>6688995.2380952388</v>
      </c>
      <c r="E92" s="100">
        <f t="shared" si="5"/>
        <v>133779904.76190476</v>
      </c>
    </row>
    <row r="93" spans="1:5" x14ac:dyDescent="0.3">
      <c r="A93" s="71" t="s">
        <v>488</v>
      </c>
      <c r="B93" s="100">
        <v>140468900</v>
      </c>
      <c r="C93" s="103">
        <v>0.05</v>
      </c>
      <c r="D93" s="100">
        <f t="shared" si="4"/>
        <v>6688995.2380952388</v>
      </c>
      <c r="E93" s="100">
        <f t="shared" si="5"/>
        <v>133779904.76190476</v>
      </c>
    </row>
    <row r="94" spans="1:5" x14ac:dyDescent="0.3">
      <c r="A94" s="71" t="s">
        <v>659</v>
      </c>
      <c r="B94" s="100">
        <v>137322900</v>
      </c>
      <c r="C94" s="103">
        <v>0.05</v>
      </c>
      <c r="D94" s="100">
        <f t="shared" si="4"/>
        <v>6539185.7142857164</v>
      </c>
      <c r="E94" s="100">
        <f t="shared" si="5"/>
        <v>130783714.28571428</v>
      </c>
    </row>
    <row r="95" spans="1:5" x14ac:dyDescent="0.3">
      <c r="A95" s="71" t="s">
        <v>660</v>
      </c>
      <c r="B95" s="100">
        <v>138018166</v>
      </c>
      <c r="C95" s="103">
        <v>0.05</v>
      </c>
      <c r="D95" s="100">
        <f t="shared" si="4"/>
        <v>6572293.6190476269</v>
      </c>
      <c r="E95" s="100">
        <f t="shared" si="5"/>
        <v>131445872.38095237</v>
      </c>
    </row>
    <row r="96" spans="1:5" x14ac:dyDescent="0.3">
      <c r="A96" s="71" t="s">
        <v>215</v>
      </c>
      <c r="B96" s="100">
        <v>143929500</v>
      </c>
      <c r="C96" s="103">
        <v>0.05</v>
      </c>
      <c r="D96" s="100">
        <f t="shared" si="4"/>
        <v>6853785.7142857313</v>
      </c>
      <c r="E96" s="100">
        <f t="shared" si="5"/>
        <v>137075714.28571427</v>
      </c>
    </row>
    <row r="97" spans="1:5" x14ac:dyDescent="0.3">
      <c r="A97" s="71" t="s">
        <v>661</v>
      </c>
      <c r="B97" s="100">
        <v>137322900</v>
      </c>
      <c r="C97" s="103">
        <v>0.05</v>
      </c>
      <c r="D97" s="100">
        <f t="shared" si="4"/>
        <v>6539185.7142857164</v>
      </c>
      <c r="E97" s="100">
        <f t="shared" si="5"/>
        <v>130783714.28571428</v>
      </c>
    </row>
    <row r="98" spans="1:5" x14ac:dyDescent="0.3">
      <c r="A98" s="71" t="s">
        <v>662</v>
      </c>
      <c r="B98" s="100">
        <v>140468900</v>
      </c>
      <c r="C98" s="103">
        <v>0.05</v>
      </c>
      <c r="D98" s="100">
        <f t="shared" si="4"/>
        <v>6688995.2380952388</v>
      </c>
      <c r="E98" s="100">
        <f t="shared" si="5"/>
        <v>133779904.76190476</v>
      </c>
    </row>
    <row r="99" spans="1:5" x14ac:dyDescent="0.3">
      <c r="A99" s="71" t="s">
        <v>663</v>
      </c>
      <c r="B99" s="100">
        <v>138018166</v>
      </c>
      <c r="C99" s="103">
        <v>0.05</v>
      </c>
      <c r="D99" s="100">
        <f t="shared" si="4"/>
        <v>6572293.6190476269</v>
      </c>
      <c r="E99" s="100">
        <f t="shared" si="5"/>
        <v>131445872.38095237</v>
      </c>
    </row>
    <row r="100" spans="1:5" x14ac:dyDescent="0.3">
      <c r="A100" s="71" t="s">
        <v>664</v>
      </c>
      <c r="B100" s="100">
        <v>140468900</v>
      </c>
      <c r="C100" s="103">
        <v>0.05</v>
      </c>
      <c r="D100" s="100">
        <f t="shared" si="4"/>
        <v>6688995.2380952388</v>
      </c>
      <c r="E100" s="100">
        <f t="shared" si="5"/>
        <v>133779904.76190476</v>
      </c>
    </row>
    <row r="101" spans="1:5" x14ac:dyDescent="0.3">
      <c r="A101" s="71" t="s">
        <v>665</v>
      </c>
      <c r="B101" s="100">
        <v>137794800</v>
      </c>
      <c r="C101" s="103">
        <v>0.05</v>
      </c>
      <c r="D101" s="100">
        <f t="shared" si="4"/>
        <v>6561657.1428571492</v>
      </c>
      <c r="E101" s="100">
        <f t="shared" si="5"/>
        <v>131233142.85714285</v>
      </c>
    </row>
    <row r="102" spans="1:5" x14ac:dyDescent="0.3">
      <c r="A102" s="71" t="s">
        <v>666</v>
      </c>
      <c r="B102" s="100">
        <v>137794800</v>
      </c>
      <c r="C102" s="103">
        <v>0.05</v>
      </c>
      <c r="D102" s="100">
        <f t="shared" si="4"/>
        <v>6561657.1428571492</v>
      </c>
      <c r="E102" s="100">
        <f t="shared" si="5"/>
        <v>131233142.85714285</v>
      </c>
    </row>
    <row r="103" spans="1:5" x14ac:dyDescent="0.3">
      <c r="A103" s="71" t="s">
        <v>667</v>
      </c>
      <c r="B103" s="100">
        <v>137794800</v>
      </c>
      <c r="C103" s="103">
        <v>0.05</v>
      </c>
      <c r="D103" s="100">
        <f t="shared" si="4"/>
        <v>6561657.1428571492</v>
      </c>
      <c r="E103" s="100">
        <f t="shared" si="5"/>
        <v>131233142.85714285</v>
      </c>
    </row>
    <row r="104" spans="1:5" x14ac:dyDescent="0.3">
      <c r="A104" s="71" t="s">
        <v>668</v>
      </c>
      <c r="B104" s="100">
        <v>140468900</v>
      </c>
      <c r="C104" s="103">
        <v>0.05</v>
      </c>
      <c r="D104" s="100">
        <f t="shared" si="4"/>
        <v>6688995.2380952388</v>
      </c>
      <c r="E104" s="100">
        <f t="shared" si="5"/>
        <v>133779904.76190476</v>
      </c>
    </row>
    <row r="105" spans="1:5" x14ac:dyDescent="0.3">
      <c r="A105" s="71" t="s">
        <v>669</v>
      </c>
      <c r="B105" s="100">
        <v>140468900</v>
      </c>
      <c r="C105" s="103">
        <v>0.05</v>
      </c>
      <c r="D105" s="100">
        <f t="shared" si="4"/>
        <v>6688995.2380952388</v>
      </c>
      <c r="E105" s="100">
        <f t="shared" si="5"/>
        <v>133779904.76190476</v>
      </c>
    </row>
    <row r="106" spans="1:5" x14ac:dyDescent="0.3">
      <c r="A106" s="71" t="s">
        <v>486</v>
      </c>
      <c r="B106" s="100">
        <v>140468900</v>
      </c>
      <c r="C106" s="103">
        <v>0.05</v>
      </c>
      <c r="D106" s="100">
        <f t="shared" si="4"/>
        <v>6688995.2380952388</v>
      </c>
      <c r="E106" s="100">
        <f t="shared" si="5"/>
        <v>133779904.76190476</v>
      </c>
    </row>
    <row r="107" spans="1:5" x14ac:dyDescent="0.3">
      <c r="A107" s="71" t="s">
        <v>670</v>
      </c>
      <c r="B107" s="100">
        <v>143929500</v>
      </c>
      <c r="C107" s="103">
        <v>0.05</v>
      </c>
      <c r="D107" s="100">
        <f t="shared" si="4"/>
        <v>6853785.7142857313</v>
      </c>
      <c r="E107" s="100">
        <f t="shared" si="5"/>
        <v>137075714.28571427</v>
      </c>
    </row>
    <row r="108" spans="1:5" x14ac:dyDescent="0.3">
      <c r="A108" s="71" t="s">
        <v>671</v>
      </c>
      <c r="B108" s="100">
        <v>137794800</v>
      </c>
      <c r="C108" s="103">
        <v>0.05</v>
      </c>
      <c r="D108" s="100">
        <f t="shared" si="4"/>
        <v>6561657.1428571492</v>
      </c>
      <c r="E108" s="100">
        <f t="shared" si="5"/>
        <v>131233142.85714285</v>
      </c>
    </row>
    <row r="109" spans="1:5" x14ac:dyDescent="0.3">
      <c r="A109" s="71" t="s">
        <v>672</v>
      </c>
      <c r="B109" s="100">
        <v>137322900</v>
      </c>
      <c r="C109" s="103">
        <v>0.05</v>
      </c>
      <c r="D109" s="100">
        <f t="shared" si="4"/>
        <v>6539185.7142857164</v>
      </c>
      <c r="E109" s="100">
        <f t="shared" si="5"/>
        <v>130783714.28571428</v>
      </c>
    </row>
    <row r="110" spans="1:5" x14ac:dyDescent="0.3">
      <c r="A110" s="71" t="s">
        <v>673</v>
      </c>
      <c r="B110" s="100">
        <v>140468900</v>
      </c>
      <c r="C110" s="103">
        <v>0.05</v>
      </c>
      <c r="D110" s="100">
        <f t="shared" si="4"/>
        <v>6688995.2380952388</v>
      </c>
      <c r="E110" s="100">
        <f t="shared" si="5"/>
        <v>133779904.76190476</v>
      </c>
    </row>
    <row r="111" spans="1:5" x14ac:dyDescent="0.3">
      <c r="A111" s="71" t="s">
        <v>674</v>
      </c>
      <c r="B111" s="100">
        <v>137794800</v>
      </c>
      <c r="C111" s="103">
        <v>0.05</v>
      </c>
      <c r="D111" s="100">
        <f t="shared" si="4"/>
        <v>6561657.1428571492</v>
      </c>
      <c r="E111" s="100">
        <f t="shared" si="5"/>
        <v>131233142.85714285</v>
      </c>
    </row>
    <row r="112" spans="1:5" x14ac:dyDescent="0.3">
      <c r="A112" s="71" t="s">
        <v>675</v>
      </c>
      <c r="B112" s="100">
        <v>137794800</v>
      </c>
      <c r="C112" s="103">
        <v>0.05</v>
      </c>
      <c r="D112" s="100">
        <f t="shared" si="4"/>
        <v>6561657.1428571492</v>
      </c>
      <c r="E112" s="100">
        <f t="shared" si="5"/>
        <v>131233142.85714285</v>
      </c>
    </row>
    <row r="113" spans="1:5" x14ac:dyDescent="0.3">
      <c r="A113" s="71" t="s">
        <v>676</v>
      </c>
      <c r="B113" s="100">
        <v>137322900</v>
      </c>
      <c r="C113" s="103">
        <v>0.05</v>
      </c>
      <c r="D113" s="100">
        <f t="shared" si="4"/>
        <v>6539185.7142857164</v>
      </c>
      <c r="E113" s="100">
        <f t="shared" si="5"/>
        <v>130783714.28571428</v>
      </c>
    </row>
    <row r="114" spans="1:5" x14ac:dyDescent="0.3">
      <c r="A114" s="71" t="s">
        <v>677</v>
      </c>
      <c r="B114" s="100">
        <v>140468900</v>
      </c>
      <c r="C114" s="103">
        <v>0.05</v>
      </c>
      <c r="D114" s="100">
        <f t="shared" si="4"/>
        <v>6688995.2380952388</v>
      </c>
      <c r="E114" s="100">
        <f t="shared" si="5"/>
        <v>133779904.76190476</v>
      </c>
    </row>
    <row r="115" spans="1:5" x14ac:dyDescent="0.3">
      <c r="A115" s="71" t="s">
        <v>678</v>
      </c>
      <c r="B115" s="100">
        <v>140468900</v>
      </c>
      <c r="C115" s="103">
        <v>0.05</v>
      </c>
      <c r="D115" s="100">
        <f t="shared" si="4"/>
        <v>6688995.2380952388</v>
      </c>
      <c r="E115" s="100">
        <f t="shared" si="5"/>
        <v>133779904.76190476</v>
      </c>
    </row>
    <row r="116" spans="1:5" x14ac:dyDescent="0.3">
      <c r="A116" s="71" t="s">
        <v>679</v>
      </c>
      <c r="B116" s="100">
        <v>137322900</v>
      </c>
      <c r="C116" s="103">
        <v>0.05</v>
      </c>
      <c r="D116" s="100">
        <f t="shared" si="4"/>
        <v>6539185.7142857164</v>
      </c>
      <c r="E116" s="100">
        <f t="shared" si="5"/>
        <v>130783714.28571428</v>
      </c>
    </row>
    <row r="117" spans="1:5" x14ac:dyDescent="0.3">
      <c r="A117" s="71" t="s">
        <v>680</v>
      </c>
      <c r="B117" s="100">
        <v>141570000</v>
      </c>
      <c r="C117" s="103">
        <v>0.05</v>
      </c>
      <c r="D117" s="100">
        <f t="shared" si="4"/>
        <v>6741428.5714285672</v>
      </c>
      <c r="E117" s="100">
        <f t="shared" si="5"/>
        <v>134828571.42857143</v>
      </c>
    </row>
    <row r="118" spans="1:5" x14ac:dyDescent="0.3">
      <c r="A118" s="71" t="s">
        <v>681</v>
      </c>
      <c r="B118" s="100">
        <v>137322900</v>
      </c>
      <c r="C118" s="103">
        <v>0.05</v>
      </c>
      <c r="D118" s="100">
        <f t="shared" ref="D118:D129" si="6">B118-E118</f>
        <v>6539185.7142857164</v>
      </c>
      <c r="E118" s="100">
        <f t="shared" ref="E118:E129" si="7">B118/(1+C118)</f>
        <v>130783714.28571428</v>
      </c>
    </row>
    <row r="119" spans="1:5" x14ac:dyDescent="0.3">
      <c r="A119" s="71" t="s">
        <v>682</v>
      </c>
      <c r="B119" s="100">
        <v>137322900</v>
      </c>
      <c r="C119" s="103">
        <v>0.05</v>
      </c>
      <c r="D119" s="100">
        <f t="shared" si="6"/>
        <v>6539185.7142857164</v>
      </c>
      <c r="E119" s="100">
        <f t="shared" si="7"/>
        <v>130783714.28571428</v>
      </c>
    </row>
    <row r="120" spans="1:5" x14ac:dyDescent="0.3">
      <c r="A120" s="71" t="s">
        <v>683</v>
      </c>
      <c r="B120" s="100">
        <v>137322900</v>
      </c>
      <c r="C120" s="103">
        <v>0.05</v>
      </c>
      <c r="D120" s="100">
        <f t="shared" si="6"/>
        <v>6539185.7142857164</v>
      </c>
      <c r="E120" s="100">
        <f t="shared" si="7"/>
        <v>130783714.28571428</v>
      </c>
    </row>
    <row r="121" spans="1:5" x14ac:dyDescent="0.3">
      <c r="A121" s="71" t="s">
        <v>684</v>
      </c>
      <c r="B121" s="100">
        <v>137322900</v>
      </c>
      <c r="C121" s="103">
        <v>0.05</v>
      </c>
      <c r="D121" s="100">
        <f t="shared" si="6"/>
        <v>6539185.7142857164</v>
      </c>
      <c r="E121" s="100">
        <f t="shared" si="7"/>
        <v>130783714.28571428</v>
      </c>
    </row>
    <row r="122" spans="1:5" x14ac:dyDescent="0.3">
      <c r="A122" s="71" t="s">
        <v>685</v>
      </c>
      <c r="B122" s="100">
        <v>140468900</v>
      </c>
      <c r="C122" s="103">
        <v>0.05</v>
      </c>
      <c r="D122" s="100">
        <f t="shared" si="6"/>
        <v>6688995.2380952388</v>
      </c>
      <c r="E122" s="100">
        <f t="shared" si="7"/>
        <v>133779904.76190476</v>
      </c>
    </row>
    <row r="123" spans="1:5" x14ac:dyDescent="0.3">
      <c r="A123" s="71" t="s">
        <v>686</v>
      </c>
      <c r="B123" s="100">
        <v>140468900</v>
      </c>
      <c r="C123" s="103">
        <v>0.05</v>
      </c>
      <c r="D123" s="100">
        <f t="shared" si="6"/>
        <v>6688995.2380952388</v>
      </c>
      <c r="E123" s="100">
        <f t="shared" si="7"/>
        <v>133779904.76190476</v>
      </c>
    </row>
    <row r="124" spans="1:5" x14ac:dyDescent="0.3">
      <c r="A124" s="71" t="s">
        <v>687</v>
      </c>
      <c r="B124" s="100">
        <v>140468900</v>
      </c>
      <c r="C124" s="103">
        <v>0.05</v>
      </c>
      <c r="D124" s="100">
        <f t="shared" si="6"/>
        <v>6688995.2380952388</v>
      </c>
      <c r="E124" s="100">
        <f t="shared" si="7"/>
        <v>133779904.76190476</v>
      </c>
    </row>
    <row r="125" spans="1:5" x14ac:dyDescent="0.3">
      <c r="A125" s="71" t="s">
        <v>688</v>
      </c>
      <c r="B125" s="100">
        <v>140468900</v>
      </c>
      <c r="C125" s="103">
        <v>0.05</v>
      </c>
      <c r="D125" s="100">
        <f t="shared" si="6"/>
        <v>6688995.2380952388</v>
      </c>
      <c r="E125" s="100">
        <f t="shared" si="7"/>
        <v>133779904.76190476</v>
      </c>
    </row>
    <row r="126" spans="1:5" x14ac:dyDescent="0.3">
      <c r="A126" s="71" t="s">
        <v>689</v>
      </c>
      <c r="B126" s="100">
        <v>140468900</v>
      </c>
      <c r="C126" s="103">
        <v>0.05</v>
      </c>
      <c r="D126" s="100">
        <f t="shared" si="6"/>
        <v>6688995.2380952388</v>
      </c>
      <c r="E126" s="100">
        <f t="shared" si="7"/>
        <v>133779904.76190476</v>
      </c>
    </row>
    <row r="127" spans="1:5" x14ac:dyDescent="0.3">
      <c r="A127" s="71" t="s">
        <v>690</v>
      </c>
      <c r="B127" s="100">
        <v>140468900</v>
      </c>
      <c r="C127" s="103">
        <v>0.05</v>
      </c>
      <c r="D127" s="100">
        <f t="shared" si="6"/>
        <v>6688995.2380952388</v>
      </c>
      <c r="E127" s="100">
        <f t="shared" si="7"/>
        <v>133779904.76190476</v>
      </c>
    </row>
    <row r="128" spans="1:5" x14ac:dyDescent="0.3">
      <c r="A128" s="71" t="s">
        <v>691</v>
      </c>
      <c r="B128" s="100">
        <v>140468900</v>
      </c>
      <c r="C128" s="103">
        <v>0.05</v>
      </c>
      <c r="D128" s="100">
        <f t="shared" si="6"/>
        <v>6688995.2380952388</v>
      </c>
      <c r="E128" s="100">
        <f t="shared" si="7"/>
        <v>133779904.76190476</v>
      </c>
    </row>
    <row r="129" spans="1:5" x14ac:dyDescent="0.3">
      <c r="A129" s="71" t="s">
        <v>692</v>
      </c>
      <c r="B129" s="100">
        <v>140468900</v>
      </c>
      <c r="C129" s="103">
        <v>0.05</v>
      </c>
      <c r="D129" s="100">
        <f t="shared" si="6"/>
        <v>6688995.2380952388</v>
      </c>
      <c r="E129" s="100">
        <f t="shared" si="7"/>
        <v>133779904.76190476</v>
      </c>
    </row>
    <row r="130" spans="1:5" x14ac:dyDescent="0.3">
      <c r="A130" s="71" t="s">
        <v>215</v>
      </c>
      <c r="B130" s="100">
        <v>143929500</v>
      </c>
      <c r="C130" s="103">
        <v>0.05</v>
      </c>
      <c r="D130" s="100">
        <f t="shared" ref="D130:D149" si="8">B130-E130</f>
        <v>6853785.7142857313</v>
      </c>
      <c r="E130" s="100">
        <f t="shared" ref="E130:E149" si="9">B130/(1+C130)</f>
        <v>137075714.28571427</v>
      </c>
    </row>
    <row r="131" spans="1:5" x14ac:dyDescent="0.3">
      <c r="A131" s="71" t="s">
        <v>693</v>
      </c>
      <c r="B131" s="100">
        <v>137794800</v>
      </c>
      <c r="C131" s="103">
        <v>0.05</v>
      </c>
      <c r="D131" s="100">
        <f t="shared" si="8"/>
        <v>6561657.1428571492</v>
      </c>
      <c r="E131" s="100">
        <f t="shared" si="9"/>
        <v>131233142.85714285</v>
      </c>
    </row>
    <row r="132" spans="1:5" x14ac:dyDescent="0.3">
      <c r="A132" s="71" t="s">
        <v>694</v>
      </c>
      <c r="B132" s="100">
        <v>137794800</v>
      </c>
      <c r="C132" s="103">
        <v>0.05</v>
      </c>
      <c r="D132" s="100">
        <f t="shared" si="8"/>
        <v>6561657.1428571492</v>
      </c>
      <c r="E132" s="100">
        <f t="shared" si="9"/>
        <v>131233142.85714285</v>
      </c>
    </row>
    <row r="133" spans="1:5" x14ac:dyDescent="0.3">
      <c r="A133" s="71" t="s">
        <v>695</v>
      </c>
      <c r="B133" s="100">
        <v>137794800</v>
      </c>
      <c r="C133" s="103">
        <v>0.05</v>
      </c>
      <c r="D133" s="100">
        <f t="shared" si="8"/>
        <v>6561657.1428571492</v>
      </c>
      <c r="E133" s="100">
        <f t="shared" si="9"/>
        <v>131233142.85714285</v>
      </c>
    </row>
    <row r="134" spans="1:5" x14ac:dyDescent="0.3">
      <c r="A134" s="71" t="s">
        <v>490</v>
      </c>
      <c r="B134" s="100">
        <v>140468900</v>
      </c>
      <c r="C134" s="103">
        <v>0.05</v>
      </c>
      <c r="D134" s="100">
        <f t="shared" si="8"/>
        <v>6688995.2380952388</v>
      </c>
      <c r="E134" s="100">
        <f t="shared" si="9"/>
        <v>133779904.76190476</v>
      </c>
    </row>
    <row r="135" spans="1:5" x14ac:dyDescent="0.3">
      <c r="A135" s="71" t="s">
        <v>492</v>
      </c>
      <c r="B135" s="100">
        <v>140468900</v>
      </c>
      <c r="C135" s="103">
        <v>0.05</v>
      </c>
      <c r="D135" s="100">
        <f t="shared" si="8"/>
        <v>6688995.2380952388</v>
      </c>
      <c r="E135" s="100">
        <f t="shared" si="9"/>
        <v>133779904.76190476</v>
      </c>
    </row>
    <row r="136" spans="1:5" x14ac:dyDescent="0.3">
      <c r="A136" s="71" t="s">
        <v>696</v>
      </c>
      <c r="B136" s="100">
        <v>140468900</v>
      </c>
      <c r="C136" s="103">
        <v>0.05</v>
      </c>
      <c r="D136" s="100">
        <f t="shared" si="8"/>
        <v>6688995.2380952388</v>
      </c>
      <c r="E136" s="100">
        <f t="shared" si="9"/>
        <v>133779904.76190476</v>
      </c>
    </row>
    <row r="137" spans="1:5" x14ac:dyDescent="0.3">
      <c r="A137" s="71" t="s">
        <v>697</v>
      </c>
      <c r="B137" s="100">
        <v>140468900</v>
      </c>
      <c r="C137" s="103">
        <v>0.05</v>
      </c>
      <c r="D137" s="100">
        <f t="shared" si="8"/>
        <v>6688995.2380952388</v>
      </c>
      <c r="E137" s="100">
        <f t="shared" si="9"/>
        <v>133779904.76190476</v>
      </c>
    </row>
    <row r="138" spans="1:5" x14ac:dyDescent="0.3">
      <c r="A138" s="71" t="s">
        <v>698</v>
      </c>
      <c r="B138" s="100">
        <v>140468900</v>
      </c>
      <c r="C138" s="103">
        <v>0.05</v>
      </c>
      <c r="D138" s="100">
        <f t="shared" si="8"/>
        <v>6688995.2380952388</v>
      </c>
      <c r="E138" s="100">
        <f t="shared" si="9"/>
        <v>133779904.76190476</v>
      </c>
    </row>
    <row r="139" spans="1:5" x14ac:dyDescent="0.3">
      <c r="A139" s="71" t="s">
        <v>699</v>
      </c>
      <c r="B139" s="100">
        <v>140468900</v>
      </c>
      <c r="C139" s="103">
        <v>0.05</v>
      </c>
      <c r="D139" s="100">
        <f t="shared" si="8"/>
        <v>6688995.2380952388</v>
      </c>
      <c r="E139" s="100">
        <f t="shared" si="9"/>
        <v>133779904.76190476</v>
      </c>
    </row>
    <row r="140" spans="1:5" x14ac:dyDescent="0.3">
      <c r="A140" s="71" t="s">
        <v>700</v>
      </c>
      <c r="B140" s="100">
        <v>140468900</v>
      </c>
      <c r="C140" s="103">
        <v>0.05</v>
      </c>
      <c r="D140" s="100">
        <f t="shared" si="8"/>
        <v>6688995.2380952388</v>
      </c>
      <c r="E140" s="100">
        <f t="shared" si="9"/>
        <v>133779904.76190476</v>
      </c>
    </row>
    <row r="141" spans="1:5" x14ac:dyDescent="0.3">
      <c r="A141" s="71" t="s">
        <v>701</v>
      </c>
      <c r="B141" s="100">
        <v>140468900</v>
      </c>
      <c r="C141" s="103">
        <v>0.05</v>
      </c>
      <c r="D141" s="100">
        <f t="shared" si="8"/>
        <v>6688995.2380952388</v>
      </c>
      <c r="E141" s="100">
        <f t="shared" si="9"/>
        <v>133779904.76190476</v>
      </c>
    </row>
    <row r="142" spans="1:5" x14ac:dyDescent="0.3">
      <c r="A142" s="71" t="s">
        <v>702</v>
      </c>
      <c r="B142" s="100">
        <v>137794800</v>
      </c>
      <c r="C142" s="103">
        <v>0.05</v>
      </c>
      <c r="D142" s="100">
        <f t="shared" si="8"/>
        <v>6561657.1428571492</v>
      </c>
      <c r="E142" s="100">
        <f t="shared" si="9"/>
        <v>131233142.85714285</v>
      </c>
    </row>
    <row r="143" spans="1:5" x14ac:dyDescent="0.3">
      <c r="A143" s="71" t="s">
        <v>703</v>
      </c>
      <c r="B143" s="100">
        <v>138018166</v>
      </c>
      <c r="C143" s="103">
        <v>0.05</v>
      </c>
      <c r="D143" s="100">
        <f t="shared" si="8"/>
        <v>6572293.6190476269</v>
      </c>
      <c r="E143" s="100">
        <f t="shared" si="9"/>
        <v>131445872.38095237</v>
      </c>
    </row>
    <row r="144" spans="1:5" x14ac:dyDescent="0.3">
      <c r="A144" s="71" t="s">
        <v>704</v>
      </c>
      <c r="B144" s="100">
        <v>137794800</v>
      </c>
      <c r="C144" s="103">
        <v>0.05</v>
      </c>
      <c r="D144" s="100">
        <f t="shared" si="8"/>
        <v>6561657.1428571492</v>
      </c>
      <c r="E144" s="100">
        <f t="shared" si="9"/>
        <v>131233142.85714285</v>
      </c>
    </row>
    <row r="145" spans="1:5" x14ac:dyDescent="0.3">
      <c r="A145" s="71" t="s">
        <v>705</v>
      </c>
      <c r="B145" s="100">
        <v>137794800</v>
      </c>
      <c r="C145" s="103">
        <v>0.05</v>
      </c>
      <c r="D145" s="100">
        <f t="shared" si="8"/>
        <v>6561657.1428571492</v>
      </c>
      <c r="E145" s="100">
        <f t="shared" si="9"/>
        <v>131233142.85714285</v>
      </c>
    </row>
    <row r="146" spans="1:5" x14ac:dyDescent="0.3">
      <c r="A146" s="71" t="s">
        <v>489</v>
      </c>
      <c r="B146" s="100">
        <v>140468900</v>
      </c>
      <c r="C146" s="103">
        <v>0.05</v>
      </c>
      <c r="D146" s="100">
        <f t="shared" si="8"/>
        <v>6688995.2380952388</v>
      </c>
      <c r="E146" s="100">
        <f t="shared" si="9"/>
        <v>133779904.76190476</v>
      </c>
    </row>
    <row r="147" spans="1:5" x14ac:dyDescent="0.3">
      <c r="A147" s="71" t="s">
        <v>706</v>
      </c>
      <c r="B147" s="100">
        <v>140468900</v>
      </c>
      <c r="C147" s="103">
        <v>0.05</v>
      </c>
      <c r="D147" s="100">
        <f t="shared" si="8"/>
        <v>6688995.2380952388</v>
      </c>
      <c r="E147" s="100">
        <f t="shared" si="9"/>
        <v>133779904.76190476</v>
      </c>
    </row>
    <row r="148" spans="1:5" x14ac:dyDescent="0.3">
      <c r="A148" s="71" t="s">
        <v>215</v>
      </c>
      <c r="B148" s="100">
        <v>143929500</v>
      </c>
      <c r="C148" s="103">
        <v>0.05</v>
      </c>
      <c r="D148" s="100">
        <f t="shared" si="8"/>
        <v>6853785.7142857313</v>
      </c>
      <c r="E148" s="100">
        <f t="shared" si="9"/>
        <v>137075714.28571427</v>
      </c>
    </row>
    <row r="149" spans="1:5" x14ac:dyDescent="0.3">
      <c r="A149" s="71" t="s">
        <v>707</v>
      </c>
      <c r="B149" s="100">
        <v>138018166</v>
      </c>
      <c r="C149" s="103">
        <v>0.05</v>
      </c>
      <c r="D149" s="100">
        <f t="shared" si="8"/>
        <v>6572293.6190476269</v>
      </c>
      <c r="E149" s="100">
        <f t="shared" si="9"/>
        <v>131445872.38095237</v>
      </c>
    </row>
  </sheetData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1"/>
  <dimension ref="A1"/>
  <sheetViews>
    <sheetView workbookViewId="0">
      <selection activeCell="R13" sqref="R1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2"/>
  <dimension ref="A2:K33"/>
  <sheetViews>
    <sheetView workbookViewId="0">
      <selection activeCell="P19" sqref="P19"/>
    </sheetView>
  </sheetViews>
  <sheetFormatPr baseColWidth="10" defaultColWidth="11.44140625" defaultRowHeight="14.4" x14ac:dyDescent="0.3"/>
  <cols>
    <col min="1" max="1" width="12.5546875" customWidth="1"/>
    <col min="2" max="3" width="12" customWidth="1"/>
    <col min="4" max="4" width="16.109375" customWidth="1"/>
    <col min="5" max="5" width="10.88671875" customWidth="1"/>
    <col min="6" max="6" width="10.88671875" bestFit="1" customWidth="1"/>
    <col min="7" max="7" width="7.109375" customWidth="1"/>
    <col min="8" max="8" width="9.6640625" bestFit="1" customWidth="1"/>
    <col min="9" max="9" width="20.33203125" bestFit="1" customWidth="1"/>
    <col min="10" max="10" width="10.88671875" customWidth="1"/>
    <col min="11" max="11" width="25.44140625" bestFit="1" customWidth="1"/>
    <col min="12" max="16384" width="11.44140625" style="20"/>
  </cols>
  <sheetData>
    <row r="2" spans="1:11" x14ac:dyDescent="0.3">
      <c r="A2" s="74" t="s">
        <v>1157</v>
      </c>
      <c r="B2" s="74" t="s">
        <v>1158</v>
      </c>
      <c r="C2" s="74" t="s">
        <v>1159</v>
      </c>
      <c r="D2" s="204" t="s">
        <v>1167</v>
      </c>
      <c r="E2" s="204" t="s">
        <v>1168</v>
      </c>
      <c r="F2" s="204" t="s">
        <v>1169</v>
      </c>
      <c r="G2" s="204" t="s">
        <v>1170</v>
      </c>
      <c r="H2" s="204" t="s">
        <v>1171</v>
      </c>
      <c r="I2" s="204" t="s">
        <v>1294</v>
      </c>
      <c r="J2" s="204" t="s">
        <v>1256</v>
      </c>
      <c r="K2" s="204" t="s">
        <v>1257</v>
      </c>
    </row>
    <row r="3" spans="1:11" x14ac:dyDescent="0.3">
      <c r="A3" s="204" t="s">
        <v>733</v>
      </c>
      <c r="B3" s="204" t="s">
        <v>736</v>
      </c>
      <c r="C3" s="204" t="s">
        <v>756</v>
      </c>
      <c r="D3" s="77">
        <v>1051830000</v>
      </c>
      <c r="E3" s="77">
        <v>12757380</v>
      </c>
      <c r="F3" s="77">
        <v>533271</v>
      </c>
      <c r="G3" s="77">
        <v>47808</v>
      </c>
      <c r="H3" s="77">
        <v>388200</v>
      </c>
      <c r="I3" s="77">
        <v>1095101.1773209078</v>
      </c>
      <c r="J3" s="77">
        <v>14821760.177320909</v>
      </c>
      <c r="K3" s="126">
        <v>7.3884691441475719E-2</v>
      </c>
    </row>
    <row r="4" spans="1:11" x14ac:dyDescent="0.3">
      <c r="C4" s="204" t="s">
        <v>1211</v>
      </c>
      <c r="D4" s="77">
        <v>250669800</v>
      </c>
      <c r="E4" s="77">
        <v>3767280</v>
      </c>
      <c r="F4" s="77">
        <v>0</v>
      </c>
      <c r="G4" s="77">
        <v>0</v>
      </c>
      <c r="H4" s="77">
        <v>12940</v>
      </c>
      <c r="I4" s="77">
        <v>323385.58256456332</v>
      </c>
      <c r="J4" s="77">
        <v>4103605.5825645635</v>
      </c>
      <c r="K4" s="126">
        <v>7.8805230195262158E-2</v>
      </c>
    </row>
    <row r="5" spans="1:11" x14ac:dyDescent="0.3">
      <c r="B5" s="204" t="s">
        <v>1247</v>
      </c>
      <c r="C5" s="204" t="s">
        <v>756</v>
      </c>
      <c r="D5" s="77">
        <v>1010482200</v>
      </c>
      <c r="E5" s="77">
        <v>14531088</v>
      </c>
      <c r="F5" s="77">
        <v>356286</v>
      </c>
      <c r="G5" s="77">
        <v>24732</v>
      </c>
      <c r="H5" s="77">
        <v>291588</v>
      </c>
      <c r="I5" s="77">
        <v>1247357.3395598244</v>
      </c>
      <c r="J5" s="77">
        <v>16451051.339559823</v>
      </c>
      <c r="K5" s="126">
        <v>7.5822347995492895E-2</v>
      </c>
    </row>
    <row r="6" spans="1:11" x14ac:dyDescent="0.3">
      <c r="B6" s="204" t="s">
        <v>1248</v>
      </c>
      <c r="C6" s="204" t="s">
        <v>756</v>
      </c>
      <c r="D6" s="77">
        <v>1052233000</v>
      </c>
      <c r="E6" s="77">
        <v>16165354</v>
      </c>
      <c r="F6" s="77">
        <v>0</v>
      </c>
      <c r="G6" s="77">
        <v>0</v>
      </c>
      <c r="H6" s="77">
        <v>134300</v>
      </c>
      <c r="I6" s="77">
        <v>1387643.7165945705</v>
      </c>
      <c r="J6" s="77">
        <v>17687297.716594569</v>
      </c>
      <c r="K6" s="126">
        <v>7.845425224525146E-2</v>
      </c>
    </row>
    <row r="7" spans="1:11" x14ac:dyDescent="0.3">
      <c r="B7" s="204" t="s">
        <v>1249</v>
      </c>
      <c r="C7" s="204" t="s">
        <v>756</v>
      </c>
      <c r="D7" s="77">
        <v>1088100000</v>
      </c>
      <c r="E7" s="77">
        <v>16039812</v>
      </c>
      <c r="F7" s="77">
        <v>0</v>
      </c>
      <c r="G7" s="77">
        <v>0</v>
      </c>
      <c r="H7" s="77">
        <v>138600</v>
      </c>
      <c r="I7" s="77">
        <v>1376867.1157562151</v>
      </c>
      <c r="J7" s="77">
        <v>17555279.115756214</v>
      </c>
      <c r="K7" s="126">
        <v>7.843037451454983E-2</v>
      </c>
    </row>
    <row r="8" spans="1:11" x14ac:dyDescent="0.3">
      <c r="B8" s="204" t="s">
        <v>1255</v>
      </c>
      <c r="C8" s="204" t="s">
        <v>756</v>
      </c>
      <c r="D8" s="77">
        <v>1088100000</v>
      </c>
      <c r="E8" s="77">
        <v>15878051</v>
      </c>
      <c r="F8" s="77">
        <v>0</v>
      </c>
      <c r="G8" s="77">
        <v>0</v>
      </c>
      <c r="H8" s="77">
        <v>138600</v>
      </c>
      <c r="I8" s="77">
        <v>1362981.4541591937</v>
      </c>
      <c r="J8" s="77">
        <v>17379632.454159193</v>
      </c>
      <c r="K8" s="126">
        <v>7.8424066662756892E-2</v>
      </c>
    </row>
    <row r="9" spans="1:11" x14ac:dyDescent="0.3">
      <c r="B9" s="204" t="s">
        <v>1269</v>
      </c>
      <c r="C9" s="204" t="s">
        <v>756</v>
      </c>
      <c r="D9" s="77">
        <v>1088100000</v>
      </c>
      <c r="E9" s="77">
        <v>16216494</v>
      </c>
      <c r="F9" s="77">
        <v>0</v>
      </c>
      <c r="G9" s="77">
        <v>0</v>
      </c>
      <c r="H9" s="77">
        <v>88000</v>
      </c>
      <c r="I9" s="77">
        <v>1392033.6049735476</v>
      </c>
      <c r="J9" s="77">
        <v>17696527.604973547</v>
      </c>
      <c r="K9" s="126">
        <v>7.8661398215903178E-2</v>
      </c>
    </row>
    <row r="10" spans="1:11" x14ac:dyDescent="0.3">
      <c r="B10" s="204" t="s">
        <v>1270</v>
      </c>
      <c r="C10" s="204" t="s">
        <v>756</v>
      </c>
      <c r="D10" s="77">
        <v>1088100000</v>
      </c>
      <c r="E10" s="77">
        <v>14975942</v>
      </c>
      <c r="F10" s="77">
        <v>0</v>
      </c>
      <c r="G10" s="77">
        <v>0</v>
      </c>
      <c r="H10" s="77">
        <v>121600</v>
      </c>
      <c r="I10" s="77">
        <v>1285543.8746584039</v>
      </c>
      <c r="J10" s="77">
        <v>16383085.874658404</v>
      </c>
      <c r="K10" s="126">
        <v>7.8467749268585713E-2</v>
      </c>
    </row>
    <row r="11" spans="1:11" x14ac:dyDescent="0.3">
      <c r="A11" s="232" t="s">
        <v>1166</v>
      </c>
      <c r="B11" s="232"/>
      <c r="C11" s="232"/>
      <c r="D11" s="233">
        <v>7717615000</v>
      </c>
      <c r="E11" s="233">
        <v>110331401</v>
      </c>
      <c r="F11" s="233">
        <v>889557</v>
      </c>
      <c r="G11" s="233">
        <v>72540</v>
      </c>
      <c r="H11" s="233">
        <v>1313828</v>
      </c>
      <c r="I11" s="233">
        <v>9470913.865587227</v>
      </c>
      <c r="J11" s="233">
        <v>122078239.86558723</v>
      </c>
      <c r="K11" s="234">
        <v>7.7580688221054461E-2</v>
      </c>
    </row>
    <row r="12" spans="1:11" x14ac:dyDescent="0.3">
      <c r="A12" s="204" t="s">
        <v>732</v>
      </c>
      <c r="B12" s="204" t="s">
        <v>1280</v>
      </c>
      <c r="C12" s="204" t="s">
        <v>756</v>
      </c>
      <c r="D12" s="77">
        <v>1069965000</v>
      </c>
      <c r="E12" s="77">
        <v>15730335</v>
      </c>
      <c r="F12" s="77">
        <v>0</v>
      </c>
      <c r="G12" s="77">
        <v>0</v>
      </c>
      <c r="H12" s="77">
        <v>136000</v>
      </c>
      <c r="I12" s="77">
        <v>1350301.4238152567</v>
      </c>
      <c r="J12" s="77">
        <v>17216636.423815258</v>
      </c>
      <c r="K12" s="126">
        <v>7.8430036539972769E-2</v>
      </c>
    </row>
    <row r="13" spans="1:11" x14ac:dyDescent="0.3">
      <c r="B13" s="204" t="s">
        <v>1281</v>
      </c>
      <c r="C13" s="204" t="s">
        <v>756</v>
      </c>
      <c r="D13" s="77">
        <v>1049291100</v>
      </c>
      <c r="E13" s="77">
        <v>16500990</v>
      </c>
      <c r="F13" s="77">
        <v>0</v>
      </c>
      <c r="G13" s="77">
        <v>0</v>
      </c>
      <c r="H13" s="77">
        <v>135000</v>
      </c>
      <c r="I13" s="77">
        <v>1416454.9128395112</v>
      </c>
      <c r="J13" s="77">
        <v>18052444.91283951</v>
      </c>
      <c r="K13" s="126">
        <v>7.8463328356818893E-2</v>
      </c>
    </row>
    <row r="14" spans="1:11" x14ac:dyDescent="0.3">
      <c r="B14" s="204" t="s">
        <v>1292</v>
      </c>
      <c r="C14" s="204" t="s">
        <v>756</v>
      </c>
      <c r="D14" s="77">
        <v>1088100000</v>
      </c>
      <c r="E14" s="77">
        <v>16947796</v>
      </c>
      <c r="F14" s="77">
        <v>0</v>
      </c>
      <c r="G14" s="77">
        <v>0</v>
      </c>
      <c r="H14" s="77">
        <v>145800</v>
      </c>
      <c r="I14" s="77">
        <v>1454809.0087929158</v>
      </c>
      <c r="J14" s="77">
        <v>18548405.008792914</v>
      </c>
      <c r="K14" s="126">
        <v>7.8433105601439054E-2</v>
      </c>
    </row>
    <row r="15" spans="1:11" x14ac:dyDescent="0.3">
      <c r="B15" s="204" t="s">
        <v>1293</v>
      </c>
      <c r="C15" s="204" t="s">
        <v>756</v>
      </c>
      <c r="D15" s="77">
        <v>1030068000</v>
      </c>
      <c r="E15" s="77">
        <v>16362246</v>
      </c>
      <c r="F15" s="77">
        <v>0</v>
      </c>
      <c r="G15" s="77">
        <v>0</v>
      </c>
      <c r="H15" s="77">
        <v>136000</v>
      </c>
      <c r="I15" s="77">
        <v>1404545.0443754368</v>
      </c>
      <c r="J15" s="77">
        <v>17902791.044375435</v>
      </c>
      <c r="K15" s="126">
        <v>7.8453970718532537E-2</v>
      </c>
    </row>
    <row r="16" spans="1:11" x14ac:dyDescent="0.3">
      <c r="B16" s="204" t="s">
        <v>1416</v>
      </c>
      <c r="C16" s="204" t="s">
        <v>756</v>
      </c>
      <c r="D16" s="77">
        <v>1110265000</v>
      </c>
      <c r="E16" s="77">
        <v>16560492</v>
      </c>
      <c r="F16" s="77">
        <v>0</v>
      </c>
      <c r="G16" s="77">
        <v>0</v>
      </c>
      <c r="H16" s="77">
        <v>128000</v>
      </c>
      <c r="I16" s="77">
        <v>1656049.2000000002</v>
      </c>
      <c r="J16" s="77">
        <v>18344541.199999999</v>
      </c>
      <c r="K16" s="126">
        <v>9.0274767951133067E-2</v>
      </c>
    </row>
    <row r="17" spans="1:11" x14ac:dyDescent="0.3">
      <c r="B17" s="204" t="s">
        <v>1418</v>
      </c>
      <c r="C17" s="204" t="s">
        <v>756</v>
      </c>
      <c r="D17" s="77">
        <v>1131624000</v>
      </c>
      <c r="E17" s="77">
        <v>15636654</v>
      </c>
      <c r="F17" s="77">
        <v>0</v>
      </c>
      <c r="G17" s="77">
        <v>0</v>
      </c>
      <c r="H17" s="77">
        <v>104000</v>
      </c>
      <c r="I17" s="77">
        <v>1563665.4000000001</v>
      </c>
      <c r="J17" s="77">
        <v>17304319.399999999</v>
      </c>
      <c r="K17" s="126">
        <v>9.0362721806903329E-2</v>
      </c>
    </row>
    <row r="18" spans="1:11" x14ac:dyDescent="0.3">
      <c r="B18" s="204" t="s">
        <v>1415</v>
      </c>
      <c r="C18" s="204" t="s">
        <v>756</v>
      </c>
      <c r="D18" s="77">
        <v>1073592000</v>
      </c>
      <c r="E18" s="77">
        <v>16025295</v>
      </c>
      <c r="F18" s="77">
        <v>0</v>
      </c>
      <c r="G18" s="77">
        <v>0</v>
      </c>
      <c r="H18" s="77">
        <v>112000</v>
      </c>
      <c r="I18" s="77">
        <v>1602529.5</v>
      </c>
      <c r="J18" s="77">
        <v>17739824.5</v>
      </c>
      <c r="K18" s="126">
        <v>9.033513832112601E-2</v>
      </c>
    </row>
    <row r="19" spans="1:11" x14ac:dyDescent="0.3">
      <c r="B19" s="204" t="s">
        <v>1417</v>
      </c>
      <c r="C19" s="204" t="s">
        <v>756</v>
      </c>
      <c r="D19" s="77">
        <v>1030068000</v>
      </c>
      <c r="E19" s="77">
        <v>16417244</v>
      </c>
      <c r="F19" s="77">
        <v>0</v>
      </c>
      <c r="G19" s="77">
        <v>0</v>
      </c>
      <c r="H19" s="77">
        <v>112000</v>
      </c>
      <c r="I19" s="77">
        <v>1641724.4</v>
      </c>
      <c r="J19" s="77">
        <v>18170968.399999999</v>
      </c>
      <c r="K19" s="126">
        <v>9.0348756536277941E-2</v>
      </c>
    </row>
    <row r="20" spans="1:11" x14ac:dyDescent="0.3">
      <c r="A20" s="232" t="s">
        <v>1282</v>
      </c>
      <c r="B20" s="232"/>
      <c r="C20" s="232"/>
      <c r="D20" s="233">
        <v>8582973100</v>
      </c>
      <c r="E20" s="233">
        <v>130181052</v>
      </c>
      <c r="F20" s="233">
        <v>0</v>
      </c>
      <c r="G20" s="233">
        <v>0</v>
      </c>
      <c r="H20" s="233">
        <v>1008800</v>
      </c>
      <c r="I20" s="233">
        <v>12090078.88982312</v>
      </c>
      <c r="J20" s="233">
        <v>143279930.88982311</v>
      </c>
      <c r="K20" s="234">
        <v>8.4380825805394466E-2</v>
      </c>
    </row>
    <row r="21" spans="1:11" x14ac:dyDescent="0.3">
      <c r="A21" s="204" t="s">
        <v>730</v>
      </c>
      <c r="B21" s="204" t="s">
        <v>1419</v>
      </c>
      <c r="C21" s="204" t="s">
        <v>756</v>
      </c>
      <c r="D21" s="77">
        <v>667368000</v>
      </c>
      <c r="E21" s="77">
        <v>11242540</v>
      </c>
      <c r="F21" s="77">
        <v>0</v>
      </c>
      <c r="G21" s="77">
        <v>0</v>
      </c>
      <c r="H21" s="77">
        <v>99600</v>
      </c>
      <c r="I21" s="77">
        <v>1124254</v>
      </c>
      <c r="J21" s="77">
        <v>12466394</v>
      </c>
      <c r="K21" s="126">
        <v>9.0182774585818484E-2</v>
      </c>
    </row>
    <row r="22" spans="1:11" x14ac:dyDescent="0.3">
      <c r="C22" s="204" t="s">
        <v>1211</v>
      </c>
      <c r="D22" s="77">
        <v>296300000</v>
      </c>
      <c r="E22" s="77">
        <v>2754620</v>
      </c>
      <c r="F22" s="77">
        <v>762468</v>
      </c>
      <c r="G22" s="77">
        <v>0</v>
      </c>
      <c r="H22" s="77">
        <v>49800</v>
      </c>
      <c r="I22" s="77">
        <v>275462</v>
      </c>
      <c r="J22" s="77">
        <v>3842350</v>
      </c>
      <c r="K22" s="126">
        <v>7.1691022421174547E-2</v>
      </c>
    </row>
    <row r="23" spans="1:11" x14ac:dyDescent="0.3">
      <c r="B23" s="204" t="s">
        <v>1420</v>
      </c>
      <c r="C23" s="204" t="s">
        <v>756</v>
      </c>
      <c r="D23" s="77">
        <v>609336000</v>
      </c>
      <c r="E23" s="77">
        <v>11239128</v>
      </c>
      <c r="F23" s="77">
        <v>0</v>
      </c>
      <c r="G23" s="77">
        <v>0</v>
      </c>
      <c r="H23" s="77">
        <v>96000</v>
      </c>
      <c r="I23" s="77">
        <v>1123912.8</v>
      </c>
      <c r="J23" s="77">
        <v>12459040.800000001</v>
      </c>
      <c r="K23" s="126">
        <v>9.0208613812389149E-2</v>
      </c>
    </row>
    <row r="24" spans="1:11" x14ac:dyDescent="0.3">
      <c r="C24" s="204" t="s">
        <v>1211</v>
      </c>
      <c r="D24" s="77">
        <v>266670000</v>
      </c>
      <c r="E24" s="77">
        <v>2513322</v>
      </c>
      <c r="F24" s="77">
        <v>876200</v>
      </c>
      <c r="G24" s="77">
        <v>0</v>
      </c>
      <c r="H24" s="77">
        <v>112000</v>
      </c>
      <c r="I24" s="77">
        <v>251332.2</v>
      </c>
      <c r="J24" s="77">
        <v>3752854.2</v>
      </c>
      <c r="K24" s="126">
        <v>6.6970947072763978E-2</v>
      </c>
    </row>
    <row r="25" spans="1:11" x14ac:dyDescent="0.3">
      <c r="A25" s="232" t="s">
        <v>1435</v>
      </c>
      <c r="B25" s="232"/>
      <c r="C25" s="232"/>
      <c r="D25" s="233">
        <v>1839674000</v>
      </c>
      <c r="E25" s="233">
        <v>27749610</v>
      </c>
      <c r="F25" s="233">
        <v>1638668</v>
      </c>
      <c r="G25" s="233">
        <v>0</v>
      </c>
      <c r="H25" s="233">
        <v>357400</v>
      </c>
      <c r="I25" s="233">
        <v>2774961</v>
      </c>
      <c r="J25" s="233">
        <v>32520639</v>
      </c>
      <c r="K25" s="234">
        <v>8.5329227386952644E-2</v>
      </c>
    </row>
    <row r="26" spans="1:11" x14ac:dyDescent="0.3">
      <c r="A26" s="204" t="s">
        <v>427</v>
      </c>
      <c r="B26" s="204" t="s">
        <v>1436</v>
      </c>
      <c r="C26" s="204" t="s">
        <v>756</v>
      </c>
      <c r="D26" s="77">
        <v>1033695000</v>
      </c>
      <c r="E26" s="77">
        <v>15824856</v>
      </c>
      <c r="F26" s="77">
        <v>0</v>
      </c>
      <c r="G26" s="77">
        <v>0</v>
      </c>
      <c r="H26" s="77">
        <v>131750</v>
      </c>
      <c r="I26" s="77">
        <v>1582485.6</v>
      </c>
      <c r="J26" s="77">
        <v>17539091.600000001</v>
      </c>
      <c r="K26" s="126">
        <v>9.0226200768573434E-2</v>
      </c>
    </row>
    <row r="27" spans="1:11" x14ac:dyDescent="0.3">
      <c r="A27" s="232" t="s">
        <v>1437</v>
      </c>
      <c r="B27" s="232"/>
      <c r="C27" s="232"/>
      <c r="D27" s="233">
        <v>1033695000</v>
      </c>
      <c r="E27" s="233">
        <v>15824856</v>
      </c>
      <c r="F27" s="233">
        <v>0</v>
      </c>
      <c r="G27" s="233">
        <v>0</v>
      </c>
      <c r="H27" s="233">
        <v>131750</v>
      </c>
      <c r="I27" s="233">
        <v>1582485.6</v>
      </c>
      <c r="J27" s="233">
        <v>17539091.600000001</v>
      </c>
      <c r="K27" s="234">
        <v>9.0226200768573434E-2</v>
      </c>
    </row>
    <row r="28" spans="1:11" x14ac:dyDescent="0.3">
      <c r="A28" s="204" t="s">
        <v>1138</v>
      </c>
      <c r="B28" s="204" t="s">
        <v>1438</v>
      </c>
      <c r="C28" s="204" t="s">
        <v>756</v>
      </c>
      <c r="D28" s="77">
        <v>714519000</v>
      </c>
      <c r="E28" s="77">
        <v>11116296</v>
      </c>
      <c r="F28" s="77">
        <v>0</v>
      </c>
      <c r="G28" s="77">
        <v>0</v>
      </c>
      <c r="H28" s="77">
        <v>70224</v>
      </c>
      <c r="I28" s="77">
        <v>1111629.6000000001</v>
      </c>
      <c r="J28" s="77">
        <v>12298149.6</v>
      </c>
      <c r="K28" s="126">
        <v>9.0389988425575843E-2</v>
      </c>
    </row>
    <row r="29" spans="1:11" x14ac:dyDescent="0.3">
      <c r="C29" s="204" t="s">
        <v>1432</v>
      </c>
      <c r="D29" s="77">
        <v>213322500</v>
      </c>
      <c r="E29" s="77">
        <v>2182860</v>
      </c>
      <c r="F29" s="77">
        <v>0</v>
      </c>
      <c r="G29" s="77">
        <v>0</v>
      </c>
      <c r="H29" s="77">
        <v>0</v>
      </c>
      <c r="I29" s="77">
        <v>218286</v>
      </c>
      <c r="J29" s="77">
        <v>2401146</v>
      </c>
      <c r="K29" s="126">
        <v>9.0909090909090912E-2</v>
      </c>
    </row>
    <row r="30" spans="1:11" x14ac:dyDescent="0.3">
      <c r="B30" s="204" t="s">
        <v>1444</v>
      </c>
      <c r="C30" s="204" t="s">
        <v>756</v>
      </c>
      <c r="D30" s="77">
        <v>725400000</v>
      </c>
      <c r="E30" s="77">
        <v>11126532</v>
      </c>
      <c r="F30" s="77">
        <v>0</v>
      </c>
      <c r="G30" s="77">
        <v>0</v>
      </c>
      <c r="H30" s="77">
        <v>99900</v>
      </c>
      <c r="I30" s="77">
        <v>1112653.2</v>
      </c>
      <c r="J30" s="77">
        <v>12339085.199999999</v>
      </c>
      <c r="K30" s="126">
        <v>9.0173070528761723E-2</v>
      </c>
    </row>
    <row r="31" spans="1:11" x14ac:dyDescent="0.3">
      <c r="C31" s="204" t="s">
        <v>1432</v>
      </c>
      <c r="D31" s="77">
        <v>213322500</v>
      </c>
      <c r="E31" s="77">
        <v>1692459</v>
      </c>
      <c r="F31" s="77">
        <v>0</v>
      </c>
      <c r="G31" s="77">
        <v>0</v>
      </c>
      <c r="H31" s="77">
        <v>0</v>
      </c>
      <c r="I31" s="77">
        <v>169245.90000000002</v>
      </c>
      <c r="J31" s="77">
        <v>1861704.9</v>
      </c>
      <c r="K31" s="126">
        <v>9.0909090909090925E-2</v>
      </c>
    </row>
    <row r="32" spans="1:11" x14ac:dyDescent="0.3">
      <c r="A32" s="232" t="s">
        <v>1439</v>
      </c>
      <c r="B32" s="232"/>
      <c r="C32" s="232"/>
      <c r="D32" s="233">
        <v>1866564000</v>
      </c>
      <c r="E32" s="233">
        <v>26118147</v>
      </c>
      <c r="F32" s="233">
        <v>0</v>
      </c>
      <c r="G32" s="233">
        <v>0</v>
      </c>
      <c r="H32" s="233">
        <v>170124</v>
      </c>
      <c r="I32" s="233">
        <v>2611814.6999999997</v>
      </c>
      <c r="J32" s="233">
        <v>28900085.699999996</v>
      </c>
      <c r="K32" s="234">
        <v>9.0373943077961205E-2</v>
      </c>
    </row>
    <row r="33" spans="1:11" x14ac:dyDescent="0.3">
      <c r="A33" s="204" t="s">
        <v>935</v>
      </c>
      <c r="D33" s="77">
        <v>21040521100</v>
      </c>
      <c r="E33" s="77">
        <v>310205066</v>
      </c>
      <c r="F33" s="77">
        <v>2528225</v>
      </c>
      <c r="G33" s="77">
        <v>72540</v>
      </c>
      <c r="H33" s="77">
        <v>2981902</v>
      </c>
      <c r="I33" s="77">
        <v>28530254.055410344</v>
      </c>
      <c r="J33" s="77">
        <v>344317987.05541033</v>
      </c>
      <c r="K33" s="126">
        <v>8.2860190660963132E-2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A63551-8FB4-4536-AE1D-E29F4728FB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87</vt:i4>
      </vt:variant>
    </vt:vector>
  </HeadingPairs>
  <TitlesOfParts>
    <vt:vector size="114" baseType="lpstr">
      <vt:lpstr>LignePotentielParHub</vt:lpstr>
      <vt:lpstr>GestionLignesDemande</vt:lpstr>
      <vt:lpstr>Graphique</vt:lpstr>
      <vt:lpstr>Lignes_</vt:lpstr>
      <vt:lpstr>TS membres</vt:lpstr>
      <vt:lpstr>TS membres (2)</vt:lpstr>
      <vt:lpstr>Avions</vt:lpstr>
      <vt:lpstr>AvionsLoc</vt:lpstr>
      <vt:lpstr>Classement</vt:lpstr>
      <vt:lpstr>Chiffre d'affaires</vt:lpstr>
      <vt:lpstr>Coût</vt:lpstr>
      <vt:lpstr>Impôts</vt:lpstr>
      <vt:lpstr>Emprunts</vt:lpstr>
      <vt:lpstr>Lignes</vt:lpstr>
      <vt:lpstr>Investissement</vt:lpstr>
      <vt:lpstr>DataCoutRevenuAux</vt:lpstr>
      <vt:lpstr>DataHubs</vt:lpstr>
      <vt:lpstr>DataPrixBillets</vt:lpstr>
      <vt:lpstr>DataDemande</vt:lpstr>
      <vt:lpstr>Transco Heures</vt:lpstr>
      <vt:lpstr>ROI_Avions</vt:lpstr>
      <vt:lpstr>ROI_Avions V2</vt:lpstr>
      <vt:lpstr>DemandeAReprendre</vt:lpstr>
      <vt:lpstr>Appareils</vt:lpstr>
      <vt:lpstr>Prévisions restructurations</vt:lpstr>
      <vt:lpstr>Feuil2</vt:lpstr>
      <vt:lpstr>TCD</vt:lpstr>
      <vt:lpstr>DataDemande!_?airport_0</vt:lpstr>
      <vt:lpstr>DataCoutRevenuAux!DataCoutRevenuAux</vt:lpstr>
      <vt:lpstr>DataDemande!DataCoutRevenuAux</vt:lpstr>
      <vt:lpstr>DataPrixBillets!DataCoutRevenuAux</vt:lpstr>
      <vt:lpstr>DataCoutRevenuAux!DataCoutRevenuAux_1</vt:lpstr>
      <vt:lpstr>DataDemande!DataCoutRevenuAux_1</vt:lpstr>
      <vt:lpstr>DataPrixBillets!DataCoutRevenuAux_1</vt:lpstr>
      <vt:lpstr>DataCoutRevenuAux!DataCoutRevenuAux_10</vt:lpstr>
      <vt:lpstr>DataDemande!DataCoutRevenuAux_10</vt:lpstr>
      <vt:lpstr>DataPrixBillets!DataCoutRevenuAux_10</vt:lpstr>
      <vt:lpstr>DataCoutRevenuAux!DataCoutRevenuAux_11</vt:lpstr>
      <vt:lpstr>DataDemande!DataCoutRevenuAux_11</vt:lpstr>
      <vt:lpstr>DataPrixBillets!DataCoutRevenuAux_11</vt:lpstr>
      <vt:lpstr>DataCoutRevenuAux!DataCoutRevenuAux_12</vt:lpstr>
      <vt:lpstr>DataDemande!DataCoutRevenuAux_12</vt:lpstr>
      <vt:lpstr>DataPrixBillets!DataCoutRevenuAux_12</vt:lpstr>
      <vt:lpstr>DataCoutRevenuAux!DataCoutRevenuAux_13</vt:lpstr>
      <vt:lpstr>DataDemande!DataCoutRevenuAux_13</vt:lpstr>
      <vt:lpstr>DataPrixBillets!DataCoutRevenuAux_13</vt:lpstr>
      <vt:lpstr>DataCoutRevenuAux!DataCoutRevenuAux_14</vt:lpstr>
      <vt:lpstr>DataDemande!DataCoutRevenuAux_14</vt:lpstr>
      <vt:lpstr>DataPrixBillets!DataCoutRevenuAux_14</vt:lpstr>
      <vt:lpstr>DataCoutRevenuAux!DataCoutRevenuAux_15</vt:lpstr>
      <vt:lpstr>DataDemande!DataCoutRevenuAux_15</vt:lpstr>
      <vt:lpstr>DataPrixBillets!DataCoutRevenuAux_15</vt:lpstr>
      <vt:lpstr>DataCoutRevenuAux!DataCoutRevenuAux_16</vt:lpstr>
      <vt:lpstr>DataDemande!DataCoutRevenuAux_16</vt:lpstr>
      <vt:lpstr>DataPrixBillets!DataCoutRevenuAux_16</vt:lpstr>
      <vt:lpstr>DataCoutRevenuAux!DataCoutRevenuAux_17</vt:lpstr>
      <vt:lpstr>DataPrixBillets!DataCoutRevenuAux_17</vt:lpstr>
      <vt:lpstr>DataCoutRevenuAux!DataCoutRevenuAux_18</vt:lpstr>
      <vt:lpstr>DataCoutRevenuAux!DataCoutRevenuAux_19</vt:lpstr>
      <vt:lpstr>DataCoutRevenuAux!DataCoutRevenuAux_2</vt:lpstr>
      <vt:lpstr>DataDemande!DataCoutRevenuAux_2</vt:lpstr>
      <vt:lpstr>DataPrixBillets!DataCoutRevenuAux_2</vt:lpstr>
      <vt:lpstr>DataCoutRevenuAux!DataCoutRevenuAux_20</vt:lpstr>
      <vt:lpstr>DataCoutRevenuAux!DataCoutRevenuAux_21</vt:lpstr>
      <vt:lpstr>DataCoutRevenuAux!DataCoutRevenuAux_3</vt:lpstr>
      <vt:lpstr>DataDemande!DataCoutRevenuAux_3</vt:lpstr>
      <vt:lpstr>DataPrixBillets!DataCoutRevenuAux_3</vt:lpstr>
      <vt:lpstr>DataCoutRevenuAux!DataCoutRevenuAux_4</vt:lpstr>
      <vt:lpstr>DataDemande!DataCoutRevenuAux_4</vt:lpstr>
      <vt:lpstr>DataPrixBillets!DataCoutRevenuAux_4</vt:lpstr>
      <vt:lpstr>DataCoutRevenuAux!DataCoutRevenuAux_5</vt:lpstr>
      <vt:lpstr>DataDemande!DataCoutRevenuAux_5</vt:lpstr>
      <vt:lpstr>DataPrixBillets!DataCoutRevenuAux_5</vt:lpstr>
      <vt:lpstr>DataCoutRevenuAux!DataCoutRevenuAux_6</vt:lpstr>
      <vt:lpstr>DataDemande!DataCoutRevenuAux_6</vt:lpstr>
      <vt:lpstr>DataPrixBillets!DataCoutRevenuAux_6</vt:lpstr>
      <vt:lpstr>DataCoutRevenuAux!DataCoutRevenuAux_7</vt:lpstr>
      <vt:lpstr>DataDemande!DataCoutRevenuAux_7</vt:lpstr>
      <vt:lpstr>DataPrixBillets!DataCoutRevenuAux_7</vt:lpstr>
      <vt:lpstr>DataCoutRevenuAux!DataCoutRevenuAux_8</vt:lpstr>
      <vt:lpstr>DataDemande!DataCoutRevenuAux_8</vt:lpstr>
      <vt:lpstr>DataPrixBillets!DataCoutRevenuAux_8</vt:lpstr>
      <vt:lpstr>DataCoutRevenuAux!DataCoutRevenuAux_9</vt:lpstr>
      <vt:lpstr>DataDemande!DataCoutRevenuAux_9</vt:lpstr>
      <vt:lpstr>DataPrixBillets!DataCoutRevenuAux_9</vt:lpstr>
      <vt:lpstr>DataDemande!demande</vt:lpstr>
      <vt:lpstr>DataDemande!DemandeLignes</vt:lpstr>
      <vt:lpstr>DataCoutRevenuAux!line?date_2014_07_04</vt:lpstr>
      <vt:lpstr>DataCoutRevenuAux!line?date_2014_07_22</vt:lpstr>
      <vt:lpstr>DataCoutRevenuAux!line?date_2015_01_22</vt:lpstr>
      <vt:lpstr>DataCoutRevenuAux!line?date_2015_02_09</vt:lpstr>
      <vt:lpstr>DataCoutRevenuAux!line?date_2015_02_16</vt:lpstr>
      <vt:lpstr>DataCoutRevenuAux!line?date_2015_03_04</vt:lpstr>
      <vt:lpstr>DataCoutRevenuAux!line?date_2015_09_05</vt:lpstr>
      <vt:lpstr>DataCoutRevenuAux!line?date_2015_10_26_page_2</vt:lpstr>
      <vt:lpstr>DataHubs!line?date_2015_10_26_page_2</vt:lpstr>
      <vt:lpstr>DataPrixBillets!lineList</vt:lpstr>
      <vt:lpstr>DataPrixBillets!lineList_1</vt:lpstr>
      <vt:lpstr>DataPrixBillets!lineList_2</vt:lpstr>
      <vt:lpstr>DataPrixBillets!lineList_3</vt:lpstr>
      <vt:lpstr>DataPrixBillets!lineList_4</vt:lpstr>
      <vt:lpstr>DataPrixBillets!lineList_5</vt:lpstr>
      <vt:lpstr>DataPrixBillets!lineList_6</vt:lpstr>
      <vt:lpstr>ListeApp</vt:lpstr>
      <vt:lpstr>DataHubs!network</vt:lpstr>
      <vt:lpstr>Nom</vt:lpstr>
      <vt:lpstr>Nom_Avion</vt:lpstr>
      <vt:lpstr>DataDemande!pricing</vt:lpstr>
      <vt:lpstr>DataDemande!pricing_1</vt:lpstr>
      <vt:lpstr>DataDemande!pricing_2</vt:lpstr>
      <vt:lpstr>DataDemande!pricing_3</vt:lpstr>
      <vt:lpstr>DataDemande!pricing_4</vt:lpstr>
      <vt:lpstr>DataPrixBillets!PrixBillets</vt:lpstr>
      <vt:lpstr>DataCoutRevenuAux!RevenusAux_Cout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ivo</dc:creator>
  <cp:lastModifiedBy>GRANGE Ivo</cp:lastModifiedBy>
  <cp:revision/>
  <dcterms:created xsi:type="dcterms:W3CDTF">2014-03-07T08:45:16Z</dcterms:created>
  <dcterms:modified xsi:type="dcterms:W3CDTF">2018-12-30T15:07:34Z</dcterms:modified>
</cp:coreProperties>
</file>